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60" yWindow="0" windowWidth="15315" windowHeight="8085" tabRatio="597"/>
  </bookViews>
  <sheets>
    <sheet name="HOW TO USE" sheetId="12" r:id="rId1"/>
    <sheet name="Master" sheetId="2" r:id="rId2"/>
    <sheet name="GA55 Entry" sheetId="1" r:id="rId3"/>
    <sheet name="Extra deduc" sheetId="9" r:id="rId4"/>
    <sheet name="GA55 Only Print" sheetId="3" r:id="rId5"/>
    <sheet name="DV-IDENTITY-0" sheetId="4" state="veryHidden" r:id="rId6"/>
    <sheet name="COMPUTATION" sheetId="10" r:id="rId7"/>
    <sheet name="89 (1) Form" sheetId="14" r:id="rId8"/>
    <sheet name="form10E" sheetId="13" r:id="rId9"/>
    <sheet name="Form No. 16" sheetId="6" r:id="rId10"/>
  </sheets>
  <definedNames>
    <definedName name="_xlnm.Print_Area" localSheetId="6" xml:space="preserve">                                                                COMPUTATION!$A$1:$O$65</definedName>
    <definedName name="_xlnm.Print_Area" localSheetId="3" xml:space="preserve">                                                                                                                                                                                                    'Extra deduc'!$E$2:$L$20</definedName>
    <definedName name="_xlnm.Print_Area" localSheetId="9" xml:space="preserve">                                                                                                                                                                                                                                                   'Form No. 16'!$A$1:$N$129</definedName>
    <definedName name="_xlnm.Print_Area" localSheetId="8" xml:space="preserve">                                                                                                                                      form10E!$A$1:$N$38</definedName>
    <definedName name="_xlnm.Print_Area" localSheetId="4" xml:space="preserve">                                                                                                  'GA55 Only Print'!$A$1:$AB$30</definedName>
    <definedName name="_xlnm.Print_Area" localSheetId="1">Master!$B$1:$I$25</definedName>
    <definedName name="Z_8E92581F_007A_4A12_99AF_FBD8FA5F0BC8_.wvu.Cols" localSheetId="6" hidden="1">COMPUTATION!$W:$AA</definedName>
    <definedName name="Z_8E92581F_007A_4A12_99AF_FBD8FA5F0BC8_.wvu.Cols" localSheetId="3" hidden="1">'Extra deduc'!$C:$D,'Extra deduc'!$AO:$AP</definedName>
    <definedName name="Z_8E92581F_007A_4A12_99AF_FBD8FA5F0BC8_.wvu.Cols" localSheetId="9" hidden="1">'Form No. 16'!$AA:$AJ</definedName>
    <definedName name="Z_8E92581F_007A_4A12_99AF_FBD8FA5F0BC8_.wvu.Cols" localSheetId="8" hidden="1">form10E!$Z:$AG</definedName>
    <definedName name="Z_8E92581F_007A_4A12_99AF_FBD8FA5F0BC8_.wvu.Cols" localSheetId="2" hidden="1">'GA55 Entry'!$A:$A,'GA55 Entry'!$AK:$XFD</definedName>
    <definedName name="Z_8E92581F_007A_4A12_99AF_FBD8FA5F0BC8_.wvu.Cols" localSheetId="4" hidden="1">'GA55 Only Print'!$CI:$CJ,'GA55 Only Print'!$CL:$CL</definedName>
    <definedName name="Z_8E92581F_007A_4A12_99AF_FBD8FA5F0BC8_.wvu.Cols" localSheetId="1" hidden="1">Master!$P:$XFD</definedName>
    <definedName name="Z_8E92581F_007A_4A12_99AF_FBD8FA5F0BC8_.wvu.PrintArea" localSheetId="6" hidden="1">COMPUTATION!$A$1:$O$65</definedName>
    <definedName name="Z_8E92581F_007A_4A12_99AF_FBD8FA5F0BC8_.wvu.PrintArea" localSheetId="3" hidden="1">'Extra deduc'!$E$2:$L$20</definedName>
    <definedName name="Z_8E92581F_007A_4A12_99AF_FBD8FA5F0BC8_.wvu.PrintArea" localSheetId="9" hidden="1">'Form No. 16'!$A$1:$N$129</definedName>
    <definedName name="Z_8E92581F_007A_4A12_99AF_FBD8FA5F0BC8_.wvu.PrintArea" localSheetId="8" hidden="1">form10E!$A$1:$N$38</definedName>
    <definedName name="Z_8E92581F_007A_4A12_99AF_FBD8FA5F0BC8_.wvu.PrintArea" localSheetId="4" hidden="1">'GA55 Only Print'!$A$1:$AB$30</definedName>
    <definedName name="Z_8E92581F_007A_4A12_99AF_FBD8FA5F0BC8_.wvu.PrintArea" localSheetId="1" hidden="1" xml:space="preserve">                                                                                                                                                                                                    Master!$B$1:$I$25</definedName>
    <definedName name="Z_8E92581F_007A_4A12_99AF_FBD8FA5F0BC8_.wvu.Rows" localSheetId="2" hidden="1">'GA55 Entry'!$41:$43</definedName>
    <definedName name="Z_8E92581F_007A_4A12_99AF_FBD8FA5F0BC8_.wvu.Rows" localSheetId="1" hidden="1">Master!$74:$76</definedName>
  </definedNames>
  <calcPr calcId="124519"/>
  <customWorkbookViews>
    <customWorkbookView name="ga55 Summry" guid="{8E92581F-007A-4A12-99AF-FBD8FA5F0BC8}" maximized="1" xWindow="1" yWindow="1" windowWidth="1600" windowHeight="669" activeSheetId="3"/>
  </customWorkbookViews>
</workbook>
</file>

<file path=xl/calcChain.xml><?xml version="1.0" encoding="utf-8"?>
<calcChain xmlns="http://schemas.openxmlformats.org/spreadsheetml/2006/main">
  <c r="M20" i="10"/>
  <c r="O4"/>
  <c r="Q27" i="3"/>
  <c r="Q7"/>
  <c r="Q8"/>
  <c r="Q9"/>
  <c r="Q10"/>
  <c r="Q11"/>
  <c r="Q12"/>
  <c r="Q13"/>
  <c r="Q14"/>
  <c r="Q15"/>
  <c r="Q16"/>
  <c r="Q17"/>
  <c r="Q18"/>
  <c r="Q19"/>
  <c r="Q20"/>
  <c r="Q21"/>
  <c r="Q22"/>
  <c r="Q23"/>
  <c r="Q24"/>
  <c r="Q25"/>
  <c r="Q26"/>
  <c r="Q6"/>
  <c r="Q5"/>
  <c r="Z25" i="1"/>
  <c r="Z26"/>
  <c r="M19"/>
  <c r="M20"/>
  <c r="M25"/>
  <c r="M26"/>
  <c r="B1" i="3"/>
  <c r="A1" i="10"/>
  <c r="L2" i="3"/>
  <c r="K25" i="1"/>
  <c r="AA25"/>
  <c r="AA26"/>
  <c r="I19"/>
  <c r="AO14"/>
  <c r="AQ14" s="1"/>
  <c r="AO13"/>
  <c r="AQ13" s="1"/>
  <c r="AO15"/>
  <c r="AQ15" s="1"/>
  <c r="AO12"/>
  <c r="E21" s="1"/>
  <c r="AC34" i="13"/>
  <c r="K34"/>
  <c r="AQ12" i="1" l="1"/>
  <c r="E33" i="13" l="1"/>
  <c r="C33"/>
  <c r="Z33" s="1"/>
  <c r="O33" i="10"/>
  <c r="AD33" i="13" l="1"/>
  <c r="I33" s="1"/>
  <c r="G33"/>
  <c r="AC33" s="1"/>
  <c r="E4" i="2"/>
  <c r="H6" i="1" s="1"/>
  <c r="E2" i="2"/>
  <c r="L15" i="6"/>
  <c r="H15"/>
  <c r="N107"/>
  <c r="H76"/>
  <c r="AE33" i="13" l="1"/>
  <c r="K33" s="1"/>
  <c r="M33" s="1"/>
  <c r="AN15" i="1"/>
  <c r="AN18" s="1"/>
  <c r="G887"/>
  <c r="AN17"/>
  <c r="G888"/>
  <c r="G889"/>
  <c r="G890"/>
  <c r="G891"/>
  <c r="G892"/>
  <c r="G893"/>
  <c r="G894"/>
  <c r="G895"/>
  <c r="G896"/>
  <c r="G897"/>
  <c r="G898"/>
  <c r="G899"/>
  <c r="D883"/>
  <c r="D882"/>
  <c r="Q25"/>
  <c r="Q26"/>
  <c r="Q27"/>
  <c r="K26"/>
  <c r="K27"/>
  <c r="AA27"/>
  <c r="Z27"/>
  <c r="AO19" l="1"/>
  <c r="AO21"/>
  <c r="AQ21" s="1"/>
  <c r="AO17"/>
  <c r="AQ17" s="1"/>
  <c r="AO23"/>
  <c r="AQ23" s="1"/>
  <c r="AO18"/>
  <c r="AQ18" s="1"/>
  <c r="AO20"/>
  <c r="AQ20" s="1"/>
  <c r="AO22"/>
  <c r="AQ22" s="1"/>
  <c r="AO16"/>
  <c r="AQ16" s="1"/>
  <c r="M27"/>
  <c r="AN16"/>
  <c r="AP12" s="1"/>
  <c r="E1"/>
  <c r="AQ19" l="1"/>
  <c r="E20" s="1"/>
  <c r="D20"/>
  <c r="AP14"/>
  <c r="C9" s="1"/>
  <c r="AP16"/>
  <c r="C11" s="1"/>
  <c r="AP18"/>
  <c r="C13" s="1"/>
  <c r="AP20"/>
  <c r="C15" s="1"/>
  <c r="AP22"/>
  <c r="C17" s="1"/>
  <c r="AP24"/>
  <c r="AP13"/>
  <c r="C8" s="1"/>
  <c r="AP15"/>
  <c r="C10" s="1"/>
  <c r="AP17"/>
  <c r="C12" s="1"/>
  <c r="AP19"/>
  <c r="C14" s="1"/>
  <c r="AP21"/>
  <c r="C16" s="1"/>
  <c r="AP23"/>
  <c r="C18" s="1"/>
  <c r="C7"/>
  <c r="N7" l="1"/>
  <c r="X8"/>
  <c r="W7"/>
  <c r="U7"/>
  <c r="S7"/>
  <c r="Y7"/>
  <c r="V7"/>
  <c r="T7"/>
  <c r="Y16"/>
  <c r="S16"/>
  <c r="U16"/>
  <c r="W16"/>
  <c r="T16"/>
  <c r="V16"/>
  <c r="N16"/>
  <c r="Y12"/>
  <c r="S12"/>
  <c r="U12"/>
  <c r="W12"/>
  <c r="T12"/>
  <c r="V12"/>
  <c r="N12"/>
  <c r="Y8"/>
  <c r="S8"/>
  <c r="U8"/>
  <c r="W8"/>
  <c r="T8"/>
  <c r="V8"/>
  <c r="N8"/>
  <c r="T17"/>
  <c r="V17"/>
  <c r="Y17"/>
  <c r="S17"/>
  <c r="U17"/>
  <c r="W17"/>
  <c r="N17"/>
  <c r="T13"/>
  <c r="V13"/>
  <c r="Y13"/>
  <c r="S13"/>
  <c r="U13"/>
  <c r="W13"/>
  <c r="N13"/>
  <c r="T9"/>
  <c r="V9"/>
  <c r="Y9"/>
  <c r="S9"/>
  <c r="U9"/>
  <c r="W9"/>
  <c r="N9"/>
  <c r="S18"/>
  <c r="U18"/>
  <c r="W18"/>
  <c r="Y18"/>
  <c r="T18"/>
  <c r="V18"/>
  <c r="N18"/>
  <c r="Y14"/>
  <c r="S14"/>
  <c r="U14"/>
  <c r="W14"/>
  <c r="T14"/>
  <c r="V14"/>
  <c r="N14"/>
  <c r="Y10"/>
  <c r="S10"/>
  <c r="U10"/>
  <c r="W10"/>
  <c r="T10"/>
  <c r="V10"/>
  <c r="N10"/>
  <c r="T15"/>
  <c r="V15"/>
  <c r="Y15"/>
  <c r="S15"/>
  <c r="U15"/>
  <c r="W15"/>
  <c r="N15"/>
  <c r="T11"/>
  <c r="V11"/>
  <c r="Y11"/>
  <c r="S11"/>
  <c r="U11"/>
  <c r="W11"/>
  <c r="N11"/>
  <c r="D7"/>
  <c r="H7"/>
  <c r="L7"/>
  <c r="G7"/>
  <c r="D16"/>
  <c r="F16" s="1"/>
  <c r="G16"/>
  <c r="L16"/>
  <c r="H16"/>
  <c r="D12"/>
  <c r="F12" s="1"/>
  <c r="G12"/>
  <c r="L12"/>
  <c r="H12"/>
  <c r="D8"/>
  <c r="F8" s="1"/>
  <c r="G8"/>
  <c r="L8"/>
  <c r="H8"/>
  <c r="D17"/>
  <c r="F17" s="1"/>
  <c r="L17"/>
  <c r="H17"/>
  <c r="G17"/>
  <c r="D13"/>
  <c r="F13" s="1"/>
  <c r="L13"/>
  <c r="H13"/>
  <c r="G13"/>
  <c r="D9"/>
  <c r="F9" s="1"/>
  <c r="L9"/>
  <c r="H9"/>
  <c r="G9"/>
  <c r="D18"/>
  <c r="F18" s="1"/>
  <c r="G18"/>
  <c r="H18"/>
  <c r="D14"/>
  <c r="F14" s="1"/>
  <c r="G14"/>
  <c r="L14"/>
  <c r="H14"/>
  <c r="D10"/>
  <c r="F10" s="1"/>
  <c r="G10"/>
  <c r="L10"/>
  <c r="H10"/>
  <c r="D15"/>
  <c r="F15" s="1"/>
  <c r="L15"/>
  <c r="H15"/>
  <c r="G15"/>
  <c r="D11"/>
  <c r="F11" s="1"/>
  <c r="L11"/>
  <c r="H11"/>
  <c r="G11"/>
  <c r="E7" l="1"/>
  <c r="F7"/>
  <c r="E18"/>
  <c r="E9"/>
  <c r="E13"/>
  <c r="E17"/>
  <c r="E8"/>
  <c r="E12"/>
  <c r="E16"/>
  <c r="E11"/>
  <c r="E15"/>
  <c r="E10"/>
  <c r="E14"/>
  <c r="L18"/>
  <c r="E37" i="13"/>
  <c r="E36"/>
  <c r="E35"/>
  <c r="C37"/>
  <c r="C36"/>
  <c r="Z36" s="1"/>
  <c r="AA36" s="1"/>
  <c r="C35"/>
  <c r="Z35" s="1"/>
  <c r="L7"/>
  <c r="L22" s="1"/>
  <c r="AB7" i="3"/>
  <c r="AB8"/>
  <c r="AB9"/>
  <c r="AB10"/>
  <c r="AB11"/>
  <c r="AB12"/>
  <c r="AB13"/>
  <c r="AB14"/>
  <c r="AB15"/>
  <c r="AB16"/>
  <c r="AB17"/>
  <c r="AB18"/>
  <c r="AB19"/>
  <c r="AB20"/>
  <c r="AB21"/>
  <c r="AB22"/>
  <c r="AB23"/>
  <c r="AB24"/>
  <c r="AB25"/>
  <c r="AB26"/>
  <c r="AB6"/>
  <c r="I106" i="6"/>
  <c r="I107"/>
  <c r="I108"/>
  <c r="I109"/>
  <c r="I110"/>
  <c r="I111"/>
  <c r="I105"/>
  <c r="I96"/>
  <c r="I95"/>
  <c r="I94"/>
  <c r="I3" i="2"/>
  <c r="E6"/>
  <c r="J6" i="1" s="1"/>
  <c r="I5" i="2"/>
  <c r="R25" i="1" s="1"/>
  <c r="D40" i="9"/>
  <c r="B24" i="3"/>
  <c r="C24"/>
  <c r="D24"/>
  <c r="E24"/>
  <c r="F24"/>
  <c r="G24"/>
  <c r="H24"/>
  <c r="I24"/>
  <c r="K24"/>
  <c r="M24"/>
  <c r="O24"/>
  <c r="R24"/>
  <c r="S24"/>
  <c r="T24"/>
  <c r="U24"/>
  <c r="W24"/>
  <c r="X24"/>
  <c r="AA24"/>
  <c r="B25"/>
  <c r="C25"/>
  <c r="D25"/>
  <c r="E25"/>
  <c r="F25"/>
  <c r="G25"/>
  <c r="H25"/>
  <c r="I25"/>
  <c r="K25"/>
  <c r="M25"/>
  <c r="N25"/>
  <c r="O25"/>
  <c r="R25"/>
  <c r="S25"/>
  <c r="T25"/>
  <c r="U25"/>
  <c r="W25"/>
  <c r="X25"/>
  <c r="AA25"/>
  <c r="B26"/>
  <c r="C26"/>
  <c r="D26"/>
  <c r="E26"/>
  <c r="F26"/>
  <c r="G26"/>
  <c r="H26"/>
  <c r="I26"/>
  <c r="K26"/>
  <c r="M26"/>
  <c r="N26"/>
  <c r="O26"/>
  <c r="R26"/>
  <c r="S26"/>
  <c r="T26"/>
  <c r="U26"/>
  <c r="W26"/>
  <c r="X26"/>
  <c r="AA26"/>
  <c r="L24"/>
  <c r="L25"/>
  <c r="L26"/>
  <c r="J24"/>
  <c r="E16" i="10"/>
  <c r="E15"/>
  <c r="R23" i="1" l="1"/>
  <c r="R9"/>
  <c r="R11"/>
  <c r="R13"/>
  <c r="R15"/>
  <c r="R17"/>
  <c r="R19"/>
  <c r="Z19" s="1"/>
  <c r="AA19" s="1"/>
  <c r="R21"/>
  <c r="R7"/>
  <c r="R24"/>
  <c r="R26"/>
  <c r="R8"/>
  <c r="R10"/>
  <c r="R12"/>
  <c r="R14"/>
  <c r="R16"/>
  <c r="R18"/>
  <c r="R20"/>
  <c r="Z20" s="1"/>
  <c r="AA20" s="1"/>
  <c r="R22"/>
  <c r="Q7"/>
  <c r="K24"/>
  <c r="M24" s="1"/>
  <c r="O22"/>
  <c r="AD36" i="13"/>
  <c r="I36" s="1"/>
  <c r="Z37"/>
  <c r="AA37" s="1"/>
  <c r="G37"/>
  <c r="G35"/>
  <c r="AC35" s="1"/>
  <c r="G36"/>
  <c r="AB36" s="1"/>
  <c r="AC36" s="1"/>
  <c r="K7" i="1"/>
  <c r="M7" s="1"/>
  <c r="Q14"/>
  <c r="K14"/>
  <c r="M14" s="1"/>
  <c r="K15"/>
  <c r="M15" s="1"/>
  <c r="Q15"/>
  <c r="Q16"/>
  <c r="K16"/>
  <c r="M16" s="1"/>
  <c r="Q8"/>
  <c r="K8"/>
  <c r="M8" s="1"/>
  <c r="K13"/>
  <c r="M13" s="1"/>
  <c r="Q13"/>
  <c r="Q18"/>
  <c r="K18"/>
  <c r="M18" s="1"/>
  <c r="Q10"/>
  <c r="K10"/>
  <c r="M10" s="1"/>
  <c r="K11"/>
  <c r="M11" s="1"/>
  <c r="Q11"/>
  <c r="Q12"/>
  <c r="K12"/>
  <c r="M12" s="1"/>
  <c r="K17"/>
  <c r="M17" s="1"/>
  <c r="Q17"/>
  <c r="K9"/>
  <c r="M9" s="1"/>
  <c r="Q9"/>
  <c r="O16" i="10"/>
  <c r="I65" i="6" s="1"/>
  <c r="Q24" i="1"/>
  <c r="O7"/>
  <c r="O18"/>
  <c r="O16"/>
  <c r="O12"/>
  <c r="O8"/>
  <c r="O17"/>
  <c r="O13"/>
  <c r="O9"/>
  <c r="O14"/>
  <c r="O10"/>
  <c r="O15"/>
  <c r="O11"/>
  <c r="J7"/>
  <c r="J8"/>
  <c r="J11"/>
  <c r="J9"/>
  <c r="J10"/>
  <c r="J16"/>
  <c r="J13"/>
  <c r="J18"/>
  <c r="J14"/>
  <c r="J15"/>
  <c r="J12"/>
  <c r="J17"/>
  <c r="O21"/>
  <c r="P18"/>
  <c r="Q22"/>
  <c r="K22"/>
  <c r="M22" s="1"/>
  <c r="Q23"/>
  <c r="K23"/>
  <c r="M23" s="1"/>
  <c r="Q21"/>
  <c r="P17"/>
  <c r="P16"/>
  <c r="P10"/>
  <c r="P12"/>
  <c r="P14"/>
  <c r="P7"/>
  <c r="P9"/>
  <c r="P11"/>
  <c r="P13"/>
  <c r="P15"/>
  <c r="P8"/>
  <c r="K21"/>
  <c r="M21" s="1"/>
  <c r="J26" i="3"/>
  <c r="P26"/>
  <c r="V26"/>
  <c r="G39" i="2"/>
  <c r="P24" i="3"/>
  <c r="J25"/>
  <c r="P25"/>
  <c r="K3"/>
  <c r="X56" i="10"/>
  <c r="O42"/>
  <c r="O43"/>
  <c r="O41"/>
  <c r="O40"/>
  <c r="O39"/>
  <c r="O38"/>
  <c r="O37"/>
  <c r="O36"/>
  <c r="M29"/>
  <c r="M28"/>
  <c r="M27"/>
  <c r="M26"/>
  <c r="M25"/>
  <c r="M24"/>
  <c r="M23"/>
  <c r="M22"/>
  <c r="M21"/>
  <c r="G29"/>
  <c r="G28"/>
  <c r="G27"/>
  <c r="G24"/>
  <c r="G23"/>
  <c r="I92" i="6" s="1"/>
  <c r="G22" i="10"/>
  <c r="I91" i="6" s="1"/>
  <c r="Z24" i="1" l="1"/>
  <c r="AA24" s="1"/>
  <c r="Z11"/>
  <c r="Z10"/>
  <c r="Z9"/>
  <c r="Z17"/>
  <c r="Z12"/>
  <c r="Z18"/>
  <c r="Z22"/>
  <c r="AA22" s="1"/>
  <c r="Z23"/>
  <c r="AA23" s="1"/>
  <c r="Z21"/>
  <c r="Z15"/>
  <c r="Z14"/>
  <c r="Z13"/>
  <c r="Z8"/>
  <c r="Z16"/>
  <c r="Z7"/>
  <c r="AA11"/>
  <c r="AA10"/>
  <c r="AA17"/>
  <c r="AA12"/>
  <c r="AA18"/>
  <c r="AA21"/>
  <c r="AA15"/>
  <c r="AA14"/>
  <c r="AA13"/>
  <c r="AA16"/>
  <c r="I37" i="13"/>
  <c r="AD37"/>
  <c r="AE36"/>
  <c r="K36" s="1"/>
  <c r="AB37"/>
  <c r="AC37" s="1"/>
  <c r="AA9" i="1"/>
  <c r="AA8"/>
  <c r="V24" i="3"/>
  <c r="B59" i="2"/>
  <c r="B39"/>
  <c r="V25" i="3"/>
  <c r="B60" i="2"/>
  <c r="B40"/>
  <c r="N24" i="3"/>
  <c r="I13" i="10"/>
  <c r="F13"/>
  <c r="K11"/>
  <c r="K8"/>
  <c r="K7"/>
  <c r="AA7" i="1" l="1"/>
  <c r="AE37" i="13"/>
  <c r="K37" s="1"/>
  <c r="M37" s="1"/>
  <c r="D13" i="10"/>
  <c r="Z24" i="3"/>
  <c r="Z25"/>
  <c r="Y25"/>
  <c r="N3" i="10"/>
  <c r="J3"/>
  <c r="D3"/>
  <c r="AD41" i="6"/>
  <c r="K41" s="1"/>
  <c r="AC41"/>
  <c r="I41" s="1"/>
  <c r="AB41"/>
  <c r="F41" s="1"/>
  <c r="AD40"/>
  <c r="K40" s="1"/>
  <c r="AC40"/>
  <c r="I40" s="1"/>
  <c r="AB40"/>
  <c r="F40" s="1"/>
  <c r="AD39"/>
  <c r="K39" s="1"/>
  <c r="AC39"/>
  <c r="I39" s="1"/>
  <c r="AB39"/>
  <c r="F39" s="1"/>
  <c r="AD38"/>
  <c r="K38" s="1"/>
  <c r="AC38"/>
  <c r="I38" s="1"/>
  <c r="AB38"/>
  <c r="F38" s="1"/>
  <c r="AD37"/>
  <c r="K37" s="1"/>
  <c r="AC37"/>
  <c r="I37" s="1"/>
  <c r="AB37"/>
  <c r="F37" s="1"/>
  <c r="AD36"/>
  <c r="K36" s="1"/>
  <c r="AC36"/>
  <c r="I36" s="1"/>
  <c r="AB36"/>
  <c r="F36" s="1"/>
  <c r="AD35"/>
  <c r="K35" s="1"/>
  <c r="AC35"/>
  <c r="I35" s="1"/>
  <c r="AB35"/>
  <c r="F35" s="1"/>
  <c r="AD34"/>
  <c r="K34" s="1"/>
  <c r="AC34"/>
  <c r="I34" s="1"/>
  <c r="AB34"/>
  <c r="F34" s="1"/>
  <c r="AD33"/>
  <c r="K33" s="1"/>
  <c r="AC33"/>
  <c r="I33" s="1"/>
  <c r="AB33"/>
  <c r="F33" s="1"/>
  <c r="AD32"/>
  <c r="K32" s="1"/>
  <c r="AC32"/>
  <c r="I32" s="1"/>
  <c r="AB32"/>
  <c r="F32" s="1"/>
  <c r="AD31"/>
  <c r="K31" s="1"/>
  <c r="AC31"/>
  <c r="I31" s="1"/>
  <c r="AB31"/>
  <c r="F31" s="1"/>
  <c r="AD30"/>
  <c r="K30" s="1"/>
  <c r="AC30"/>
  <c r="I30" s="1"/>
  <c r="AB30"/>
  <c r="F30" s="1"/>
  <c r="AD29"/>
  <c r="K29" s="1"/>
  <c r="AC29"/>
  <c r="I29" s="1"/>
  <c r="AB29"/>
  <c r="F29" s="1"/>
  <c r="AD28"/>
  <c r="K28" s="1"/>
  <c r="AC28"/>
  <c r="I28" s="1"/>
  <c r="AB28"/>
  <c r="F28" s="1"/>
  <c r="AD27"/>
  <c r="K27" s="1"/>
  <c r="AC27"/>
  <c r="I27" s="1"/>
  <c r="AB27"/>
  <c r="F27" s="1"/>
  <c r="AB26"/>
  <c r="F26" s="1"/>
  <c r="AD26"/>
  <c r="K26" s="1"/>
  <c r="AC26"/>
  <c r="I26" s="1"/>
  <c r="Y24" i="3" l="1"/>
  <c r="O44" i="10"/>
  <c r="K13"/>
  <c r="O14" s="1"/>
  <c r="J17" i="9"/>
  <c r="E34" i="13"/>
  <c r="C34"/>
  <c r="Z34" s="1"/>
  <c r="J5"/>
  <c r="C4"/>
  <c r="D15"/>
  <c r="C5" i="14"/>
  <c r="C5" i="13" s="1"/>
  <c r="C3" i="14"/>
  <c r="C3" i="13" s="1"/>
  <c r="O59" i="10" l="1"/>
  <c r="G34" i="13"/>
  <c r="AE34" s="1"/>
  <c r="B13"/>
  <c r="AD34"/>
  <c r="I34" s="1"/>
  <c r="AD35"/>
  <c r="I35" s="1"/>
  <c r="AE35" l="1"/>
  <c r="K35" s="1"/>
  <c r="M35" s="1"/>
  <c r="M34" l="1"/>
  <c r="M38" s="1"/>
  <c r="M36"/>
  <c r="L27" l="1"/>
  <c r="B37" i="2"/>
  <c r="B58"/>
  <c r="B57"/>
  <c r="B25"/>
  <c r="AA26" i="6" s="1"/>
  <c r="C26" s="1"/>
  <c r="AX8" i="1"/>
  <c r="AW8"/>
  <c r="B26" i="2" l="1"/>
  <c r="AA27" i="6" s="1"/>
  <c r="C27" s="1"/>
  <c r="B45" i="2"/>
  <c r="C128" i="6"/>
  <c r="B46" i="2" l="1"/>
  <c r="F46"/>
  <c r="F47"/>
  <c r="F48"/>
  <c r="F49"/>
  <c r="F50"/>
  <c r="F51"/>
  <c r="F52"/>
  <c r="F53"/>
  <c r="F54"/>
  <c r="F55"/>
  <c r="F56"/>
  <c r="F57"/>
  <c r="F58"/>
  <c r="F59"/>
  <c r="F60"/>
  <c r="F45"/>
  <c r="B47" l="1"/>
  <c r="B27"/>
  <c r="AA28" i="6" s="1"/>
  <c r="C28" s="1"/>
  <c r="C29" i="3"/>
  <c r="S29"/>
  <c r="B39" i="9"/>
  <c r="B28" i="2" l="1"/>
  <c r="AA29" i="6" s="1"/>
  <c r="C29" s="1"/>
  <c r="B48" i="2"/>
  <c r="F37"/>
  <c r="M38" i="6" s="1"/>
  <c r="F38" i="2"/>
  <c r="M39" i="6" s="1"/>
  <c r="F39" i="2"/>
  <c r="M40" i="6" s="1"/>
  <c r="F40" i="2"/>
  <c r="M41" i="6" s="1"/>
  <c r="F26" i="2"/>
  <c r="M27" i="6" s="1"/>
  <c r="F27" i="2"/>
  <c r="M28" i="6" s="1"/>
  <c r="F28" i="2"/>
  <c r="M29" i="6" s="1"/>
  <c r="F29" i="2"/>
  <c r="M30" i="6" s="1"/>
  <c r="F30" i="2"/>
  <c r="M31" i="6" s="1"/>
  <c r="F31" i="2"/>
  <c r="M32" i="6" s="1"/>
  <c r="F32" i="2"/>
  <c r="M33" i="6" s="1"/>
  <c r="F33" i="2"/>
  <c r="M34" i="6" s="1"/>
  <c r="F34" i="2"/>
  <c r="M35" i="6" s="1"/>
  <c r="F35" i="2"/>
  <c r="M36" i="6" s="1"/>
  <c r="F36" i="2"/>
  <c r="M37" i="6" s="1"/>
  <c r="F25" i="2"/>
  <c r="M26" i="6" s="1"/>
  <c r="B49" i="2" l="1"/>
  <c r="B29"/>
  <c r="AA30" i="6" s="1"/>
  <c r="C30" s="1"/>
  <c r="F24"/>
  <c r="A23"/>
  <c r="K129"/>
  <c r="K51"/>
  <c r="D129"/>
  <c r="D51"/>
  <c r="F125"/>
  <c r="E45"/>
  <c r="K124"/>
  <c r="B124"/>
  <c r="B44"/>
  <c r="K106"/>
  <c r="K107"/>
  <c r="K108"/>
  <c r="K111"/>
  <c r="H9"/>
  <c r="H8"/>
  <c r="A7"/>
  <c r="H7"/>
  <c r="L11"/>
  <c r="H11"/>
  <c r="I89" s="1"/>
  <c r="E11"/>
  <c r="C50"/>
  <c r="K44"/>
  <c r="C24"/>
  <c r="I97" l="1"/>
  <c r="K80"/>
  <c r="H80"/>
  <c r="H73"/>
  <c r="H79"/>
  <c r="H74"/>
  <c r="H72"/>
  <c r="N119"/>
  <c r="I100"/>
  <c r="I98"/>
  <c r="K98" s="1"/>
  <c r="B50" i="2"/>
  <c r="B30"/>
  <c r="AA31" i="6" s="1"/>
  <c r="C31" s="1"/>
  <c r="K110"/>
  <c r="N110"/>
  <c r="K109"/>
  <c r="N109"/>
  <c r="K91"/>
  <c r="N80"/>
  <c r="M25"/>
  <c r="K25"/>
  <c r="I25"/>
  <c r="F25"/>
  <c r="Z1" i="3"/>
  <c r="D2"/>
  <c r="B6"/>
  <c r="C3"/>
  <c r="U2"/>
  <c r="N98" i="6" l="1"/>
  <c r="B51" i="2"/>
  <c r="B31"/>
  <c r="AA32" i="6" s="1"/>
  <c r="C32" s="1"/>
  <c r="N105"/>
  <c r="K105"/>
  <c r="N96"/>
  <c r="K96"/>
  <c r="N92"/>
  <c r="K92"/>
  <c r="K97"/>
  <c r="N97"/>
  <c r="N100"/>
  <c r="K100"/>
  <c r="N94"/>
  <c r="K94"/>
  <c r="K95"/>
  <c r="N95"/>
  <c r="B52" i="2" l="1"/>
  <c r="B32"/>
  <c r="AA33" i="6" s="1"/>
  <c r="C33" s="1"/>
  <c r="B53" i="2" l="1"/>
  <c r="B33"/>
  <c r="AA34" i="6" s="1"/>
  <c r="C34" s="1"/>
  <c r="B54" i="2" l="1"/>
  <c r="B34"/>
  <c r="AA35" i="6" s="1"/>
  <c r="C35" s="1"/>
  <c r="B55" i="2" l="1"/>
  <c r="B35"/>
  <c r="AA36" i="6" s="1"/>
  <c r="C36" s="1"/>
  <c r="B36" i="2" l="1"/>
  <c r="AA37" i="6" s="1"/>
  <c r="C37" s="1"/>
  <c r="B56" i="2"/>
  <c r="L18" i="3"/>
  <c r="Y18"/>
  <c r="Y21"/>
  <c r="AE14"/>
  <c r="Z3"/>
  <c r="AB4"/>
  <c r="AA4"/>
  <c r="Z4"/>
  <c r="AA7"/>
  <c r="AA8"/>
  <c r="AA9"/>
  <c r="AA10"/>
  <c r="AA11"/>
  <c r="AA12"/>
  <c r="AA13"/>
  <c r="AA14"/>
  <c r="AA15"/>
  <c r="AA16"/>
  <c r="AA17"/>
  <c r="AA18"/>
  <c r="AA19"/>
  <c r="AA20"/>
  <c r="AA21"/>
  <c r="AA22"/>
  <c r="AA23"/>
  <c r="F7"/>
  <c r="G7"/>
  <c r="H7"/>
  <c r="K7"/>
  <c r="M7"/>
  <c r="N7"/>
  <c r="O7"/>
  <c r="R7"/>
  <c r="S7"/>
  <c r="T7"/>
  <c r="U7"/>
  <c r="W7"/>
  <c r="X7"/>
  <c r="F8"/>
  <c r="G8"/>
  <c r="H8"/>
  <c r="K8"/>
  <c r="M8"/>
  <c r="N8"/>
  <c r="R8"/>
  <c r="S8"/>
  <c r="T8"/>
  <c r="U8"/>
  <c r="W8"/>
  <c r="X8"/>
  <c r="F9"/>
  <c r="G9"/>
  <c r="H9"/>
  <c r="K9"/>
  <c r="M9"/>
  <c r="N9"/>
  <c r="R9"/>
  <c r="S9"/>
  <c r="T9"/>
  <c r="U9"/>
  <c r="V9"/>
  <c r="W9"/>
  <c r="X9"/>
  <c r="F10"/>
  <c r="G10"/>
  <c r="H10"/>
  <c r="K10"/>
  <c r="M10"/>
  <c r="N10"/>
  <c r="R10"/>
  <c r="S10"/>
  <c r="T10"/>
  <c r="U10"/>
  <c r="V10"/>
  <c r="W10"/>
  <c r="X10"/>
  <c r="F11"/>
  <c r="G11"/>
  <c r="H11"/>
  <c r="K11"/>
  <c r="M11"/>
  <c r="N11"/>
  <c r="R11"/>
  <c r="S11"/>
  <c r="T11"/>
  <c r="U11"/>
  <c r="V11"/>
  <c r="W11"/>
  <c r="X11"/>
  <c r="F12"/>
  <c r="G12"/>
  <c r="H12"/>
  <c r="K12"/>
  <c r="M12"/>
  <c r="N12"/>
  <c r="R12"/>
  <c r="S12"/>
  <c r="T12"/>
  <c r="U12"/>
  <c r="V12"/>
  <c r="W12"/>
  <c r="X12"/>
  <c r="F13"/>
  <c r="G13"/>
  <c r="H13"/>
  <c r="K13"/>
  <c r="M13"/>
  <c r="N13"/>
  <c r="R13"/>
  <c r="S13"/>
  <c r="T13"/>
  <c r="U13"/>
  <c r="V13"/>
  <c r="W13"/>
  <c r="X13"/>
  <c r="F14"/>
  <c r="G14"/>
  <c r="H14"/>
  <c r="K14"/>
  <c r="M14"/>
  <c r="N14"/>
  <c r="R14"/>
  <c r="S14"/>
  <c r="T14"/>
  <c r="U14"/>
  <c r="V14"/>
  <c r="W14"/>
  <c r="X14"/>
  <c r="F15"/>
  <c r="G15"/>
  <c r="H15"/>
  <c r="K15"/>
  <c r="M15"/>
  <c r="N15"/>
  <c r="R15"/>
  <c r="S15"/>
  <c r="T15"/>
  <c r="U15"/>
  <c r="V15"/>
  <c r="W15"/>
  <c r="X15"/>
  <c r="F16"/>
  <c r="G16"/>
  <c r="H16"/>
  <c r="K16"/>
  <c r="M16"/>
  <c r="N16"/>
  <c r="R16"/>
  <c r="S16"/>
  <c r="T16"/>
  <c r="U16"/>
  <c r="V16"/>
  <c r="J62" i="10" s="1"/>
  <c r="W16" i="3"/>
  <c r="X16"/>
  <c r="F17"/>
  <c r="G17"/>
  <c r="H17"/>
  <c r="K17"/>
  <c r="M17"/>
  <c r="N17"/>
  <c r="R17"/>
  <c r="S17"/>
  <c r="T17"/>
  <c r="U17"/>
  <c r="V17"/>
  <c r="K62" i="10" s="1"/>
  <c r="W17" i="3"/>
  <c r="X17"/>
  <c r="C18"/>
  <c r="D18"/>
  <c r="E18"/>
  <c r="F18"/>
  <c r="G18"/>
  <c r="H18"/>
  <c r="I18"/>
  <c r="J18"/>
  <c r="K18"/>
  <c r="M18"/>
  <c r="N18"/>
  <c r="O18"/>
  <c r="P18"/>
  <c r="R18"/>
  <c r="S18"/>
  <c r="T18"/>
  <c r="U18"/>
  <c r="V18"/>
  <c r="W18"/>
  <c r="X18"/>
  <c r="C19"/>
  <c r="E19"/>
  <c r="F19"/>
  <c r="G19"/>
  <c r="H19"/>
  <c r="I19"/>
  <c r="K19"/>
  <c r="M19"/>
  <c r="O19"/>
  <c r="R19"/>
  <c r="S19"/>
  <c r="T19"/>
  <c r="U19"/>
  <c r="V19"/>
  <c r="W19"/>
  <c r="X19"/>
  <c r="C20"/>
  <c r="E20"/>
  <c r="F20"/>
  <c r="G20"/>
  <c r="H20"/>
  <c r="I20"/>
  <c r="K20"/>
  <c r="M20"/>
  <c r="O20"/>
  <c r="R20"/>
  <c r="S20"/>
  <c r="T20"/>
  <c r="U20"/>
  <c r="V20"/>
  <c r="W20"/>
  <c r="X20"/>
  <c r="E21"/>
  <c r="F21"/>
  <c r="G21"/>
  <c r="H21"/>
  <c r="I21"/>
  <c r="J21"/>
  <c r="K21"/>
  <c r="M21"/>
  <c r="N21"/>
  <c r="O21"/>
  <c r="P21"/>
  <c r="R21"/>
  <c r="S21"/>
  <c r="T21"/>
  <c r="U21"/>
  <c r="V21"/>
  <c r="W21"/>
  <c r="X21"/>
  <c r="C22"/>
  <c r="D22"/>
  <c r="E22"/>
  <c r="F22"/>
  <c r="G22"/>
  <c r="H22"/>
  <c r="I22"/>
  <c r="J22"/>
  <c r="K22"/>
  <c r="L22"/>
  <c r="M22"/>
  <c r="N22"/>
  <c r="O22"/>
  <c r="P22"/>
  <c r="R22"/>
  <c r="S22"/>
  <c r="T22"/>
  <c r="U22"/>
  <c r="W22"/>
  <c r="X22"/>
  <c r="C23"/>
  <c r="D23"/>
  <c r="E23"/>
  <c r="F23"/>
  <c r="G23"/>
  <c r="H23"/>
  <c r="I23"/>
  <c r="J23"/>
  <c r="K23"/>
  <c r="L23"/>
  <c r="M23"/>
  <c r="N23"/>
  <c r="O23"/>
  <c r="P23"/>
  <c r="R23"/>
  <c r="S23"/>
  <c r="T23"/>
  <c r="U23"/>
  <c r="W23"/>
  <c r="X23"/>
  <c r="F6"/>
  <c r="G6"/>
  <c r="G27" s="1"/>
  <c r="H6"/>
  <c r="K6"/>
  <c r="M6"/>
  <c r="N6"/>
  <c r="O6"/>
  <c r="R6"/>
  <c r="S6"/>
  <c r="T6"/>
  <c r="U6"/>
  <c r="W6"/>
  <c r="X6"/>
  <c r="Y5"/>
  <c r="M5"/>
  <c r="N5"/>
  <c r="O5"/>
  <c r="P5"/>
  <c r="R5"/>
  <c r="S5"/>
  <c r="T5"/>
  <c r="U5"/>
  <c r="V5"/>
  <c r="W5"/>
  <c r="X5"/>
  <c r="D5"/>
  <c r="E5"/>
  <c r="F5"/>
  <c r="G5"/>
  <c r="H5"/>
  <c r="I5"/>
  <c r="J5"/>
  <c r="K5"/>
  <c r="L5"/>
  <c r="C5"/>
  <c r="B5"/>
  <c r="A5"/>
  <c r="B19"/>
  <c r="H27" l="1"/>
  <c r="F27"/>
  <c r="H62" i="10"/>
  <c r="Z26" i="3"/>
  <c r="Y26"/>
  <c r="X27"/>
  <c r="B61" i="2"/>
  <c r="I20" i="6"/>
  <c r="I19"/>
  <c r="Z18" i="3"/>
  <c r="L2" i="10"/>
  <c r="G2"/>
  <c r="J15" i="6" l="1"/>
  <c r="I93"/>
  <c r="AA6" i="3"/>
  <c r="R3"/>
  <c r="G3"/>
  <c r="B7"/>
  <c r="B8"/>
  <c r="B9"/>
  <c r="B10"/>
  <c r="B11"/>
  <c r="B12"/>
  <c r="B13"/>
  <c r="B14"/>
  <c r="B15"/>
  <c r="B16"/>
  <c r="B17"/>
  <c r="B18"/>
  <c r="B20"/>
  <c r="B21"/>
  <c r="B22"/>
  <c r="B23"/>
  <c r="N93" i="6" l="1"/>
  <c r="K93"/>
  <c r="M27" i="3"/>
  <c r="G20" i="10" s="1"/>
  <c r="I85" i="6" s="1"/>
  <c r="R27" i="3"/>
  <c r="O8"/>
  <c r="W27"/>
  <c r="G26" i="10" s="1"/>
  <c r="U27" i="3"/>
  <c r="S27"/>
  <c r="T27"/>
  <c r="K27"/>
  <c r="G21" i="10" l="1"/>
  <c r="I86" i="6" s="1"/>
  <c r="I88"/>
  <c r="O9" i="3"/>
  <c r="O10" l="1"/>
  <c r="N106" i="6"/>
  <c r="N108"/>
  <c r="O11" i="3" l="1"/>
  <c r="O12" l="1"/>
  <c r="O13" l="1"/>
  <c r="A251" i="4" l="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Z251"/>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A247"/>
  <c r="B247"/>
  <c r="C247"/>
  <c r="D247"/>
  <c r="E247"/>
  <c r="F247"/>
  <c r="G247"/>
  <c r="H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A244"/>
  <c r="B244"/>
  <c r="C244"/>
  <c r="D244"/>
  <c r="E244"/>
  <c r="F244"/>
  <c r="G244"/>
  <c r="H244"/>
  <c r="I244"/>
  <c r="J244"/>
  <c r="K244"/>
  <c r="L244"/>
  <c r="M244"/>
  <c r="N244"/>
  <c r="O244"/>
  <c r="P244"/>
  <c r="Q244"/>
  <c r="R244"/>
  <c r="S244"/>
  <c r="T244"/>
  <c r="U244"/>
  <c r="V244"/>
  <c r="W244"/>
  <c r="X244"/>
  <c r="Y244"/>
  <c r="Z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A242"/>
  <c r="B242"/>
  <c r="C242"/>
  <c r="D242"/>
  <c r="E242"/>
  <c r="F242"/>
  <c r="G242"/>
  <c r="H242"/>
  <c r="I242"/>
  <c r="J242"/>
  <c r="K242"/>
  <c r="L242"/>
  <c r="M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Z239"/>
  <c r="HA239"/>
  <c r="HB239"/>
  <c r="HC239"/>
  <c r="HD239"/>
  <c r="HE239"/>
  <c r="HG239"/>
  <c r="HH239"/>
  <c r="HI239"/>
  <c r="HJ239"/>
  <c r="HK239"/>
  <c r="HL239"/>
  <c r="HM239"/>
  <c r="HN239"/>
  <c r="HO239"/>
  <c r="HP239"/>
  <c r="HQ239"/>
  <c r="HS239"/>
  <c r="HT239"/>
  <c r="HU239"/>
  <c r="HV239"/>
  <c r="HW239"/>
  <c r="HX239"/>
  <c r="HY239"/>
  <c r="HZ239"/>
  <c r="IA239"/>
  <c r="IB239"/>
  <c r="IC239"/>
  <c r="ID239"/>
  <c r="IE239"/>
  <c r="IF239"/>
  <c r="IG239"/>
  <c r="IH239"/>
  <c r="II239"/>
  <c r="IJ239"/>
  <c r="IK239"/>
  <c r="IL239"/>
  <c r="IM239"/>
  <c r="IN239"/>
  <c r="IQ239"/>
  <c r="IR239"/>
  <c r="IS239"/>
  <c r="IT239"/>
  <c r="IU239"/>
  <c r="A238"/>
  <c r="B238"/>
  <c r="C238"/>
  <c r="D238"/>
  <c r="E238"/>
  <c r="F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A237"/>
  <c r="B237"/>
  <c r="C237"/>
  <c r="D237"/>
  <c r="E237"/>
  <c r="F237"/>
  <c r="G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A231"/>
  <c r="B231"/>
  <c r="C231"/>
  <c r="D231"/>
  <c r="E231"/>
  <c r="F231"/>
  <c r="G231"/>
  <c r="H231"/>
  <c r="I231"/>
  <c r="J231"/>
  <c r="K231"/>
  <c r="L231"/>
  <c r="M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A230"/>
  <c r="B230"/>
  <c r="C230"/>
  <c r="D230"/>
  <c r="E230"/>
  <c r="F230"/>
  <c r="G230"/>
  <c r="H230"/>
  <c r="I230"/>
  <c r="J230"/>
  <c r="K230"/>
  <c r="L230"/>
  <c r="M230"/>
  <c r="N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A229"/>
  <c r="B229"/>
  <c r="C229"/>
  <c r="D229"/>
  <c r="E229"/>
  <c r="F229"/>
  <c r="G229"/>
  <c r="H229"/>
  <c r="I229"/>
  <c r="J229"/>
  <c r="K229"/>
  <c r="L229"/>
  <c r="M229"/>
  <c r="N229"/>
  <c r="O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A228"/>
  <c r="B228"/>
  <c r="C228"/>
  <c r="D228"/>
  <c r="E228"/>
  <c r="F228"/>
  <c r="G228"/>
  <c r="H228"/>
  <c r="I228"/>
  <c r="J228"/>
  <c r="K228"/>
  <c r="L228"/>
  <c r="M228"/>
  <c r="N228"/>
  <c r="O228"/>
  <c r="P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A226"/>
  <c r="B226"/>
  <c r="C226"/>
  <c r="D226"/>
  <c r="E226"/>
  <c r="F226"/>
  <c r="G226"/>
  <c r="H226"/>
  <c r="I226"/>
  <c r="J226"/>
  <c r="K226"/>
  <c r="L226"/>
  <c r="M226"/>
  <c r="N226"/>
  <c r="O226"/>
  <c r="P226"/>
  <c r="Q226"/>
  <c r="R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A225"/>
  <c r="B225"/>
  <c r="C225"/>
  <c r="D225"/>
  <c r="E225"/>
  <c r="F225"/>
  <c r="G225"/>
  <c r="H225"/>
  <c r="I225"/>
  <c r="J225"/>
  <c r="K225"/>
  <c r="L225"/>
  <c r="M225"/>
  <c r="N225"/>
  <c r="O225"/>
  <c r="P225"/>
  <c r="Q225"/>
  <c r="R225"/>
  <c r="S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A219"/>
  <c r="B219"/>
  <c r="C219"/>
  <c r="D219"/>
  <c r="E219"/>
  <c r="F219"/>
  <c r="G219"/>
  <c r="H219"/>
  <c r="I219"/>
  <c r="J219"/>
  <c r="K219"/>
  <c r="L219"/>
  <c r="M219"/>
  <c r="N219"/>
  <c r="O219"/>
  <c r="P219"/>
  <c r="Q219"/>
  <c r="R219"/>
  <c r="S219"/>
  <c r="T219"/>
  <c r="U219"/>
  <c r="V219"/>
  <c r="W219"/>
  <c r="X219"/>
  <c r="Y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A218"/>
  <c r="B218"/>
  <c r="C218"/>
  <c r="D218"/>
  <c r="E218"/>
  <c r="F218"/>
  <c r="G218"/>
  <c r="H218"/>
  <c r="I218"/>
  <c r="J218"/>
  <c r="K218"/>
  <c r="L218"/>
  <c r="M218"/>
  <c r="N218"/>
  <c r="O218"/>
  <c r="P218"/>
  <c r="Q218"/>
  <c r="R218"/>
  <c r="S218"/>
  <c r="T218"/>
  <c r="U218"/>
  <c r="V218"/>
  <c r="W218"/>
  <c r="X218"/>
  <c r="Y218"/>
  <c r="Z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A217"/>
  <c r="B217"/>
  <c r="C217"/>
  <c r="D217"/>
  <c r="E217"/>
  <c r="F217"/>
  <c r="G217"/>
  <c r="H217"/>
  <c r="I217"/>
  <c r="J217"/>
  <c r="K217"/>
  <c r="L217"/>
  <c r="M217"/>
  <c r="N217"/>
  <c r="O217"/>
  <c r="P217"/>
  <c r="Q217"/>
  <c r="R217"/>
  <c r="S217"/>
  <c r="T217"/>
  <c r="U217"/>
  <c r="V217"/>
  <c r="W217"/>
  <c r="X217"/>
  <c r="Y217"/>
  <c r="Z217"/>
  <c r="AA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A216"/>
  <c r="B216"/>
  <c r="C216"/>
  <c r="D216"/>
  <c r="E216"/>
  <c r="F216"/>
  <c r="G216"/>
  <c r="H216"/>
  <c r="I216"/>
  <c r="J216"/>
  <c r="K216"/>
  <c r="L216"/>
  <c r="M216"/>
  <c r="N216"/>
  <c r="O216"/>
  <c r="P216"/>
  <c r="Q216"/>
  <c r="R216"/>
  <c r="S216"/>
  <c r="T216"/>
  <c r="U216"/>
  <c r="V216"/>
  <c r="W216"/>
  <c r="X216"/>
  <c r="Y216"/>
  <c r="Z216"/>
  <c r="AA216"/>
  <c r="AB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A215"/>
  <c r="B215"/>
  <c r="C215"/>
  <c r="D215"/>
  <c r="E215"/>
  <c r="F215"/>
  <c r="G215"/>
  <c r="H215"/>
  <c r="I215"/>
  <c r="J215"/>
  <c r="K215"/>
  <c r="L215"/>
  <c r="M215"/>
  <c r="N215"/>
  <c r="O215"/>
  <c r="P215"/>
  <c r="Q215"/>
  <c r="R215"/>
  <c r="S215"/>
  <c r="T215"/>
  <c r="U215"/>
  <c r="V215"/>
  <c r="W215"/>
  <c r="X215"/>
  <c r="Y215"/>
  <c r="Z215"/>
  <c r="AA215"/>
  <c r="AB215"/>
  <c r="AC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A214"/>
  <c r="B214"/>
  <c r="C214"/>
  <c r="D214"/>
  <c r="E214"/>
  <c r="F214"/>
  <c r="G214"/>
  <c r="H214"/>
  <c r="I214"/>
  <c r="J214"/>
  <c r="K214"/>
  <c r="L214"/>
  <c r="M214"/>
  <c r="N214"/>
  <c r="O214"/>
  <c r="P214"/>
  <c r="Q214"/>
  <c r="R214"/>
  <c r="S214"/>
  <c r="T214"/>
  <c r="U214"/>
  <c r="V214"/>
  <c r="W214"/>
  <c r="X214"/>
  <c r="Y214"/>
  <c r="Z214"/>
  <c r="AA214"/>
  <c r="AB214"/>
  <c r="AC214"/>
  <c r="AD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A213"/>
  <c r="B213"/>
  <c r="C213"/>
  <c r="D213"/>
  <c r="E213"/>
  <c r="F213"/>
  <c r="G213"/>
  <c r="H213"/>
  <c r="I213"/>
  <c r="J213"/>
  <c r="K213"/>
  <c r="L213"/>
  <c r="M213"/>
  <c r="N213"/>
  <c r="O213"/>
  <c r="P213"/>
  <c r="Q213"/>
  <c r="R213"/>
  <c r="S213"/>
  <c r="T213"/>
  <c r="U213"/>
  <c r="V213"/>
  <c r="W213"/>
  <c r="X213"/>
  <c r="Y213"/>
  <c r="Z213"/>
  <c r="AA213"/>
  <c r="AB213"/>
  <c r="AC213"/>
  <c r="AD213"/>
  <c r="AE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A212"/>
  <c r="B212"/>
  <c r="C212"/>
  <c r="D212"/>
  <c r="E212"/>
  <c r="F212"/>
  <c r="G212"/>
  <c r="H212"/>
  <c r="I212"/>
  <c r="J212"/>
  <c r="K212"/>
  <c r="L212"/>
  <c r="M212"/>
  <c r="N212"/>
  <c r="O212"/>
  <c r="P212"/>
  <c r="Q212"/>
  <c r="R212"/>
  <c r="S212"/>
  <c r="T212"/>
  <c r="U212"/>
  <c r="V212"/>
  <c r="W212"/>
  <c r="X212"/>
  <c r="Y212"/>
  <c r="Z212"/>
  <c r="AA212"/>
  <c r="AB212"/>
  <c r="AC212"/>
  <c r="AD212"/>
  <c r="AE212"/>
  <c r="AF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A211"/>
  <c r="B211"/>
  <c r="C211"/>
  <c r="D211"/>
  <c r="E211"/>
  <c r="F211"/>
  <c r="G211"/>
  <c r="H211"/>
  <c r="I211"/>
  <c r="J211"/>
  <c r="K211"/>
  <c r="L211"/>
  <c r="M211"/>
  <c r="N211"/>
  <c r="O211"/>
  <c r="P211"/>
  <c r="Q211"/>
  <c r="R211"/>
  <c r="S211"/>
  <c r="T211"/>
  <c r="U211"/>
  <c r="V211"/>
  <c r="W211"/>
  <c r="X211"/>
  <c r="Y211"/>
  <c r="Z211"/>
  <c r="AA211"/>
  <c r="AB211"/>
  <c r="AC211"/>
  <c r="AD211"/>
  <c r="AE211"/>
  <c r="AF211"/>
  <c r="AG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A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A187"/>
  <c r="B187"/>
  <c r="C187"/>
  <c r="D187"/>
  <c r="E187"/>
  <c r="F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A186"/>
  <c r="B186"/>
  <c r="C186"/>
  <c r="D186"/>
  <c r="E186"/>
  <c r="F186"/>
  <c r="G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A180"/>
  <c r="B180"/>
  <c r="C180"/>
  <c r="D180"/>
  <c r="E180"/>
  <c r="F180"/>
  <c r="G180"/>
  <c r="H180"/>
  <c r="I180"/>
  <c r="J180"/>
  <c r="K180"/>
  <c r="L180"/>
  <c r="M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A179"/>
  <c r="B179"/>
  <c r="C179"/>
  <c r="D179"/>
  <c r="E179"/>
  <c r="F179"/>
  <c r="G179"/>
  <c r="H179"/>
  <c r="I179"/>
  <c r="J179"/>
  <c r="K179"/>
  <c r="L179"/>
  <c r="M179"/>
  <c r="N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A178"/>
  <c r="B178"/>
  <c r="C178"/>
  <c r="D178"/>
  <c r="E178"/>
  <c r="F178"/>
  <c r="G178"/>
  <c r="H178"/>
  <c r="I178"/>
  <c r="J178"/>
  <c r="K178"/>
  <c r="L178"/>
  <c r="M178"/>
  <c r="N178"/>
  <c r="O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A177"/>
  <c r="B177"/>
  <c r="C177"/>
  <c r="D177"/>
  <c r="E177"/>
  <c r="F177"/>
  <c r="G177"/>
  <c r="H177"/>
  <c r="I177"/>
  <c r="J177"/>
  <c r="K177"/>
  <c r="L177"/>
  <c r="M177"/>
  <c r="N177"/>
  <c r="O177"/>
  <c r="P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A175"/>
  <c r="B175"/>
  <c r="C175"/>
  <c r="D175"/>
  <c r="E175"/>
  <c r="F175"/>
  <c r="G175"/>
  <c r="H175"/>
  <c r="I175"/>
  <c r="J175"/>
  <c r="K175"/>
  <c r="L175"/>
  <c r="M175"/>
  <c r="N175"/>
  <c r="O175"/>
  <c r="P175"/>
  <c r="Q175"/>
  <c r="R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A174"/>
  <c r="B174"/>
  <c r="C174"/>
  <c r="D174"/>
  <c r="E174"/>
  <c r="F174"/>
  <c r="G174"/>
  <c r="H174"/>
  <c r="I174"/>
  <c r="J174"/>
  <c r="K174"/>
  <c r="L174"/>
  <c r="M174"/>
  <c r="N174"/>
  <c r="O174"/>
  <c r="P174"/>
  <c r="Q174"/>
  <c r="R174"/>
  <c r="S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A168"/>
  <c r="B168"/>
  <c r="C168"/>
  <c r="D168"/>
  <c r="E168"/>
  <c r="F168"/>
  <c r="G168"/>
  <c r="H168"/>
  <c r="I168"/>
  <c r="J168"/>
  <c r="K168"/>
  <c r="L168"/>
  <c r="M168"/>
  <c r="N168"/>
  <c r="O168"/>
  <c r="P168"/>
  <c r="Q168"/>
  <c r="R168"/>
  <c r="S168"/>
  <c r="T168"/>
  <c r="U168"/>
  <c r="V168"/>
  <c r="W168"/>
  <c r="X168"/>
  <c r="Y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A167"/>
  <c r="B167"/>
  <c r="C167"/>
  <c r="D167"/>
  <c r="E167"/>
  <c r="F167"/>
  <c r="G167"/>
  <c r="H167"/>
  <c r="I167"/>
  <c r="J167"/>
  <c r="K167"/>
  <c r="L167"/>
  <c r="M167"/>
  <c r="N167"/>
  <c r="O167"/>
  <c r="P167"/>
  <c r="Q167"/>
  <c r="R167"/>
  <c r="S167"/>
  <c r="T167"/>
  <c r="U167"/>
  <c r="V167"/>
  <c r="W167"/>
  <c r="X167"/>
  <c r="Y167"/>
  <c r="Z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A166"/>
  <c r="B166"/>
  <c r="C166"/>
  <c r="D166"/>
  <c r="E166"/>
  <c r="F166"/>
  <c r="G166"/>
  <c r="H166"/>
  <c r="I166"/>
  <c r="J166"/>
  <c r="K166"/>
  <c r="L166"/>
  <c r="M166"/>
  <c r="N166"/>
  <c r="O166"/>
  <c r="P166"/>
  <c r="Q166"/>
  <c r="R166"/>
  <c r="S166"/>
  <c r="T166"/>
  <c r="U166"/>
  <c r="V166"/>
  <c r="W166"/>
  <c r="X166"/>
  <c r="Y166"/>
  <c r="Z166"/>
  <c r="AA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A165"/>
  <c r="B165"/>
  <c r="C165"/>
  <c r="D165"/>
  <c r="E165"/>
  <c r="F165"/>
  <c r="G165"/>
  <c r="H165"/>
  <c r="I165"/>
  <c r="J165"/>
  <c r="K165"/>
  <c r="L165"/>
  <c r="M165"/>
  <c r="N165"/>
  <c r="O165"/>
  <c r="P165"/>
  <c r="Q165"/>
  <c r="R165"/>
  <c r="S165"/>
  <c r="T165"/>
  <c r="U165"/>
  <c r="V165"/>
  <c r="W165"/>
  <c r="X165"/>
  <c r="Y165"/>
  <c r="Z165"/>
  <c r="AA165"/>
  <c r="AB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A164"/>
  <c r="B164"/>
  <c r="C164"/>
  <c r="D164"/>
  <c r="E164"/>
  <c r="F164"/>
  <c r="G164"/>
  <c r="H164"/>
  <c r="I164"/>
  <c r="J164"/>
  <c r="K164"/>
  <c r="L164"/>
  <c r="M164"/>
  <c r="N164"/>
  <c r="O164"/>
  <c r="P164"/>
  <c r="Q164"/>
  <c r="R164"/>
  <c r="S164"/>
  <c r="T164"/>
  <c r="U164"/>
  <c r="V164"/>
  <c r="W164"/>
  <c r="X164"/>
  <c r="Y164"/>
  <c r="Z164"/>
  <c r="AA164"/>
  <c r="AB164"/>
  <c r="AC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A163"/>
  <c r="B163"/>
  <c r="C163"/>
  <c r="D163"/>
  <c r="E163"/>
  <c r="F163"/>
  <c r="G163"/>
  <c r="H163"/>
  <c r="I163"/>
  <c r="J163"/>
  <c r="K163"/>
  <c r="L163"/>
  <c r="M163"/>
  <c r="N163"/>
  <c r="O163"/>
  <c r="P163"/>
  <c r="Q163"/>
  <c r="R163"/>
  <c r="S163"/>
  <c r="T163"/>
  <c r="U163"/>
  <c r="V163"/>
  <c r="W163"/>
  <c r="X163"/>
  <c r="Y163"/>
  <c r="Z163"/>
  <c r="AA163"/>
  <c r="AB163"/>
  <c r="AC163"/>
  <c r="AD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A162"/>
  <c r="B162"/>
  <c r="C162"/>
  <c r="D162"/>
  <c r="E162"/>
  <c r="F162"/>
  <c r="G162"/>
  <c r="H162"/>
  <c r="I162"/>
  <c r="J162"/>
  <c r="K162"/>
  <c r="L162"/>
  <c r="M162"/>
  <c r="N162"/>
  <c r="O162"/>
  <c r="P162"/>
  <c r="Q162"/>
  <c r="R162"/>
  <c r="S162"/>
  <c r="T162"/>
  <c r="U162"/>
  <c r="V162"/>
  <c r="W162"/>
  <c r="X162"/>
  <c r="Y162"/>
  <c r="Z162"/>
  <c r="AA162"/>
  <c r="AB162"/>
  <c r="AC162"/>
  <c r="AD162"/>
  <c r="AE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A161"/>
  <c r="B161"/>
  <c r="C161"/>
  <c r="D161"/>
  <c r="E161"/>
  <c r="F161"/>
  <c r="G161"/>
  <c r="H161"/>
  <c r="I161"/>
  <c r="J161"/>
  <c r="K161"/>
  <c r="L161"/>
  <c r="M161"/>
  <c r="N161"/>
  <c r="O161"/>
  <c r="P161"/>
  <c r="Q161"/>
  <c r="R161"/>
  <c r="S161"/>
  <c r="T161"/>
  <c r="U161"/>
  <c r="V161"/>
  <c r="W161"/>
  <c r="X161"/>
  <c r="Y161"/>
  <c r="Z161"/>
  <c r="AA161"/>
  <c r="AB161"/>
  <c r="AC161"/>
  <c r="AD161"/>
  <c r="AE161"/>
  <c r="AF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A160"/>
  <c r="B160"/>
  <c r="C160"/>
  <c r="D160"/>
  <c r="E160"/>
  <c r="F160"/>
  <c r="G160"/>
  <c r="H160"/>
  <c r="I160"/>
  <c r="J160"/>
  <c r="K160"/>
  <c r="L160"/>
  <c r="M160"/>
  <c r="N160"/>
  <c r="O160"/>
  <c r="P160"/>
  <c r="Q160"/>
  <c r="R160"/>
  <c r="S160"/>
  <c r="T160"/>
  <c r="U160"/>
  <c r="V160"/>
  <c r="W160"/>
  <c r="X160"/>
  <c r="Y160"/>
  <c r="Z160"/>
  <c r="AA160"/>
  <c r="AB160"/>
  <c r="AC160"/>
  <c r="AD160"/>
  <c r="AE160"/>
  <c r="AF160"/>
  <c r="AG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A136"/>
  <c r="B136"/>
  <c r="C136"/>
  <c r="D136"/>
  <c r="E136"/>
  <c r="F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A135"/>
  <c r="B135"/>
  <c r="C135"/>
  <c r="D135"/>
  <c r="E135"/>
  <c r="F135"/>
  <c r="G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A129"/>
  <c r="B129"/>
  <c r="C129"/>
  <c r="D129"/>
  <c r="E129"/>
  <c r="F129"/>
  <c r="G129"/>
  <c r="H129"/>
  <c r="I129"/>
  <c r="J129"/>
  <c r="K129"/>
  <c r="L129"/>
  <c r="M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A128"/>
  <c r="B128"/>
  <c r="C128"/>
  <c r="D128"/>
  <c r="E128"/>
  <c r="F128"/>
  <c r="G128"/>
  <c r="H128"/>
  <c r="I128"/>
  <c r="J128"/>
  <c r="K128"/>
  <c r="L128"/>
  <c r="M128"/>
  <c r="N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A127"/>
  <c r="B127"/>
  <c r="C127"/>
  <c r="D127"/>
  <c r="E127"/>
  <c r="F127"/>
  <c r="G127"/>
  <c r="H127"/>
  <c r="I127"/>
  <c r="J127"/>
  <c r="K127"/>
  <c r="L127"/>
  <c r="M127"/>
  <c r="N127"/>
  <c r="O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A126"/>
  <c r="B126"/>
  <c r="C126"/>
  <c r="D126"/>
  <c r="E126"/>
  <c r="F126"/>
  <c r="G126"/>
  <c r="H126"/>
  <c r="I126"/>
  <c r="J126"/>
  <c r="K126"/>
  <c r="L126"/>
  <c r="M126"/>
  <c r="N126"/>
  <c r="O126"/>
  <c r="P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A124"/>
  <c r="B124"/>
  <c r="C124"/>
  <c r="D124"/>
  <c r="E124"/>
  <c r="F124"/>
  <c r="G124"/>
  <c r="H124"/>
  <c r="I124"/>
  <c r="J124"/>
  <c r="K124"/>
  <c r="L124"/>
  <c r="M124"/>
  <c r="N124"/>
  <c r="O124"/>
  <c r="P124"/>
  <c r="Q124"/>
  <c r="R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A123"/>
  <c r="B123"/>
  <c r="C123"/>
  <c r="D123"/>
  <c r="E123"/>
  <c r="F123"/>
  <c r="G123"/>
  <c r="H123"/>
  <c r="I123"/>
  <c r="J123"/>
  <c r="K123"/>
  <c r="L123"/>
  <c r="M123"/>
  <c r="N123"/>
  <c r="O123"/>
  <c r="P123"/>
  <c r="Q123"/>
  <c r="R123"/>
  <c r="S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A117"/>
  <c r="B117"/>
  <c r="C117"/>
  <c r="D117"/>
  <c r="E117"/>
  <c r="F117"/>
  <c r="G117"/>
  <c r="H117"/>
  <c r="I117"/>
  <c r="J117"/>
  <c r="K117"/>
  <c r="L117"/>
  <c r="M117"/>
  <c r="N117"/>
  <c r="O117"/>
  <c r="P117"/>
  <c r="Q117"/>
  <c r="R117"/>
  <c r="S117"/>
  <c r="T117"/>
  <c r="U117"/>
  <c r="V117"/>
  <c r="W117"/>
  <c r="X117"/>
  <c r="Y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A116"/>
  <c r="B116"/>
  <c r="C116"/>
  <c r="D116"/>
  <c r="E116"/>
  <c r="F116"/>
  <c r="G116"/>
  <c r="H116"/>
  <c r="I116"/>
  <c r="J116"/>
  <c r="K116"/>
  <c r="L116"/>
  <c r="M116"/>
  <c r="N116"/>
  <c r="O116"/>
  <c r="P116"/>
  <c r="Q116"/>
  <c r="R116"/>
  <c r="S116"/>
  <c r="T116"/>
  <c r="U116"/>
  <c r="V116"/>
  <c r="W116"/>
  <c r="X116"/>
  <c r="Y116"/>
  <c r="Z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A115"/>
  <c r="B115"/>
  <c r="C115"/>
  <c r="D115"/>
  <c r="E115"/>
  <c r="F115"/>
  <c r="G115"/>
  <c r="H115"/>
  <c r="I115"/>
  <c r="J115"/>
  <c r="K115"/>
  <c r="L115"/>
  <c r="M115"/>
  <c r="N115"/>
  <c r="O115"/>
  <c r="P115"/>
  <c r="Q115"/>
  <c r="R115"/>
  <c r="S115"/>
  <c r="T115"/>
  <c r="U115"/>
  <c r="V115"/>
  <c r="W115"/>
  <c r="X115"/>
  <c r="Y115"/>
  <c r="Z115"/>
  <c r="AA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A114"/>
  <c r="B114"/>
  <c r="C114"/>
  <c r="D114"/>
  <c r="E114"/>
  <c r="F114"/>
  <c r="G114"/>
  <c r="H114"/>
  <c r="I114"/>
  <c r="J114"/>
  <c r="K114"/>
  <c r="L114"/>
  <c r="M114"/>
  <c r="N114"/>
  <c r="O114"/>
  <c r="P114"/>
  <c r="Q114"/>
  <c r="R114"/>
  <c r="S114"/>
  <c r="T114"/>
  <c r="U114"/>
  <c r="V114"/>
  <c r="W114"/>
  <c r="X114"/>
  <c r="Y114"/>
  <c r="Z114"/>
  <c r="AA114"/>
  <c r="AB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A113"/>
  <c r="B113"/>
  <c r="C113"/>
  <c r="D113"/>
  <c r="E113"/>
  <c r="F113"/>
  <c r="G113"/>
  <c r="H113"/>
  <c r="I113"/>
  <c r="J113"/>
  <c r="K113"/>
  <c r="L113"/>
  <c r="M113"/>
  <c r="N113"/>
  <c r="O113"/>
  <c r="P113"/>
  <c r="Q113"/>
  <c r="R113"/>
  <c r="S113"/>
  <c r="T113"/>
  <c r="U113"/>
  <c r="V113"/>
  <c r="W113"/>
  <c r="X113"/>
  <c r="Y113"/>
  <c r="Z113"/>
  <c r="AA113"/>
  <c r="AB113"/>
  <c r="AC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A112"/>
  <c r="B112"/>
  <c r="C112"/>
  <c r="D112"/>
  <c r="E112"/>
  <c r="F112"/>
  <c r="G112"/>
  <c r="H112"/>
  <c r="I112"/>
  <c r="J112"/>
  <c r="K112"/>
  <c r="L112"/>
  <c r="M112"/>
  <c r="N112"/>
  <c r="O112"/>
  <c r="P112"/>
  <c r="Q112"/>
  <c r="R112"/>
  <c r="S112"/>
  <c r="T112"/>
  <c r="U112"/>
  <c r="V112"/>
  <c r="W112"/>
  <c r="X112"/>
  <c r="Y112"/>
  <c r="Z112"/>
  <c r="AA112"/>
  <c r="AB112"/>
  <c r="AC112"/>
  <c r="AD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A111"/>
  <c r="B111"/>
  <c r="C111"/>
  <c r="D111"/>
  <c r="E111"/>
  <c r="F111"/>
  <c r="G111"/>
  <c r="H111"/>
  <c r="I111"/>
  <c r="J111"/>
  <c r="K111"/>
  <c r="L111"/>
  <c r="M111"/>
  <c r="N111"/>
  <c r="O111"/>
  <c r="P111"/>
  <c r="Q111"/>
  <c r="R111"/>
  <c r="S111"/>
  <c r="T111"/>
  <c r="U111"/>
  <c r="V111"/>
  <c r="W111"/>
  <c r="X111"/>
  <c r="Y111"/>
  <c r="Z111"/>
  <c r="AA111"/>
  <c r="AB111"/>
  <c r="AC111"/>
  <c r="AD111"/>
  <c r="AE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A110"/>
  <c r="B110"/>
  <c r="C110"/>
  <c r="D110"/>
  <c r="E110"/>
  <c r="F110"/>
  <c r="G110"/>
  <c r="H110"/>
  <c r="I110"/>
  <c r="J110"/>
  <c r="K110"/>
  <c r="L110"/>
  <c r="M110"/>
  <c r="N110"/>
  <c r="O110"/>
  <c r="P110"/>
  <c r="Q110"/>
  <c r="R110"/>
  <c r="S110"/>
  <c r="T110"/>
  <c r="U110"/>
  <c r="V110"/>
  <c r="W110"/>
  <c r="X110"/>
  <c r="Y110"/>
  <c r="Z110"/>
  <c r="AA110"/>
  <c r="AB110"/>
  <c r="AC110"/>
  <c r="AD110"/>
  <c r="AE110"/>
  <c r="AF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A109"/>
  <c r="B109"/>
  <c r="C109"/>
  <c r="D109"/>
  <c r="E109"/>
  <c r="F109"/>
  <c r="G109"/>
  <c r="H109"/>
  <c r="I109"/>
  <c r="J109"/>
  <c r="K109"/>
  <c r="L109"/>
  <c r="M109"/>
  <c r="N109"/>
  <c r="O109"/>
  <c r="P109"/>
  <c r="Q109"/>
  <c r="R109"/>
  <c r="S109"/>
  <c r="T109"/>
  <c r="U109"/>
  <c r="V109"/>
  <c r="W109"/>
  <c r="X109"/>
  <c r="Y109"/>
  <c r="Z109"/>
  <c r="AA109"/>
  <c r="AB109"/>
  <c r="AC109"/>
  <c r="AD109"/>
  <c r="AE109"/>
  <c r="AF109"/>
  <c r="AG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A85"/>
  <c r="B85"/>
  <c r="C85"/>
  <c r="D85"/>
  <c r="E85"/>
  <c r="F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A84"/>
  <c r="B84"/>
  <c r="C84"/>
  <c r="D84"/>
  <c r="E84"/>
  <c r="F84"/>
  <c r="G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A78"/>
  <c r="B78"/>
  <c r="C78"/>
  <c r="D78"/>
  <c r="E78"/>
  <c r="F78"/>
  <c r="G78"/>
  <c r="H78"/>
  <c r="I78"/>
  <c r="J78"/>
  <c r="K78"/>
  <c r="L78"/>
  <c r="M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A77"/>
  <c r="B77"/>
  <c r="C77"/>
  <c r="D77"/>
  <c r="E77"/>
  <c r="F77"/>
  <c r="G77"/>
  <c r="H77"/>
  <c r="I77"/>
  <c r="J77"/>
  <c r="K77"/>
  <c r="L77"/>
  <c r="M77"/>
  <c r="N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A76"/>
  <c r="B76"/>
  <c r="C76"/>
  <c r="D76"/>
  <c r="E76"/>
  <c r="F76"/>
  <c r="G76"/>
  <c r="H76"/>
  <c r="I76"/>
  <c r="J76"/>
  <c r="K76"/>
  <c r="L76"/>
  <c r="M76"/>
  <c r="N76"/>
  <c r="O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A75"/>
  <c r="B75"/>
  <c r="C75"/>
  <c r="D75"/>
  <c r="E75"/>
  <c r="F75"/>
  <c r="G75"/>
  <c r="H75"/>
  <c r="I75"/>
  <c r="J75"/>
  <c r="K75"/>
  <c r="L75"/>
  <c r="M75"/>
  <c r="N75"/>
  <c r="O75"/>
  <c r="P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A73"/>
  <c r="B73"/>
  <c r="C73"/>
  <c r="D73"/>
  <c r="E73"/>
  <c r="F73"/>
  <c r="G73"/>
  <c r="H73"/>
  <c r="I73"/>
  <c r="J73"/>
  <c r="K73"/>
  <c r="L73"/>
  <c r="M73"/>
  <c r="N73"/>
  <c r="O73"/>
  <c r="P73"/>
  <c r="Q73"/>
  <c r="R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A72"/>
  <c r="B72"/>
  <c r="C72"/>
  <c r="D72"/>
  <c r="E72"/>
  <c r="F72"/>
  <c r="G72"/>
  <c r="H72"/>
  <c r="I72"/>
  <c r="J72"/>
  <c r="K72"/>
  <c r="L72"/>
  <c r="M72"/>
  <c r="N72"/>
  <c r="O72"/>
  <c r="P72"/>
  <c r="Q72"/>
  <c r="R72"/>
  <c r="S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A66"/>
  <c r="B66"/>
  <c r="C66"/>
  <c r="D66"/>
  <c r="E66"/>
  <c r="F66"/>
  <c r="G66"/>
  <c r="H66"/>
  <c r="I66"/>
  <c r="J66"/>
  <c r="K66"/>
  <c r="L66"/>
  <c r="M66"/>
  <c r="N66"/>
  <c r="O66"/>
  <c r="P66"/>
  <c r="Q66"/>
  <c r="R66"/>
  <c r="S66"/>
  <c r="T66"/>
  <c r="U66"/>
  <c r="V66"/>
  <c r="W66"/>
  <c r="X66"/>
  <c r="Y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A65"/>
  <c r="B65"/>
  <c r="C65"/>
  <c r="D65"/>
  <c r="E65"/>
  <c r="F65"/>
  <c r="G65"/>
  <c r="H65"/>
  <c r="I65"/>
  <c r="J65"/>
  <c r="K65"/>
  <c r="L65"/>
  <c r="M65"/>
  <c r="N65"/>
  <c r="O65"/>
  <c r="P65"/>
  <c r="Q65"/>
  <c r="R65"/>
  <c r="S65"/>
  <c r="T65"/>
  <c r="U65"/>
  <c r="V65"/>
  <c r="W65"/>
  <c r="X65"/>
  <c r="Y65"/>
  <c r="Z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A64"/>
  <c r="B64"/>
  <c r="C64"/>
  <c r="D64"/>
  <c r="E64"/>
  <c r="F64"/>
  <c r="G64"/>
  <c r="H64"/>
  <c r="I64"/>
  <c r="J64"/>
  <c r="K64"/>
  <c r="L64"/>
  <c r="M64"/>
  <c r="N64"/>
  <c r="O64"/>
  <c r="P64"/>
  <c r="Q64"/>
  <c r="R64"/>
  <c r="S64"/>
  <c r="T64"/>
  <c r="U64"/>
  <c r="V64"/>
  <c r="W64"/>
  <c r="X64"/>
  <c r="Y64"/>
  <c r="Z64"/>
  <c r="AA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A63"/>
  <c r="B63"/>
  <c r="C63"/>
  <c r="D63"/>
  <c r="E63"/>
  <c r="F63"/>
  <c r="G63"/>
  <c r="H63"/>
  <c r="I63"/>
  <c r="J63"/>
  <c r="K63"/>
  <c r="L63"/>
  <c r="M63"/>
  <c r="N63"/>
  <c r="O63"/>
  <c r="P63"/>
  <c r="Q63"/>
  <c r="R63"/>
  <c r="S63"/>
  <c r="T63"/>
  <c r="U63"/>
  <c r="V63"/>
  <c r="W63"/>
  <c r="X63"/>
  <c r="Y63"/>
  <c r="Z63"/>
  <c r="AA63"/>
  <c r="AB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A62"/>
  <c r="B62"/>
  <c r="C62"/>
  <c r="D62"/>
  <c r="E62"/>
  <c r="F62"/>
  <c r="G62"/>
  <c r="H62"/>
  <c r="I62"/>
  <c r="J62"/>
  <c r="K62"/>
  <c r="L62"/>
  <c r="M62"/>
  <c r="N62"/>
  <c r="O62"/>
  <c r="P62"/>
  <c r="Q62"/>
  <c r="R62"/>
  <c r="S62"/>
  <c r="T62"/>
  <c r="U62"/>
  <c r="V62"/>
  <c r="W62"/>
  <c r="X62"/>
  <c r="Y62"/>
  <c r="Z62"/>
  <c r="AA62"/>
  <c r="AB62"/>
  <c r="AC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A61"/>
  <c r="B61"/>
  <c r="C61"/>
  <c r="D61"/>
  <c r="E61"/>
  <c r="F61"/>
  <c r="G61"/>
  <c r="H61"/>
  <c r="I61"/>
  <c r="J61"/>
  <c r="K61"/>
  <c r="L61"/>
  <c r="M61"/>
  <c r="N61"/>
  <c r="O61"/>
  <c r="P61"/>
  <c r="Q61"/>
  <c r="R61"/>
  <c r="S61"/>
  <c r="T61"/>
  <c r="U61"/>
  <c r="V61"/>
  <c r="W61"/>
  <c r="X61"/>
  <c r="Y61"/>
  <c r="Z61"/>
  <c r="AA61"/>
  <c r="AB61"/>
  <c r="AC61"/>
  <c r="AD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A60"/>
  <c r="B60"/>
  <c r="C60"/>
  <c r="D60"/>
  <c r="E60"/>
  <c r="F60"/>
  <c r="G60"/>
  <c r="H60"/>
  <c r="I60"/>
  <c r="J60"/>
  <c r="K60"/>
  <c r="L60"/>
  <c r="M60"/>
  <c r="N60"/>
  <c r="O60"/>
  <c r="P60"/>
  <c r="Q60"/>
  <c r="R60"/>
  <c r="S60"/>
  <c r="T60"/>
  <c r="U60"/>
  <c r="V60"/>
  <c r="W60"/>
  <c r="X60"/>
  <c r="Y60"/>
  <c r="Z60"/>
  <c r="AA60"/>
  <c r="AB60"/>
  <c r="AC60"/>
  <c r="AD60"/>
  <c r="AE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A59"/>
  <c r="B59"/>
  <c r="C59"/>
  <c r="D59"/>
  <c r="E59"/>
  <c r="F59"/>
  <c r="G59"/>
  <c r="H59"/>
  <c r="I59"/>
  <c r="J59"/>
  <c r="K59"/>
  <c r="L59"/>
  <c r="M59"/>
  <c r="N59"/>
  <c r="O59"/>
  <c r="P59"/>
  <c r="Q59"/>
  <c r="R59"/>
  <c r="S59"/>
  <c r="T59"/>
  <c r="U59"/>
  <c r="V59"/>
  <c r="W59"/>
  <c r="X59"/>
  <c r="Y59"/>
  <c r="Z59"/>
  <c r="AA59"/>
  <c r="AB59"/>
  <c r="AC59"/>
  <c r="AD59"/>
  <c r="AE59"/>
  <c r="AF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A58"/>
  <c r="B58"/>
  <c r="C58"/>
  <c r="D58"/>
  <c r="E58"/>
  <c r="F58"/>
  <c r="G58"/>
  <c r="H58"/>
  <c r="I58"/>
  <c r="J58"/>
  <c r="K58"/>
  <c r="L58"/>
  <c r="M58"/>
  <c r="N58"/>
  <c r="O58"/>
  <c r="P58"/>
  <c r="Q58"/>
  <c r="R58"/>
  <c r="S58"/>
  <c r="T58"/>
  <c r="U58"/>
  <c r="V58"/>
  <c r="W58"/>
  <c r="X58"/>
  <c r="Y58"/>
  <c r="Z58"/>
  <c r="AA58"/>
  <c r="AB58"/>
  <c r="AC58"/>
  <c r="AD58"/>
  <c r="AE58"/>
  <c r="AF58"/>
  <c r="AG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A57"/>
  <c r="B57"/>
  <c r="C57"/>
  <c r="D57"/>
  <c r="E57"/>
  <c r="F57"/>
  <c r="G57"/>
  <c r="H57"/>
  <c r="I57"/>
  <c r="J57"/>
  <c r="K57"/>
  <c r="L57"/>
  <c r="M57"/>
  <c r="N57"/>
  <c r="O57"/>
  <c r="P57"/>
  <c r="Q57"/>
  <c r="R57"/>
  <c r="S57"/>
  <c r="T57"/>
  <c r="U57"/>
  <c r="V57"/>
  <c r="W57"/>
  <c r="X57"/>
  <c r="Y57"/>
  <c r="Z57"/>
  <c r="AA57"/>
  <c r="AB57"/>
  <c r="AC57"/>
  <c r="AD57"/>
  <c r="AE57"/>
  <c r="AF57"/>
  <c r="AG57"/>
  <c r="AH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A56"/>
  <c r="B56"/>
  <c r="C56"/>
  <c r="D56"/>
  <c r="E56"/>
  <c r="F56"/>
  <c r="G56"/>
  <c r="H56"/>
  <c r="I56"/>
  <c r="J56"/>
  <c r="K56"/>
  <c r="L56"/>
  <c r="M56"/>
  <c r="N56"/>
  <c r="O56"/>
  <c r="P56"/>
  <c r="Q56"/>
  <c r="R56"/>
  <c r="S56"/>
  <c r="T56"/>
  <c r="U56"/>
  <c r="V56"/>
  <c r="W56"/>
  <c r="X56"/>
  <c r="Y56"/>
  <c r="Z56"/>
  <c r="AA56"/>
  <c r="AB56"/>
  <c r="AC56"/>
  <c r="AD56"/>
  <c r="AE56"/>
  <c r="AF56"/>
  <c r="AG56"/>
  <c r="AH56"/>
  <c r="AI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A55"/>
  <c r="B55"/>
  <c r="C55"/>
  <c r="D55"/>
  <c r="E55"/>
  <c r="F55"/>
  <c r="G55"/>
  <c r="H55"/>
  <c r="I55"/>
  <c r="J55"/>
  <c r="K55"/>
  <c r="L55"/>
  <c r="M55"/>
  <c r="N55"/>
  <c r="O55"/>
  <c r="P55"/>
  <c r="Q55"/>
  <c r="R55"/>
  <c r="S55"/>
  <c r="T55"/>
  <c r="U55"/>
  <c r="V55"/>
  <c r="W55"/>
  <c r="X55"/>
  <c r="Y55"/>
  <c r="Z55"/>
  <c r="AA55"/>
  <c r="AB55"/>
  <c r="AC55"/>
  <c r="AD55"/>
  <c r="AE55"/>
  <c r="AF55"/>
  <c r="AG55"/>
  <c r="AH55"/>
  <c r="AI55"/>
  <c r="AJ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A54"/>
  <c r="B54"/>
  <c r="C54"/>
  <c r="D54"/>
  <c r="E54"/>
  <c r="F54"/>
  <c r="G54"/>
  <c r="H54"/>
  <c r="I54"/>
  <c r="J54"/>
  <c r="K54"/>
  <c r="L54"/>
  <c r="M54"/>
  <c r="N54"/>
  <c r="O54"/>
  <c r="P54"/>
  <c r="Q54"/>
  <c r="R54"/>
  <c r="S54"/>
  <c r="T54"/>
  <c r="U54"/>
  <c r="V54"/>
  <c r="W54"/>
  <c r="X54"/>
  <c r="Y54"/>
  <c r="Z54"/>
  <c r="AA54"/>
  <c r="AB54"/>
  <c r="AC54"/>
  <c r="AD54"/>
  <c r="AE54"/>
  <c r="AF54"/>
  <c r="AG54"/>
  <c r="AH54"/>
  <c r="AI54"/>
  <c r="AJ54"/>
  <c r="AK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A33"/>
  <c r="B33"/>
  <c r="C33"/>
  <c r="D33"/>
  <c r="E33"/>
  <c r="F33"/>
  <c r="G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A21"/>
  <c r="B21"/>
  <c r="C21"/>
  <c r="D21"/>
  <c r="E21"/>
  <c r="F21"/>
  <c r="G21"/>
  <c r="H21"/>
  <c r="I21"/>
  <c r="J21"/>
  <c r="K21"/>
  <c r="L21"/>
  <c r="M21"/>
  <c r="N21"/>
  <c r="O21"/>
  <c r="P21"/>
  <c r="Q21"/>
  <c r="R21"/>
  <c r="S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A13"/>
  <c r="B13"/>
  <c r="C13"/>
  <c r="D13"/>
  <c r="E13"/>
  <c r="F13"/>
  <c r="G13"/>
  <c r="H13"/>
  <c r="I13"/>
  <c r="J13"/>
  <c r="K13"/>
  <c r="L13"/>
  <c r="M13"/>
  <c r="N13"/>
  <c r="O13"/>
  <c r="P13"/>
  <c r="Q13"/>
  <c r="R13"/>
  <c r="S13"/>
  <c r="T13"/>
  <c r="U13"/>
  <c r="V13"/>
  <c r="W13"/>
  <c r="X13"/>
  <c r="Y13"/>
  <c r="Z13"/>
  <c r="AA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A12"/>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A10"/>
  <c r="B10"/>
  <c r="C10"/>
  <c r="D10"/>
  <c r="E10"/>
  <c r="F10"/>
  <c r="G10"/>
  <c r="H10"/>
  <c r="I10"/>
  <c r="J10"/>
  <c r="K10"/>
  <c r="L10"/>
  <c r="M10"/>
  <c r="N10"/>
  <c r="O10"/>
  <c r="P10"/>
  <c r="Q10"/>
  <c r="R10"/>
  <c r="S10"/>
  <c r="T10"/>
  <c r="U10"/>
  <c r="V10"/>
  <c r="W10"/>
  <c r="X10"/>
  <c r="Y10"/>
  <c r="Z10"/>
  <c r="AA10"/>
  <c r="AB10"/>
  <c r="AC10"/>
  <c r="AD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A9"/>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A6"/>
  <c r="B6"/>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A5"/>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AQ151" l="1"/>
  <c r="Z168"/>
  <c r="AQ202"/>
  <c r="Z219"/>
  <c r="AR150"/>
  <c r="AR201"/>
  <c r="F76" i="2"/>
  <c r="H76"/>
  <c r="J76"/>
  <c r="K76"/>
  <c r="L76"/>
  <c r="M76"/>
  <c r="N76"/>
  <c r="O76"/>
  <c r="P76"/>
  <c r="Q76"/>
  <c r="R76"/>
  <c r="S76"/>
  <c r="T76"/>
  <c r="U76"/>
  <c r="V76"/>
  <c r="W76"/>
  <c r="X76"/>
  <c r="Y76"/>
  <c r="Z76"/>
  <c r="AA76"/>
  <c r="AB76"/>
  <c r="D76"/>
  <c r="P75"/>
  <c r="Q75"/>
  <c r="F75"/>
  <c r="H75"/>
  <c r="J75"/>
  <c r="K75"/>
  <c r="L75"/>
  <c r="M75"/>
  <c r="N75"/>
  <c r="O75"/>
  <c r="D75"/>
  <c r="O14" i="3" l="1"/>
  <c r="O17"/>
  <c r="O15"/>
  <c r="O16"/>
  <c r="AA218" i="4"/>
  <c r="AA167"/>
  <c r="N231"/>
  <c r="N180"/>
  <c r="AB217"/>
  <c r="AB166"/>
  <c r="O230"/>
  <c r="O179"/>
  <c r="AC216"/>
  <c r="AC165"/>
  <c r="P229"/>
  <c r="P178"/>
  <c r="Q228"/>
  <c r="Q177"/>
  <c r="S226"/>
  <c r="S175"/>
  <c r="AH211"/>
  <c r="AH160"/>
  <c r="T225"/>
  <c r="T174"/>
  <c r="H33"/>
  <c r="H84"/>
  <c r="G85"/>
  <c r="H135"/>
  <c r="G136"/>
  <c r="H186"/>
  <c r="G187"/>
  <c r="H237"/>
  <c r="G238"/>
  <c r="T21"/>
  <c r="Z66"/>
  <c r="T72"/>
  <c r="S73"/>
  <c r="Q75"/>
  <c r="P76"/>
  <c r="O77"/>
  <c r="N78"/>
  <c r="AQ100"/>
  <c r="Z117"/>
  <c r="T123"/>
  <c r="S124"/>
  <c r="Q126"/>
  <c r="P127"/>
  <c r="O128"/>
  <c r="N129"/>
  <c r="O27" i="3" l="1"/>
  <c r="AC114" i="4"/>
  <c r="HR239"/>
  <c r="AR99"/>
  <c r="IO239"/>
  <c r="AQ49"/>
  <c r="HF239"/>
  <c r="AH58"/>
  <c r="AH109"/>
  <c r="AA65"/>
  <c r="AB64"/>
  <c r="AC63"/>
  <c r="AA116"/>
  <c r="AB115"/>
  <c r="AR48"/>
  <c r="IP239" l="1"/>
  <c r="AX195"/>
  <c r="AX144"/>
  <c r="AX93"/>
  <c r="AX42"/>
  <c r="AE10" l="1"/>
  <c r="AA244" l="1"/>
  <c r="I247" l="1"/>
  <c r="BA248" l="1"/>
  <c r="BS245" l="1"/>
  <c r="AL207" l="1"/>
  <c r="AM206"/>
  <c r="AU198"/>
  <c r="AK208"/>
  <c r="AL156"/>
  <c r="AM155"/>
  <c r="AU147"/>
  <c r="AM104"/>
  <c r="AU96"/>
  <c r="AM53"/>
  <c r="AL105"/>
  <c r="AL54"/>
  <c r="AK157"/>
  <c r="AK106"/>
  <c r="AK55"/>
  <c r="AD62" l="1"/>
  <c r="AE61"/>
  <c r="AF60"/>
  <c r="AG59"/>
  <c r="AI57"/>
  <c r="AD113"/>
  <c r="AE112"/>
  <c r="AF111"/>
  <c r="AG110"/>
  <c r="AI108"/>
  <c r="AD164"/>
  <c r="AE163"/>
  <c r="AF162"/>
  <c r="AG161"/>
  <c r="AI159"/>
  <c r="AD215"/>
  <c r="AE214"/>
  <c r="AF213"/>
  <c r="AG212"/>
  <c r="AI210"/>
  <c r="IV239" l="1"/>
  <c r="AJ209"/>
  <c r="AJ158"/>
  <c r="AJ107"/>
  <c r="AJ56"/>
  <c r="N91" i="6" l="1"/>
  <c r="N89"/>
  <c r="K89"/>
  <c r="N111"/>
  <c r="A40" i="4" l="1"/>
  <c r="GY239" l="1"/>
  <c r="A91"/>
  <c r="A142" l="1"/>
  <c r="B192" l="1"/>
  <c r="A193"/>
  <c r="AN246" l="1"/>
  <c r="N88" i="6" l="1"/>
  <c r="K20"/>
  <c r="M20" s="1"/>
  <c r="N85"/>
  <c r="K19"/>
  <c r="M19" s="1"/>
  <c r="N86"/>
  <c r="N242" i="4"/>
  <c r="K85" i="6" l="1"/>
  <c r="K88"/>
  <c r="K86"/>
  <c r="AS241" i="4" l="1"/>
  <c r="BF243" l="1"/>
  <c r="V6" i="3" l="1"/>
  <c r="V8" l="1"/>
  <c r="V7"/>
  <c r="I18" i="6" l="1"/>
  <c r="E62" i="10"/>
  <c r="K18" i="6" l="1"/>
  <c r="M18" s="1"/>
  <c r="V23" i="3" l="1"/>
  <c r="AA41" i="6"/>
  <c r="C41" s="1"/>
  <c r="AA40"/>
  <c r="C40" s="1"/>
  <c r="B38" i="2"/>
  <c r="AA39" i="6" s="1"/>
  <c r="C39" s="1"/>
  <c r="Z23" i="3"/>
  <c r="AA38" i="6"/>
  <c r="C38" s="1"/>
  <c r="V22" i="3"/>
  <c r="M62" i="10" l="1"/>
  <c r="I21" i="6"/>
  <c r="I22" s="1"/>
  <c r="V27" i="3"/>
  <c r="Y23"/>
  <c r="Y22"/>
  <c r="Z22"/>
  <c r="B41" i="2"/>
  <c r="C42" i="6" s="1"/>
  <c r="K21" l="1"/>
  <c r="M21" s="1"/>
  <c r="K22"/>
  <c r="M22" s="1"/>
  <c r="O62" i="10"/>
  <c r="N121" i="6" s="1"/>
  <c r="N45"/>
  <c r="AG49" s="1"/>
  <c r="C46" l="1"/>
  <c r="E6" i="3" l="1"/>
  <c r="D27" i="9" s="1"/>
  <c r="J6" i="3"/>
  <c r="AW11" i="1"/>
  <c r="C6" i="3"/>
  <c r="E8"/>
  <c r="D29" i="9" s="1"/>
  <c r="C8" i="3"/>
  <c r="C29" i="9" s="1"/>
  <c r="C27" l="1"/>
  <c r="E7" i="3"/>
  <c r="D28" i="9" s="1"/>
  <c r="C7" i="3"/>
  <c r="C28" i="9" s="1"/>
  <c r="D7" i="3"/>
  <c r="J7"/>
  <c r="J8"/>
  <c r="P19"/>
  <c r="J19"/>
  <c r="D19"/>
  <c r="L19"/>
  <c r="D6"/>
  <c r="D9"/>
  <c r="C9"/>
  <c r="C30" i="9" s="1"/>
  <c r="E9" i="3"/>
  <c r="D30" i="9" s="1"/>
  <c r="P7" i="3" l="1"/>
  <c r="D8"/>
  <c r="N19"/>
  <c r="P6"/>
  <c r="Y9"/>
  <c r="P9"/>
  <c r="C10"/>
  <c r="C31" i="9" s="1"/>
  <c r="D10" i="3"/>
  <c r="E10"/>
  <c r="D31" i="9" s="1"/>
  <c r="J9" i="3"/>
  <c r="P8" l="1"/>
  <c r="Y7"/>
  <c r="J20"/>
  <c r="Y6"/>
  <c r="Y19"/>
  <c r="Z19"/>
  <c r="E11"/>
  <c r="D32" i="9" s="1"/>
  <c r="D11" i="3"/>
  <c r="J10"/>
  <c r="P10"/>
  <c r="Y10"/>
  <c r="C11"/>
  <c r="C32" i="9" s="1"/>
  <c r="D20" i="3"/>
  <c r="P20"/>
  <c r="D21" l="1"/>
  <c r="Y8"/>
  <c r="J11"/>
  <c r="E12"/>
  <c r="L20"/>
  <c r="Y20"/>
  <c r="N20"/>
  <c r="N27" s="1"/>
  <c r="G25" i="10" s="1"/>
  <c r="I87" i="6" s="1"/>
  <c r="C12" i="3"/>
  <c r="C33" i="9" s="1"/>
  <c r="D12" i="3"/>
  <c r="N87" i="6" l="1"/>
  <c r="K87"/>
  <c r="C21" i="3"/>
  <c r="C40" i="9"/>
  <c r="AW10" i="1"/>
  <c r="E13" i="3"/>
  <c r="D34" i="9" s="1"/>
  <c r="D13" i="3"/>
  <c r="Y12"/>
  <c r="C13"/>
  <c r="C34" i="9" s="1"/>
  <c r="J13" i="3"/>
  <c r="Y11"/>
  <c r="P11"/>
  <c r="D33" i="9"/>
  <c r="J12" i="3"/>
  <c r="Z20"/>
  <c r="Z21" l="1"/>
  <c r="L21"/>
  <c r="AX10" i="1"/>
  <c r="C14" i="3"/>
  <c r="C35" i="9" s="1"/>
  <c r="E14" i="3"/>
  <c r="P12"/>
  <c r="D14" l="1"/>
  <c r="J14"/>
  <c r="C15"/>
  <c r="C36" i="9" s="1"/>
  <c r="AX11" i="1"/>
  <c r="D35" i="9"/>
  <c r="P13" i="3"/>
  <c r="D15"/>
  <c r="J15"/>
  <c r="P14"/>
  <c r="Y14"/>
  <c r="E15"/>
  <c r="D36" i="9" s="1"/>
  <c r="I6" i="3" l="1"/>
  <c r="E17"/>
  <c r="D38" i="9" s="1"/>
  <c r="C17" i="3"/>
  <c r="C16"/>
  <c r="C37" i="9" s="1"/>
  <c r="E16" i="3"/>
  <c r="D37" i="9" s="1"/>
  <c r="Y15" i="3"/>
  <c r="P15"/>
  <c r="D16"/>
  <c r="J16"/>
  <c r="Y13"/>
  <c r="C27" l="1"/>
  <c r="D39" i="9"/>
  <c r="G35" s="1"/>
  <c r="C38"/>
  <c r="C39" s="1"/>
  <c r="L6" i="3"/>
  <c r="Z6"/>
  <c r="I7"/>
  <c r="E27"/>
  <c r="D17"/>
  <c r="D27" s="1"/>
  <c r="J17"/>
  <c r="J27" s="1"/>
  <c r="P16"/>
  <c r="Y16"/>
  <c r="G36" i="9" l="1"/>
  <c r="G37" s="1"/>
  <c r="G31" s="1"/>
  <c r="G32" s="1"/>
  <c r="G5" s="1"/>
  <c r="O5" i="10" s="1"/>
  <c r="L7" i="3"/>
  <c r="I8"/>
  <c r="Y17"/>
  <c r="Y27" s="1"/>
  <c r="P17"/>
  <c r="P27" s="1"/>
  <c r="O32" i="10" l="1"/>
  <c r="I90" i="6"/>
  <c r="K90" s="1"/>
  <c r="G41" i="9"/>
  <c r="I62" i="6"/>
  <c r="F68"/>
  <c r="K69" s="1"/>
  <c r="L8" i="3"/>
  <c r="Z8"/>
  <c r="I9"/>
  <c r="AB13" i="4"/>
  <c r="Z7" i="3"/>
  <c r="I99" i="6"/>
  <c r="M30" i="10"/>
  <c r="O31" s="1"/>
  <c r="N90" i="6" l="1"/>
  <c r="K99"/>
  <c r="N99"/>
  <c r="L9" i="3"/>
  <c r="Z9"/>
  <c r="I10"/>
  <c r="O34" i="10"/>
  <c r="O45" s="1"/>
  <c r="N113" i="6" s="1"/>
  <c r="L10" i="3" l="1"/>
  <c r="Z10"/>
  <c r="I11"/>
  <c r="I12" l="1"/>
  <c r="L11"/>
  <c r="Z11"/>
  <c r="L12" l="1"/>
  <c r="Z12"/>
  <c r="I13"/>
  <c r="I14" l="1"/>
  <c r="L13"/>
  <c r="Z13"/>
  <c r="L14" l="1"/>
  <c r="Z14"/>
  <c r="I15"/>
  <c r="I16" l="1"/>
  <c r="L15"/>
  <c r="Z15"/>
  <c r="I17" l="1"/>
  <c r="I27" s="1"/>
  <c r="L16"/>
  <c r="Z16"/>
  <c r="L17" l="1"/>
  <c r="L27" s="1"/>
  <c r="Z17"/>
  <c r="Z27" s="1"/>
  <c r="O6" i="10" l="1"/>
  <c r="O9" s="1"/>
  <c r="I63" i="6"/>
  <c r="K66" s="1"/>
  <c r="O10" i="10" l="1"/>
  <c r="O15" s="1"/>
  <c r="O17" s="1"/>
  <c r="O46" s="1"/>
  <c r="O47" s="1"/>
  <c r="L23" i="14" s="1"/>
  <c r="H75" i="6"/>
  <c r="M70"/>
  <c r="X53" i="10" l="1"/>
  <c r="Y60"/>
  <c r="W51"/>
  <c r="O52" s="1"/>
  <c r="W53"/>
  <c r="W50"/>
  <c r="O51" s="1"/>
  <c r="Y51"/>
  <c r="X51"/>
  <c r="X52"/>
  <c r="N77" i="6"/>
  <c r="N81" s="1"/>
  <c r="N114" s="1"/>
  <c r="W52" i="10"/>
  <c r="O53" s="1"/>
  <c r="Y52"/>
  <c r="X50"/>
  <c r="Y53"/>
  <c r="L23" i="13" l="1"/>
  <c r="Z22" s="1"/>
  <c r="AC22" s="1"/>
  <c r="O54" i="10"/>
  <c r="Z19" i="13" l="1"/>
  <c r="AC19" s="1"/>
  <c r="L21"/>
  <c r="Z24" s="1"/>
  <c r="AA24" s="1"/>
  <c r="AB24" s="1"/>
  <c r="AC24" s="1"/>
  <c r="L25" s="1"/>
  <c r="Z23"/>
  <c r="AA23" s="1"/>
  <c r="AB23" s="1"/>
  <c r="AC23" s="1"/>
  <c r="L24" s="1"/>
  <c r="Z21"/>
  <c r="AC21" s="1"/>
  <c r="O55" i="10"/>
  <c r="N116" i="6" s="1"/>
  <c r="N115"/>
  <c r="L26" i="13" l="1"/>
  <c r="L28" s="1"/>
  <c r="O56" i="10"/>
  <c r="O57" s="1"/>
  <c r="N117" i="6" s="1"/>
  <c r="N118" s="1"/>
  <c r="O58" i="10" l="1"/>
  <c r="O60" s="1"/>
  <c r="N120" i="6" s="1"/>
  <c r="B122" s="1"/>
  <c r="N122" l="1"/>
  <c r="A63" i="10"/>
  <c r="O63"/>
</calcChain>
</file>

<file path=xl/comments1.xml><?xml version="1.0" encoding="utf-8"?>
<comments xmlns="http://schemas.openxmlformats.org/spreadsheetml/2006/main">
  <authors>
    <author>Author</author>
  </authors>
  <commentList>
    <comment ref="B23" authorId="0">
      <text>
        <r>
          <rPr>
            <b/>
            <sz val="9"/>
            <color indexed="81"/>
            <rFont val="Tahoma"/>
            <family val="2"/>
          </rPr>
          <t>Author:</t>
        </r>
        <r>
          <rPr>
            <sz val="9"/>
            <color indexed="81"/>
            <rFont val="Tahoma"/>
            <family val="2"/>
          </rPr>
          <t xml:space="preserve">
INCOME TAX Ded. RS/- DATA will be Come form Bills Sheet </t>
        </r>
      </text>
    </comment>
    <comment ref="B43" authorId="0">
      <text>
        <r>
          <rPr>
            <b/>
            <sz val="9"/>
            <color indexed="81"/>
            <rFont val="Tahoma"/>
            <family val="2"/>
          </rPr>
          <t>Author:</t>
        </r>
        <r>
          <rPr>
            <sz val="9"/>
            <color indexed="81"/>
            <rFont val="Tahoma"/>
            <family val="2"/>
          </rPr>
          <t xml:space="preserve">
INCOME TAX Ded. RS/- DATA will be Come form Bills Sheet </t>
        </r>
      </text>
    </comment>
  </commentList>
</comments>
</file>

<file path=xl/comments2.xml><?xml version="1.0" encoding="utf-8"?>
<comments xmlns="http://schemas.openxmlformats.org/spreadsheetml/2006/main">
  <authors>
    <author>Author</author>
  </authors>
  <commentList>
    <comment ref="W5" authorId="0">
      <text>
        <r>
          <rPr>
            <b/>
            <sz val="9"/>
            <color indexed="81"/>
            <rFont val="Tahoma"/>
            <family val="2"/>
          </rPr>
          <t>Author:</t>
        </r>
        <r>
          <rPr>
            <sz val="9"/>
            <color indexed="81"/>
            <rFont val="Tahoma"/>
            <family val="2"/>
          </rPr>
          <t xml:space="preserve">
income tax ded. By sallary ENTRY AT HERE and Auto Fill IN (BIN) , Cell B25 to B40 and (CIN) B46 to B 61</t>
        </r>
      </text>
    </comment>
  </commentList>
</comments>
</file>

<file path=xl/sharedStrings.xml><?xml version="1.0" encoding="utf-8"?>
<sst xmlns="http://schemas.openxmlformats.org/spreadsheetml/2006/main" count="845" uniqueCount="564">
  <si>
    <t>Month</t>
  </si>
  <si>
    <t>Date</t>
  </si>
  <si>
    <t>DA</t>
  </si>
  <si>
    <t>HRA</t>
  </si>
  <si>
    <t>TOTAL</t>
  </si>
  <si>
    <t>Designation</t>
  </si>
  <si>
    <t>GPF</t>
  </si>
  <si>
    <t>SI</t>
  </si>
  <si>
    <t>RPMF</t>
  </si>
  <si>
    <t>TV.NO.</t>
  </si>
  <si>
    <t>AAAAAFv+d2Y=</t>
  </si>
  <si>
    <t>Bonus</t>
  </si>
  <si>
    <t>NET PAY</t>
  </si>
  <si>
    <t>jkT; chek</t>
  </si>
  <si>
    <t>L.I.C.</t>
  </si>
  <si>
    <t>Income Tax</t>
  </si>
  <si>
    <t>osru tks fn;k x;k</t>
  </si>
  <si>
    <t>dVkSfr;kWa tks dh xbZ</t>
  </si>
  <si>
    <t>osru Mªk ekufp=</t>
  </si>
  <si>
    <t>Certificate under section 203 of the Income - tax Act. 1961 for tax deducted at</t>
  </si>
  <si>
    <t>Name and Designation of the Employee</t>
  </si>
  <si>
    <t>PERIOD</t>
  </si>
  <si>
    <t>Assessment year</t>
  </si>
  <si>
    <t>FROM</t>
  </si>
  <si>
    <t>TO</t>
  </si>
  <si>
    <t>DETAILS OF SALARY PAID AND ANY OTHER INCOME AND TAX DEDUCTED</t>
  </si>
  <si>
    <t>Gross Salary</t>
  </si>
  <si>
    <t>(a)</t>
  </si>
  <si>
    <t>Salary as per provisions contained in sec. 17(1)</t>
  </si>
  <si>
    <t>Rs.</t>
  </si>
  <si>
    <t xml:space="preserve">(b) </t>
  </si>
  <si>
    <t xml:space="preserve">(c) </t>
  </si>
  <si>
    <t xml:space="preserve">(d) </t>
  </si>
  <si>
    <t>Balance (1-2)</t>
  </si>
  <si>
    <t>Entertainment allowance</t>
  </si>
  <si>
    <t>Tax on Employment</t>
  </si>
  <si>
    <t>Aggregate of 4(a) and (b)</t>
  </si>
  <si>
    <t>Income chargeable under the head 'Salaries' (3-5)</t>
  </si>
  <si>
    <t>Add : Any other income reported by the employee</t>
  </si>
  <si>
    <t>Gross total income (6+7)</t>
  </si>
  <si>
    <t>Deductions under Chapter VI-A</t>
  </si>
  <si>
    <t>(A)</t>
  </si>
  <si>
    <t>Section 80C, 80CCC and 80 CCD</t>
  </si>
  <si>
    <t>Qulifing Amount</t>
  </si>
  <si>
    <t>Gross Amount</t>
  </si>
  <si>
    <t>Deductible amount</t>
  </si>
  <si>
    <t>Section 80C</t>
  </si>
  <si>
    <t>(i)</t>
  </si>
  <si>
    <t>(ii)</t>
  </si>
  <si>
    <t>(iii)</t>
  </si>
  <si>
    <t>(iv)</t>
  </si>
  <si>
    <t>(v)</t>
  </si>
  <si>
    <t>(vi)</t>
  </si>
  <si>
    <t>(vii)</t>
  </si>
  <si>
    <t>Note : -</t>
  </si>
  <si>
    <t>1. aggregate amount deductible under section 80C shall not exceed one lakh rupees.</t>
  </si>
  <si>
    <t>2. aggregate amount deductible under the three sections, i.e., 80C, 80CCC and 80 CCD, shall not exceed one lakh rupees</t>
  </si>
  <si>
    <t>80G</t>
  </si>
  <si>
    <t>80D</t>
  </si>
  <si>
    <t>Total Ded.</t>
  </si>
  <si>
    <t>Deduction Detail</t>
  </si>
  <si>
    <t>N.P.S. By SELF</t>
  </si>
  <si>
    <t>80TTA</t>
  </si>
  <si>
    <t>80DDB</t>
  </si>
  <si>
    <t>Saving Bank Int.</t>
  </si>
  <si>
    <t>I</t>
  </si>
  <si>
    <t>GPF LOAN</t>
  </si>
  <si>
    <t>S.I. LOAN</t>
  </si>
  <si>
    <t>Certificate No.</t>
  </si>
  <si>
    <t>Enc.  DATE</t>
  </si>
  <si>
    <t>CIT (TDS)</t>
  </si>
  <si>
    <t>Address</t>
  </si>
  <si>
    <t>City</t>
  </si>
  <si>
    <t>Pin code</t>
  </si>
  <si>
    <t>Part - A</t>
  </si>
  <si>
    <r>
      <t>FORM NO. 16</t>
    </r>
    <r>
      <rPr>
        <sz val="10"/>
        <rFont val="Calibri"/>
        <family val="2"/>
        <scheme val="minor"/>
      </rPr>
      <t xml:space="preserve"> </t>
    </r>
    <r>
      <rPr>
        <sz val="11"/>
        <rFont val="Calibri"/>
        <family val="2"/>
        <scheme val="minor"/>
      </rPr>
      <t>[ See Rule-31 (1)(a) ]</t>
    </r>
  </si>
  <si>
    <t>Quarter (s)</t>
  </si>
  <si>
    <t>Quarter -1</t>
  </si>
  <si>
    <t>Quarter -2</t>
  </si>
  <si>
    <t>Quarter -3</t>
  </si>
  <si>
    <t>Quarter -4</t>
  </si>
  <si>
    <t>Receipt Numbers of original Quarterly Statements of TDS under sub-section (3) of section 200</t>
  </si>
  <si>
    <t>Amount Paid / Credited</t>
  </si>
  <si>
    <t>Amount of tax deducted (Rs.)</t>
  </si>
  <si>
    <t>Amount of tax deposited / remitted (Rs.)</t>
  </si>
  <si>
    <t>TOTAL (Rs.)</t>
  </si>
  <si>
    <t>SI No.</t>
  </si>
  <si>
    <t>Tax deposited in respect of the deductee (Rs.)</t>
  </si>
  <si>
    <t>Book Identification Number (BIN)</t>
  </si>
  <si>
    <t>Receipt Numbers Of Form no. 24G</t>
  </si>
  <si>
    <t>DDO Serial Number in Form No. 24G</t>
  </si>
  <si>
    <t>Status of matching with form no. 24G</t>
  </si>
  <si>
    <t>Challan Identification Number (CIN)</t>
  </si>
  <si>
    <t>VERIFICATION</t>
  </si>
  <si>
    <t xml:space="preserve">Son / Daughter of </t>
  </si>
  <si>
    <t>Working in the capacity of</t>
  </si>
  <si>
    <r>
      <t xml:space="preserve">(designation)do hereby certify that a sum of </t>
    </r>
    <r>
      <rPr>
        <b/>
        <sz val="9"/>
        <rFont val="Calibri"/>
        <family val="2"/>
        <scheme val="minor"/>
      </rPr>
      <t>RS</t>
    </r>
  </si>
  <si>
    <t xml:space="preserve">to the credit of the central Government . I futher certify that the information given above is true, completed and </t>
  </si>
  <si>
    <t>correct and is based on the books of account , TDS statement, TDS deposited and other available records.</t>
  </si>
  <si>
    <t>Place</t>
  </si>
  <si>
    <t>Full Name</t>
  </si>
  <si>
    <t>Signature of person responsible for deduction of tax</t>
  </si>
  <si>
    <t>Notes :-</t>
  </si>
  <si>
    <t>Government deductors to fill information in item. I if tax is paid without producation of an income-tax challan and in item II if tax is paid accompanied by an income tax challan</t>
  </si>
  <si>
    <t>Non government deductor to fill information in item II</t>
  </si>
  <si>
    <t>The deductor shall furnish the address of the commissinor of income tax (TDS) having jurisdiction as regards TDS statement of the assessee</t>
  </si>
  <si>
    <t>if assessee an employed under one employer only during the year, certificate in form No. 16 issued for the quarter ending 31st march of the financial year shall contain the details of tax deducted and deposited for all the quarter of the financial year.</t>
  </si>
  <si>
    <t>if assessee an employed under more than one employer during the year, each of the employers shall issue part A of the certificate in form No. 16 pertaining to the period for which such assessee was employed with each of the employer , Part B (Annexure) of the certificate in Form No. 16 may be issued by each of the employers of the last employer at the option of the assessee.</t>
  </si>
  <si>
    <t>In the items I and II , in column for tax deposited in respect of deductee, furnish total amount of TDS and education cess</t>
  </si>
  <si>
    <t>PART - B (Annexure)</t>
  </si>
  <si>
    <t>Value of perquisites u/s 17(2) (as per Form No. 12 BA, wherever applicable)</t>
  </si>
  <si>
    <t>Profits in lieu of salary under section 17(3) (as per Form No. 12 BA, wherever applicable)</t>
  </si>
  <si>
    <t>Status of matching with OLTAS</t>
  </si>
  <si>
    <t>Challan Serial Number</t>
  </si>
  <si>
    <t>Date on which tax deposite (dd/mm/yyyy)</t>
  </si>
  <si>
    <t>BSR code of the bank branch</t>
  </si>
  <si>
    <t>TAN of the Deductor</t>
  </si>
  <si>
    <t>PAN of the Deductor</t>
  </si>
  <si>
    <t>PAN of the Employee</t>
  </si>
  <si>
    <t>Employee Reference No. provided by the Employer</t>
  </si>
  <si>
    <t>source on Salary</t>
  </si>
  <si>
    <t>Last Updated On</t>
  </si>
  <si>
    <t>Name and Address of The Employer</t>
  </si>
  <si>
    <t>Period with the Employer</t>
  </si>
  <si>
    <t>Summary of Amount paid/credited and Tax  deducted at source thereon in respect of the employee</t>
  </si>
  <si>
    <t>Date Of transfer Voucher    (dd/mm/yyyy)</t>
  </si>
  <si>
    <t>Allowance</t>
  </si>
  <si>
    <t>B</t>
  </si>
  <si>
    <t>Other sections (e.g. 80E,80G,80TTA etc.) under chapter VI-A</t>
  </si>
  <si>
    <t>Qualifying Amount</t>
  </si>
  <si>
    <t>i</t>
  </si>
  <si>
    <t>ii</t>
  </si>
  <si>
    <t>iii</t>
  </si>
  <si>
    <t>iv</t>
  </si>
  <si>
    <t>v</t>
  </si>
  <si>
    <t>Note :- In case of 80CCG separate deductions of maximum Rs. 25,000 is applicable (50% of investment made, Maximum investment upto Rs. 50,000/-) to a person having invested below Rs. 1lakh.</t>
  </si>
  <si>
    <t>Aggregate of deductible amount under chapter VI-A</t>
  </si>
  <si>
    <t>Total Income (8-10)</t>
  </si>
  <si>
    <t>Tax on Total income</t>
  </si>
  <si>
    <t>Tax Payable (12+13)</t>
  </si>
  <si>
    <t>Less : Relief under section. 89 (attech detail)</t>
  </si>
  <si>
    <t>th-ih-,Q-</t>
  </si>
  <si>
    <t>lkekU; nq?kZVuk chek</t>
  </si>
  <si>
    <t>tution fees</t>
  </si>
  <si>
    <t>lqdU;k le`f) ;kstuk</t>
  </si>
  <si>
    <t>Section …..</t>
  </si>
  <si>
    <t>-</t>
  </si>
  <si>
    <t>Basic with Grade Pay</t>
  </si>
  <si>
    <t>S.N.</t>
  </si>
  <si>
    <t>Wash All.</t>
  </si>
  <si>
    <t>Handi. All.</t>
  </si>
  <si>
    <t>CPF</t>
  </si>
  <si>
    <t>NPS</t>
  </si>
  <si>
    <t>Bank A/C.</t>
  </si>
  <si>
    <r>
      <t xml:space="preserve">TOTAL </t>
    </r>
    <r>
      <rPr>
        <b/>
        <sz val="10"/>
        <color theme="1"/>
        <rFont val="Wingdings"/>
        <charset val="2"/>
      </rPr>
      <t>F</t>
    </r>
  </si>
  <si>
    <t>uke deZpkjh %</t>
  </si>
  <si>
    <t xml:space="preserve"> in %</t>
  </si>
  <si>
    <t>PAN :</t>
  </si>
  <si>
    <t>#-</t>
  </si>
  <si>
    <t xml:space="preserve">                                                              'ks"k ¼2&amp;3½</t>
  </si>
  <si>
    <t xml:space="preserve">                                                           'ks"k ¼4&amp;5½</t>
  </si>
  <si>
    <t>¼v½x`g lEifr ls vk;%¼1½ Loa; ds mi;ksx esa &amp;'kwU;</t>
  </si>
  <si>
    <t>¼2½ izkIr fdjk;k #-</t>
  </si>
  <si>
    <t xml:space="preserve">¼c½ ?kVk;sa </t>
  </si>
  <si>
    <t xml:space="preserve"> x`g _.k ij C;kt</t>
  </si>
  <si>
    <t xml:space="preserve"> x`gdj </t>
  </si>
  <si>
    <t xml:space="preserve">  ;ksx 7¼c½</t>
  </si>
  <si>
    <t>(x)</t>
  </si>
  <si>
    <t>(xi)</t>
  </si>
  <si>
    <t>(xii)</t>
  </si>
  <si>
    <t>jk"Vªh; cpr i= ij vnr C;kt</t>
  </si>
  <si>
    <t>(xiii)</t>
  </si>
  <si>
    <t xml:space="preserve">V;w'ku Qhl </t>
  </si>
  <si>
    <t>(xiv)</t>
  </si>
  <si>
    <t>bfDoVh fyad lsfoax Ldhe</t>
  </si>
  <si>
    <t>(xv)</t>
  </si>
  <si>
    <t>(xvi)</t>
  </si>
  <si>
    <t>(viii)</t>
  </si>
  <si>
    <t>;w- ,y- vkbZ- ih-@okf"kZd Iyku</t>
  </si>
  <si>
    <t>(xvii)</t>
  </si>
  <si>
    <t>vU; tekjkf'k ¼/kkjk 80 lh ds vUrxZr½</t>
  </si>
  <si>
    <t>(ix)</t>
  </si>
  <si>
    <t>lqdU;k le`f) ;kstuk esa tek jkf'k</t>
  </si>
  <si>
    <t xml:space="preserve">                        vf/kdre dVkSrh dh jkf'k 1-50 yk[k #i, rd</t>
  </si>
  <si>
    <t xml:space="preserve"> vU; dVkSfr;k¡</t>
  </si>
  <si>
    <t xml:space="preserve"> vk;dj dh x.kuk  mijksDr dkWye 15 ds vk/kkj ij</t>
  </si>
  <si>
    <t>,d O;fDr dj nkrk</t>
  </si>
  <si>
    <t>ofj"B ukxfjd ¼60 ls 80 o"kZ rd½</t>
  </si>
  <si>
    <t>80 o"kZ ;k vf/kd vk;q</t>
  </si>
  <si>
    <t>Nil</t>
  </si>
  <si>
    <t>2,50,001-5,00,000</t>
  </si>
  <si>
    <t>3,00,001-5,00,000</t>
  </si>
  <si>
    <t>5,00,001-10,00,000</t>
  </si>
  <si>
    <t>¼1½ ;ksx vk;dj</t>
  </si>
  <si>
    <t>¼3½ 'ks"k vk;dj ¼1&amp;2½</t>
  </si>
  <si>
    <t>dqy 'ks"k vk;dj</t>
  </si>
  <si>
    <t xml:space="preserve"> vk;dj dVkSrh
 dk fooj.k</t>
  </si>
  <si>
    <t>gLrk{kj dkfeZd</t>
  </si>
  <si>
    <r>
      <t xml:space="preserve"> fdjk;s dk </t>
    </r>
    <r>
      <rPr>
        <sz val="10"/>
        <rFont val="Calibri"/>
        <family val="2"/>
        <scheme val="minor"/>
      </rPr>
      <t>30%</t>
    </r>
  </si>
  <si>
    <t>vk;dj x.kuk izi= o"kZ</t>
  </si>
  <si>
    <t>¼dj fu/kkZj.k o"kZ</t>
  </si>
  <si>
    <t>½</t>
  </si>
  <si>
    <t>CCA</t>
  </si>
  <si>
    <t>OTHER</t>
  </si>
  <si>
    <t>G.I. + S. Tax</t>
  </si>
  <si>
    <t>Posting Place :-</t>
  </si>
  <si>
    <t>Designation :-</t>
  </si>
  <si>
    <t>Employee Name :-</t>
  </si>
  <si>
    <t>PAN No. :-</t>
  </si>
  <si>
    <t>PRAN No. :-</t>
  </si>
  <si>
    <t>DEEO PALI</t>
  </si>
  <si>
    <t>Name of Employer :-</t>
  </si>
  <si>
    <t>Signature of Employee</t>
  </si>
  <si>
    <t>Signature of DDO</t>
  </si>
  <si>
    <t xml:space="preserve">DDO / Officer :- </t>
  </si>
  <si>
    <t xml:space="preserve">Name of DDO / Officer :- </t>
  </si>
  <si>
    <r>
      <rPr>
        <b/>
        <sz val="16"/>
        <color rgb="FFFFFF00"/>
        <rFont val="Calibri"/>
        <family val="2"/>
        <scheme val="minor"/>
      </rPr>
      <t>Personal Employee ID</t>
    </r>
    <r>
      <rPr>
        <b/>
        <sz val="16"/>
        <color rgb="FFFFFF00"/>
        <rFont val="Kruti Dev 010"/>
      </rPr>
      <t xml:space="preserve"> </t>
    </r>
    <r>
      <rPr>
        <b/>
        <sz val="16"/>
        <color rgb="FFFFFF00"/>
        <rFont val="Calibri"/>
        <family val="2"/>
        <scheme val="minor"/>
      </rPr>
      <t>:-</t>
    </r>
  </si>
  <si>
    <r>
      <rPr>
        <b/>
        <sz val="16"/>
        <color rgb="FFFFFF00"/>
        <rFont val="Calibri"/>
        <family val="2"/>
        <scheme val="minor"/>
      </rPr>
      <t>PAN No.</t>
    </r>
    <r>
      <rPr>
        <b/>
        <sz val="16"/>
        <color rgb="FFFFFF00"/>
        <rFont val="Kruti Dev 010"/>
      </rPr>
      <t xml:space="preserve"> </t>
    </r>
    <r>
      <rPr>
        <b/>
        <sz val="16"/>
        <color rgb="FFFFFF00"/>
        <rFont val="Calibri"/>
        <family val="2"/>
        <scheme val="minor"/>
      </rPr>
      <t>:-</t>
    </r>
  </si>
  <si>
    <t>GPF No. :-</t>
  </si>
  <si>
    <t>Bank A/C No. :-</t>
  </si>
  <si>
    <t>Father's Name of DDO / Officer :-</t>
  </si>
  <si>
    <t>Assessment Year :-</t>
  </si>
  <si>
    <t>Financial Year (Period) :-</t>
  </si>
  <si>
    <t>Income Tax Caculate Date Form :-</t>
  </si>
  <si>
    <t>To till Date :-</t>
  </si>
  <si>
    <t>Salary Head :-</t>
  </si>
  <si>
    <t>UID AADHAR No. :-</t>
  </si>
  <si>
    <t>TAN NO. :-</t>
  </si>
  <si>
    <t>SI No. :-</t>
  </si>
  <si>
    <t>CPF &amp; NPS No. :-</t>
  </si>
  <si>
    <r>
      <rPr>
        <b/>
        <sz val="16"/>
        <color rgb="FFFFFF00"/>
        <rFont val="Calibri"/>
        <family val="2"/>
        <scheme val="minor"/>
      </rPr>
      <t>Employee Name</t>
    </r>
    <r>
      <rPr>
        <b/>
        <sz val="16"/>
        <color rgb="FFFFFF00"/>
        <rFont val="Kruti Dev 010"/>
      </rPr>
      <t xml:space="preserve"> </t>
    </r>
    <r>
      <rPr>
        <b/>
        <sz val="16"/>
        <color rgb="FFFFFF00"/>
        <rFont val="Calibri"/>
        <family val="2"/>
        <scheme val="minor"/>
      </rPr>
      <t>:-</t>
    </r>
  </si>
  <si>
    <r>
      <rPr>
        <b/>
        <sz val="16"/>
        <color rgb="FFFFFF00"/>
        <rFont val="Calibri"/>
        <family val="2"/>
        <scheme val="minor"/>
      </rPr>
      <t>Office Name</t>
    </r>
    <r>
      <rPr>
        <b/>
        <sz val="16"/>
        <color rgb="FFFFFF00"/>
        <rFont val="Kruti Dev 010"/>
      </rPr>
      <t xml:space="preserve"> </t>
    </r>
    <r>
      <rPr>
        <b/>
        <sz val="16"/>
        <color rgb="FFFFFF00"/>
        <rFont val="Calibri"/>
        <family val="2"/>
        <scheme val="minor"/>
      </rPr>
      <t>:-</t>
    </r>
  </si>
  <si>
    <t xml:space="preserve">YES </t>
  </si>
  <si>
    <t>NO</t>
  </si>
  <si>
    <t>Regular Pay</t>
  </si>
  <si>
    <t>FIX Pay</t>
  </si>
  <si>
    <t>EMPLOYEE  PERSONAL  DETAIL</t>
  </si>
  <si>
    <t>MAR</t>
  </si>
  <si>
    <t>APR</t>
  </si>
  <si>
    <t>MAY</t>
  </si>
  <si>
    <t>JUN</t>
  </si>
  <si>
    <t>JUL</t>
  </si>
  <si>
    <t>AUG</t>
  </si>
  <si>
    <t>SEP</t>
  </si>
  <si>
    <t>OCT</t>
  </si>
  <si>
    <t>NOV</t>
  </si>
  <si>
    <t>DEC</t>
  </si>
  <si>
    <t>JAN</t>
  </si>
  <si>
    <t>FEB</t>
  </si>
  <si>
    <r>
      <rPr>
        <b/>
        <sz val="16"/>
        <color rgb="FFC0C03E"/>
        <rFont val="Calibri"/>
        <family val="2"/>
        <scheme val="minor"/>
      </rPr>
      <t xml:space="preserve">    7th PAY  HRA </t>
    </r>
    <r>
      <rPr>
        <b/>
        <sz val="16"/>
        <color rgb="FFC0C03E"/>
        <rFont val="Kruti Dev 010"/>
      </rPr>
      <t>izfr'kr esa %&amp;</t>
    </r>
  </si>
  <si>
    <t>Under 60</t>
  </si>
  <si>
    <t xml:space="preserve">60 to 80 </t>
  </si>
  <si>
    <t>Above 80</t>
  </si>
  <si>
    <t>4- x`g lEifr ls izkIr fdjk;k &amp; vk;</t>
  </si>
  <si>
    <t xml:space="preserve">5- x`gdj </t>
  </si>
  <si>
    <t>11- ;w- ,y- vkbZ- ih-@okf"kZd Iyku</t>
  </si>
  <si>
    <t>13- jk"Vªh; cpr i= ij vnr C;kt</t>
  </si>
  <si>
    <r>
      <t xml:space="preserve">2- euksjatu Hkrk /kkjk </t>
    </r>
    <r>
      <rPr>
        <b/>
        <sz val="14"/>
        <rFont val="Calibri"/>
        <family val="2"/>
        <scheme val="minor"/>
      </rPr>
      <t>16 (ii)</t>
    </r>
    <r>
      <rPr>
        <b/>
        <sz val="14"/>
        <rFont val="Kruti Dev 010"/>
      </rPr>
      <t xml:space="preserve"> ds vUrxZr </t>
    </r>
  </si>
  <si>
    <r>
      <t>3- O;o;k; dj /kkjk 16 ¼</t>
    </r>
    <r>
      <rPr>
        <b/>
        <sz val="14"/>
        <rFont val="Calibri"/>
        <family val="2"/>
        <scheme val="minor"/>
      </rPr>
      <t>iii</t>
    </r>
    <r>
      <rPr>
        <b/>
        <sz val="14"/>
        <rFont val="Kruti Dev 010"/>
      </rPr>
      <t xml:space="preserve">½ ds vUrxrZ </t>
    </r>
  </si>
  <si>
    <r>
      <t xml:space="preserve">9- ih-,y-vkbZ- </t>
    </r>
    <r>
      <rPr>
        <b/>
        <sz val="14"/>
        <rFont val="Calibri"/>
        <family val="2"/>
        <scheme val="minor"/>
      </rPr>
      <t>(PLI)</t>
    </r>
  </si>
  <si>
    <r>
      <t xml:space="preserve">10- V;w'ku Qhl </t>
    </r>
    <r>
      <rPr>
        <b/>
        <sz val="14"/>
        <rFont val="Calibri"/>
        <family val="2"/>
        <scheme val="minor"/>
      </rPr>
      <t>(Tution Fees)</t>
    </r>
  </si>
  <si>
    <r>
      <t>12- jk"Vªh; cpr i=</t>
    </r>
    <r>
      <rPr>
        <b/>
        <sz val="14"/>
        <rFont val="Calibri"/>
        <family val="2"/>
        <scheme val="minor"/>
      </rPr>
      <t xml:space="preserve"> (NSC)</t>
    </r>
  </si>
  <si>
    <r>
      <t xml:space="preserve">14- yksd Hkfo"; fuf/k </t>
    </r>
    <r>
      <rPr>
        <b/>
        <sz val="14"/>
        <rFont val="Calibri"/>
        <family val="2"/>
        <scheme val="minor"/>
      </rPr>
      <t>(PPF)</t>
    </r>
  </si>
  <si>
    <r>
      <t>16- lqdU;k le`f) ;kstuk</t>
    </r>
    <r>
      <rPr>
        <b/>
        <sz val="14"/>
        <rFont val="Calibri"/>
        <family val="2"/>
        <scheme val="minor"/>
      </rPr>
      <t xml:space="preserve"> (SSY)</t>
    </r>
  </si>
  <si>
    <t>SR No.</t>
  </si>
  <si>
    <r>
      <rPr>
        <b/>
        <sz val="16"/>
        <color theme="0"/>
        <rFont val="Calibri"/>
        <family val="2"/>
        <scheme val="minor"/>
      </rPr>
      <t xml:space="preserve">16 No. </t>
    </r>
    <r>
      <rPr>
        <b/>
        <sz val="16"/>
        <color theme="0"/>
        <rFont val="Kruti Dev 010"/>
      </rPr>
      <t xml:space="preserve">QkeZ ds fglkc ls tks ykxw gks mls lysDV djsa  </t>
    </r>
  </si>
  <si>
    <t>I- DETAIL OF TAX DEDUCTED AND DEPOSITED IN THE CENTRAL GOVERNMENT ACCOUNT THROUGH BOOK ADJUSTMENT       (The deductor to provide payment wise detail of tax deducted and deposited with respect to the deductee)</t>
  </si>
  <si>
    <t>II- DETAIL OF TAX DEDUCTED AND DEPOSITED IN THE CENTRAL GOVERNMENT ACCOUNT THROUGH CHALLAN                  (The deductor to provide payment wise detail of tax deducted and deposited with respect to the deductee)</t>
  </si>
  <si>
    <t>osru dVkSrh ds vfrfjDr dVkSfr;k ftlds rgr vki vk;dj esa NwV pkgrs gSa] rFkk vfrfjDr ¼vU;½ vk; dks ;gkW ij bUnzkt djsA</t>
  </si>
  <si>
    <r>
      <t xml:space="preserve">15- jk"Vªh; cpr Ldhe </t>
    </r>
    <r>
      <rPr>
        <b/>
        <sz val="14"/>
        <rFont val="Calibri"/>
        <family val="2"/>
        <scheme val="minor"/>
      </rPr>
      <t>(NSS)</t>
    </r>
  </si>
  <si>
    <r>
      <t xml:space="preserve">19- /kkjk </t>
    </r>
    <r>
      <rPr>
        <b/>
        <sz val="14"/>
        <rFont val="Calibri"/>
        <family val="2"/>
        <scheme val="minor"/>
      </rPr>
      <t xml:space="preserve">80CCC </t>
    </r>
    <r>
      <rPr>
        <b/>
        <sz val="14"/>
        <rFont val="Kruti Dev 010"/>
      </rPr>
      <t>- isa'ku Iyku gsrq va'knku</t>
    </r>
  </si>
  <si>
    <r>
      <t xml:space="preserve">21- /kkjk </t>
    </r>
    <r>
      <rPr>
        <b/>
        <sz val="14"/>
        <rFont val="Calibri"/>
        <family val="2"/>
        <scheme val="minor"/>
      </rPr>
      <t>80CCD(1B) -</t>
    </r>
    <r>
      <rPr>
        <b/>
        <sz val="14"/>
        <rFont val="Kruti Dev 010"/>
      </rPr>
      <t>uohu isa'ku ;kstuk esa vfrfjDr va'knku ¼vf/kdre :- 50]000½</t>
    </r>
  </si>
  <si>
    <r>
      <t xml:space="preserve">22- /kkjk </t>
    </r>
    <r>
      <rPr>
        <b/>
        <sz val="14"/>
        <rFont val="Calibri"/>
        <family val="2"/>
        <scheme val="minor"/>
      </rPr>
      <t xml:space="preserve">80D </t>
    </r>
    <r>
      <rPr>
        <b/>
        <sz val="14"/>
        <rFont val="Kruti Dev 010"/>
      </rPr>
      <t xml:space="preserve">- fpfdRlk chek izhfe;e </t>
    </r>
  </si>
  <si>
    <r>
      <t xml:space="preserve">24- /kkjk </t>
    </r>
    <r>
      <rPr>
        <b/>
        <sz val="14"/>
        <rFont val="Calibri"/>
        <family val="2"/>
        <scheme val="minor"/>
      </rPr>
      <t xml:space="preserve">80DDB </t>
    </r>
    <r>
      <rPr>
        <b/>
        <sz val="14"/>
        <rFont val="Kruti Dev 010"/>
      </rPr>
      <t>- fof'k"V jksxksa ds mipkj gsrq dVkSrh ¼vf/kdre 40000 :½</t>
    </r>
  </si>
  <si>
    <r>
      <t xml:space="preserve">25- /kkjk </t>
    </r>
    <r>
      <rPr>
        <b/>
        <sz val="14"/>
        <rFont val="Calibri"/>
        <family val="2"/>
        <scheme val="minor"/>
      </rPr>
      <t xml:space="preserve">80E </t>
    </r>
    <r>
      <rPr>
        <b/>
        <sz val="14"/>
        <rFont val="Kruti Dev 010"/>
      </rPr>
      <t xml:space="preserve">- mPp f'k{kk gsrq fy, _.k dk C;kt ¼/kkjk </t>
    </r>
    <r>
      <rPr>
        <b/>
        <sz val="14"/>
        <rFont val="Calibri"/>
        <family val="2"/>
        <scheme val="minor"/>
      </rPr>
      <t>80E</t>
    </r>
    <r>
      <rPr>
        <b/>
        <sz val="14"/>
        <rFont val="Kruti Dev 010"/>
      </rPr>
      <t>½</t>
    </r>
  </si>
  <si>
    <r>
      <t xml:space="preserve">26- /kkjk </t>
    </r>
    <r>
      <rPr>
        <b/>
        <sz val="14"/>
        <rFont val="Calibri"/>
        <family val="2"/>
        <scheme val="minor"/>
      </rPr>
      <t xml:space="preserve">80G </t>
    </r>
    <r>
      <rPr>
        <b/>
        <sz val="14"/>
        <rFont val="Kruti Dev 010"/>
      </rPr>
      <t xml:space="preserve">- /kekZFkZ laLFkkvksa vkfn dks fn;s nku ¼d Js.kh </t>
    </r>
    <r>
      <rPr>
        <b/>
        <sz val="14"/>
        <rFont val="Calibri"/>
        <family val="2"/>
        <scheme val="minor"/>
      </rPr>
      <t xml:space="preserve">100% </t>
    </r>
    <r>
      <rPr>
        <b/>
        <sz val="14"/>
        <rFont val="Kruti Dev 010"/>
      </rPr>
      <t xml:space="preserve">,oa [k Js.kh </t>
    </r>
    <r>
      <rPr>
        <b/>
        <sz val="14"/>
        <rFont val="Calibri"/>
        <family val="2"/>
        <scheme val="minor"/>
      </rPr>
      <t>50%</t>
    </r>
    <r>
      <rPr>
        <b/>
        <sz val="14"/>
        <rFont val="Kruti Dev 010"/>
      </rPr>
      <t>½</t>
    </r>
  </si>
  <si>
    <r>
      <t xml:space="preserve">27- /kkjk </t>
    </r>
    <r>
      <rPr>
        <b/>
        <sz val="14"/>
        <rFont val="Calibri"/>
        <family val="2"/>
        <scheme val="minor"/>
      </rPr>
      <t xml:space="preserve">80U </t>
    </r>
    <r>
      <rPr>
        <b/>
        <sz val="14"/>
        <rFont val="Kruti Dev 010"/>
      </rPr>
      <t xml:space="preserve">- LFkkbZ :i ls 'kkjhfjd vleFkZrrk </t>
    </r>
  </si>
  <si>
    <r>
      <t xml:space="preserve">28- /kkjk </t>
    </r>
    <r>
      <rPr>
        <b/>
        <sz val="14"/>
        <rFont val="Calibri"/>
        <family val="2"/>
        <scheme val="minor"/>
      </rPr>
      <t>80TTA -</t>
    </r>
    <r>
      <rPr>
        <b/>
        <sz val="14"/>
        <rFont val="Kruti Dev 010"/>
      </rPr>
      <t xml:space="preserve"> cpr [kkrs ij vf/kdre C;kt :- 10]000 </t>
    </r>
    <r>
      <rPr>
        <b/>
        <sz val="14"/>
        <rFont val="Calibri"/>
        <family val="2"/>
        <scheme val="minor"/>
      </rPr>
      <t>194(IA)</t>
    </r>
  </si>
  <si>
    <r>
      <t xml:space="preserve">29- /kkjk </t>
    </r>
    <r>
      <rPr>
        <b/>
        <sz val="14"/>
        <rFont val="Calibri"/>
        <family val="2"/>
        <scheme val="minor"/>
      </rPr>
      <t xml:space="preserve">80 GGA - </t>
    </r>
    <r>
      <rPr>
        <b/>
        <sz val="14"/>
        <rFont val="Kruti Dev 010"/>
      </rPr>
      <t>vuqeksfnr oSKkfud]lkekftd]xzkeh.k fodkl vkfn gsrq fn;k x;k nku</t>
    </r>
  </si>
  <si>
    <t>31- bfDoVh fyad lsfoax Ldhe</t>
  </si>
  <si>
    <t>32- LFkfxr okf"kZdh</t>
  </si>
  <si>
    <r>
      <t>33- osru ds vykok tek djk;k x;k aavk;dj</t>
    </r>
    <r>
      <rPr>
        <b/>
        <sz val="14"/>
        <rFont val="Calibri"/>
        <family val="2"/>
        <scheme val="minor"/>
      </rPr>
      <t xml:space="preserve"> (TDS)</t>
    </r>
  </si>
  <si>
    <t>20- vU; tek jkf'k ¼/kkjk 80 lh ds vUrxZr½</t>
  </si>
  <si>
    <r>
      <t xml:space="preserve">23- /kkjk </t>
    </r>
    <r>
      <rPr>
        <b/>
        <sz val="14"/>
        <rFont val="Calibri"/>
        <family val="2"/>
        <scheme val="minor"/>
      </rPr>
      <t>80DD -</t>
    </r>
    <r>
      <rPr>
        <b/>
        <sz val="14"/>
        <rFont val="Kruti Dev 010"/>
      </rPr>
      <t xml:space="preserve"> fodykax vkfJrksa ds fpfdRlk mipkj </t>
    </r>
  </si>
  <si>
    <r>
      <t>Less</t>
    </r>
    <r>
      <rPr>
        <sz val="9"/>
        <rFont val="Calibri"/>
        <family val="2"/>
        <scheme val="minor"/>
      </rPr>
      <t xml:space="preserve"> : Allowance to the extent exempt under section. 10(13-a) &amp; 10(14)</t>
    </r>
  </si>
  <si>
    <r>
      <t xml:space="preserve">Deductions </t>
    </r>
    <r>
      <rPr>
        <sz val="11"/>
        <rFont val="Calibri"/>
        <family val="2"/>
        <scheme val="minor"/>
      </rPr>
      <t>under section 16(ii) &amp; 16 (iii)</t>
    </r>
  </si>
  <si>
    <t>OTHER INCOME</t>
  </si>
  <si>
    <t>Section 80CCD (2)</t>
  </si>
  <si>
    <t xml:space="preserve">(designation)do hereby certify that  the  </t>
  </si>
  <si>
    <t xml:space="preserve"> information given above is true, complete and correct and is based on the books of account , TDS statement, TDS deposited and other available records.</t>
  </si>
  <si>
    <t>Income Tax Deposit</t>
  </si>
  <si>
    <t xml:space="preserve">18- vU; vk; /kkjk </t>
  </si>
  <si>
    <t>MONTHS</t>
  </si>
  <si>
    <t>"Y"</t>
  </si>
  <si>
    <t>Basic Pay.</t>
  </si>
  <si>
    <t>Y</t>
  </si>
  <si>
    <t xml:space="preserve">After selecting months, give rent paid amount. </t>
  </si>
  <si>
    <t>FEBRUARY 18</t>
  </si>
  <si>
    <r>
      <t xml:space="preserve">RENT PAID AMOUNT MONTHLY  </t>
    </r>
    <r>
      <rPr>
        <b/>
        <sz val="20"/>
        <color indexed="21"/>
        <rFont val="Calibri"/>
        <family val="2"/>
        <scheme val="minor"/>
      </rPr>
      <t xml:space="preserve"> </t>
    </r>
    <r>
      <rPr>
        <b/>
        <sz val="20"/>
        <color indexed="21"/>
        <rFont val="Wingdings"/>
        <charset val="2"/>
      </rPr>
      <t>F</t>
    </r>
  </si>
  <si>
    <r>
      <t xml:space="preserve">Max. HRA exemption amount   </t>
    </r>
    <r>
      <rPr>
        <b/>
        <sz val="18"/>
        <color indexed="17"/>
        <rFont val="Calibri"/>
        <family val="2"/>
        <scheme val="minor"/>
      </rPr>
      <t xml:space="preserve"> </t>
    </r>
    <r>
      <rPr>
        <b/>
        <sz val="18"/>
        <color indexed="17"/>
        <rFont val="Wingdings"/>
        <charset val="2"/>
      </rPr>
      <t>F</t>
    </r>
  </si>
  <si>
    <r>
      <t xml:space="preserve">Rent receipt required for max. exemption     </t>
    </r>
    <r>
      <rPr>
        <b/>
        <sz val="18"/>
        <color theme="7" tint="0.79998168889431442"/>
        <rFont val="Wingdings"/>
        <charset val="2"/>
      </rPr>
      <t>F</t>
    </r>
  </si>
  <si>
    <r>
      <t xml:space="preserve">House Rent Per Month        </t>
    </r>
    <r>
      <rPr>
        <b/>
        <sz val="18"/>
        <color theme="9" tint="0.59999389629810485"/>
        <rFont val="Wingdings"/>
        <charset val="2"/>
      </rPr>
      <t>F</t>
    </r>
  </si>
  <si>
    <t xml:space="preserve">TOTAL </t>
  </si>
  <si>
    <t>If required</t>
  </si>
  <si>
    <r>
      <rPr>
        <b/>
        <sz val="16"/>
        <color indexed="17"/>
        <rFont val="Wingdings"/>
        <charset val="2"/>
      </rPr>
      <t>E</t>
    </r>
    <r>
      <rPr>
        <b/>
        <sz val="16"/>
        <color indexed="17"/>
        <rFont val="Times New Roman"/>
        <family val="1"/>
      </rPr>
      <t xml:space="preserve">   </t>
    </r>
    <r>
      <rPr>
        <b/>
        <sz val="16"/>
        <color indexed="17"/>
        <rFont val="Calibri"/>
        <family val="2"/>
        <scheme val="minor"/>
      </rPr>
      <t>Please select months by typing</t>
    </r>
    <r>
      <rPr>
        <b/>
        <sz val="16"/>
        <color indexed="17"/>
        <rFont val="Times New Roman"/>
        <family val="1"/>
      </rPr>
      <t xml:space="preserve"> "Y" </t>
    </r>
  </si>
  <si>
    <t xml:space="preserve">    edku fdjk;k NwV ds fy, jlhn dh vko';drk gks rks funsZ'kksa dh ikyuk djrs gq, jlhn dh jkf'k izkIr dj ldrs gSaA</t>
  </si>
  <si>
    <t xml:space="preserve"> has been deducted and deposited</t>
  </si>
  <si>
    <t>In Words:</t>
  </si>
  <si>
    <t>Other Deduction Sheet</t>
  </si>
  <si>
    <t>Computation Sheet</t>
  </si>
  <si>
    <t>Print</t>
  </si>
  <si>
    <t>How to use this Programme</t>
  </si>
  <si>
    <r>
      <t xml:space="preserve">bl izksxzke ls lVhd vkmViqV ysus gsrq vki ls fuosnu jgsxk fd lcls igys </t>
    </r>
    <r>
      <rPr>
        <sz val="14"/>
        <rFont val="Calibri"/>
        <family val="2"/>
        <scheme val="minor"/>
      </rPr>
      <t>MASTER Sheet</t>
    </r>
    <r>
      <rPr>
        <sz val="14"/>
        <rFont val="Kruti Dev 010"/>
      </rPr>
      <t xml:space="preserve"> dh ,UV~zh lko/kkuh iwoZd Hkjsa A dksbZ Hkh dkWye [kkyh ugh j[ksaA tks tks lwpuk,W Hkjuh gSa] muds fy, lQsn dyj esa vuykWd lsy gSa] ogkW ij izfof"V;kW bUnzkt djsa A mlds ckn fcy 'khV esa vkxsa c&lt;+saA</t>
    </r>
  </si>
  <si>
    <r>
      <rPr>
        <sz val="12"/>
        <rFont val="Calibri"/>
        <family val="2"/>
        <scheme val="minor"/>
      </rPr>
      <t xml:space="preserve">NPS Employee </t>
    </r>
    <r>
      <rPr>
        <sz val="14"/>
        <rFont val="Kruti Dev 010"/>
      </rPr>
      <t xml:space="preserve">ds fy, </t>
    </r>
    <r>
      <rPr>
        <sz val="12"/>
        <rFont val="Calibri"/>
        <family val="2"/>
        <scheme val="minor"/>
      </rPr>
      <t xml:space="preserve">Computation Sheet </t>
    </r>
    <r>
      <rPr>
        <sz val="12"/>
        <rFont val="Kruti Dev 010"/>
      </rPr>
      <t xml:space="preserve"> </t>
    </r>
    <r>
      <rPr>
        <sz val="14"/>
        <rFont val="Kruti Dev 010"/>
      </rPr>
      <t>dh</t>
    </r>
    <r>
      <rPr>
        <sz val="12"/>
        <rFont val="Kruti Dev 010"/>
      </rPr>
      <t xml:space="preserve"> </t>
    </r>
    <r>
      <rPr>
        <sz val="12"/>
        <rFont val="Calibri"/>
        <family val="2"/>
        <scheme val="minor"/>
      </rPr>
      <t>Gross Salary</t>
    </r>
    <r>
      <rPr>
        <sz val="12"/>
        <rFont val="Kruti Dev 010"/>
      </rPr>
      <t xml:space="preserve"> </t>
    </r>
    <r>
      <rPr>
        <sz val="14"/>
        <rFont val="Kruti Dev 010"/>
      </rPr>
      <t>esa</t>
    </r>
    <r>
      <rPr>
        <sz val="12"/>
        <rFont val="Kruti Dev 010"/>
      </rPr>
      <t xml:space="preserve">  </t>
    </r>
    <r>
      <rPr>
        <sz val="12"/>
        <rFont val="Calibri"/>
        <family val="2"/>
        <scheme val="minor"/>
      </rPr>
      <t>Govt. Contribution Fund</t>
    </r>
    <r>
      <rPr>
        <sz val="12"/>
        <rFont val="Kruti Dev 010"/>
      </rPr>
      <t xml:space="preserve"> </t>
    </r>
    <r>
      <rPr>
        <sz val="14"/>
        <rFont val="Kruti Dev 010"/>
      </rPr>
      <t xml:space="preserve"> dh jkf'k tksM+h x;h gSA</t>
    </r>
  </si>
  <si>
    <r>
      <t xml:space="preserve">bl 'khV esa </t>
    </r>
    <r>
      <rPr>
        <sz val="12"/>
        <rFont val="Calibri"/>
        <family val="2"/>
        <scheme val="minor"/>
      </rPr>
      <t>GA 55</t>
    </r>
    <r>
      <rPr>
        <sz val="12"/>
        <rFont val="Kruti Dev 010"/>
      </rPr>
      <t xml:space="preserve"> </t>
    </r>
    <r>
      <rPr>
        <sz val="14"/>
        <rFont val="Kruti Dev 010"/>
      </rPr>
      <t>rFkk</t>
    </r>
    <r>
      <rPr>
        <sz val="12"/>
        <rFont val="Kruti Dev 010"/>
      </rPr>
      <t xml:space="preserve"> </t>
    </r>
    <r>
      <rPr>
        <sz val="12"/>
        <rFont val="Calibri"/>
        <family val="2"/>
        <scheme val="minor"/>
      </rPr>
      <t>Extra Dedution</t>
    </r>
    <r>
      <rPr>
        <sz val="12"/>
        <rFont val="Kruti Dev 010"/>
      </rPr>
      <t xml:space="preserve"> </t>
    </r>
    <r>
      <rPr>
        <sz val="14"/>
        <rFont val="Kruti Dev 010"/>
      </rPr>
      <t>dk</t>
    </r>
    <r>
      <rPr>
        <sz val="12"/>
        <rFont val="Kruti Dev 010"/>
      </rPr>
      <t xml:space="preserve"> </t>
    </r>
    <r>
      <rPr>
        <sz val="12"/>
        <rFont val="Calibri"/>
        <family val="2"/>
        <scheme val="minor"/>
      </rPr>
      <t>Data</t>
    </r>
    <r>
      <rPr>
        <sz val="12"/>
        <rFont val="Kruti Dev 010"/>
      </rPr>
      <t xml:space="preserve"> </t>
    </r>
    <r>
      <rPr>
        <sz val="14"/>
        <rFont val="Kruti Dev 010"/>
      </rPr>
      <t xml:space="preserve">Lor% vk;sxkA bl 'khV esa vkidks </t>
    </r>
    <r>
      <rPr>
        <sz val="12"/>
        <rFont val="Calibri"/>
        <family val="2"/>
        <scheme val="minor"/>
      </rPr>
      <t>Edit</t>
    </r>
    <r>
      <rPr>
        <sz val="12"/>
        <rFont val="Kruti Dev 010"/>
      </rPr>
      <t xml:space="preserve"> </t>
    </r>
    <r>
      <rPr>
        <sz val="14"/>
        <rFont val="Kruti Dev 010"/>
      </rPr>
      <t>dh vuqefr ugha gSA tks Hkh ifjorZu djuk gS</t>
    </r>
    <r>
      <rPr>
        <sz val="14"/>
        <rFont val="Calibri"/>
        <family val="2"/>
        <scheme val="minor"/>
      </rPr>
      <t xml:space="preserve"> </t>
    </r>
    <r>
      <rPr>
        <sz val="12"/>
        <rFont val="Calibri"/>
        <family val="2"/>
        <scheme val="minor"/>
      </rPr>
      <t>Bills</t>
    </r>
    <r>
      <rPr>
        <sz val="14"/>
        <rFont val="Calibri"/>
        <family val="2"/>
        <scheme val="minor"/>
      </rPr>
      <t xml:space="preserve"> </t>
    </r>
    <r>
      <rPr>
        <sz val="14"/>
        <rFont val="Kruti Dev 010"/>
      </rPr>
      <t xml:space="preserve">rFkk </t>
    </r>
    <r>
      <rPr>
        <sz val="12"/>
        <rFont val="Calibri"/>
        <family val="2"/>
        <scheme val="minor"/>
      </rPr>
      <t>Extra Deduc</t>
    </r>
    <r>
      <rPr>
        <sz val="14"/>
        <rFont val="Kruti Dev 010"/>
      </rPr>
      <t xml:space="preserve"> 'khV esa gh djsA</t>
    </r>
    <r>
      <rPr>
        <sz val="12"/>
        <rFont val="Calibri"/>
        <family val="2"/>
        <scheme val="minor"/>
      </rPr>
      <t xml:space="preserve"> NPS Employee</t>
    </r>
    <r>
      <rPr>
        <sz val="12"/>
        <rFont val="Kruti Dev 010"/>
      </rPr>
      <t xml:space="preserve"> </t>
    </r>
    <r>
      <rPr>
        <sz val="14"/>
        <rFont val="Kruti Dev 010"/>
      </rPr>
      <t xml:space="preserve">ds fy, ldy vk; esa </t>
    </r>
    <r>
      <rPr>
        <sz val="12"/>
        <rFont val="Calibri"/>
        <family val="2"/>
        <scheme val="minor"/>
      </rPr>
      <t>Govt. Contribution Pension Fund</t>
    </r>
    <r>
      <rPr>
        <sz val="12"/>
        <rFont val="Kruti Dev 010"/>
      </rPr>
      <t xml:space="preserve"> </t>
    </r>
    <r>
      <rPr>
        <sz val="14"/>
        <rFont val="Kruti Dev 010"/>
      </rPr>
      <t>dh jkf'k tksM+ nh x;h gSA</t>
    </r>
  </si>
  <si>
    <r>
      <t xml:space="preserve">bl 'khV esa Hkh </t>
    </r>
    <r>
      <rPr>
        <sz val="12"/>
        <rFont val="Calibri"/>
        <family val="2"/>
        <scheme val="minor"/>
      </rPr>
      <t>GA 55</t>
    </r>
    <r>
      <rPr>
        <sz val="12"/>
        <rFont val="Kruti Dev 010"/>
      </rPr>
      <t xml:space="preserve"> </t>
    </r>
    <r>
      <rPr>
        <sz val="14"/>
        <rFont val="Kruti Dev 010"/>
      </rPr>
      <t>rFkk</t>
    </r>
    <r>
      <rPr>
        <sz val="12"/>
        <rFont val="Kruti Dev 010"/>
      </rPr>
      <t xml:space="preserve"> </t>
    </r>
    <r>
      <rPr>
        <sz val="12"/>
        <rFont val="Calibri"/>
        <family val="2"/>
        <scheme val="minor"/>
      </rPr>
      <t>Extra Dedution</t>
    </r>
    <r>
      <rPr>
        <sz val="12"/>
        <rFont val="Kruti Dev 010"/>
      </rPr>
      <t xml:space="preserve"> </t>
    </r>
    <r>
      <rPr>
        <sz val="14"/>
        <rFont val="Kruti Dev 010"/>
      </rPr>
      <t>dk</t>
    </r>
    <r>
      <rPr>
        <sz val="12"/>
        <rFont val="Kruti Dev 010"/>
      </rPr>
      <t xml:space="preserve"> </t>
    </r>
    <r>
      <rPr>
        <sz val="12"/>
        <rFont val="Calibri"/>
        <family val="2"/>
        <scheme val="minor"/>
      </rPr>
      <t>Data</t>
    </r>
    <r>
      <rPr>
        <sz val="12"/>
        <rFont val="Kruti Dev 010"/>
      </rPr>
      <t xml:space="preserve"> </t>
    </r>
    <r>
      <rPr>
        <sz val="14"/>
        <rFont val="Kruti Dev 010"/>
      </rPr>
      <t xml:space="preserve">Lor% vk;sxkA bl 'khV esa vkidks </t>
    </r>
    <r>
      <rPr>
        <sz val="12"/>
        <rFont val="Calibri"/>
        <family val="2"/>
        <scheme val="minor"/>
      </rPr>
      <t>Edit</t>
    </r>
    <r>
      <rPr>
        <sz val="12"/>
        <rFont val="Kruti Dev 010"/>
      </rPr>
      <t xml:space="preserve"> </t>
    </r>
    <r>
      <rPr>
        <sz val="14"/>
        <rFont val="Kruti Dev 010"/>
      </rPr>
      <t>dh vuqefr ugha gSA tks Hkh ifjorZu djuk gS</t>
    </r>
    <r>
      <rPr>
        <sz val="14"/>
        <rFont val="Calibri"/>
        <family val="2"/>
        <scheme val="minor"/>
      </rPr>
      <t xml:space="preserve"> </t>
    </r>
    <r>
      <rPr>
        <sz val="12"/>
        <rFont val="Calibri"/>
        <family val="2"/>
        <scheme val="minor"/>
      </rPr>
      <t>Bills</t>
    </r>
    <r>
      <rPr>
        <sz val="14"/>
        <rFont val="Calibri"/>
        <family val="2"/>
        <scheme val="minor"/>
      </rPr>
      <t xml:space="preserve"> </t>
    </r>
    <r>
      <rPr>
        <sz val="14"/>
        <rFont val="Kruti Dev 010"/>
      </rPr>
      <t xml:space="preserve">rFkk </t>
    </r>
    <r>
      <rPr>
        <sz val="12"/>
        <rFont val="Calibri"/>
        <family val="2"/>
        <scheme val="minor"/>
      </rPr>
      <t>Extra Deduc</t>
    </r>
    <r>
      <rPr>
        <sz val="14"/>
        <rFont val="Kruti Dev 010"/>
      </rPr>
      <t xml:space="preserve"> 'khV esa gh djsA</t>
    </r>
    <r>
      <rPr>
        <sz val="12"/>
        <rFont val="Calibri"/>
        <family val="2"/>
        <scheme val="minor"/>
      </rPr>
      <t xml:space="preserve"> NPS Employee</t>
    </r>
    <r>
      <rPr>
        <sz val="12"/>
        <rFont val="Kruti Dev 010"/>
      </rPr>
      <t xml:space="preserve"> </t>
    </r>
    <r>
      <rPr>
        <sz val="14"/>
        <rFont val="Kruti Dev 010"/>
      </rPr>
      <t xml:space="preserve">ds fy, ldy vk; esa </t>
    </r>
    <r>
      <rPr>
        <sz val="12"/>
        <rFont val="Calibri"/>
        <family val="2"/>
        <scheme val="minor"/>
      </rPr>
      <t>Govt. Contribution Pension Fund</t>
    </r>
    <r>
      <rPr>
        <sz val="12"/>
        <rFont val="Kruti Dev 010"/>
      </rPr>
      <t xml:space="preserve"> </t>
    </r>
    <r>
      <rPr>
        <sz val="14"/>
        <rFont val="Kruti Dev 010"/>
      </rPr>
      <t>dh jkf'k tksM+ nh x;h gSA</t>
    </r>
  </si>
  <si>
    <t>A</t>
  </si>
  <si>
    <r>
      <t>yksd Hkfo"; fuf/k ¼</t>
    </r>
    <r>
      <rPr>
        <sz val="11"/>
        <rFont val="Calibri"/>
        <family val="2"/>
        <scheme val="minor"/>
      </rPr>
      <t>PPF)</t>
    </r>
  </si>
  <si>
    <r>
      <t xml:space="preserve">x`g _.k fdLr </t>
    </r>
    <r>
      <rPr>
        <sz val="11"/>
        <rFont val="Calibri"/>
        <family val="2"/>
        <scheme val="minor"/>
      </rPr>
      <t>(HBA Premium)</t>
    </r>
  </si>
  <si>
    <r>
      <rPr>
        <sz val="10"/>
        <rFont val="Kruti Dev 010"/>
      </rPr>
      <t>ljdkjh isa'ku ;kstuk esa va'knku</t>
    </r>
    <r>
      <rPr>
        <sz val="10"/>
        <rFont val="Calibri"/>
        <family val="2"/>
        <scheme val="minor"/>
      </rPr>
      <t xml:space="preserve"> 80CCD(i) 10%</t>
    </r>
  </si>
  <si>
    <r>
      <t>jk"V~`h; cpr ;kstuk ¼</t>
    </r>
    <r>
      <rPr>
        <sz val="11"/>
        <rFont val="Calibri"/>
        <family val="2"/>
        <scheme val="minor"/>
      </rPr>
      <t>NSC)</t>
    </r>
  </si>
  <si>
    <r>
      <t xml:space="preserve">isa'ku Iyku gsrq va'knku¼/kkjk </t>
    </r>
    <r>
      <rPr>
        <sz val="11"/>
        <rFont val="Calibri"/>
        <family val="2"/>
        <scheme val="minor"/>
      </rPr>
      <t>80ccc</t>
    </r>
    <r>
      <rPr>
        <sz val="11"/>
        <rFont val="Kruti Dev 010"/>
      </rPr>
      <t>½</t>
    </r>
  </si>
  <si>
    <t>C</t>
  </si>
  <si>
    <t>Section 80CCD (1B)</t>
  </si>
  <si>
    <t>80DD</t>
  </si>
  <si>
    <t>80E</t>
  </si>
  <si>
    <t>vi</t>
  </si>
  <si>
    <t>vii</t>
  </si>
  <si>
    <t>80U</t>
  </si>
  <si>
    <t>;g ,Dly izksaxzke lHkh dkfeZdksa ds fy, leku :i ls rS;kj fd;k x;k gSA ladyu ,oa x.kuk esa iw.kZ lko/kkuh j[kh xbZ gSA fQj Hkh =qfV ;k fdlh Hkh izdkj dh fofHkUurk dh fLFkfr esa vk;dj foHkkx ds fu;e gh ekU; gSA rS;kjdrkZ dk dksbZ mÙkjnkf;Ro ugha gksxkA</t>
  </si>
  <si>
    <t>ije~ iwT; xw:nso Jh Jh 1008 oklwnso th egkjkt</t>
  </si>
  <si>
    <t>Presented By :-</t>
  </si>
  <si>
    <t>heeralaljatchandawal@gmail.com</t>
  </si>
  <si>
    <t>Dist- Pali</t>
  </si>
  <si>
    <t>V./P. - Chandawal Nagar, Teh.- sojat city, Dist.- Pali (Raj) 306306</t>
  </si>
  <si>
    <t xml:space="preserve">This Programme Developed by:        HEERALAL JAT </t>
  </si>
  <si>
    <r>
      <t xml:space="preserve">is eSustj ls </t>
    </r>
    <r>
      <rPr>
        <sz val="12"/>
        <rFont val="Calibri"/>
        <family val="2"/>
        <scheme val="minor"/>
      </rPr>
      <t>GA - 55</t>
    </r>
    <r>
      <rPr>
        <sz val="14"/>
        <rFont val="Kruti Dev 010"/>
      </rPr>
      <t xml:space="preserve"> fudkydj vFkok is iksfLVax ls </t>
    </r>
    <r>
      <rPr>
        <sz val="12"/>
        <rFont val="Calibri"/>
        <family val="2"/>
        <scheme val="minor"/>
      </rPr>
      <t>Gross Salary, Total Deduction, Net Payment</t>
    </r>
    <r>
      <rPr>
        <sz val="12"/>
        <rFont val="Kruti Dev 010"/>
      </rPr>
      <t xml:space="preserve"> </t>
    </r>
    <r>
      <rPr>
        <sz val="14"/>
        <rFont val="Kruti Dev 010"/>
      </rPr>
      <t>dk feyku o pSd ,d ckj vo'; dj ysosaA</t>
    </r>
  </si>
  <si>
    <r>
      <rPr>
        <sz val="12"/>
        <rFont val="Calibri"/>
        <family val="2"/>
        <scheme val="minor"/>
      </rPr>
      <t>GA55A &amp; Computation Sheet</t>
    </r>
    <r>
      <rPr>
        <sz val="12"/>
        <rFont val="Kruti Dev 010"/>
      </rPr>
      <t xml:space="preserve"> </t>
    </r>
    <r>
      <rPr>
        <sz val="14"/>
        <rFont val="Kruti Dev 010"/>
      </rPr>
      <t xml:space="preserve">isij lkbt </t>
    </r>
    <r>
      <rPr>
        <sz val="12"/>
        <rFont val="Calibri"/>
        <family val="2"/>
        <scheme val="minor"/>
      </rPr>
      <t>A4</t>
    </r>
    <r>
      <rPr>
        <sz val="14"/>
        <rFont val="Calibri"/>
        <family val="2"/>
        <scheme val="minor"/>
      </rPr>
      <t xml:space="preserve"> </t>
    </r>
    <r>
      <rPr>
        <sz val="14"/>
        <rFont val="Kruti Dev 010"/>
      </rPr>
      <t>ij</t>
    </r>
    <r>
      <rPr>
        <sz val="12"/>
        <rFont val="Kruti Dev 010"/>
      </rPr>
      <t xml:space="preserve"> </t>
    </r>
    <r>
      <rPr>
        <sz val="12"/>
        <rFont val="Calibri"/>
        <family val="2"/>
        <scheme val="minor"/>
      </rPr>
      <t>Page Setup</t>
    </r>
    <r>
      <rPr>
        <sz val="12"/>
        <rFont val="Kruti Dev 010"/>
      </rPr>
      <t xml:space="preserve"> </t>
    </r>
    <r>
      <rPr>
        <sz val="14"/>
        <rFont val="Kruti Dev 010"/>
      </rPr>
      <t>fd;k gqvk gSA lh/ks nksuksa 'khV dk vkxsa ihNs fizaV ysaA 16 ua- QkeZ dks rhu ist esa lsV fd;k gqvk gSaA vki mldk rhu ist esa fizUV ys ldrsa gSaA</t>
    </r>
  </si>
  <si>
    <r>
      <t xml:space="preserve">If you have Hindi font problem, then first you should install </t>
    </r>
    <r>
      <rPr>
        <b/>
        <sz val="16"/>
        <color rgb="FFFF0000"/>
        <rFont val="Calibri"/>
        <family val="2"/>
        <scheme val="minor"/>
      </rPr>
      <t>Hindi font KRUTI DEV 010</t>
    </r>
    <r>
      <rPr>
        <b/>
        <sz val="16"/>
        <color theme="1"/>
        <rFont val="Calibri"/>
        <family val="2"/>
        <scheme val="minor"/>
      </rPr>
      <t xml:space="preserve">  in your computer.</t>
    </r>
  </si>
  <si>
    <t>;g ,Dly izksxzke esjs ije~ iwT; xq:nso Jh Jh 1008 oklqnso th egkjkt o esjs bZ"V izHkq t;  ctjaxcyh o ikcwth egkjkt dks lefiZr gSaA esjs ekrk &amp; firk o xq:tuksa ds vk'khokZn ls ;g izksxzke f'k{kd cU/kqvksa ds lkFk lHkh foHkkx ds dkfeZdksa dh lsok esa lefiZr gSaA</t>
  </si>
  <si>
    <t>For HRA</t>
  </si>
  <si>
    <t>funsZ'k</t>
  </si>
  <si>
    <r>
      <rPr>
        <b/>
        <sz val="20"/>
        <color rgb="FFFFFF00"/>
        <rFont val="Wingdings"/>
        <charset val="2"/>
      </rPr>
      <t>E</t>
    </r>
    <r>
      <rPr>
        <b/>
        <sz val="14"/>
        <color rgb="FFFFFF00"/>
        <rFont val="Kruti Dev 010"/>
      </rPr>
      <t xml:space="preserve">izfrekg jlhn dh jkf'k ¼vxj fdlh ;wtj us lQsn dyj esa vk jgh vkVks jkf'k dks gVk fn;k gSa ;k fMfyV dj fn;k gks rks ;g jkf'k lSy </t>
    </r>
    <r>
      <rPr>
        <b/>
        <sz val="14"/>
        <color rgb="FFFFFF00"/>
        <rFont val="Calibri"/>
        <family val="2"/>
        <scheme val="minor"/>
      </rPr>
      <t>F31</t>
    </r>
    <r>
      <rPr>
        <b/>
        <sz val="14"/>
        <color rgb="FFFFFF00"/>
        <rFont val="Kruti Dev 010"/>
      </rPr>
      <t xml:space="preserve"> esa fy[k nsossA ½</t>
    </r>
  </si>
  <si>
    <r>
      <rPr>
        <b/>
        <sz val="14"/>
        <color rgb="FF92D050"/>
        <rFont val="Wingdings"/>
        <charset val="2"/>
      </rPr>
      <t xml:space="preserve">E </t>
    </r>
    <r>
      <rPr>
        <b/>
        <sz val="14"/>
        <color rgb="FF92D050"/>
        <rFont val="Kruti Dev 010"/>
      </rPr>
      <t>viuh vko';drkuqlkj ekg ?kVk c&lt;+k ldrsa gSA</t>
    </r>
  </si>
  <si>
    <t>Ajmer</t>
  </si>
  <si>
    <t>Bikaner</t>
  </si>
  <si>
    <t>Jodhpur</t>
  </si>
  <si>
    <t>Kota</t>
  </si>
  <si>
    <t>Jaipur (U.A.)</t>
  </si>
  <si>
    <r>
      <rPr>
        <b/>
        <sz val="14"/>
        <color rgb="FFFFC000"/>
        <rFont val="Wingdings"/>
        <charset val="2"/>
      </rPr>
      <t xml:space="preserve">E </t>
    </r>
    <r>
      <rPr>
        <b/>
        <sz val="14"/>
        <color rgb="FFFFC000"/>
        <rFont val="Kruti Dev 010"/>
      </rPr>
      <t xml:space="preserve">;g iwjs o"kZ ¼12 ekg½ dh </t>
    </r>
    <r>
      <rPr>
        <b/>
        <sz val="14"/>
        <color rgb="FFFFC000"/>
        <rFont val="Calibri"/>
        <family val="2"/>
        <scheme val="minor"/>
      </rPr>
      <t xml:space="preserve">HRA </t>
    </r>
    <r>
      <rPr>
        <b/>
        <sz val="14"/>
        <color rgb="FFFFC000"/>
        <rFont val="Kruti Dev 010"/>
      </rPr>
      <t>dh jlhn jkf'k cuh gSA</t>
    </r>
  </si>
  <si>
    <r>
      <t xml:space="preserve">          </t>
    </r>
    <r>
      <rPr>
        <b/>
        <sz val="16"/>
        <color rgb="FFC0C03E"/>
        <rFont val="Calibri"/>
        <family val="2"/>
        <scheme val="minor"/>
      </rPr>
      <t xml:space="preserve">CCA </t>
    </r>
    <r>
      <rPr>
        <b/>
        <sz val="16"/>
        <color rgb="FFC0C03E"/>
        <rFont val="Kruti Dev 010"/>
      </rPr>
      <t xml:space="preserve">ykxw gks rks </t>
    </r>
    <r>
      <rPr>
        <b/>
        <sz val="16"/>
        <color rgb="FFC0C03E"/>
        <rFont val="Calibri"/>
        <family val="2"/>
        <scheme val="minor"/>
      </rPr>
      <t>CITY</t>
    </r>
    <r>
      <rPr>
        <b/>
        <sz val="16"/>
        <color rgb="FFC0C03E"/>
        <rFont val="Kruti Dev 010"/>
      </rPr>
      <t xml:space="preserve"> lysDV djsaA</t>
    </r>
  </si>
  <si>
    <t>;fn gk¡ rks ftl ekg esa fcy cuk ml ekg dks lysDV djsaA</t>
  </si>
  <si>
    <t>6- x`g _.k dh ewy fdLr ;gkW fy[kuh gSaA tks NwV ysuh gSaA</t>
  </si>
  <si>
    <t>7- x`g _.k fdLr ij C;kt tks NwV ysuk gS] ;gkW fy[ksA</t>
  </si>
  <si>
    <t>YES</t>
  </si>
  <si>
    <r>
      <t xml:space="preserve">1- edku fdjk;k HkRrk ¼ vxj jlhn ds ek/;e ls                                                  NwV ysuh gS rks </t>
    </r>
    <r>
      <rPr>
        <b/>
        <sz val="14"/>
        <rFont val="Calibri"/>
        <family val="2"/>
        <scheme val="minor"/>
      </rPr>
      <t>YES</t>
    </r>
    <r>
      <rPr>
        <b/>
        <sz val="14"/>
        <rFont val="Kruti Dev 010"/>
      </rPr>
      <t xml:space="preserve"> ugh rks </t>
    </r>
    <r>
      <rPr>
        <b/>
        <sz val="14"/>
        <rFont val="Calibri"/>
        <family val="2"/>
        <scheme val="minor"/>
      </rPr>
      <t xml:space="preserve">No </t>
    </r>
    <r>
      <rPr>
        <b/>
        <sz val="14"/>
        <rFont val="Kruti Dev 010"/>
      </rPr>
      <t>lysDV djsA½</t>
    </r>
  </si>
  <si>
    <r>
      <rPr>
        <b/>
        <sz val="14"/>
        <color rgb="FF00B0F0"/>
        <rFont val="Wingdings"/>
        <charset val="2"/>
      </rPr>
      <t xml:space="preserve">E </t>
    </r>
    <r>
      <rPr>
        <b/>
        <sz val="14"/>
        <color rgb="FF00B0F0"/>
        <rFont val="Kruti Dev 010"/>
      </rPr>
      <t xml:space="preserve">;g jkf'k tks vkius bl o"kZ ¼12 ekg½ esa </t>
    </r>
    <r>
      <rPr>
        <b/>
        <sz val="14"/>
        <color rgb="FF00B0F0"/>
        <rFont val="Calibri"/>
        <family val="2"/>
        <scheme val="minor"/>
      </rPr>
      <t>HRA (</t>
    </r>
    <r>
      <rPr>
        <b/>
        <sz val="14"/>
        <color rgb="FF00B0F0"/>
        <rFont val="Kruti Dev 010"/>
      </rPr>
      <t>edku fdjk;k HkÙkk½ ds :Ik esa mBkyh gSA</t>
    </r>
  </si>
  <si>
    <r>
      <rPr>
        <b/>
        <sz val="18"/>
        <color theme="6"/>
        <rFont val="Wingdings"/>
        <charset val="2"/>
      </rPr>
      <t>E</t>
    </r>
    <r>
      <rPr>
        <b/>
        <sz val="14"/>
        <color theme="6"/>
        <rFont val="Kruti Dev 010"/>
      </rPr>
      <t xml:space="preserve"> vxj vkidks izfrekg jlhn dh jkf'k ls de jkf'k dh NwV ysuh gSa rks lkeusa lQsn dyj dh lSy </t>
    </r>
    <r>
      <rPr>
        <b/>
        <sz val="14"/>
        <color theme="6"/>
        <rFont val="Calibri"/>
        <family val="2"/>
        <scheme val="minor"/>
      </rPr>
      <t>F31</t>
    </r>
    <r>
      <rPr>
        <b/>
        <sz val="14"/>
        <color theme="6"/>
        <rFont val="Kruti Dev 010"/>
      </rPr>
      <t xml:space="preserve"> esa izfrekg ds vuqlkj jlhn jkf'k fy[k ldrs gSaA</t>
    </r>
  </si>
  <si>
    <r>
      <t xml:space="preserve">ljdkj }kjk tks jkf'k </t>
    </r>
    <r>
      <rPr>
        <b/>
        <sz val="12"/>
        <color rgb="FFFF0000"/>
        <rFont val="Calibri"/>
        <family val="2"/>
        <scheme val="minor"/>
      </rPr>
      <t xml:space="preserve">NPS </t>
    </r>
    <r>
      <rPr>
        <b/>
        <sz val="14"/>
        <color rgb="FFFF0000"/>
        <rFont val="Kruti Dev 010"/>
      </rPr>
      <t>esa tek djkbZ xbZ gSa] og jkf'k 1]50yk[k ls vfrfjDr vk;dj es NwV ds nk;jsa esa vkrh gSa A blfy, ;g jkf'k dkWye la[;k 11</t>
    </r>
    <r>
      <rPr>
        <b/>
        <sz val="12"/>
        <color rgb="FFFF0000"/>
        <rFont val="Calibri"/>
        <family val="2"/>
        <scheme val="minor"/>
      </rPr>
      <t>(B)</t>
    </r>
    <r>
      <rPr>
        <b/>
        <sz val="14"/>
        <color rgb="FFFF0000"/>
        <rFont val="Kruti Dev 010"/>
      </rPr>
      <t xml:space="preserve"> esa /kkjk </t>
    </r>
    <r>
      <rPr>
        <b/>
        <sz val="12"/>
        <color rgb="FFFF0000"/>
        <rFont val="Calibri"/>
        <family val="2"/>
        <scheme val="minor"/>
      </rPr>
      <t>80CCD(2)</t>
    </r>
    <r>
      <rPr>
        <b/>
        <sz val="14"/>
        <color rgb="FFFF0000"/>
        <rFont val="Kruti Dev 010"/>
      </rPr>
      <t xml:space="preserve"> ds rgr i`FkDd NwV esa n'kkZ;h xbZ gSaA</t>
    </r>
  </si>
  <si>
    <r>
      <t xml:space="preserve">ljdkj }kjk tks jkf'k </t>
    </r>
    <r>
      <rPr>
        <b/>
        <sz val="12"/>
        <color rgb="FFFF0000"/>
        <rFont val="Calibri"/>
        <family val="2"/>
        <scheme val="minor"/>
      </rPr>
      <t xml:space="preserve">NPS </t>
    </r>
    <r>
      <rPr>
        <b/>
        <sz val="14"/>
        <color rgb="FFFF0000"/>
        <rFont val="Kruti Dev 010"/>
      </rPr>
      <t>esa tek djkbZ xbZ gSa] og jkf'k ;gkW dqy vk; esa n'kkZ;h xbZ gSaA</t>
    </r>
  </si>
  <si>
    <t>N.P.S. By Govt.</t>
  </si>
  <si>
    <t>Name of Employee :-</t>
  </si>
  <si>
    <t>Form No. - 16</t>
  </si>
  <si>
    <t>Get House Rent Form property</t>
  </si>
  <si>
    <t>Intrest on Home Loan</t>
  </si>
  <si>
    <t>Relief under section 87(i) Less Than amount 3.5 lakh</t>
  </si>
  <si>
    <t>CALCULATION OF RELIEF UNDER SECTION 89 (1)</t>
  </si>
  <si>
    <t>Name :</t>
  </si>
  <si>
    <t>Address :</t>
  </si>
  <si>
    <t>Status</t>
  </si>
  <si>
    <t xml:space="preserve">Indian Resident </t>
  </si>
  <si>
    <t>INCOME ( Rs )</t>
  </si>
  <si>
    <t>FINANCIAL YEAR- 2015-16</t>
  </si>
  <si>
    <t>FINANCIAL YEAR- 2016-17</t>
  </si>
  <si>
    <t>FINANCIAL YEAR- 2017-18</t>
  </si>
  <si>
    <r>
      <t xml:space="preserve">Enter net taxable income for 2015-16 (as per ITR/Form-16) </t>
    </r>
    <r>
      <rPr>
        <b/>
        <sz val="12"/>
        <color theme="1"/>
        <rFont val="Kruti Dev 010"/>
      </rPr>
      <t>¼'kq) dj ;ksX; vk; nl ds xq.kkad esa ½</t>
    </r>
  </si>
  <si>
    <r>
      <t xml:space="preserve">Enter net taxable income for 2016-17 (as per ITR/Form-16) </t>
    </r>
    <r>
      <rPr>
        <b/>
        <sz val="12"/>
        <color theme="1"/>
        <rFont val="Kruti Dev 010"/>
      </rPr>
      <t>¼'kq) dj ;ksX; vk; nl ds xq.kkad esa ½</t>
    </r>
  </si>
  <si>
    <r>
      <t xml:space="preserve">FORM NO. 10 E </t>
    </r>
    <r>
      <rPr>
        <b/>
        <i/>
        <sz val="12"/>
        <color theme="1"/>
        <rFont val="Calibri"/>
        <family val="2"/>
        <scheme val="minor"/>
      </rPr>
      <t>(See rule 21AA)</t>
    </r>
  </si>
  <si>
    <t>Form for furnishing particulars of income undr scetion 192(2A) for year ending 31st March 2018 for claiming relief under section 89(1) by a Government servant or an employee in a company, co-operative society, local authority, university, institution, association or body.</t>
  </si>
  <si>
    <t>Particulars of Income referred to in rule 21A of the Income tax Rules, 1962, during the previous year relevant to assessment year 2018-19</t>
  </si>
  <si>
    <t>(b) Payment in the nature of gratuity in respect of past services, extending over a period of not less than 5 years in accordance with the provisions of sub-rule (3) of rule 21A</t>
  </si>
  <si>
    <t xml:space="preserve">Not applicable </t>
  </si>
  <si>
    <t>(c) Payment in the nature of compensation from the employer or former employer at or in connection with termination of employment after continuous service of not less than 3 years in accordance with the provisions of sub-rule (4) of rule 21A</t>
  </si>
  <si>
    <t>(d) Payment in commutation of pension in accordance with the provisions of sub-rule (5) of rule 21A</t>
  </si>
  <si>
    <t xml:space="preserve">2. Detailed particulars of payments referred to above may be given in Annexure I, II, IIA, III or IV as the case may be </t>
  </si>
  <si>
    <t>Annexure- I</t>
  </si>
  <si>
    <t xml:space="preserve">Verification </t>
  </si>
  <si>
    <t xml:space="preserve">I  </t>
  </si>
  <si>
    <t xml:space="preserve">do hereby declare that what is stated above is true to the best of my </t>
  </si>
  <si>
    <t>knowledge and belief.</t>
  </si>
  <si>
    <t>Verified today, the</t>
  </si>
  <si>
    <t xml:space="preserve">Place: </t>
  </si>
  <si>
    <t>Date:</t>
  </si>
  <si>
    <t>Signature of the employee</t>
  </si>
  <si>
    <t>ANNEXURE - I</t>
  </si>
  <si>
    <t>ARREARS OR ADVANCE SALARY</t>
  </si>
  <si>
    <t xml:space="preserve">1. Total net taxable Income excluding Salary received in Arrears or advance </t>
  </si>
  <si>
    <t>2. salary received in arrears or advance</t>
  </si>
  <si>
    <t>3. Total Income (as increased by salary received in arrears or advance) (Add item 1 and item 2)</t>
  </si>
  <si>
    <t>4. Tax on total income (as per item 3)</t>
  </si>
  <si>
    <t>5. Tax on total income (as per item 1)</t>
  </si>
  <si>
    <t>6. Tax on salary received in arrears or advance (Difference of item 4 and item 5)</t>
  </si>
  <si>
    <t>7. Tax computed in accordance with Table "A" (Brought from column 7 of Table "A")</t>
  </si>
  <si>
    <t>8. Relief under section 89 (1) (Indicate the difference between the amounts mentioned against items 6 and 7)</t>
  </si>
  <si>
    <t>TABLE "A"  (See item 7 of Annexure I)</t>
  </si>
  <si>
    <t>Previous Year(s)</t>
  </si>
  <si>
    <t xml:space="preserve">Total Net Taxable income of the relevant previous year </t>
  </si>
  <si>
    <t>salary received in arrears or advance relating to the relevant previous year as mentioned in col. (1)</t>
  </si>
  <si>
    <t>Total income (as increased by salry received in arrears or advance) or the relevant previous year mentioned in col. (1) (Add col. 2 and 3)</t>
  </si>
  <si>
    <t>Tax on total income (as per col. 2)</t>
  </si>
  <si>
    <t>Tax on total income (as per col. 4)</t>
  </si>
  <si>
    <t>Difference in tax (Amount under col. 6 minus amount under col. 5)</t>
  </si>
  <si>
    <t>2015-16</t>
  </si>
  <si>
    <t>2016-17</t>
  </si>
  <si>
    <r>
      <t xml:space="preserve">30- jkgr /kkjk 89 ds rgr   ¼ vxj NwV ysuh gS rks </t>
    </r>
    <r>
      <rPr>
        <b/>
        <sz val="14"/>
        <color rgb="FF0070C0"/>
        <rFont val="Calibri"/>
        <family val="2"/>
        <scheme val="minor"/>
      </rPr>
      <t xml:space="preserve">YES </t>
    </r>
    <r>
      <rPr>
        <b/>
        <sz val="14"/>
        <color rgb="FF0070C0"/>
        <rFont val="Kruti Dev 010"/>
      </rPr>
      <t xml:space="preserve">ugh rks </t>
    </r>
    <r>
      <rPr>
        <b/>
        <sz val="14"/>
        <color rgb="FF0070C0"/>
        <rFont val="Calibri"/>
        <family val="2"/>
        <scheme val="minor"/>
      </rPr>
      <t>No</t>
    </r>
    <r>
      <rPr>
        <b/>
        <sz val="14"/>
        <color rgb="FF0070C0"/>
        <rFont val="Kruti Dev 010"/>
      </rPr>
      <t xml:space="preserve"> lysDV djsA½</t>
    </r>
  </si>
  <si>
    <r>
      <t xml:space="preserve">ih-,y-vkbZ- </t>
    </r>
    <r>
      <rPr>
        <sz val="11"/>
        <rFont val="Calibri"/>
        <family val="2"/>
        <scheme val="minor"/>
      </rPr>
      <t>(PLI)</t>
    </r>
  </si>
  <si>
    <t>(xviii)</t>
  </si>
  <si>
    <r>
      <t xml:space="preserve">dqy vk; dh jkf'k dks lEiw.kZ djuk ¼ nl ds xq.kd esa ½ /kkjk </t>
    </r>
    <r>
      <rPr>
        <b/>
        <sz val="11"/>
        <rFont val="Calibri"/>
        <family val="2"/>
        <scheme val="minor"/>
      </rPr>
      <t>288A</t>
    </r>
  </si>
  <si>
    <t>(xix)</t>
  </si>
  <si>
    <t>(xx)</t>
  </si>
  <si>
    <r>
      <t xml:space="preserve"> ¼</t>
    </r>
    <r>
      <rPr>
        <sz val="12"/>
        <rFont val="Calibri"/>
        <family val="2"/>
        <scheme val="minor"/>
      </rPr>
      <t>ii</t>
    </r>
    <r>
      <rPr>
        <sz val="12"/>
        <rFont val="Kruti Dev 010"/>
      </rPr>
      <t>½ O;o;k; dj /kkjk 16 ¼</t>
    </r>
    <r>
      <rPr>
        <sz val="12"/>
        <rFont val="Calibri"/>
        <family val="2"/>
        <scheme val="minor"/>
      </rPr>
      <t>iii</t>
    </r>
    <r>
      <rPr>
        <sz val="12"/>
        <rFont val="Kruti Dev 010"/>
      </rPr>
      <t xml:space="preserve">½ ds vUrxrZ </t>
    </r>
  </si>
  <si>
    <t xml:space="preserve"> 'ks"k &amp;@$¼7¼v½ ,oa ;ksx 7¼c½ dk½  </t>
  </si>
  <si>
    <r>
      <rPr>
        <b/>
        <sz val="12"/>
        <rFont val="Kruti Dev 010"/>
      </rPr>
      <t xml:space="preserve">?kVkb;s dVkSSfr;k¡ %&amp; /kkjk </t>
    </r>
    <r>
      <rPr>
        <b/>
        <sz val="12"/>
        <rFont val="Calibri"/>
        <family val="2"/>
        <scheme val="minor"/>
      </rPr>
      <t xml:space="preserve">US </t>
    </r>
    <r>
      <rPr>
        <b/>
        <sz val="10"/>
        <rFont val="Arial"/>
        <family val="2"/>
      </rPr>
      <t>80C, 80CCC,80CCD (1)</t>
    </r>
  </si>
  <si>
    <r>
      <rPr>
        <b/>
        <sz val="12"/>
        <rFont val="Kruti Dev 010"/>
      </rPr>
      <t>;ksx</t>
    </r>
    <r>
      <rPr>
        <b/>
        <sz val="12"/>
        <rFont val="Times New Roman"/>
        <family val="1"/>
      </rPr>
      <t xml:space="preserve"> ( i </t>
    </r>
    <r>
      <rPr>
        <b/>
        <sz val="12"/>
        <rFont val="Kruti Dev 010"/>
      </rPr>
      <t>ls</t>
    </r>
    <r>
      <rPr>
        <b/>
        <sz val="12"/>
        <rFont val="Times New Roman"/>
        <family val="1"/>
      </rPr>
      <t xml:space="preserve"> xviii )</t>
    </r>
  </si>
  <si>
    <t>vU;</t>
  </si>
  <si>
    <r>
      <t xml:space="preserve">17- vU; dksbZ izdkj dh dVkSrh </t>
    </r>
    <r>
      <rPr>
        <b/>
        <sz val="14"/>
        <rFont val="Calibri"/>
        <family val="2"/>
        <scheme val="minor"/>
      </rPr>
      <t>(OTHER)</t>
    </r>
  </si>
  <si>
    <t>34- vU; dksbZ Hkh izdkj NqV feyrh gSa tks /kkjk 10¼13&amp;,½ o 10¼13½ds vUrxZr vkrh gks rks ;gk fy[ksA          ,oa vU; dj eqDr HkRrk ;gkW fy[ksaA</t>
  </si>
  <si>
    <r>
      <rPr>
        <sz val="10"/>
        <rFont val="Arial"/>
        <family val="2"/>
      </rPr>
      <t>(B)</t>
    </r>
    <r>
      <rPr>
        <sz val="12"/>
        <rFont val="Arial"/>
        <family val="2"/>
      </rPr>
      <t xml:space="preserve"> </t>
    </r>
    <r>
      <rPr>
        <sz val="12"/>
        <rFont val="Kruti Dev 010"/>
      </rPr>
      <t>?kVkb;s&amp; /kkjk</t>
    </r>
    <r>
      <rPr>
        <sz val="12"/>
        <rFont val="DevLys 010"/>
      </rPr>
      <t xml:space="preserve"> </t>
    </r>
    <r>
      <rPr>
        <sz val="10"/>
        <rFont val="Calibri"/>
        <family val="2"/>
        <scheme val="minor"/>
      </rPr>
      <t>80CCD(2)</t>
    </r>
    <r>
      <rPr>
        <sz val="12"/>
        <rFont val="DevLys 010"/>
      </rPr>
      <t xml:space="preserve"> </t>
    </r>
    <r>
      <rPr>
        <sz val="12"/>
        <rFont val="Kruti Dev 010"/>
      </rPr>
      <t xml:space="preserve">fu;ksDrk }kjk isa'ku va'knku dh jkf'k ¼vf/kdre osru dk </t>
    </r>
    <r>
      <rPr>
        <sz val="12"/>
        <rFont val="Calibri"/>
        <family val="2"/>
        <scheme val="minor"/>
      </rPr>
      <t>10</t>
    </r>
    <r>
      <rPr>
        <sz val="9"/>
        <rFont val="Calibri"/>
        <family val="2"/>
        <scheme val="minor"/>
      </rPr>
      <t>%</t>
    </r>
    <r>
      <rPr>
        <sz val="12"/>
        <rFont val="Calibri"/>
        <family val="2"/>
        <scheme val="minor"/>
      </rPr>
      <t>)</t>
    </r>
    <r>
      <rPr>
        <sz val="12"/>
        <rFont val="Kruti Dev 010"/>
      </rPr>
      <t xml:space="preserve"> i`Fkd ls NwV</t>
    </r>
  </si>
  <si>
    <r>
      <rPr>
        <sz val="10"/>
        <rFont val="Arial"/>
        <family val="2"/>
      </rPr>
      <t>(C)</t>
    </r>
    <r>
      <rPr>
        <sz val="12"/>
        <rFont val="Arial"/>
        <family val="2"/>
      </rPr>
      <t xml:space="preserve"> </t>
    </r>
    <r>
      <rPr>
        <sz val="12"/>
        <rFont val="Kruti Dev 010"/>
      </rPr>
      <t>?kVkb;s &amp; /kkjk</t>
    </r>
    <r>
      <rPr>
        <sz val="12"/>
        <rFont val="Calibri"/>
        <family val="2"/>
        <scheme val="minor"/>
      </rPr>
      <t xml:space="preserve"> </t>
    </r>
    <r>
      <rPr>
        <sz val="10"/>
        <rFont val="Calibri"/>
        <family val="2"/>
        <scheme val="minor"/>
      </rPr>
      <t>80CCD (1B)</t>
    </r>
    <r>
      <rPr>
        <sz val="12"/>
        <rFont val="Arial"/>
        <family val="2"/>
      </rPr>
      <t xml:space="preserve"> </t>
    </r>
    <r>
      <rPr>
        <sz val="12"/>
        <rFont val="Kruti Dev 010"/>
      </rPr>
      <t>uohu isa'ku ;kstuk esa vfrfjDr va'knku ¼vf/kdre :- 50]000</t>
    </r>
    <r>
      <rPr>
        <sz val="12"/>
        <rFont val="Arial"/>
        <family val="2"/>
      </rPr>
      <t>)</t>
    </r>
  </si>
  <si>
    <r>
      <t xml:space="preserve">;ksx </t>
    </r>
    <r>
      <rPr>
        <sz val="13"/>
        <rFont val="Calibri"/>
        <family val="2"/>
        <scheme val="minor"/>
      </rPr>
      <t xml:space="preserve">11(A+B+C)      </t>
    </r>
  </si>
  <si>
    <r>
      <t xml:space="preserve">2- /kkjk </t>
    </r>
    <r>
      <rPr>
        <sz val="10"/>
        <rFont val="Calibri"/>
        <family val="2"/>
        <scheme val="minor"/>
      </rPr>
      <t>80DD</t>
    </r>
    <r>
      <rPr>
        <sz val="12"/>
        <rFont val="Kruti Dev 010"/>
      </rPr>
      <t xml:space="preserve"> fodykax vkfJrksa ds fpfdRlk mipkj </t>
    </r>
    <r>
      <rPr>
        <sz val="11"/>
        <rFont val="Kruti Dev 010"/>
      </rPr>
      <t xml:space="preserve">¼vf/kdre 75]000 rFkk </t>
    </r>
    <r>
      <rPr>
        <sz val="10"/>
        <rFont val="Calibri"/>
        <family val="2"/>
        <scheme val="minor"/>
      </rPr>
      <t>80%</t>
    </r>
    <r>
      <rPr>
        <sz val="11"/>
        <rFont val="Kruti Dev 010"/>
      </rPr>
      <t xml:space="preserve"> ;k vf/kd fodykaxrk 125]000½</t>
    </r>
  </si>
  <si>
    <r>
      <t xml:space="preserve">4- /kkjk </t>
    </r>
    <r>
      <rPr>
        <sz val="10"/>
        <rFont val="Calibri"/>
        <family val="2"/>
        <scheme val="minor"/>
      </rPr>
      <t>80E</t>
    </r>
    <r>
      <rPr>
        <sz val="12"/>
        <rFont val="Kruti Dev 010"/>
      </rPr>
      <t xml:space="preserve"> mPp f'k{kk gsrq fy, _.k dk C;kt</t>
    </r>
  </si>
  <si>
    <r>
      <t xml:space="preserve">5- /kkjk </t>
    </r>
    <r>
      <rPr>
        <sz val="10"/>
        <rFont val="Calibri"/>
        <family val="2"/>
        <scheme val="minor"/>
      </rPr>
      <t>80G</t>
    </r>
    <r>
      <rPr>
        <sz val="12"/>
        <rFont val="Kruti Dev 010"/>
      </rPr>
      <t xml:space="preserve"> /kekZFkZ laLFkkvksa vkfn dks fn;s nku </t>
    </r>
    <r>
      <rPr>
        <sz val="11"/>
        <rFont val="Kruti Dev 010"/>
      </rPr>
      <t>¼ d Js.kh esa 100 izfr'kr ,oa [k Js.kh esa 50 izfr'kr½</t>
    </r>
  </si>
  <si>
    <r>
      <t xml:space="preserve">8- /kkjk </t>
    </r>
    <r>
      <rPr>
        <sz val="10"/>
        <rFont val="Calibri"/>
        <family val="2"/>
        <scheme val="minor"/>
      </rPr>
      <t>80 GGA</t>
    </r>
    <r>
      <rPr>
        <sz val="12"/>
        <rFont val="Kruti Dev 010"/>
      </rPr>
      <t xml:space="preserve"> vuqeksfnr oSKkfud] lkekftd] xzkeh.k fodkl vkfn gsrq fn;k x;k nku</t>
    </r>
  </si>
  <si>
    <t>dqy ;ksx 12 ¼ 1 ls 8 rd ½</t>
  </si>
  <si>
    <r>
      <t xml:space="preserve">dqy dVkSrh </t>
    </r>
    <r>
      <rPr>
        <b/>
        <sz val="10"/>
        <rFont val="Calibri"/>
        <family val="2"/>
        <scheme val="minor"/>
      </rPr>
      <t>( 11 + 12)</t>
    </r>
  </si>
  <si>
    <r>
      <t>dj ;ksX; vk;</t>
    </r>
    <r>
      <rPr>
        <sz val="12"/>
        <rFont val="Calibri"/>
        <family val="2"/>
        <scheme val="minor"/>
      </rPr>
      <t xml:space="preserve"> </t>
    </r>
    <r>
      <rPr>
        <sz val="10"/>
        <rFont val="Calibri"/>
        <family val="2"/>
        <scheme val="minor"/>
      </rPr>
      <t>( 10 - 13 )</t>
    </r>
  </si>
  <si>
    <r>
      <t xml:space="preserve">¼4½ </t>
    </r>
    <r>
      <rPr>
        <sz val="12"/>
        <rFont val="Kruti Dev 010"/>
      </rPr>
      <t/>
    </r>
  </si>
  <si>
    <t>,fj;j ls Vh-Mh-,l-
o vU; -</t>
  </si>
  <si>
    <t>E</t>
  </si>
  <si>
    <t>HEERA LAL JAT</t>
  </si>
  <si>
    <t>SENIOR TEACHER</t>
  </si>
  <si>
    <t>dqy 'ks"k &amp;@$¼6,oa 7½</t>
  </si>
  <si>
    <t>cpr [kkrs ij C;kt %</t>
  </si>
  <si>
    <t>vU; vk;  %</t>
  </si>
  <si>
    <t xml:space="preserve">ldy vk;                                                                                     </t>
  </si>
  <si>
    <t xml:space="preserve"> ;ksx ¼8$9½</t>
  </si>
  <si>
    <r>
      <t xml:space="preserve">1-/kkjk </t>
    </r>
    <r>
      <rPr>
        <sz val="10"/>
        <rFont val="Calibri"/>
        <family val="2"/>
        <scheme val="minor"/>
      </rPr>
      <t>80 D</t>
    </r>
    <r>
      <rPr>
        <sz val="12"/>
        <rFont val="Kruti Dev 010"/>
      </rPr>
      <t xml:space="preserve"> fpfdRlk chek izhfe;e </t>
    </r>
    <r>
      <rPr>
        <sz val="10"/>
        <rFont val="Kruti Dev 010"/>
      </rPr>
      <t>¼Lo;a]ifr@iRuh o cPpksa ds fy, : 25000] ekrk&amp;firk ds fy, : 25000]lhfu;j flVhtu : 50000½</t>
    </r>
  </si>
  <si>
    <r>
      <t xml:space="preserve">3- /kkjk </t>
    </r>
    <r>
      <rPr>
        <sz val="10"/>
        <rFont val="Calibri"/>
        <family val="2"/>
        <scheme val="minor"/>
      </rPr>
      <t>80DDB</t>
    </r>
    <r>
      <rPr>
        <sz val="12"/>
        <rFont val="Calibri"/>
        <family val="2"/>
        <scheme val="minor"/>
      </rPr>
      <t xml:space="preserve"> </t>
    </r>
    <r>
      <rPr>
        <sz val="12"/>
        <rFont val="Kruti Dev 010"/>
      </rPr>
      <t xml:space="preserve">fof'k"V jksaxksa ds mipkj gsrq dVkSrh </t>
    </r>
    <r>
      <rPr>
        <sz val="11"/>
        <rFont val="Kruti Dev 010"/>
      </rPr>
      <t>¼vf/kdre : 40]000] lhfu;j flVhtu gsrq : 100]000½</t>
    </r>
  </si>
  <si>
    <r>
      <t xml:space="preserve">6- /kkjk </t>
    </r>
    <r>
      <rPr>
        <sz val="10"/>
        <rFont val="Calibri"/>
        <family val="2"/>
        <scheme val="minor"/>
      </rPr>
      <t>80U</t>
    </r>
    <r>
      <rPr>
        <sz val="12"/>
        <rFont val="Calibri"/>
        <family val="2"/>
        <scheme val="minor"/>
      </rPr>
      <t xml:space="preserve"> </t>
    </r>
    <r>
      <rPr>
        <sz val="12"/>
        <rFont val="Kruti Dev 010"/>
      </rPr>
      <t xml:space="preserve">LFkkbZ :i ls 'kkjhfjd vleFkZrrk dh n'kk esa </t>
    </r>
    <r>
      <rPr>
        <sz val="11"/>
        <rFont val="Kruti Dev 010"/>
      </rPr>
      <t>¼vf/kdre 75]000 rFkk  vf/kfu;e 1995ds vuqlkj 125]000½</t>
    </r>
  </si>
  <si>
    <r>
      <t xml:space="preserve">7- /kkjk </t>
    </r>
    <r>
      <rPr>
        <sz val="10"/>
        <rFont val="Calibri"/>
        <family val="2"/>
        <scheme val="minor"/>
      </rPr>
      <t>80 TTA</t>
    </r>
    <r>
      <rPr>
        <sz val="12"/>
        <rFont val="Kruti Dev 010"/>
      </rPr>
      <t xml:space="preserve"> cpr [kkrs ij vf/kdre C;kt :- 10]000 </t>
    </r>
    <r>
      <rPr>
        <sz val="10"/>
        <rFont val="Calibri"/>
        <family val="2"/>
        <scheme val="minor"/>
      </rPr>
      <t xml:space="preserve">194(IA)  , </t>
    </r>
    <r>
      <rPr>
        <sz val="11"/>
        <rFont val="Calibri"/>
        <family val="2"/>
        <scheme val="minor"/>
      </rPr>
      <t xml:space="preserve">( </t>
    </r>
    <r>
      <rPr>
        <sz val="11"/>
        <rFont val="Kruti Dev 010"/>
      </rPr>
      <t>ofj"B ukxfjdks C;kt ij NwV 50000rd ½</t>
    </r>
  </si>
  <si>
    <t>other</t>
  </si>
  <si>
    <r>
      <t xml:space="preserve">(A) </t>
    </r>
    <r>
      <rPr>
        <sz val="10"/>
        <rFont val="Kruti Dev 010"/>
      </rPr>
      <t xml:space="preserve">vf/kdre lhek </t>
    </r>
    <r>
      <rPr>
        <sz val="10"/>
        <rFont val="DevLys 010"/>
      </rPr>
      <t xml:space="preserve">1]50]000@&amp; </t>
    </r>
    <r>
      <rPr>
        <sz val="10"/>
        <rFont val="Kruti Dev 010"/>
      </rPr>
      <t>¼/kkjk</t>
    </r>
    <r>
      <rPr>
        <sz val="10"/>
        <rFont val="DevLys 010"/>
      </rPr>
      <t xml:space="preserve"> </t>
    </r>
    <r>
      <rPr>
        <sz val="10"/>
        <rFont val="Arial"/>
        <family val="2"/>
      </rPr>
      <t>80CCE</t>
    </r>
    <r>
      <rPr>
        <sz val="10"/>
        <rFont val="DevLys 010"/>
      </rPr>
      <t xml:space="preserve"> </t>
    </r>
    <r>
      <rPr>
        <sz val="10"/>
        <rFont val="Kruti Dev 010"/>
      </rPr>
      <t xml:space="preserve">½ ] ¼/kkjk </t>
    </r>
    <r>
      <rPr>
        <sz val="10"/>
        <rFont val="Arial"/>
        <family val="2"/>
      </rPr>
      <t xml:space="preserve">80CCD (2), </t>
    </r>
    <r>
      <rPr>
        <sz val="10"/>
        <rFont val="Kruti Dev 010"/>
      </rPr>
      <t>ds vykok</t>
    </r>
  </si>
  <si>
    <t>FINANCIAL YEAR- 2018-19</t>
  </si>
  <si>
    <r>
      <t xml:space="preserve">Enter net taxable income for 2017-18 (as per ITR/Form-16) </t>
    </r>
    <r>
      <rPr>
        <b/>
        <sz val="12"/>
        <color theme="1"/>
        <rFont val="Kruti Dev 010"/>
      </rPr>
      <t>¼'kq) dj ;ksX; vk; nl ds xq.kkad esa ½</t>
    </r>
  </si>
  <si>
    <t xml:space="preserve"> Whats App No. 09001884272</t>
  </si>
  <si>
    <t>V./P. -  CHANDAWAL NAGAR , SOJAT (PALI)</t>
  </si>
  <si>
    <t>D;k vkius lefiZr osru fy;k gS \</t>
  </si>
  <si>
    <t xml:space="preserve">    vki fdl vk;q oxZ dh Js.kh esa vkrs gS \</t>
  </si>
  <si>
    <r>
      <rPr>
        <b/>
        <sz val="16"/>
        <color rgb="FFC0C03E"/>
        <rFont val="Calibri"/>
        <family val="2"/>
        <scheme val="minor"/>
      </rPr>
      <t xml:space="preserve">    CCA</t>
    </r>
    <r>
      <rPr>
        <sz val="12"/>
        <color theme="1"/>
        <rFont val="Calibri"/>
        <family val="2"/>
      </rPr>
      <t xml:space="preserve"> </t>
    </r>
    <r>
      <rPr>
        <b/>
        <sz val="16"/>
        <color rgb="FFC0C03E"/>
        <rFont val="Kruti Dev 010"/>
      </rPr>
      <t xml:space="preserve">yxrk gSa rks </t>
    </r>
    <r>
      <rPr>
        <b/>
        <sz val="16"/>
        <color rgb="FFC0C03E"/>
        <rFont val="Calibri"/>
        <family val="2"/>
        <scheme val="minor"/>
      </rPr>
      <t xml:space="preserve">sellect Yes / No   </t>
    </r>
    <r>
      <rPr>
        <b/>
        <sz val="16"/>
        <color rgb="FFC0C03E"/>
        <rFont val="Kruti Dev 010"/>
      </rPr>
      <t>%&amp;</t>
    </r>
  </si>
  <si>
    <r>
      <rPr>
        <b/>
        <sz val="16"/>
        <color rgb="FFC0C03E"/>
        <rFont val="Calibri"/>
        <family val="2"/>
        <scheme val="minor"/>
      </rPr>
      <t>%</t>
    </r>
    <r>
      <rPr>
        <b/>
        <sz val="16"/>
        <color rgb="FFC0C03E"/>
        <rFont val="Kruti Dev 010"/>
      </rPr>
      <t xml:space="preserve">               </t>
    </r>
    <r>
      <rPr>
        <b/>
        <sz val="16"/>
        <color rgb="FFC0C03E"/>
        <rFont val="Calibri"/>
        <family val="2"/>
        <scheme val="minor"/>
      </rPr>
      <t>GPF / NPS :-</t>
    </r>
    <r>
      <rPr>
        <b/>
        <sz val="16"/>
        <color rgb="FFC0C03E"/>
        <rFont val="Kruti Dev 010"/>
      </rPr>
      <t xml:space="preserve"> </t>
    </r>
  </si>
  <si>
    <t xml:space="preserve">     D;k vkidks cksul feyk gS \</t>
  </si>
  <si>
    <r>
      <t xml:space="preserve">HRA EXEMPTION AMOUNT   </t>
    </r>
    <r>
      <rPr>
        <b/>
        <sz val="18"/>
        <color theme="4" tint="0.39997558519241921"/>
        <rFont val="Calibri"/>
        <family val="2"/>
        <scheme val="minor"/>
      </rPr>
      <t xml:space="preserve">  </t>
    </r>
    <r>
      <rPr>
        <b/>
        <sz val="18"/>
        <color theme="4" tint="0.39997558519241921"/>
        <rFont val="Wingdings"/>
        <charset val="2"/>
      </rPr>
      <t>F</t>
    </r>
  </si>
  <si>
    <r>
      <t xml:space="preserve">P </t>
    </r>
    <r>
      <rPr>
        <b/>
        <sz val="14"/>
        <color theme="4" tint="0.39997558519241921"/>
        <rFont val="Kruti Dev 010"/>
      </rPr>
      <t xml:space="preserve">fu;ekuqlkj NwV ysuh gSa rks dqN Hkh ugh fy[kuk gSa A lkeus okyh jkf'k ftl ij LVkj yxk gqvk gSa ] og vij izFke dkWye esa lSy ua- </t>
    </r>
    <r>
      <rPr>
        <b/>
        <sz val="14"/>
        <color theme="4" tint="0.39997558519241921"/>
        <rFont val="Calibri"/>
        <family val="2"/>
        <scheme val="minor"/>
      </rPr>
      <t xml:space="preserve">F5 </t>
    </r>
    <r>
      <rPr>
        <b/>
        <sz val="14"/>
        <color theme="4" tint="0.39997558519241921"/>
        <rFont val="Kruti Dev 010"/>
      </rPr>
      <t xml:space="preserve"> esa Lor% vk tk;sxhA</t>
    </r>
  </si>
  <si>
    <t>education cess @ 4% (on tax computed at S.No. 12)</t>
  </si>
  <si>
    <t xml:space="preserve">                                                                                                                 </t>
  </si>
  <si>
    <r>
      <t xml:space="preserve">osru fcy ds vykok vkids dksbZ vfrfjDr dVksSrh djok jgsA ;k fQj bUde VSDl esa NwV gsrq dksbZ vrfjDr dVkSrh djokuk pkgrsa gSa rks ,d ,DLV~zk fMMsDlu 'khV Hkh lkFk esa vVSp gSa A vki mlesa dVkSrh 'kks dj ldrsa gSaA ;gk ij ,UV~zh djrsa gh </t>
    </r>
    <r>
      <rPr>
        <sz val="14"/>
        <rFont val="Calibri"/>
        <family val="2"/>
        <scheme val="minor"/>
      </rPr>
      <t>GA-55</t>
    </r>
    <r>
      <rPr>
        <sz val="14"/>
        <rFont val="Kruti Dev 010"/>
      </rPr>
      <t xml:space="preserve"> ,oa </t>
    </r>
    <r>
      <rPr>
        <sz val="14"/>
        <rFont val="Calibri"/>
        <family val="2"/>
        <scheme val="minor"/>
      </rPr>
      <t xml:space="preserve">Computation Sheet </t>
    </r>
    <r>
      <rPr>
        <sz val="14"/>
        <rFont val="Kruti Dev 010"/>
      </rPr>
      <t>esa Hkh ,UV~zh iznf'kZr gks tk;sxhA</t>
    </r>
  </si>
  <si>
    <t>bl izksxzke dks NBsa vkSj lkrosa nksuksa osrueku dks /;ku esa j[k dj cuk;k gSaA bl izksxzke esa lkrokW osrueku ekpZ ekg ls iznf'kZr fd;k x;k gSaA ;fn fdlh dkj.ko'k vkidk osru ekpZ ekg ;k mlds ckn Hkh esa ugh feyk gSa rks vkidks dsoy fcy 'khV ij ekg ds vkIlu ls mi;qDr ekg lysDV djuk gSaA</t>
  </si>
  <si>
    <t>bl 'khV esa osru ds vfrfjDr vk;] fofHkUu dVkSfr;k¡] fofHkUu tek jkf'k@NwV] osru ds vykok dkVk x;k vk;dj vkfn fooj.k fy[kk tkuk gSA blds fy;s gh ;g vfrfjDr 'khV tksMh gqbZ gSaA</t>
  </si>
  <si>
    <t>Senior Teacher</t>
  </si>
  <si>
    <r>
      <t xml:space="preserve">Whats App No.  9001884272     </t>
    </r>
    <r>
      <rPr>
        <b/>
        <sz val="18"/>
        <color indexed="17"/>
        <rFont val="Wingdings"/>
        <charset val="2"/>
      </rPr>
      <t>(</t>
    </r>
  </si>
  <si>
    <t>Government Senior Secondary School INDERWARA , PALI</t>
  </si>
  <si>
    <r>
      <t xml:space="preserve">2,50,000 </t>
    </r>
    <r>
      <rPr>
        <sz val="12"/>
        <rFont val="Kruti Dev 010"/>
      </rPr>
      <t>rd</t>
    </r>
  </si>
  <si>
    <r>
      <t xml:space="preserve">3,00,000 </t>
    </r>
    <r>
      <rPr>
        <sz val="12"/>
        <rFont val="Kruti Dev 010"/>
      </rPr>
      <t>rd</t>
    </r>
  </si>
  <si>
    <r>
      <t xml:space="preserve">5,00,000 </t>
    </r>
    <r>
      <rPr>
        <sz val="12"/>
        <rFont val="Kruti Dev 010"/>
      </rPr>
      <t>rd</t>
    </r>
  </si>
  <si>
    <r>
      <t xml:space="preserve">10,00,000 </t>
    </r>
    <r>
      <rPr>
        <sz val="12"/>
        <rFont val="Kruti Dev 010"/>
      </rPr>
      <t>ls vf/kd</t>
    </r>
  </si>
  <si>
    <t xml:space="preserve">?kVkb;s  %&amp; jkgr /kkjk 89 ds rgr </t>
  </si>
  <si>
    <t>1. (a) Salary received in arrears or in advance during 2018-19 in accordance with the provision of sub-rule (2) of rule 21A</t>
  </si>
  <si>
    <t>fiNys lkyksa dh ,UV~zh;k eS;qyh VkbZi djds lko/kkuh ls fy[ksaA</t>
  </si>
  <si>
    <t>2017-18</t>
  </si>
  <si>
    <t>Standred Deducation</t>
  </si>
  <si>
    <t>Tax Payable (15-16)</t>
  </si>
  <si>
    <t xml:space="preserve">                                                             dqy vk;dj ¼3$4½</t>
  </si>
  <si>
    <t xml:space="preserve">dqy;ksx dkWye 19 </t>
  </si>
  <si>
    <t>Sr. TEACHER</t>
  </si>
  <si>
    <t>GOVERNMENT SENIOR SECONDARY SCHOOL INDERWARA , RANI (PALI)</t>
  </si>
  <si>
    <t>G.S.S.S INDERWARA</t>
  </si>
  <si>
    <t>JDHG13119B</t>
  </si>
  <si>
    <t>MISHRI LAL</t>
  </si>
  <si>
    <r>
      <t>fodykax HkÙkk</t>
    </r>
    <r>
      <rPr>
        <b/>
        <sz val="16"/>
        <color rgb="FFC0C03E"/>
        <rFont val="Kruti Dev 010"/>
      </rPr>
      <t xml:space="preserve"> %&amp;</t>
    </r>
  </si>
  <si>
    <t>vxj gkW rks jkf'k %&amp;</t>
  </si>
  <si>
    <t xml:space="preserve">      vkidks osru fey jgk gSA</t>
  </si>
  <si>
    <t xml:space="preserve"> </t>
  </si>
  <si>
    <t>GSSS INDERWARA  (PALI)</t>
  </si>
  <si>
    <r>
      <t xml:space="preserve">BASIC On 01 March 2019  </t>
    </r>
    <r>
      <rPr>
        <b/>
        <sz val="14"/>
        <color rgb="FFFF0000"/>
        <rFont val="Wingdings"/>
        <charset val="2"/>
      </rPr>
      <t>F</t>
    </r>
  </si>
  <si>
    <t>GA55  PAY BILL ENTRY SHEET</t>
  </si>
  <si>
    <t xml:space="preserve">PL  Surrender </t>
  </si>
  <si>
    <t>Other</t>
  </si>
  <si>
    <t xml:space="preserve"> Arrear</t>
  </si>
  <si>
    <t>DA Arrear 12%</t>
  </si>
  <si>
    <t>DA Arrear 17%</t>
  </si>
  <si>
    <t xml:space="preserve">fdl ekg rd %&amp;  </t>
  </si>
  <si>
    <t xml:space="preserve">VsDl dh x.kuk fdl ekg ls %&amp;  </t>
  </si>
  <si>
    <t>MARCH 19</t>
  </si>
  <si>
    <t>APRIL 19</t>
  </si>
  <si>
    <t>MAY 19</t>
  </si>
  <si>
    <t>JUNE 19</t>
  </si>
  <si>
    <t>JULY 19</t>
  </si>
  <si>
    <t>AUGUST 19</t>
  </si>
  <si>
    <t>SEPTEMBER 19</t>
  </si>
  <si>
    <t>OCTOBER 19</t>
  </si>
  <si>
    <t>NOVEMBER 19</t>
  </si>
  <si>
    <t>DECEMBER 19</t>
  </si>
  <si>
    <t>JANUARY 20</t>
  </si>
  <si>
    <r>
      <t xml:space="preserve">lcls igys </t>
    </r>
    <r>
      <rPr>
        <sz val="14"/>
        <rFont val="Calibri"/>
        <family val="2"/>
        <scheme val="minor"/>
      </rPr>
      <t xml:space="preserve"> www.rajgyan.co.in  </t>
    </r>
    <r>
      <rPr>
        <sz val="14"/>
        <rFont val="Kruti Dev 010"/>
      </rPr>
      <t xml:space="preserve">;k </t>
    </r>
    <r>
      <rPr>
        <sz val="14"/>
        <rFont val="Calibri"/>
        <family val="2"/>
        <scheme val="minor"/>
      </rPr>
      <t xml:space="preserve"> www.rajteachers.com  </t>
    </r>
    <r>
      <rPr>
        <sz val="14"/>
        <rFont val="Kruti Dev 010"/>
      </rPr>
      <t xml:space="preserve">;k </t>
    </r>
    <r>
      <rPr>
        <sz val="14"/>
        <rFont val="Calibri"/>
        <family val="2"/>
        <scheme val="minor"/>
      </rPr>
      <t xml:space="preserve"> www.rajsevak.com</t>
    </r>
    <r>
      <rPr>
        <sz val="14"/>
        <rFont val="Kruti Dev 010"/>
      </rPr>
      <t xml:space="preserve">  ;k  </t>
    </r>
    <r>
      <rPr>
        <sz val="14"/>
        <rFont val="Calibri"/>
        <family val="2"/>
        <scheme val="minor"/>
      </rPr>
      <t>Teacher junction APP &amp; ARJ GURU APP</t>
    </r>
    <r>
      <rPr>
        <sz val="14"/>
        <rFont val="Kruti Dev 010"/>
      </rPr>
      <t xml:space="preserve"> ls vki u;k o viMsV izksxzke MkmuyksM djsasaA blds vykol vki </t>
    </r>
    <r>
      <rPr>
        <sz val="14"/>
        <rFont val="Calibri"/>
        <family val="2"/>
        <scheme val="minor"/>
      </rPr>
      <t>Google</t>
    </r>
    <r>
      <rPr>
        <sz val="14"/>
        <rFont val="Kruti Dev 010"/>
      </rPr>
      <t xml:space="preserve"> ij </t>
    </r>
    <r>
      <rPr>
        <sz val="14"/>
        <rFont val="Calibri"/>
        <family val="2"/>
        <scheme val="minor"/>
      </rPr>
      <t>Heeralal Jat</t>
    </r>
    <r>
      <rPr>
        <sz val="14"/>
        <rFont val="Kruti Dev 010"/>
      </rPr>
      <t xml:space="preserve"> fy[kdj lpZ djsaxs rks Hkh vkidks ist fey tk;sxkA tgka ls vki ;g izksxzke MkmuyksM dj ldrs gSaA mlds ckn ftrusa dkfeZdksa dh vk;dj x.kuk djuh gS] mruh gh ,Dly izksxzke 'khV dks muds uke ls vyx vyx Qkby esa </t>
    </r>
    <r>
      <rPr>
        <sz val="14"/>
        <rFont val="Calibri"/>
        <family val="2"/>
        <scheme val="minor"/>
      </rPr>
      <t xml:space="preserve"> </t>
    </r>
    <r>
      <rPr>
        <sz val="12"/>
        <rFont val="Calibri"/>
        <family val="2"/>
        <scheme val="minor"/>
      </rPr>
      <t xml:space="preserve">Save  </t>
    </r>
    <r>
      <rPr>
        <sz val="14"/>
        <rFont val="Kruti Dev 010"/>
      </rPr>
      <t xml:space="preserve">dj ysosaA izR;sad dkfeZd ds fy, ds fy, ,d QkbZy dks mi;ksx esa ysosaA </t>
    </r>
  </si>
  <si>
    <r>
      <t xml:space="preserve">vki bl ,Dly izksxzke ij dk;Z djus ls igys bUde VSDl foHkkx ds u;s :Yl o fu;e bUde VSDl foHkkx dh </t>
    </r>
    <r>
      <rPr>
        <sz val="14"/>
        <rFont val="Calibri"/>
        <family val="2"/>
        <scheme val="minor"/>
      </rPr>
      <t xml:space="preserve">website </t>
    </r>
    <r>
      <rPr>
        <sz val="14"/>
        <rFont val="Kruti Dev 010"/>
      </rPr>
      <t>vFkok ys[kk foK vDVqcj 2019 dkss t:j i&lt;+sA bl ,Dly izksxzke esa iq.kZ lko/kkuh cjrh xbZ gSa] fQj Hkh foHkkx ds fu;e loksZijh ekusaA</t>
    </r>
  </si>
  <si>
    <r>
      <t xml:space="preserve">vkidksa fcy 'khV ij dsoy 1 ekpZ 2019 dks lkros osrueku dh dsoy csfld ihys dyj dh lsy esa fy[kuh gSa ckdh dk dke ;g ,Dly izksxzke djsxkA vxj 1 ekpZ 19 ls Qjojh 2020 ds e/; ftrus ekg dh vk;dj x.kuk izi= rS;kj djuk gSa mrus ekg vki mij fd vksj vki lysDV cVu dh lgk;rk ls lysDV djds fy[kuk gSaA blds vykok vxj vki </t>
    </r>
    <r>
      <rPr>
        <sz val="14"/>
        <rFont val="Calibri"/>
        <family val="2"/>
        <scheme val="minor"/>
      </rPr>
      <t>GA-55</t>
    </r>
    <r>
      <rPr>
        <sz val="14"/>
        <rFont val="Kruti Dev 010"/>
      </rPr>
      <t xml:space="preserve"> fcy esa vf/kd dVkSrh djok jgsa gSa ;k yksu dh dVksfr;kW gks jgh gSa rks fiys dyj okyh izFke jkW ¼ekpZ ekg dh ,UV~zh ls mij½esa bUnzkt dj nsos lHkh txg vkVks fQy gks tk;sxh A ;fn fdlh ekg esa dVkSrh djuh gSa ;k ugh djuh gSa rks lQsn dyj dh lSy dks vyukWd dj j[kk gSaA vki eSU;qyh MkVk fQM Hkh dj ldrsa gSa vkSj gVk Hkh ldrsa gSaA vFkkZr vki viuh dVkSfr;ksa dks de T;knk iS fLyi ds vuqlkj n'kkZ ldrsa gSaA</t>
    </r>
  </si>
  <si>
    <r>
      <t xml:space="preserve">fdlk Hkh çdkj dh =qfV] leL;k ;k lq&gt;ko gks rks lknj vkefU=r gS A bl ,Dly izksxzke esa tc Hkh la'kks/ku gksrk gSa] rks bldk viMsV mij of.kZr  </t>
    </r>
    <r>
      <rPr>
        <sz val="16"/>
        <color indexed="8"/>
        <rFont val="Calibri"/>
        <family val="2"/>
        <scheme val="minor"/>
      </rPr>
      <t xml:space="preserve">website &amp; Mobile App </t>
    </r>
    <r>
      <rPr>
        <sz val="16"/>
        <color indexed="8"/>
        <rFont val="Kruti Dev 010"/>
      </rPr>
      <t xml:space="preserve">ij miyC/k jgsxkA izksxzke ges'kk mDr osclkbZV ls u;k gh MkmuyksM djds bLrseky djsaA                                                                                                                                                </t>
    </r>
  </si>
  <si>
    <r>
      <t xml:space="preserve"> ¼</t>
    </r>
    <r>
      <rPr>
        <sz val="12"/>
        <rFont val="Calibri"/>
        <family val="2"/>
        <scheme val="minor"/>
      </rPr>
      <t>iii</t>
    </r>
    <r>
      <rPr>
        <sz val="12"/>
        <rFont val="Kruti Dev 010"/>
      </rPr>
      <t>½ LVs.MMZ fMMsD'ku</t>
    </r>
    <r>
      <rPr>
        <sz val="12"/>
        <rFont val="Calibri"/>
        <family val="2"/>
        <scheme val="minor"/>
      </rPr>
      <t xml:space="preserve"> </t>
    </r>
    <r>
      <rPr>
        <sz val="10"/>
        <rFont val="Calibri"/>
        <family val="2"/>
        <scheme val="minor"/>
      </rPr>
      <t>(Standard Deduction)</t>
    </r>
    <r>
      <rPr>
        <sz val="10"/>
        <rFont val="Kruti Dev 010"/>
      </rPr>
      <t xml:space="preserve">  </t>
    </r>
    <r>
      <rPr>
        <sz val="12"/>
        <rFont val="Kruti Dev 010"/>
      </rPr>
      <t>50]000 ¼vf/kdre½</t>
    </r>
  </si>
  <si>
    <r>
      <t xml:space="preserve"> ¼</t>
    </r>
    <r>
      <rPr>
        <sz val="12"/>
        <rFont val="Calibri"/>
        <family val="2"/>
        <scheme val="minor"/>
      </rPr>
      <t>i</t>
    </r>
    <r>
      <rPr>
        <sz val="12"/>
        <rFont val="Kruti Dev 010"/>
      </rPr>
      <t>½euksjatu Hkrk /kkjk 16 ¼</t>
    </r>
    <r>
      <rPr>
        <sz val="12"/>
        <rFont val="Calibri"/>
        <family val="2"/>
        <scheme val="minor"/>
      </rPr>
      <t>ii</t>
    </r>
    <r>
      <rPr>
        <sz val="12"/>
        <rFont val="Kruti Dev 010"/>
      </rPr>
      <t xml:space="preserve">½ ds vUrxrZ </t>
    </r>
  </si>
  <si>
    <r>
      <t xml:space="preserve">ih-,y-vkbZ- </t>
    </r>
    <r>
      <rPr>
        <b/>
        <sz val="10"/>
        <rFont val="Kruti Dev 010"/>
      </rPr>
      <t>¼</t>
    </r>
    <r>
      <rPr>
        <b/>
        <sz val="10"/>
        <rFont val="Calibri"/>
        <family val="2"/>
        <scheme val="minor"/>
      </rPr>
      <t>PLI)</t>
    </r>
  </si>
  <si>
    <r>
      <t xml:space="preserve">isa'ku ;kstuk esa va'knku </t>
    </r>
    <r>
      <rPr>
        <b/>
        <sz val="10"/>
        <rFont val="Calibri"/>
        <family val="2"/>
        <scheme val="minor"/>
      </rPr>
      <t xml:space="preserve">ECPF </t>
    </r>
    <r>
      <rPr>
        <b/>
        <sz val="10"/>
        <rFont val="Kruti Dev 010"/>
      </rPr>
      <t xml:space="preserve">/kkjk </t>
    </r>
    <r>
      <rPr>
        <b/>
        <sz val="10"/>
        <rFont val="Calibri"/>
        <family val="2"/>
        <scheme val="minor"/>
      </rPr>
      <t>80ccd(1</t>
    </r>
    <r>
      <rPr>
        <b/>
        <sz val="10"/>
        <rFont val="Kruti Dev 010"/>
      </rPr>
      <t>½</t>
    </r>
    <r>
      <rPr>
        <sz val="10"/>
        <rFont val="Kruti Dev 010"/>
      </rPr>
      <t xml:space="preserve">
</t>
    </r>
  </si>
  <si>
    <r>
      <t xml:space="preserve">osru ls vfrfjDr thou chek </t>
    </r>
    <r>
      <rPr>
        <sz val="10"/>
        <rFont val="Calibri"/>
        <family val="2"/>
        <scheme val="minor"/>
      </rPr>
      <t>(Extra LIC)</t>
    </r>
  </si>
  <si>
    <r>
      <t xml:space="preserve">f'k{kk ,oa fpfdRlk midj </t>
    </r>
    <r>
      <rPr>
        <sz val="12"/>
        <rFont val="Calibri"/>
        <family val="2"/>
        <scheme val="minor"/>
      </rPr>
      <t xml:space="preserve"> </t>
    </r>
    <r>
      <rPr>
        <sz val="11"/>
        <rFont val="Calibri"/>
        <family val="2"/>
        <scheme val="minor"/>
      </rPr>
      <t xml:space="preserve">4% </t>
    </r>
    <r>
      <rPr>
        <sz val="11"/>
        <rFont val="Kruti Dev 010"/>
      </rPr>
      <t xml:space="preserve"> ¼vk;dj ij ½</t>
    </r>
  </si>
  <si>
    <t>flrEcj 2019
rd  :i;s</t>
  </si>
  <si>
    <t>tuojh 2020
esa dqy :i;s</t>
  </si>
  <si>
    <t>Qjojh 2020
essa dqy :i;s</t>
  </si>
  <si>
    <r>
      <rPr>
        <sz val="10"/>
        <rFont val="Calibri"/>
        <family val="2"/>
        <scheme val="minor"/>
      </rPr>
      <t>10,00,001</t>
    </r>
    <r>
      <rPr>
        <sz val="10"/>
        <rFont val="DevLys 010"/>
      </rPr>
      <t xml:space="preserve"> </t>
    </r>
    <r>
      <rPr>
        <sz val="10"/>
        <rFont val="Kruti Dev 010"/>
      </rPr>
      <t>,oa vf/kd</t>
    </r>
  </si>
  <si>
    <r>
      <t xml:space="preserve">8- thou chek izhfe;e ¼tks osru ls ugh dkVk x;k½ </t>
    </r>
    <r>
      <rPr>
        <b/>
        <sz val="14"/>
        <color rgb="FF2C5123"/>
        <rFont val="Calibri"/>
        <family val="2"/>
        <scheme val="minor"/>
      </rPr>
      <t>LIC</t>
    </r>
  </si>
  <si>
    <t>FINANCIAL YEAR- 2019-20</t>
  </si>
  <si>
    <r>
      <t xml:space="preserve">Enter net taxable income for 2019-20 including entire arrears received (as per ITR/Form-16)              </t>
    </r>
    <r>
      <rPr>
        <b/>
        <sz val="12"/>
        <color theme="1"/>
        <rFont val="Kruti Dev 010"/>
      </rPr>
      <t>¼'kq) dj ;ksX; vk; nl ds xq.kkad esa ½</t>
    </r>
  </si>
  <si>
    <r>
      <t xml:space="preserve">Enter arrears relates to 2018-19     </t>
    </r>
    <r>
      <rPr>
        <b/>
        <sz val="12"/>
        <color theme="1"/>
        <rFont val="Kruti Dev 010"/>
      </rPr>
      <t>¼bl l= 2018&amp;19 dh feyus okyh ,fj;j jkf'k ½</t>
    </r>
  </si>
  <si>
    <r>
      <t xml:space="preserve">Enter arrears relates to 2017-18  </t>
    </r>
    <r>
      <rPr>
        <b/>
        <sz val="12"/>
        <color theme="1"/>
        <rFont val="Kruti Dev 010"/>
      </rPr>
      <t>¼bl l= 2017&amp;18 dh feyus okyh ,fj;j jkf'k ½</t>
    </r>
  </si>
  <si>
    <r>
      <t xml:space="preserve">Enter arrears relates to 2016-17  </t>
    </r>
    <r>
      <rPr>
        <b/>
        <sz val="12"/>
        <color theme="1"/>
        <rFont val="Kruti Dev 010"/>
      </rPr>
      <t>¼bl l= 2016&amp;17 dh feyus okyh ,fj;j jkf'k ½</t>
    </r>
  </si>
  <si>
    <r>
      <t xml:space="preserve">Enter arrears relates to 2015-16 </t>
    </r>
    <r>
      <rPr>
        <b/>
        <sz val="12"/>
        <color theme="1"/>
        <rFont val="Kruti Dev 010"/>
      </rPr>
      <t>¼bl l= 2015&amp;16 dh feyus okyh ,fj;j jkf'k ½</t>
    </r>
  </si>
  <si>
    <r>
      <t xml:space="preserve">Enter net taxable income for 2018-19 (as per ITR/Form-16) </t>
    </r>
    <r>
      <rPr>
        <b/>
        <sz val="12"/>
        <color theme="1"/>
        <rFont val="Kruti Dev 010"/>
      </rPr>
      <t>¼'kq) dj ;ksX; vk; nl ds xq.kkad esa ½</t>
    </r>
  </si>
  <si>
    <t>2018-19</t>
  </si>
  <si>
    <r>
      <t>x`g fdjk;k] /kkjk 10¼</t>
    </r>
    <r>
      <rPr>
        <sz val="12"/>
        <rFont val="Calibri"/>
        <family val="2"/>
        <scheme val="minor"/>
      </rPr>
      <t>13-</t>
    </r>
    <r>
      <rPr>
        <sz val="9"/>
        <rFont val="Calibri"/>
        <family val="2"/>
        <scheme val="minor"/>
      </rPr>
      <t>A</t>
    </r>
    <r>
      <rPr>
        <sz val="12"/>
        <rFont val="Kruti Dev 010"/>
      </rPr>
      <t xml:space="preserve">½ ds vUrxrZ ,oa /kkjk 10¼14½ds vUrxrZ vU; Hkrs tks dj eqDÙk gSA </t>
    </r>
  </si>
  <si>
    <t>ADEPLxxxxx</t>
  </si>
  <si>
    <t>10xxx33</t>
  </si>
  <si>
    <t>9xxxx66</t>
  </si>
  <si>
    <t>RJPA20032xxxxxx88</t>
  </si>
  <si>
    <t>510xxxxxxxx56</t>
  </si>
  <si>
    <t>Makwana</t>
  </si>
  <si>
    <t>vDVq- 2019 ls fnl- 2019
rd  :i;s</t>
  </si>
  <si>
    <r>
      <rPr>
        <b/>
        <sz val="12"/>
        <rFont val="Kruti Dev 010"/>
      </rPr>
      <t>¼2½</t>
    </r>
    <r>
      <rPr>
        <sz val="12"/>
        <rFont val="Kruti Dev 010"/>
      </rPr>
      <t xml:space="preserve"> NwV ?kkjk 87¼</t>
    </r>
    <r>
      <rPr>
        <sz val="10"/>
        <rFont val="Calibri"/>
        <family val="2"/>
        <scheme val="minor"/>
      </rPr>
      <t>A</t>
    </r>
    <r>
      <rPr>
        <sz val="12"/>
        <rFont val="Kruti Dev 010"/>
      </rPr>
      <t>½ ¼ 5yk[k rd dh dj ;ksX; vk; ij vk;dj dh NwV vf/kdre :- 12500@&amp; rd½</t>
    </r>
  </si>
  <si>
    <t>2019-20</t>
  </si>
  <si>
    <t>2020-21</t>
  </si>
  <si>
    <r>
      <t xml:space="preserve">isa'ku Iyku gsrq va'knku ¼/kkjk </t>
    </r>
    <r>
      <rPr>
        <sz val="11"/>
        <rFont val="Calibri"/>
        <family val="2"/>
        <scheme val="minor"/>
      </rPr>
      <t>80ccc</t>
    </r>
    <r>
      <rPr>
        <sz val="11"/>
        <rFont val="Kruti Dev 010"/>
      </rPr>
      <t>½</t>
    </r>
  </si>
  <si>
    <r>
      <t>LFkfxr okf"kZdh ¼</t>
    </r>
    <r>
      <rPr>
        <sz val="11"/>
        <rFont val="Calibri"/>
        <family val="2"/>
        <scheme val="minor"/>
      </rPr>
      <t>Defferred Annuty)</t>
    </r>
  </si>
  <si>
    <r>
      <t>jkT; chek</t>
    </r>
    <r>
      <rPr>
        <sz val="11"/>
        <rFont val="Calibri"/>
        <family val="2"/>
        <scheme val="minor"/>
      </rPr>
      <t xml:space="preserve"> </t>
    </r>
    <r>
      <rPr>
        <sz val="11"/>
        <rFont val="Kruti Dev 010"/>
      </rPr>
      <t>¼</t>
    </r>
    <r>
      <rPr>
        <sz val="11"/>
        <rFont val="Calibri"/>
        <family val="2"/>
        <scheme val="minor"/>
      </rPr>
      <t>SI)</t>
    </r>
  </si>
  <si>
    <r>
      <t>thou chek izhfe;e ¼</t>
    </r>
    <r>
      <rPr>
        <sz val="11"/>
        <rFont val="Calibri"/>
        <family val="2"/>
        <scheme val="minor"/>
      </rPr>
      <t>LIC)</t>
    </r>
  </si>
  <si>
    <r>
      <t>jk"Vªh; cpr i= ¼</t>
    </r>
    <r>
      <rPr>
        <sz val="11"/>
        <rFont val="Calibri"/>
        <family val="2"/>
        <scheme val="minor"/>
      </rPr>
      <t>NSC)</t>
    </r>
  </si>
  <si>
    <r>
      <t>jk"Vªh; cpr Ldhe ¼</t>
    </r>
    <r>
      <rPr>
        <sz val="11"/>
        <rFont val="Calibri"/>
        <family val="2"/>
        <scheme val="minor"/>
      </rPr>
      <t>NSS)</t>
    </r>
  </si>
  <si>
    <r>
      <t>lkekU; izko/kk;h fuf/k ¼</t>
    </r>
    <r>
      <rPr>
        <sz val="11"/>
        <rFont val="Calibri"/>
        <family val="2"/>
        <scheme val="minor"/>
      </rPr>
      <t>GPF)</t>
    </r>
  </si>
  <si>
    <r>
      <t>lkewfgd chek izhfe;e ¼</t>
    </r>
    <r>
      <rPr>
        <sz val="11"/>
        <rFont val="Calibri"/>
        <family val="2"/>
        <scheme val="minor"/>
      </rPr>
      <t>G.Ins.)</t>
    </r>
  </si>
  <si>
    <r>
      <t>x`g _.k fdLr ¼</t>
    </r>
    <r>
      <rPr>
        <sz val="11"/>
        <rFont val="Calibri"/>
        <family val="2"/>
        <scheme val="minor"/>
      </rPr>
      <t>HBA Premium)</t>
    </r>
  </si>
  <si>
    <r>
      <t xml:space="preserve">vk; % </t>
    </r>
    <r>
      <rPr>
        <sz val="11.5"/>
        <rFont val="Kruti Dev 010"/>
      </rPr>
      <t xml:space="preserve">o"kZ&amp;2019&amp;20 esa izkIr dqy osru ¼ dj ;ksX; lqfo/kkvksa ds eqY; lfgr ½ o ljdkj }kjk ns; </t>
    </r>
    <r>
      <rPr>
        <b/>
        <sz val="10"/>
        <rFont val="Calibri"/>
        <family val="2"/>
        <scheme val="minor"/>
      </rPr>
      <t>NPS</t>
    </r>
    <r>
      <rPr>
        <sz val="11"/>
        <rFont val="Calibri"/>
        <family val="2"/>
        <scheme val="minor"/>
      </rPr>
      <t xml:space="preserve"> </t>
    </r>
    <r>
      <rPr>
        <sz val="11.5"/>
        <rFont val="Kruti Dev 010"/>
      </rPr>
      <t>lfgr dqy vk;</t>
    </r>
  </si>
  <si>
    <r>
      <t xml:space="preserve">Enter arrears relates to 2014-15 </t>
    </r>
    <r>
      <rPr>
        <b/>
        <sz val="12"/>
        <color theme="1"/>
        <rFont val="Kruti Dev 010"/>
      </rPr>
      <t>¼bl l= 2014&amp;15 dh feyus okyh ,fj;j jkf'k ½</t>
    </r>
  </si>
  <si>
    <r>
      <t xml:space="preserve">Enter net taxable income for 2014-15 (as per ITR/Form-16) </t>
    </r>
    <r>
      <rPr>
        <b/>
        <sz val="12"/>
        <color theme="1"/>
        <rFont val="Kruti Dev 010"/>
      </rPr>
      <t>¼'kq) dj ;ksX; vk; nl ds xq.kkad esa ½</t>
    </r>
  </si>
  <si>
    <t>FINANCIAL YEAR- 2014-15</t>
  </si>
  <si>
    <t>2015-15</t>
  </si>
  <si>
    <r>
      <t xml:space="preserve">vki bl ,Dly izksxzke esa rhu 'khVksa ekLVj ] th,55 ,UVz~h 'khV o ,DLV~zk fMMsD'ku 'khV dks lko/kkuhiwoZd vuykWd lsy tks jaxhu 'khVksas esa lQsn dyj esa gSa] dks Hkjuk gSaA vkxs dh rhu 'khVs vkWVksa tujsV gSaA os lHkh ykWd gSaA ogk ij vkidks dqN ugh djuk gSaA flQZ </t>
    </r>
    <r>
      <rPr>
        <sz val="14"/>
        <rFont val="Calibri"/>
        <family val="2"/>
        <scheme val="minor"/>
      </rPr>
      <t>A4</t>
    </r>
    <r>
      <rPr>
        <sz val="14"/>
        <rFont val="Kruti Dev 010"/>
      </rPr>
      <t xml:space="preserve"> lkbZt esa fizUV fudkyuk gSaA</t>
    </r>
  </si>
  <si>
    <t>PD Head</t>
  </si>
</sst>
</file>

<file path=xl/styles.xml><?xml version="1.0" encoding="utf-8"?>
<styleSheet xmlns="http://schemas.openxmlformats.org/spreadsheetml/2006/main">
  <numFmts count="4">
    <numFmt numFmtId="43" formatCode="_(* #,##0.00_);_(* \(#,##0.00\);_(* &quot;-&quot;??_);_(@_)"/>
    <numFmt numFmtId="164" formatCode="[$-409]mmmm\-yy;@"/>
    <numFmt numFmtId="165" formatCode="[$-409]mmm/yy;@"/>
    <numFmt numFmtId="166" formatCode="mmm\-yy"/>
  </numFmts>
  <fonts count="220">
    <font>
      <sz val="11"/>
      <color theme="1"/>
      <name val="Calibri"/>
      <family val="2"/>
      <scheme val="minor"/>
    </font>
    <font>
      <sz val="12"/>
      <color theme="1"/>
      <name val="Calibri"/>
      <family val="2"/>
    </font>
    <font>
      <sz val="11"/>
      <color rgb="FF7030A0"/>
      <name val="Calibri"/>
      <family val="2"/>
      <scheme val="minor"/>
    </font>
    <font>
      <b/>
      <sz val="11"/>
      <color theme="1"/>
      <name val="Calibri"/>
      <family val="2"/>
      <scheme val="minor"/>
    </font>
    <font>
      <b/>
      <sz val="14"/>
      <color theme="1"/>
      <name val="Calibri"/>
      <family val="2"/>
      <scheme val="minor"/>
    </font>
    <font>
      <sz val="14"/>
      <color theme="1"/>
      <name val="Kruti Dev 010"/>
    </font>
    <font>
      <sz val="14"/>
      <color theme="1"/>
      <name val="Calibri"/>
      <family val="2"/>
      <scheme val="minor"/>
    </font>
    <font>
      <sz val="11"/>
      <color theme="1"/>
      <name val="Kruti Dev 010"/>
    </font>
    <font>
      <sz val="12"/>
      <color theme="1"/>
      <name val="Calibri"/>
      <family val="2"/>
      <scheme val="minor"/>
    </font>
    <font>
      <b/>
      <sz val="12"/>
      <color theme="1"/>
      <name val="Calibri"/>
      <family val="2"/>
      <scheme val="minor"/>
    </font>
    <font>
      <b/>
      <sz val="12"/>
      <color theme="1"/>
      <name val="Kruti Dev 010"/>
    </font>
    <font>
      <sz val="10"/>
      <color theme="1"/>
      <name val="Calibri"/>
      <family val="2"/>
      <scheme val="minor"/>
    </font>
    <font>
      <sz val="16"/>
      <color theme="1"/>
      <name val="Kruti Dev 010"/>
    </font>
    <font>
      <b/>
      <sz val="11"/>
      <color rgb="FF7030A0"/>
      <name val="Calibri"/>
      <family val="2"/>
      <scheme val="minor"/>
    </font>
    <font>
      <b/>
      <sz val="14"/>
      <name val="Calibri"/>
      <family val="2"/>
      <scheme val="minor"/>
    </font>
    <font>
      <sz val="10"/>
      <name val="Arial"/>
      <family val="2"/>
    </font>
    <font>
      <sz val="11"/>
      <color theme="0"/>
      <name val="Calibri"/>
      <family val="2"/>
      <scheme val="minor"/>
    </font>
    <font>
      <b/>
      <sz val="12"/>
      <color rgb="FFFF0000"/>
      <name val="Calibri"/>
      <family val="2"/>
      <scheme val="minor"/>
    </font>
    <font>
      <b/>
      <sz val="16"/>
      <color theme="1"/>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b/>
      <sz val="10"/>
      <color theme="1"/>
      <name val="Calibri"/>
      <family val="2"/>
      <scheme val="minor"/>
    </font>
    <font>
      <b/>
      <sz val="11"/>
      <color theme="0"/>
      <name val="Calibri"/>
      <family val="2"/>
      <scheme val="minor"/>
    </font>
    <font>
      <b/>
      <sz val="14"/>
      <color theme="0"/>
      <name val="Calibri"/>
      <family val="2"/>
      <scheme val="minor"/>
    </font>
    <font>
      <b/>
      <sz val="14"/>
      <color rgb="FF00B0F0"/>
      <name val="Calibri"/>
      <family val="2"/>
      <scheme val="minor"/>
    </font>
    <font>
      <b/>
      <sz val="11"/>
      <color rgb="FFFFFF00"/>
      <name val="Calibri"/>
      <family val="2"/>
      <scheme val="minor"/>
    </font>
    <font>
      <sz val="11"/>
      <color theme="5" tint="0.39997558519241921"/>
      <name val="Calibri"/>
      <family val="2"/>
      <scheme val="minor"/>
    </font>
    <font>
      <b/>
      <sz val="11"/>
      <color theme="5" tint="0.39997558519241921"/>
      <name val="Calibri"/>
      <family val="2"/>
      <scheme val="minor"/>
    </font>
    <font>
      <sz val="11"/>
      <color theme="3" tint="-0.499984740745262"/>
      <name val="Calibri"/>
      <family val="2"/>
      <scheme val="minor"/>
    </font>
    <font>
      <b/>
      <sz val="11"/>
      <name val="Calibri"/>
      <family val="2"/>
      <scheme val="minor"/>
    </font>
    <font>
      <sz val="11"/>
      <name val="Calibri"/>
      <family val="2"/>
      <scheme val="minor"/>
    </font>
    <font>
      <sz val="10"/>
      <name val="Calibri"/>
      <family val="2"/>
      <scheme val="minor"/>
    </font>
    <font>
      <sz val="12"/>
      <name val="Calibri"/>
      <family val="2"/>
      <scheme val="minor"/>
    </font>
    <font>
      <sz val="9"/>
      <name val="Calibri"/>
      <family val="2"/>
      <scheme val="minor"/>
    </font>
    <font>
      <b/>
      <sz val="10"/>
      <name val="Calibri"/>
      <family val="2"/>
      <scheme val="minor"/>
    </font>
    <font>
      <b/>
      <sz val="9"/>
      <name val="Calibri"/>
      <family val="2"/>
      <scheme val="minor"/>
    </font>
    <font>
      <sz val="14"/>
      <name val="Calibri"/>
      <family val="2"/>
      <scheme val="minor"/>
    </font>
    <font>
      <b/>
      <sz val="11"/>
      <color rgb="FF00B050"/>
      <name val="Calibri"/>
      <family val="2"/>
      <scheme val="minor"/>
    </font>
    <font>
      <sz val="8"/>
      <name val="Calibri"/>
      <family val="2"/>
      <scheme val="minor"/>
    </font>
    <font>
      <b/>
      <sz val="12"/>
      <name val="Calibri"/>
      <family val="2"/>
      <scheme val="minor"/>
    </font>
    <font>
      <sz val="11"/>
      <color theme="1"/>
      <name val="Calibri"/>
      <family val="2"/>
      <scheme val="minor"/>
    </font>
    <font>
      <sz val="14"/>
      <name val="Kruti Dev 010"/>
    </font>
    <font>
      <sz val="9"/>
      <color theme="0"/>
      <name val="Calibri"/>
      <family val="2"/>
      <scheme val="minor"/>
    </font>
    <font>
      <b/>
      <sz val="16"/>
      <color rgb="FFFFFF00"/>
      <name val="Kruti Dev 010"/>
    </font>
    <font>
      <b/>
      <sz val="16"/>
      <color rgb="FFFFFF00"/>
      <name val="Calibri"/>
      <family val="2"/>
      <scheme val="minor"/>
    </font>
    <font>
      <b/>
      <sz val="18"/>
      <color theme="0"/>
      <name val="Kruti Dev 010"/>
    </font>
    <font>
      <b/>
      <sz val="10"/>
      <color theme="1"/>
      <name val="Wingdings"/>
      <charset val="2"/>
    </font>
    <font>
      <b/>
      <sz val="16"/>
      <name val="Calibri"/>
      <family val="2"/>
      <scheme val="minor"/>
    </font>
    <font>
      <sz val="10"/>
      <name val="Arial"/>
      <family val="2"/>
    </font>
    <font>
      <b/>
      <sz val="12"/>
      <name val="Times New Roman"/>
      <family val="1"/>
    </font>
    <font>
      <sz val="12"/>
      <name val="DevLys 010"/>
    </font>
    <font>
      <sz val="10"/>
      <name val="DevLys 010"/>
    </font>
    <font>
      <b/>
      <sz val="9"/>
      <name val="Arial"/>
      <family val="2"/>
    </font>
    <font>
      <sz val="11"/>
      <name val="Kruti Dev 010"/>
    </font>
    <font>
      <sz val="12"/>
      <name val="Kruti Dev 010"/>
    </font>
    <font>
      <sz val="10"/>
      <name val="Kruti Dev 010"/>
    </font>
    <font>
      <b/>
      <sz val="14"/>
      <color rgb="FF002060"/>
      <name val="Kruti Dev 010"/>
    </font>
    <font>
      <b/>
      <i/>
      <sz val="11"/>
      <name val="Calibri"/>
      <family val="2"/>
      <scheme val="minor"/>
    </font>
    <font>
      <b/>
      <sz val="13"/>
      <color theme="1"/>
      <name val="Calibri"/>
      <family val="2"/>
      <scheme val="minor"/>
    </font>
    <font>
      <b/>
      <sz val="16"/>
      <color rgb="FFC0C03E"/>
      <name val="Kruti Dev 010"/>
    </font>
    <font>
      <b/>
      <sz val="16"/>
      <color rgb="FFC0C03E"/>
      <name val="Calibri"/>
      <family val="2"/>
      <scheme val="minor"/>
    </font>
    <font>
      <b/>
      <sz val="14"/>
      <color rgb="FFFFFF00"/>
      <name val="Calibri"/>
      <family val="2"/>
      <scheme val="minor"/>
    </font>
    <font>
      <b/>
      <i/>
      <u/>
      <sz val="18"/>
      <color theme="0"/>
      <name val="Calibri"/>
      <family val="2"/>
      <scheme val="minor"/>
    </font>
    <font>
      <b/>
      <i/>
      <sz val="14"/>
      <color theme="1"/>
      <name val="Calibri"/>
      <family val="2"/>
      <scheme val="minor"/>
    </font>
    <font>
      <b/>
      <sz val="14"/>
      <name val="Kruti Dev 010"/>
    </font>
    <font>
      <b/>
      <sz val="14"/>
      <color theme="4" tint="0.39997558519241921"/>
      <name val="Calibri"/>
      <family val="2"/>
      <scheme val="minor"/>
    </font>
    <font>
      <b/>
      <u/>
      <sz val="18"/>
      <color theme="0"/>
      <name val="Kruti Dev 010"/>
    </font>
    <font>
      <b/>
      <sz val="16"/>
      <color theme="0"/>
      <name val="Kruti Dev 010"/>
    </font>
    <font>
      <b/>
      <sz val="16"/>
      <color theme="0"/>
      <name val="Calibri"/>
      <family val="2"/>
      <scheme val="minor"/>
    </font>
    <font>
      <b/>
      <sz val="11"/>
      <color rgb="FFFF0000"/>
      <name val="Calibri"/>
      <family val="2"/>
      <scheme val="minor"/>
    </font>
    <font>
      <b/>
      <sz val="10"/>
      <name val="Calibri"/>
      <family val="2"/>
    </font>
    <font>
      <sz val="9"/>
      <color indexed="81"/>
      <name val="Tahoma"/>
      <family val="2"/>
    </font>
    <font>
      <b/>
      <sz val="9"/>
      <color indexed="81"/>
      <name val="Tahoma"/>
      <family val="2"/>
    </font>
    <font>
      <b/>
      <sz val="16"/>
      <color rgb="FFFF0000"/>
      <name val="Calibri"/>
      <family val="2"/>
      <scheme val="minor"/>
    </font>
    <font>
      <b/>
      <sz val="12"/>
      <color theme="0"/>
      <name val="Calibri"/>
      <family val="2"/>
      <scheme val="minor"/>
    </font>
    <font>
      <b/>
      <sz val="14"/>
      <name val="Calibri"/>
      <family val="2"/>
    </font>
    <font>
      <u/>
      <sz val="15"/>
      <name val="Calibri"/>
      <family val="2"/>
      <scheme val="minor"/>
    </font>
    <font>
      <b/>
      <sz val="11"/>
      <color theme="6" tint="0.79998168889431442"/>
      <name val="Calibri"/>
      <family val="2"/>
      <scheme val="minor"/>
    </font>
    <font>
      <b/>
      <sz val="14"/>
      <color indexed="10"/>
      <name val="Times New Roman"/>
      <family val="1"/>
    </font>
    <font>
      <sz val="11"/>
      <color indexed="8"/>
      <name val="Times New Roman"/>
      <family val="1"/>
    </font>
    <font>
      <b/>
      <sz val="14"/>
      <color indexed="17"/>
      <name val="Times New Roman"/>
      <family val="1"/>
    </font>
    <font>
      <b/>
      <sz val="13"/>
      <color indexed="17"/>
      <name val="Times New Roman"/>
      <family val="1"/>
    </font>
    <font>
      <b/>
      <sz val="11"/>
      <color indexed="10"/>
      <name val="Times New Roman"/>
      <family val="1"/>
    </font>
    <font>
      <b/>
      <sz val="11"/>
      <color indexed="18"/>
      <name val="Times New Roman"/>
      <family val="1"/>
    </font>
    <font>
      <b/>
      <sz val="8"/>
      <color indexed="16"/>
      <name val="Times New Roman"/>
      <family val="1"/>
    </font>
    <font>
      <b/>
      <sz val="11"/>
      <color theme="0"/>
      <name val="Times New Roman"/>
      <family val="1"/>
    </font>
    <font>
      <b/>
      <sz val="14"/>
      <color indexed="21"/>
      <name val="Calibri"/>
      <family val="2"/>
      <scheme val="minor"/>
    </font>
    <font>
      <sz val="14"/>
      <color indexed="8"/>
      <name val="Calibri"/>
      <family val="2"/>
      <scheme val="minor"/>
    </font>
    <font>
      <b/>
      <sz val="14"/>
      <color indexed="17"/>
      <name val="Calibri"/>
      <family val="2"/>
      <scheme val="minor"/>
    </font>
    <font>
      <b/>
      <sz val="14"/>
      <color theme="7" tint="0.79998168889431442"/>
      <name val="Calibri"/>
      <family val="2"/>
      <scheme val="minor"/>
    </font>
    <font>
      <b/>
      <sz val="14"/>
      <color theme="9" tint="0.59999389629810485"/>
      <name val="Calibri"/>
      <family val="2"/>
      <scheme val="minor"/>
    </font>
    <font>
      <b/>
      <sz val="18"/>
      <color indexed="17"/>
      <name val="Wingdings"/>
      <charset val="2"/>
    </font>
    <font>
      <b/>
      <sz val="20"/>
      <color indexed="21"/>
      <name val="Calibri"/>
      <family val="2"/>
      <scheme val="minor"/>
    </font>
    <font>
      <b/>
      <sz val="20"/>
      <color indexed="21"/>
      <name val="Wingdings"/>
      <charset val="2"/>
    </font>
    <font>
      <b/>
      <sz val="18"/>
      <color indexed="17"/>
      <name val="Calibri"/>
      <family val="2"/>
      <scheme val="minor"/>
    </font>
    <font>
      <b/>
      <sz val="18"/>
      <color theme="7" tint="0.79998168889431442"/>
      <name val="Wingdings"/>
      <charset val="2"/>
    </font>
    <font>
      <b/>
      <sz val="18"/>
      <color theme="9" tint="0.59999389629810485"/>
      <name val="Wingdings"/>
      <charset val="2"/>
    </font>
    <font>
      <sz val="11"/>
      <color theme="3" tint="0.59999389629810485"/>
      <name val="Calibri"/>
      <family val="2"/>
      <scheme val="minor"/>
    </font>
    <font>
      <b/>
      <sz val="12"/>
      <color theme="2" tint="-9.9978637043366805E-2"/>
      <name val="Calibri"/>
      <family val="2"/>
      <scheme val="minor"/>
    </font>
    <font>
      <sz val="12"/>
      <color theme="2" tint="-9.9978637043366805E-2"/>
      <name val="Calibri"/>
      <family val="2"/>
      <scheme val="minor"/>
    </font>
    <font>
      <b/>
      <sz val="12"/>
      <color theme="3" tint="0.59999389629810485"/>
      <name val="Calibri"/>
      <family val="2"/>
      <scheme val="minor"/>
    </font>
    <font>
      <sz val="12"/>
      <color theme="7" tint="-0.499984740745262"/>
      <name val="Calibri"/>
      <family val="2"/>
      <scheme val="minor"/>
    </font>
    <font>
      <b/>
      <sz val="14"/>
      <color theme="7" tint="-0.499984740745262"/>
      <name val="Calibri"/>
      <family val="2"/>
      <scheme val="minor"/>
    </font>
    <font>
      <b/>
      <sz val="14"/>
      <color indexed="10"/>
      <name val="Wingdings 2"/>
      <family val="1"/>
      <charset val="2"/>
    </font>
    <font>
      <b/>
      <sz val="16"/>
      <color indexed="17"/>
      <name val="Calibri"/>
      <family val="2"/>
      <scheme val="minor"/>
    </font>
    <font>
      <b/>
      <sz val="16"/>
      <color indexed="17"/>
      <name val="Times New Roman"/>
      <family val="1"/>
    </font>
    <font>
      <b/>
      <sz val="16"/>
      <color indexed="17"/>
      <name val="Wingdings"/>
      <charset val="2"/>
    </font>
    <font>
      <b/>
      <sz val="16"/>
      <color theme="3" tint="0.59999389629810485"/>
      <name val="Kruti Dev 010"/>
    </font>
    <font>
      <u/>
      <sz val="10"/>
      <color theme="10"/>
      <name val="Arial"/>
      <family val="2"/>
    </font>
    <font>
      <b/>
      <sz val="14"/>
      <name val="Calibri"/>
      <family val="2"/>
    </font>
    <font>
      <sz val="10"/>
      <name val="Arial"/>
      <family val="2"/>
    </font>
    <font>
      <b/>
      <sz val="14"/>
      <color rgb="FF0000FF"/>
      <name val="Kruti Dev 010"/>
    </font>
    <font>
      <b/>
      <sz val="11"/>
      <name val="Kruti Dev 010"/>
    </font>
    <font>
      <b/>
      <sz val="22"/>
      <color rgb="FF7030A0"/>
      <name val="Calibri"/>
      <family val="2"/>
      <scheme val="minor"/>
    </font>
    <font>
      <b/>
      <sz val="24"/>
      <color rgb="FF00B050"/>
      <name val="Calibri"/>
      <family val="2"/>
      <scheme val="minor"/>
    </font>
    <font>
      <b/>
      <sz val="24"/>
      <color theme="1"/>
      <name val="Calibri"/>
      <family val="2"/>
      <scheme val="minor"/>
    </font>
    <font>
      <b/>
      <sz val="20"/>
      <color rgb="FFFF0000"/>
      <name val="Calibri"/>
      <family val="2"/>
      <scheme val="minor"/>
    </font>
    <font>
      <b/>
      <sz val="22"/>
      <color rgb="FF0070C0"/>
      <name val="Calibri"/>
      <family val="2"/>
      <scheme val="minor"/>
    </font>
    <font>
      <u/>
      <sz val="11"/>
      <color theme="10"/>
      <name val="Calibri"/>
      <family val="2"/>
    </font>
    <font>
      <b/>
      <u/>
      <sz val="16"/>
      <color theme="9" tint="-0.499984740745262"/>
      <name val="Calibri"/>
      <family val="2"/>
      <scheme val="minor"/>
    </font>
    <font>
      <sz val="18"/>
      <name val="Calibri"/>
      <family val="2"/>
      <scheme val="minor"/>
    </font>
    <font>
      <sz val="18"/>
      <name val="Kruti Dev 010"/>
    </font>
    <font>
      <sz val="18"/>
      <name val="Arial"/>
      <family val="2"/>
    </font>
    <font>
      <b/>
      <sz val="18"/>
      <color indexed="10"/>
      <name val="Calibri"/>
      <family val="2"/>
    </font>
    <font>
      <b/>
      <sz val="18"/>
      <color indexed="36"/>
      <name val="Calibri"/>
      <family val="2"/>
    </font>
    <font>
      <b/>
      <sz val="18"/>
      <color indexed="56"/>
      <name val="Calibri"/>
      <family val="2"/>
    </font>
    <font>
      <b/>
      <sz val="18"/>
      <color indexed="60"/>
      <name val="Calibri"/>
      <family val="2"/>
    </font>
    <font>
      <b/>
      <sz val="18"/>
      <color indexed="17"/>
      <name val="Calibri"/>
      <family val="2"/>
    </font>
    <font>
      <b/>
      <sz val="18"/>
      <color rgb="FFC00000"/>
      <name val="Comic Sans MS"/>
      <family val="4"/>
    </font>
    <font>
      <sz val="16"/>
      <color indexed="8"/>
      <name val="Kruti Dev 010"/>
    </font>
    <font>
      <b/>
      <u/>
      <sz val="18"/>
      <color theme="10"/>
      <name val="Calibri"/>
      <family val="2"/>
    </font>
    <font>
      <sz val="16"/>
      <color indexed="8"/>
      <name val="Calibri"/>
      <family val="2"/>
      <scheme val="minor"/>
    </font>
    <font>
      <b/>
      <sz val="14"/>
      <color theme="6"/>
      <name val="Kruti Dev 010"/>
    </font>
    <font>
      <b/>
      <sz val="14"/>
      <color theme="6"/>
      <name val="Calibri"/>
      <family val="2"/>
      <scheme val="minor"/>
    </font>
    <font>
      <b/>
      <sz val="18"/>
      <color theme="6"/>
      <name val="Wingdings"/>
      <charset val="2"/>
    </font>
    <font>
      <b/>
      <sz val="14"/>
      <color rgb="FF00B050"/>
      <name val="Calibri"/>
      <family val="2"/>
      <scheme val="minor"/>
    </font>
    <font>
      <b/>
      <u/>
      <sz val="16"/>
      <color rgb="FF00B0F0"/>
      <name val="Kruti Dev 010"/>
    </font>
    <font>
      <b/>
      <sz val="14"/>
      <color rgb="FF92D050"/>
      <name val="Kruti Dev 010"/>
    </font>
    <font>
      <b/>
      <sz val="14"/>
      <color rgb="FF92D050"/>
      <name val="Wingdings"/>
      <charset val="2"/>
    </font>
    <font>
      <b/>
      <sz val="14"/>
      <color rgb="FFFFFF00"/>
      <name val="Kruti Dev 010"/>
    </font>
    <font>
      <b/>
      <sz val="14"/>
      <color rgb="FFFFC000"/>
      <name val="Kruti Dev 010"/>
    </font>
    <font>
      <b/>
      <sz val="14"/>
      <color rgb="FFFFC000"/>
      <name val="Wingdings"/>
      <charset val="2"/>
    </font>
    <font>
      <b/>
      <sz val="20"/>
      <color rgb="FFFFFF00"/>
      <name val="Wingdings"/>
      <charset val="2"/>
    </font>
    <font>
      <sz val="11"/>
      <color rgb="FFFFFF00"/>
      <name val="Calibri"/>
      <family val="2"/>
      <scheme val="minor"/>
    </font>
    <font>
      <sz val="11"/>
      <color rgb="FFFF0000"/>
      <name val="Calibri"/>
      <family val="2"/>
      <scheme val="minor"/>
    </font>
    <font>
      <b/>
      <sz val="14"/>
      <color rgb="FFFFC000"/>
      <name val="Calibri"/>
      <family val="2"/>
      <scheme val="minor"/>
    </font>
    <font>
      <b/>
      <sz val="15"/>
      <color rgb="FFC0C03E"/>
      <name val="Kruti Dev 010"/>
    </font>
    <font>
      <b/>
      <sz val="14"/>
      <color rgb="FFFF0000"/>
      <name val="Calibri"/>
      <family val="2"/>
      <scheme val="minor"/>
    </font>
    <font>
      <b/>
      <sz val="14"/>
      <color rgb="FF166D07"/>
      <name val="Calibri"/>
      <family val="2"/>
      <scheme val="minor"/>
    </font>
    <font>
      <sz val="11"/>
      <color rgb="FF525E16"/>
      <name val="Calibri"/>
      <family val="2"/>
      <scheme val="minor"/>
    </font>
    <font>
      <b/>
      <sz val="8"/>
      <name val="Calibri"/>
      <family val="2"/>
      <scheme val="minor"/>
    </font>
    <font>
      <b/>
      <sz val="14"/>
      <color rgb="FF00B0F0"/>
      <name val="Kruti Dev 010"/>
    </font>
    <font>
      <b/>
      <sz val="14"/>
      <color rgb="FF00B0F0"/>
      <name val="Wingdings"/>
      <charset val="2"/>
    </font>
    <font>
      <b/>
      <sz val="14"/>
      <color rgb="FFFF0000"/>
      <name val="Kruti Dev 010"/>
    </font>
    <font>
      <b/>
      <sz val="18"/>
      <color rgb="FF166D07"/>
      <name val="Calibri"/>
      <family val="2"/>
      <scheme val="minor"/>
    </font>
    <font>
      <b/>
      <sz val="14"/>
      <color theme="0"/>
      <name val="Kruti Dev 010"/>
    </font>
    <font>
      <sz val="20"/>
      <color theme="1"/>
      <name val="Calibri"/>
      <family val="2"/>
      <scheme val="minor"/>
    </font>
    <font>
      <b/>
      <sz val="12"/>
      <color rgb="FF000000"/>
      <name val="Kruti Dev 010"/>
    </font>
    <font>
      <sz val="12"/>
      <color rgb="FF000000"/>
      <name val="Kruti Dev 010"/>
    </font>
    <font>
      <sz val="10"/>
      <color rgb="FF000000"/>
      <name val="Kruti Dev 010"/>
    </font>
    <font>
      <b/>
      <sz val="13"/>
      <color rgb="FF000000"/>
      <name val="Kruti Dev 010"/>
    </font>
    <font>
      <b/>
      <sz val="10"/>
      <color rgb="FF000000"/>
      <name val="Kruti Dev 010"/>
    </font>
    <font>
      <b/>
      <i/>
      <sz val="10"/>
      <color rgb="FF000000"/>
      <name val="Kruti Dev 010"/>
    </font>
    <font>
      <sz val="16"/>
      <color rgb="FFFF0000"/>
      <name val="Kruti Dev 010"/>
    </font>
    <font>
      <b/>
      <i/>
      <sz val="12"/>
      <color theme="1"/>
      <name val="Calibri"/>
      <family val="2"/>
      <scheme val="minor"/>
    </font>
    <font>
      <b/>
      <sz val="12"/>
      <color rgb="FFCC00FF"/>
      <name val="Calibri"/>
      <family val="2"/>
      <scheme val="minor"/>
    </font>
    <font>
      <b/>
      <sz val="12"/>
      <color rgb="FF00B0F0"/>
      <name val="Calibri"/>
      <family val="2"/>
      <scheme val="minor"/>
    </font>
    <font>
      <b/>
      <sz val="12"/>
      <color rgb="FF00B050"/>
      <name val="Calibri"/>
      <family val="2"/>
      <scheme val="minor"/>
    </font>
    <font>
      <b/>
      <sz val="14"/>
      <color rgb="FF0070C0"/>
      <name val="Kruti Dev 010"/>
    </font>
    <font>
      <b/>
      <sz val="14"/>
      <color rgb="FF0070C0"/>
      <name val="Calibri"/>
      <family val="2"/>
      <scheme val="minor"/>
    </font>
    <font>
      <i/>
      <sz val="14"/>
      <color theme="1"/>
      <name val="Calibri"/>
      <family val="2"/>
      <scheme val="minor"/>
    </font>
    <font>
      <b/>
      <sz val="13"/>
      <name val="Kruti Dev 010"/>
    </font>
    <font>
      <b/>
      <i/>
      <sz val="10"/>
      <name val="Calibri"/>
      <family val="2"/>
      <scheme val="minor"/>
    </font>
    <font>
      <sz val="12"/>
      <name val="Arial"/>
      <family val="2"/>
    </font>
    <font>
      <b/>
      <sz val="12"/>
      <name val="DevLys 010"/>
    </font>
    <font>
      <b/>
      <sz val="10"/>
      <name val="Arial"/>
      <family val="2"/>
    </font>
    <font>
      <i/>
      <sz val="11"/>
      <name val="Calibri"/>
      <family val="2"/>
      <scheme val="minor"/>
    </font>
    <font>
      <i/>
      <sz val="12"/>
      <name val="Calibri"/>
      <family val="2"/>
      <scheme val="minor"/>
    </font>
    <font>
      <b/>
      <sz val="12"/>
      <name val="Kruti Dev 010"/>
    </font>
    <font>
      <b/>
      <i/>
      <sz val="12"/>
      <name val="Calibri"/>
      <family val="2"/>
      <scheme val="minor"/>
    </font>
    <font>
      <sz val="13"/>
      <name val="Kruti Dev 010"/>
    </font>
    <font>
      <sz val="13"/>
      <name val="Calibri"/>
      <family val="2"/>
      <scheme val="minor"/>
    </font>
    <font>
      <b/>
      <sz val="10"/>
      <name val="Kruti Dev 010"/>
    </font>
    <font>
      <b/>
      <sz val="24"/>
      <color rgb="FF7030A0"/>
      <name val="Wingdings"/>
      <charset val="2"/>
    </font>
    <font>
      <b/>
      <sz val="8"/>
      <color theme="1"/>
      <name val="Calibri"/>
      <family val="2"/>
      <scheme val="minor"/>
    </font>
    <font>
      <sz val="10"/>
      <name val="Times New Roman"/>
      <family val="1"/>
    </font>
    <font>
      <sz val="9"/>
      <name val="Times New Roman"/>
      <family val="1"/>
    </font>
    <font>
      <b/>
      <sz val="8"/>
      <name val="Kruti Dev 010"/>
    </font>
    <font>
      <b/>
      <i/>
      <sz val="14"/>
      <name val="Calibri"/>
      <family val="2"/>
      <scheme val="minor"/>
    </font>
    <font>
      <b/>
      <sz val="12"/>
      <color rgb="FF002060"/>
      <name val="Kruti Dev 010"/>
    </font>
    <font>
      <b/>
      <sz val="12"/>
      <color rgb="FF002060"/>
      <name val="Calibri"/>
      <family val="2"/>
      <scheme val="minor"/>
    </font>
    <font>
      <b/>
      <i/>
      <u/>
      <sz val="14"/>
      <color rgb="FFFF0000"/>
      <name val="Calibri"/>
      <family val="2"/>
      <scheme val="minor"/>
    </font>
    <font>
      <sz val="8"/>
      <name val="Tahoma"/>
      <family val="2"/>
    </font>
    <font>
      <i/>
      <sz val="16"/>
      <color rgb="FFC0C03E"/>
      <name val="Kruti Dev 010"/>
    </font>
    <font>
      <b/>
      <sz val="16"/>
      <color rgb="FF00B0F0"/>
      <name val="Calibri"/>
      <family val="2"/>
      <scheme val="minor"/>
    </font>
    <font>
      <b/>
      <sz val="18"/>
      <color theme="4" tint="0.39997558519241921"/>
      <name val="Calibri"/>
      <family val="2"/>
      <scheme val="minor"/>
    </font>
    <font>
      <b/>
      <sz val="18"/>
      <color theme="4" tint="0.39997558519241921"/>
      <name val="Wingdings"/>
      <charset val="2"/>
    </font>
    <font>
      <b/>
      <sz val="14"/>
      <color theme="4" tint="0.39997558519241921"/>
      <name val="Wingdings 2"/>
      <family val="1"/>
      <charset val="2"/>
    </font>
    <font>
      <b/>
      <sz val="14"/>
      <color theme="4" tint="0.39997558519241921"/>
      <name val="Kruti Dev 010"/>
    </font>
    <font>
      <b/>
      <i/>
      <u/>
      <sz val="18"/>
      <color rgb="FF00B0F0"/>
      <name val="Calibri"/>
      <family val="2"/>
      <scheme val="minor"/>
    </font>
    <font>
      <b/>
      <i/>
      <sz val="14"/>
      <color theme="1"/>
      <name val="Kruti Dev 010"/>
    </font>
    <font>
      <b/>
      <i/>
      <u/>
      <sz val="14"/>
      <name val="Times New Roman"/>
      <family val="1"/>
    </font>
    <font>
      <b/>
      <sz val="14"/>
      <color rgb="FFFF0000"/>
      <name val="Wingdings"/>
      <charset val="2"/>
    </font>
    <font>
      <b/>
      <sz val="12"/>
      <color theme="9" tint="0.79998168889431442"/>
      <name val="Calibri"/>
      <family val="2"/>
      <scheme val="minor"/>
    </font>
    <font>
      <b/>
      <sz val="16"/>
      <color rgb="FFFF0000"/>
      <name val="Kruti Dev 010"/>
    </font>
    <font>
      <b/>
      <i/>
      <sz val="16"/>
      <color theme="5" tint="0.39997558519241921"/>
      <name val="Calibri"/>
      <family val="2"/>
      <scheme val="minor"/>
    </font>
    <font>
      <b/>
      <i/>
      <sz val="16"/>
      <color rgb="FF00B050"/>
      <name val="Calibri"/>
      <family val="2"/>
      <scheme val="minor"/>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b/>
      <i/>
      <u/>
      <sz val="16"/>
      <color rgb="FF7030A0"/>
      <name val="Calibri"/>
      <family val="2"/>
      <scheme val="minor"/>
    </font>
    <font>
      <b/>
      <sz val="14"/>
      <color rgb="FF2C5123"/>
      <name val="Kruti Dev 010"/>
    </font>
    <font>
      <b/>
      <sz val="14"/>
      <color theme="5" tint="-0.499984740745262"/>
      <name val="Kruti Dev 010"/>
    </font>
    <font>
      <b/>
      <sz val="14"/>
      <color rgb="FF2C5123"/>
      <name val="Calibri"/>
      <family val="2"/>
      <scheme val="minor"/>
    </font>
    <font>
      <b/>
      <sz val="16"/>
      <color rgb="FF166D07"/>
      <name val="Calibri"/>
      <family val="2"/>
      <scheme val="minor"/>
    </font>
    <font>
      <sz val="11.5"/>
      <name val="Kruti Dev 010"/>
    </font>
    <font>
      <b/>
      <i/>
      <u/>
      <sz val="16"/>
      <color theme="1"/>
      <name val="Calibri"/>
      <family val="2"/>
      <scheme val="minor"/>
    </font>
    <font>
      <b/>
      <sz val="9"/>
      <name val="Kruti Dev 010"/>
    </font>
  </fonts>
  <fills count="33">
    <fill>
      <patternFill patternType="none"/>
    </fill>
    <fill>
      <patternFill patternType="gray125"/>
    </fill>
    <fill>
      <patternFill patternType="solid">
        <fgColor rgb="FFFFFF00"/>
        <bgColor indexed="64"/>
      </patternFill>
    </fill>
    <fill>
      <patternFill patternType="solid">
        <fgColor theme="2" tint="-0.749992370372631"/>
        <bgColor indexed="64"/>
      </patternFill>
    </fill>
    <fill>
      <patternFill patternType="solid">
        <fgColor theme="2" tint="-0.499984740745262"/>
        <bgColor indexed="64"/>
      </patternFill>
    </fill>
    <fill>
      <patternFill patternType="solid">
        <fgColor theme="7" tint="-0.249977111117893"/>
        <bgColor indexed="64"/>
      </patternFill>
    </fill>
    <fill>
      <patternFill patternType="solid">
        <fgColor rgb="FF7030A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rgb="FF002060"/>
        <bgColor indexed="64"/>
      </patternFill>
    </fill>
    <fill>
      <patternFill patternType="solid">
        <fgColor theme="7" tint="-0.499984740745262"/>
        <bgColor indexed="64"/>
      </patternFill>
    </fill>
    <fill>
      <patternFill patternType="solid">
        <fgColor indexed="9"/>
        <bgColor indexed="64"/>
      </patternFill>
    </fill>
    <fill>
      <patternFill patternType="solid">
        <fgColor rgb="FFCCFFCC"/>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rgb="FF33CCCC"/>
        <bgColor indexed="64"/>
      </patternFill>
    </fill>
    <fill>
      <patternFill patternType="solid">
        <fgColor rgb="FFFFCC99"/>
        <bgColor indexed="64"/>
      </patternFill>
    </fill>
    <fill>
      <patternFill patternType="solid">
        <fgColor rgb="FF8EB4E2"/>
        <bgColor indexed="64"/>
      </patternFill>
    </fill>
    <fill>
      <patternFill patternType="solid">
        <fgColor indexed="22"/>
        <bgColor indexed="64"/>
      </patternFill>
    </fill>
    <fill>
      <patternFill patternType="solid">
        <fgColor indexed="1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5A285B"/>
        <bgColor indexed="64"/>
      </patternFill>
    </fill>
    <fill>
      <patternFill patternType="solid">
        <fgColor theme="9" tint="-0.249977111117893"/>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rgb="FFC0C03E"/>
        <bgColor indexed="64"/>
      </patternFill>
    </fill>
    <fill>
      <patternFill patternType="solid">
        <fgColor rgb="FFFF0000"/>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double">
        <color rgb="FF00B050"/>
      </left>
      <right style="double">
        <color rgb="FF00B050"/>
      </right>
      <top style="double">
        <color rgb="FF00B050"/>
      </top>
      <bottom style="double">
        <color rgb="FF00B050"/>
      </bottom>
      <diagonal/>
    </border>
    <border>
      <left style="double">
        <color rgb="FF00B050"/>
      </left>
      <right/>
      <top style="double">
        <color rgb="FF00B050"/>
      </top>
      <bottom style="double">
        <color rgb="FF00B050"/>
      </bottom>
      <diagonal/>
    </border>
    <border>
      <left/>
      <right/>
      <top style="double">
        <color rgb="FF00B050"/>
      </top>
      <bottom style="double">
        <color rgb="FF00B050"/>
      </bottom>
      <diagonal/>
    </border>
    <border>
      <left/>
      <right style="double">
        <color rgb="FF00B050"/>
      </right>
      <top style="double">
        <color rgb="FF00B050"/>
      </top>
      <bottom style="double">
        <color rgb="FF00B050"/>
      </bottom>
      <diagonal/>
    </border>
    <border>
      <left style="double">
        <color rgb="FF00B050"/>
      </left>
      <right/>
      <top style="double">
        <color rgb="FF00B050"/>
      </top>
      <bottom/>
      <diagonal/>
    </border>
    <border>
      <left/>
      <right/>
      <top style="double">
        <color rgb="FF00B050"/>
      </top>
      <bottom/>
      <diagonal/>
    </border>
    <border>
      <left/>
      <right style="double">
        <color rgb="FF00B050"/>
      </right>
      <top style="double">
        <color rgb="FF00B050"/>
      </top>
      <bottom/>
      <diagonal/>
    </border>
    <border>
      <left style="double">
        <color rgb="FF00B050"/>
      </left>
      <right/>
      <top/>
      <bottom style="double">
        <color rgb="FF00B050"/>
      </bottom>
      <diagonal/>
    </border>
    <border>
      <left/>
      <right/>
      <top/>
      <bottom style="double">
        <color rgb="FF00B050"/>
      </bottom>
      <diagonal/>
    </border>
    <border>
      <left/>
      <right style="double">
        <color rgb="FF00B050"/>
      </right>
      <top/>
      <bottom style="double">
        <color rgb="FF00B050"/>
      </bottom>
      <diagonal/>
    </border>
    <border>
      <left style="double">
        <color rgb="FF00B050"/>
      </left>
      <right/>
      <top/>
      <bottom/>
      <diagonal/>
    </border>
    <border>
      <left/>
      <right style="double">
        <color rgb="FF00B050"/>
      </right>
      <top/>
      <bottom/>
      <diagonal/>
    </border>
    <border>
      <left style="thin">
        <color rgb="FF00B0F0"/>
      </left>
      <right style="thin">
        <color rgb="FF00B0F0"/>
      </right>
      <top style="thin">
        <color rgb="FF00B0F0"/>
      </top>
      <bottom style="thin">
        <color rgb="FF00B0F0"/>
      </bottom>
      <diagonal/>
    </border>
    <border>
      <left style="thin">
        <color indexed="10"/>
      </left>
      <right style="thin">
        <color indexed="46"/>
      </right>
      <top/>
      <bottom style="thin">
        <color indexed="46"/>
      </bottom>
      <diagonal/>
    </border>
    <border>
      <left style="thin">
        <color indexed="46"/>
      </left>
      <right style="thin">
        <color indexed="10"/>
      </right>
      <top/>
      <bottom style="thin">
        <color indexed="46"/>
      </bottom>
      <diagonal/>
    </border>
    <border>
      <left style="thin">
        <color indexed="10"/>
      </left>
      <right style="thin">
        <color indexed="46"/>
      </right>
      <top style="thin">
        <color indexed="46"/>
      </top>
      <bottom style="thin">
        <color indexed="46"/>
      </bottom>
      <diagonal/>
    </border>
    <border>
      <left style="thin">
        <color indexed="46"/>
      </left>
      <right style="thin">
        <color indexed="10"/>
      </right>
      <top style="thin">
        <color indexed="46"/>
      </top>
      <bottom style="thin">
        <color indexed="46"/>
      </bottom>
      <diagonal/>
    </border>
    <border>
      <left style="thin">
        <color indexed="10"/>
      </left>
      <right style="thin">
        <color indexed="46"/>
      </right>
      <top style="thin">
        <color indexed="46"/>
      </top>
      <bottom style="thin">
        <color indexed="10"/>
      </bottom>
      <diagonal/>
    </border>
    <border>
      <left style="thin">
        <color indexed="46"/>
      </left>
      <right style="thin">
        <color indexed="10"/>
      </right>
      <top style="thin">
        <color indexed="46"/>
      </top>
      <bottom style="thin">
        <color indexed="10"/>
      </bottom>
      <diagonal/>
    </border>
    <border>
      <left style="medium">
        <color rgb="FFC0C03E"/>
      </left>
      <right style="thin">
        <color indexed="64"/>
      </right>
      <top style="medium">
        <color rgb="FFC0C03E"/>
      </top>
      <bottom style="thin">
        <color indexed="64"/>
      </bottom>
      <diagonal/>
    </border>
    <border>
      <left style="thin">
        <color indexed="64"/>
      </left>
      <right style="thin">
        <color indexed="64"/>
      </right>
      <top style="medium">
        <color rgb="FFC0C03E"/>
      </top>
      <bottom style="thin">
        <color indexed="64"/>
      </bottom>
      <diagonal/>
    </border>
    <border>
      <left style="thin">
        <color indexed="64"/>
      </left>
      <right style="medium">
        <color rgb="FFC0C03E"/>
      </right>
      <top style="medium">
        <color rgb="FFC0C03E"/>
      </top>
      <bottom style="thin">
        <color indexed="64"/>
      </bottom>
      <diagonal/>
    </border>
    <border>
      <left style="medium">
        <color rgb="FFC0C03E"/>
      </left>
      <right style="thin">
        <color indexed="64"/>
      </right>
      <top style="thin">
        <color indexed="64"/>
      </top>
      <bottom style="thin">
        <color indexed="64"/>
      </bottom>
      <diagonal/>
    </border>
    <border>
      <left style="thin">
        <color indexed="64"/>
      </left>
      <right style="medium">
        <color rgb="FFC0C03E"/>
      </right>
      <top style="thin">
        <color indexed="64"/>
      </top>
      <bottom style="thin">
        <color indexed="64"/>
      </bottom>
      <diagonal/>
    </border>
    <border>
      <left style="thin">
        <color indexed="64"/>
      </left>
      <right style="thin">
        <color indexed="64"/>
      </right>
      <top style="thin">
        <color indexed="64"/>
      </top>
      <bottom style="medium">
        <color rgb="FFC0C03E"/>
      </bottom>
      <diagonal/>
    </border>
    <border>
      <left style="double">
        <color rgb="FFFFFF00"/>
      </left>
      <right/>
      <top style="double">
        <color rgb="FFFFFF00"/>
      </top>
      <bottom/>
      <diagonal/>
    </border>
    <border>
      <left/>
      <right/>
      <top style="double">
        <color rgb="FFFFFF00"/>
      </top>
      <bottom/>
      <diagonal/>
    </border>
    <border>
      <left/>
      <right style="double">
        <color rgb="FFFFFF00"/>
      </right>
      <top style="double">
        <color rgb="FFFFFF00"/>
      </top>
      <bottom/>
      <diagonal/>
    </border>
    <border>
      <left style="double">
        <color rgb="FFFFFF00"/>
      </left>
      <right/>
      <top/>
      <bottom/>
      <diagonal/>
    </border>
    <border>
      <left/>
      <right style="double">
        <color rgb="FFFFFF00"/>
      </right>
      <top/>
      <bottom/>
      <diagonal/>
    </border>
    <border>
      <left style="double">
        <color rgb="FFFFFF00"/>
      </left>
      <right style="thin">
        <color indexed="64"/>
      </right>
      <top style="thin">
        <color indexed="64"/>
      </top>
      <bottom style="thin">
        <color indexed="64"/>
      </bottom>
      <diagonal/>
    </border>
    <border>
      <left style="double">
        <color rgb="FFFFFF00"/>
      </left>
      <right/>
      <top style="thin">
        <color indexed="64"/>
      </top>
      <bottom style="thin">
        <color indexed="64"/>
      </bottom>
      <diagonal/>
    </border>
    <border>
      <left style="double">
        <color rgb="FFFFFF00"/>
      </left>
      <right/>
      <top/>
      <bottom style="double">
        <color rgb="FFFFFF00"/>
      </bottom>
      <diagonal/>
    </border>
    <border>
      <left/>
      <right/>
      <top/>
      <bottom style="double">
        <color rgb="FFFFFF00"/>
      </bottom>
      <diagonal/>
    </border>
    <border>
      <left/>
      <right style="double">
        <color rgb="FFFFFF00"/>
      </right>
      <top/>
      <bottom style="double">
        <color rgb="FFFFFF00"/>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double">
        <color indexed="64"/>
      </left>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double">
        <color indexed="64"/>
      </right>
      <top style="thin">
        <color auto="1"/>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double">
        <color indexed="64"/>
      </bottom>
      <diagonal/>
    </border>
    <border>
      <left style="double">
        <color theme="5"/>
      </left>
      <right style="double">
        <color theme="5"/>
      </right>
      <top style="double">
        <color theme="5"/>
      </top>
      <bottom style="double">
        <color theme="5"/>
      </bottom>
      <diagonal/>
    </border>
    <border>
      <left style="double">
        <color theme="5"/>
      </left>
      <right style="double">
        <color theme="5"/>
      </right>
      <top/>
      <bottom style="double">
        <color theme="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theme="5"/>
      </right>
      <top/>
      <bottom/>
      <diagonal/>
    </border>
    <border>
      <left style="thin">
        <color indexed="64"/>
      </left>
      <right style="thin">
        <color indexed="64"/>
      </right>
      <top style="medium">
        <color rgb="FFC0C03E"/>
      </top>
      <bottom/>
      <diagonal/>
    </border>
    <border>
      <left/>
      <right style="medium">
        <color indexed="64"/>
      </right>
      <top/>
      <bottom style="thin">
        <color indexed="64"/>
      </bottom>
      <diagonal/>
    </border>
  </borders>
  <cellStyleXfs count="23">
    <xf numFmtId="0" fontId="0" fillId="0" borderId="0"/>
    <xf numFmtId="43" fontId="41" fillId="0" borderId="0" applyFont="0" applyFill="0" applyBorder="0" applyAlignment="0" applyProtection="0"/>
    <xf numFmtId="0" fontId="49" fillId="0" borderId="0">
      <alignment vertical="center"/>
    </xf>
    <xf numFmtId="0" fontId="49" fillId="0" borderId="0">
      <protection locked="0"/>
    </xf>
    <xf numFmtId="0" fontId="49" fillId="0" borderId="0">
      <protection locked="0"/>
    </xf>
    <xf numFmtId="0" fontId="49" fillId="0" borderId="0">
      <alignment vertical="center"/>
    </xf>
    <xf numFmtId="0" fontId="49" fillId="0" borderId="0">
      <protection locked="0"/>
    </xf>
    <xf numFmtId="0" fontId="15" fillId="0" borderId="0">
      <alignment vertical="center"/>
    </xf>
    <xf numFmtId="0" fontId="15" fillId="0" borderId="0">
      <protection locked="0"/>
    </xf>
    <xf numFmtId="0" fontId="49" fillId="0" borderId="0">
      <alignment vertical="center"/>
    </xf>
    <xf numFmtId="0" fontId="49" fillId="0" borderId="0">
      <protection locked="0"/>
    </xf>
    <xf numFmtId="0" fontId="49" fillId="0" borderId="0">
      <alignment vertical="center"/>
    </xf>
    <xf numFmtId="0" fontId="49" fillId="0" borderId="0">
      <protection locked="0"/>
    </xf>
    <xf numFmtId="0" fontId="15" fillId="0" borderId="0">
      <alignment vertical="center"/>
    </xf>
    <xf numFmtId="0" fontId="15" fillId="0" borderId="0">
      <protection locked="0"/>
    </xf>
    <xf numFmtId="0" fontId="15" fillId="0" borderId="0">
      <alignment vertical="center"/>
    </xf>
    <xf numFmtId="0" fontId="15" fillId="0" borderId="0">
      <protection locked="0"/>
    </xf>
    <xf numFmtId="0" fontId="15" fillId="0" borderId="0">
      <alignment vertical="center"/>
    </xf>
    <xf numFmtId="0" fontId="15" fillId="0" borderId="0">
      <protection locked="0"/>
    </xf>
    <xf numFmtId="0" fontId="15" fillId="0" borderId="0">
      <alignment vertical="center"/>
    </xf>
    <xf numFmtId="0" fontId="15" fillId="0" borderId="0">
      <protection locked="0"/>
    </xf>
    <xf numFmtId="0" fontId="10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cellStyleXfs>
  <cellXfs count="871">
    <xf numFmtId="0" fontId="0" fillId="0" borderId="0" xfId="0"/>
    <xf numFmtId="0" fontId="0" fillId="4" borderId="0" xfId="0" applyFill="1" applyProtection="1">
      <protection hidden="1"/>
    </xf>
    <xf numFmtId="0" fontId="0" fillId="6" borderId="0" xfId="0" applyFill="1" applyProtection="1">
      <protection hidden="1"/>
    </xf>
    <xf numFmtId="0" fontId="0" fillId="0" borderId="0" xfId="0" applyAlignment="1" applyProtection="1">
      <alignment horizontal="center" vertical="center"/>
      <protection hidden="1"/>
    </xf>
    <xf numFmtId="0" fontId="0" fillId="0" borderId="0" xfId="0" applyProtection="1">
      <protection hidden="1"/>
    </xf>
    <xf numFmtId="0" fontId="0" fillId="0" borderId="1" xfId="0" applyFont="1" applyBorder="1" applyAlignment="1" applyProtection="1">
      <alignment horizontal="center" vertical="center"/>
      <protection locked="0"/>
    </xf>
    <xf numFmtId="0" fontId="0" fillId="4" borderId="0" xfId="0" applyFill="1" applyAlignment="1" applyProtection="1">
      <alignment horizontal="center" vertical="center"/>
      <protection hidden="1"/>
    </xf>
    <xf numFmtId="0" fontId="0" fillId="3" borderId="0" xfId="0" applyFill="1" applyProtection="1">
      <protection hidden="1"/>
    </xf>
    <xf numFmtId="0" fontId="0" fillId="0" borderId="1" xfId="0"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3" fillId="4" borderId="0" xfId="0" applyFont="1" applyFill="1" applyAlignment="1" applyProtection="1">
      <alignment wrapText="1"/>
      <protection hidden="1"/>
    </xf>
    <xf numFmtId="0" fontId="0" fillId="3" borderId="0" xfId="0" applyFill="1"/>
    <xf numFmtId="0" fontId="0" fillId="0" borderId="1" xfId="0" applyBorder="1" applyProtection="1">
      <protection hidden="1"/>
    </xf>
    <xf numFmtId="0" fontId="2" fillId="4" borderId="0" xfId="0" applyFont="1" applyFill="1" applyProtection="1">
      <protection hidden="1"/>
    </xf>
    <xf numFmtId="0" fontId="2" fillId="10" borderId="0" xfId="0" applyFont="1" applyFill="1" applyAlignment="1" applyProtection="1">
      <alignment horizontal="center" vertical="center"/>
      <protection hidden="1"/>
    </xf>
    <xf numFmtId="0" fontId="2" fillId="10" borderId="0" xfId="0" applyFont="1" applyFill="1" applyProtection="1">
      <protection hidden="1"/>
    </xf>
    <xf numFmtId="0" fontId="3" fillId="10" borderId="0" xfId="0" applyFont="1" applyFill="1" applyAlignment="1" applyProtection="1">
      <alignment wrapText="1"/>
      <protection hidden="1"/>
    </xf>
    <xf numFmtId="0" fontId="0" fillId="10" borderId="0" xfId="0" applyFill="1" applyProtection="1">
      <protection hidden="1"/>
    </xf>
    <xf numFmtId="0" fontId="3" fillId="10" borderId="0" xfId="0" applyFont="1" applyFill="1" applyProtection="1">
      <protection hidden="1"/>
    </xf>
    <xf numFmtId="0" fontId="0" fillId="10" borderId="0" xfId="0" applyFont="1" applyFill="1" applyProtection="1">
      <protection hidden="1"/>
    </xf>
    <xf numFmtId="0" fontId="0" fillId="10" borderId="0" xfId="0" applyFill="1" applyAlignment="1" applyProtection="1">
      <alignment horizontal="center" vertical="center"/>
      <protection hidden="1"/>
    </xf>
    <xf numFmtId="164" fontId="0" fillId="10" borderId="0" xfId="0" applyNumberFormat="1" applyFill="1" applyAlignment="1" applyProtection="1">
      <alignment horizontal="center" vertical="center"/>
      <protection hidden="1"/>
    </xf>
    <xf numFmtId="1" fontId="0" fillId="10" borderId="0" xfId="0" applyNumberFormat="1" applyFill="1" applyAlignment="1" applyProtection="1">
      <alignment horizontal="center" vertical="center"/>
      <protection hidden="1"/>
    </xf>
    <xf numFmtId="2" fontId="0" fillId="10" borderId="0" xfId="0" applyNumberFormat="1" applyFill="1" applyAlignment="1" applyProtection="1">
      <alignment horizontal="center" vertical="center"/>
      <protection hidden="1"/>
    </xf>
    <xf numFmtId="0" fontId="13" fillId="10" borderId="0" xfId="0" applyFont="1" applyFill="1" applyAlignment="1" applyProtection="1">
      <alignment horizontal="center" vertical="center"/>
      <protection hidden="1"/>
    </xf>
    <xf numFmtId="2" fontId="29" fillId="10" borderId="0" xfId="0" applyNumberFormat="1" applyFont="1" applyFill="1" applyAlignment="1" applyProtection="1">
      <alignment horizontal="center" vertical="center"/>
      <protection hidden="1"/>
    </xf>
    <xf numFmtId="0" fontId="0" fillId="11" borderId="0" xfId="0" applyFill="1" applyProtection="1">
      <protection hidden="1"/>
    </xf>
    <xf numFmtId="0" fontId="0" fillId="11" borderId="0" xfId="0" applyFill="1" applyAlignment="1" applyProtection="1">
      <alignment horizontal="center" vertical="center"/>
      <protection hidden="1"/>
    </xf>
    <xf numFmtId="1" fontId="0" fillId="11" borderId="0" xfId="0" applyNumberFormat="1" applyFill="1" applyAlignment="1" applyProtection="1">
      <alignment horizontal="center" vertical="center"/>
      <protection hidden="1"/>
    </xf>
    <xf numFmtId="2" fontId="17" fillId="10" borderId="1" xfId="0" applyNumberFormat="1" applyFont="1" applyFill="1" applyBorder="1" applyAlignment="1" applyProtection="1">
      <alignment horizontal="center" vertical="center"/>
      <protection hidden="1"/>
    </xf>
    <xf numFmtId="2" fontId="38" fillId="10" borderId="1" xfId="0" applyNumberFormat="1" applyFont="1" applyFill="1" applyBorder="1" applyAlignment="1" applyProtection="1">
      <alignment horizontal="center" vertical="center"/>
      <protection hidden="1"/>
    </xf>
    <xf numFmtId="14" fontId="30" fillId="0" borderId="0" xfId="0" applyNumberFormat="1" applyFont="1" applyBorder="1" applyAlignment="1" applyProtection="1">
      <alignment horizontal="center" vertical="center"/>
      <protection hidden="1"/>
    </xf>
    <xf numFmtId="0" fontId="34" fillId="0" borderId="0" xfId="0" applyFont="1" applyBorder="1" applyAlignment="1" applyProtection="1">
      <alignment horizontal="center" vertical="center"/>
      <protection hidden="1"/>
    </xf>
    <xf numFmtId="0" fontId="0" fillId="0" borderId="0" xfId="0" applyFont="1" applyProtection="1">
      <protection hidden="1"/>
    </xf>
    <xf numFmtId="164" fontId="0" fillId="9" borderId="0" xfId="0" applyNumberFormat="1" applyFill="1" applyAlignment="1" applyProtection="1">
      <alignment horizontal="center" vertical="center"/>
      <protection hidden="1"/>
    </xf>
    <xf numFmtId="0" fontId="0" fillId="8" borderId="1" xfId="0" applyFont="1" applyFill="1" applyBorder="1" applyAlignment="1" applyProtection="1">
      <alignment horizontal="center" vertical="center"/>
      <protection locked="0"/>
    </xf>
    <xf numFmtId="0" fontId="27" fillId="10" borderId="0" xfId="0" applyFont="1" applyFill="1" applyAlignment="1" applyProtection="1">
      <alignment horizontal="center" vertical="center"/>
      <protection hidden="1"/>
    </xf>
    <xf numFmtId="0" fontId="3" fillId="0" borderId="0" xfId="0" applyFont="1" applyProtection="1">
      <protection hidden="1"/>
    </xf>
    <xf numFmtId="0" fontId="0" fillId="5" borderId="0" xfId="0" applyFill="1" applyAlignment="1" applyProtection="1">
      <alignment horizontal="center" vertical="center"/>
      <protection hidden="1"/>
    </xf>
    <xf numFmtId="2" fontId="0" fillId="0" borderId="0" xfId="0" applyNumberFormat="1" applyAlignment="1" applyProtection="1">
      <alignment horizontal="center" vertical="center"/>
      <protection hidden="1"/>
    </xf>
    <xf numFmtId="0" fontId="0" fillId="9" borderId="0" xfId="0" applyFill="1" applyAlignment="1" applyProtection="1">
      <alignment horizontal="center" vertical="center"/>
      <protection hidden="1"/>
    </xf>
    <xf numFmtId="0" fontId="0" fillId="12" borderId="0" xfId="0" applyFill="1" applyProtection="1">
      <protection hidden="1"/>
    </xf>
    <xf numFmtId="0" fontId="0" fillId="12" borderId="0" xfId="0" applyFill="1"/>
    <xf numFmtId="0" fontId="22" fillId="0" borderId="12" xfId="0" applyFont="1" applyBorder="1" applyAlignment="1" applyProtection="1">
      <alignment horizontal="center" vertical="center"/>
      <protection hidden="1"/>
    </xf>
    <xf numFmtId="0" fontId="11" fillId="0" borderId="12" xfId="0" applyFont="1" applyBorder="1" applyAlignment="1" applyProtection="1">
      <alignment horizontal="center" vertical="center"/>
      <protection hidden="1"/>
    </xf>
    <xf numFmtId="0" fontId="20" fillId="0" borderId="1" xfId="0" applyFont="1" applyBorder="1" applyAlignment="1" applyProtection="1">
      <alignment horizontal="center" vertical="center" wrapText="1"/>
      <protection hidden="1"/>
    </xf>
    <xf numFmtId="0" fontId="20" fillId="0" borderId="12"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0" fillId="11" borderId="0" xfId="0" applyFill="1" applyBorder="1" applyProtection="1">
      <protection hidden="1"/>
    </xf>
    <xf numFmtId="0" fontId="18" fillId="11" borderId="0" xfId="0" applyFont="1" applyFill="1" applyBorder="1" applyAlignment="1" applyProtection="1">
      <alignment horizontal="center" vertical="center"/>
      <protection hidden="1"/>
    </xf>
    <xf numFmtId="0" fontId="0" fillId="11" borderId="0" xfId="0" applyFill="1" applyBorder="1" applyAlignment="1" applyProtection="1">
      <alignment horizontal="center" vertical="center"/>
      <protection hidden="1"/>
    </xf>
    <xf numFmtId="0" fontId="3" fillId="16" borderId="14" xfId="0" applyFont="1" applyFill="1" applyBorder="1" applyAlignment="1" applyProtection="1">
      <alignment horizontal="center" vertical="center" wrapText="1"/>
      <protection hidden="1"/>
    </xf>
    <xf numFmtId="0" fontId="3" fillId="17" borderId="14" xfId="0" applyFont="1" applyFill="1" applyBorder="1" applyAlignment="1" applyProtection="1">
      <alignment horizontal="center" vertical="center" wrapText="1"/>
      <protection hidden="1"/>
    </xf>
    <xf numFmtId="0" fontId="6" fillId="0" borderId="0" xfId="0" applyNumberFormat="1" applyFont="1" applyBorder="1" applyAlignment="1" applyProtection="1">
      <alignment horizontal="center" vertical="center" wrapText="1"/>
      <protection hidden="1"/>
    </xf>
    <xf numFmtId="1" fontId="0" fillId="10" borderId="1" xfId="0" applyNumberFormat="1" applyFont="1" applyFill="1" applyBorder="1" applyAlignment="1" applyProtection="1">
      <alignment horizontal="center" vertical="center"/>
      <protection locked="0"/>
    </xf>
    <xf numFmtId="1" fontId="70" fillId="2" borderId="1" xfId="0" applyNumberFormat="1" applyFont="1" applyFill="1" applyBorder="1" applyAlignment="1" applyProtection="1">
      <alignment horizontal="center" vertical="center"/>
      <protection locked="0"/>
    </xf>
    <xf numFmtId="0" fontId="0" fillId="10" borderId="0" xfId="0" applyFill="1" applyBorder="1" applyProtection="1">
      <protection hidden="1"/>
    </xf>
    <xf numFmtId="1" fontId="30" fillId="9" borderId="1" xfId="0" applyNumberFormat="1" applyFont="1" applyFill="1" applyBorder="1" applyAlignment="1" applyProtection="1">
      <alignment horizontal="center" vertical="center"/>
      <protection locked="0" hidden="1"/>
    </xf>
    <xf numFmtId="14" fontId="3" fillId="9" borderId="1" xfId="0" applyNumberFormat="1" applyFont="1" applyFill="1" applyBorder="1" applyAlignment="1" applyProtection="1">
      <alignment horizontal="left" vertical="center"/>
      <protection locked="0"/>
    </xf>
    <xf numFmtId="1" fontId="17" fillId="10" borderId="1" xfId="0" applyNumberFormat="1" applyFont="1" applyFill="1" applyBorder="1" applyAlignment="1" applyProtection="1">
      <alignment horizontal="center" vertical="center"/>
      <protection hidden="1"/>
    </xf>
    <xf numFmtId="1" fontId="19" fillId="0" borderId="1" xfId="0" applyNumberFormat="1" applyFont="1" applyBorder="1" applyAlignment="1" applyProtection="1">
      <alignment horizontal="center" vertical="center" wrapText="1"/>
      <protection hidden="1"/>
    </xf>
    <xf numFmtId="1" fontId="11" fillId="0" borderId="1" xfId="0" applyNumberFormat="1" applyFont="1" applyBorder="1" applyAlignment="1" applyProtection="1">
      <alignment horizontal="center" vertical="center"/>
      <protection hidden="1"/>
    </xf>
    <xf numFmtId="1" fontId="30" fillId="9" borderId="1" xfId="0" applyNumberFormat="1" applyFont="1" applyFill="1" applyBorder="1" applyAlignment="1" applyProtection="1">
      <alignment horizontal="center" vertical="center"/>
      <protection locked="0"/>
    </xf>
    <xf numFmtId="1" fontId="3" fillId="9" borderId="1" xfId="0" applyNumberFormat="1" applyFont="1" applyFill="1" applyBorder="1" applyAlignment="1" applyProtection="1">
      <alignment horizontal="center" vertical="center"/>
      <protection locked="0" hidden="1"/>
    </xf>
    <xf numFmtId="1" fontId="3" fillId="9" borderId="1" xfId="0" applyNumberFormat="1" applyFont="1" applyFill="1" applyBorder="1" applyAlignment="1" applyProtection="1">
      <alignment horizontal="center" vertical="center"/>
      <protection locked="0"/>
    </xf>
    <xf numFmtId="1" fontId="17" fillId="2" borderId="1" xfId="0" applyNumberFormat="1" applyFont="1" applyFill="1" applyBorder="1" applyAlignment="1" applyProtection="1">
      <alignment horizontal="center" vertical="center"/>
      <protection locked="0" hidden="1"/>
    </xf>
    <xf numFmtId="0" fontId="0" fillId="0" borderId="0" xfId="0" applyAlignment="1" applyProtection="1">
      <alignment wrapText="1"/>
      <protection hidden="1"/>
    </xf>
    <xf numFmtId="0" fontId="0" fillId="0" borderId="0" xfId="0" applyAlignment="1" applyProtection="1">
      <alignment horizontal="center" vertical="center" wrapText="1"/>
      <protection hidden="1"/>
    </xf>
    <xf numFmtId="0" fontId="6" fillId="0" borderId="0" xfId="0" applyFont="1" applyProtection="1">
      <protection hidden="1"/>
    </xf>
    <xf numFmtId="0" fontId="6" fillId="0" borderId="0" xfId="0" applyFont="1" applyAlignment="1" applyProtection="1">
      <alignment horizontal="center" vertical="center"/>
      <protection hidden="1"/>
    </xf>
    <xf numFmtId="0" fontId="19" fillId="0" borderId="0" xfId="0" applyFont="1" applyAlignment="1" applyProtection="1">
      <alignment wrapText="1"/>
      <protection hidden="1"/>
    </xf>
    <xf numFmtId="0" fontId="19" fillId="0" borderId="0" xfId="0" applyFont="1" applyAlignment="1" applyProtection="1">
      <alignment horizontal="center" vertical="center" wrapText="1"/>
      <protection hidden="1"/>
    </xf>
    <xf numFmtId="0" fontId="16" fillId="0" borderId="0" xfId="0" applyFont="1" applyProtection="1">
      <protection hidden="1"/>
    </xf>
    <xf numFmtId="0" fontId="0" fillId="0" borderId="6"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12" fillId="0" borderId="0" xfId="0" applyFont="1" applyBorder="1" applyAlignment="1" applyProtection="1">
      <alignment vertical="center" wrapText="1"/>
      <protection hidden="1"/>
    </xf>
    <xf numFmtId="0" fontId="10" fillId="0" borderId="0" xfId="0" applyFont="1" applyBorder="1" applyAlignment="1" applyProtection="1">
      <alignment horizontal="center" vertical="center" wrapText="1"/>
      <protection hidden="1"/>
    </xf>
    <xf numFmtId="0" fontId="0" fillId="0" borderId="7"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2" fillId="0" borderId="8" xfId="0" applyFont="1" applyBorder="1" applyAlignment="1" applyProtection="1">
      <alignment vertical="center"/>
      <protection hidden="1"/>
    </xf>
    <xf numFmtId="0" fontId="12" fillId="0" borderId="8" xfId="0" applyFont="1" applyBorder="1" applyAlignment="1" applyProtection="1">
      <alignment vertical="center" wrapText="1"/>
      <protection hidden="1"/>
    </xf>
    <xf numFmtId="0" fontId="12" fillId="0" borderId="8" xfId="0" applyFont="1" applyBorder="1" applyAlignment="1" applyProtection="1">
      <alignment horizontal="center" vertical="center" wrapText="1"/>
      <protection hidden="1"/>
    </xf>
    <xf numFmtId="0" fontId="8" fillId="0" borderId="0" xfId="0" applyFont="1" applyAlignment="1" applyProtection="1">
      <alignment horizontal="center" vertical="center"/>
      <protection hidden="1"/>
    </xf>
    <xf numFmtId="0" fontId="0" fillId="0" borderId="0" xfId="0" applyAlignment="1" applyProtection="1">
      <protection hidden="1"/>
    </xf>
    <xf numFmtId="0" fontId="0" fillId="9" borderId="0" xfId="0" applyFill="1" applyAlignment="1" applyProtection="1">
      <protection hidden="1"/>
    </xf>
    <xf numFmtId="0" fontId="0" fillId="9" borderId="0" xfId="0" applyFill="1" applyProtection="1">
      <protection hidden="1"/>
    </xf>
    <xf numFmtId="0" fontId="0" fillId="0" borderId="0" xfId="0" applyFont="1" applyAlignment="1" applyProtection="1">
      <alignment horizontal="left"/>
      <protection hidden="1"/>
    </xf>
    <xf numFmtId="0" fontId="0" fillId="0" borderId="0" xfId="0" applyFont="1" applyAlignment="1" applyProtection="1">
      <alignment horizontal="left" wrapText="1"/>
      <protection hidden="1"/>
    </xf>
    <xf numFmtId="0" fontId="0" fillId="0" borderId="0" xfId="0" applyFont="1" applyBorder="1" applyProtection="1">
      <protection hidden="1"/>
    </xf>
    <xf numFmtId="0" fontId="34" fillId="0" borderId="0" xfId="0" applyFont="1" applyBorder="1" applyAlignment="1" applyProtection="1">
      <alignment horizontal="right" vertical="center"/>
      <protection hidden="1"/>
    </xf>
    <xf numFmtId="0" fontId="34" fillId="0" borderId="0" xfId="0" applyFont="1" applyBorder="1" applyAlignment="1" applyProtection="1">
      <alignment vertical="center"/>
      <protection hidden="1"/>
    </xf>
    <xf numFmtId="0" fontId="22" fillId="0" borderId="9" xfId="0" applyFont="1" applyBorder="1" applyAlignment="1" applyProtection="1">
      <alignment horizontal="right" vertical="center"/>
      <protection hidden="1"/>
    </xf>
    <xf numFmtId="0" fontId="14" fillId="9" borderId="1" xfId="0" applyFont="1" applyFill="1" applyBorder="1" applyAlignment="1" applyProtection="1">
      <alignment horizontal="center" vertical="center"/>
      <protection hidden="1"/>
    </xf>
    <xf numFmtId="2" fontId="48" fillId="12" borderId="0" xfId="0" applyNumberFormat="1" applyFont="1" applyFill="1" applyBorder="1" applyAlignment="1" applyProtection="1">
      <alignment horizontal="center"/>
      <protection hidden="1"/>
    </xf>
    <xf numFmtId="0" fontId="48" fillId="9" borderId="0" xfId="0" applyFont="1" applyFill="1" applyBorder="1" applyAlignment="1" applyProtection="1">
      <alignment horizontal="center" vertical="center"/>
      <protection locked="0"/>
    </xf>
    <xf numFmtId="0" fontId="79" fillId="12" borderId="0" xfId="0" applyFont="1" applyFill="1" applyBorder="1" applyAlignment="1" applyProtection="1">
      <alignment vertical="center"/>
      <protection hidden="1"/>
    </xf>
    <xf numFmtId="0" fontId="86" fillId="12" borderId="1" xfId="0" applyFont="1" applyFill="1" applyBorder="1" applyAlignment="1" applyProtection="1">
      <alignment horizontal="center" vertical="center"/>
      <protection hidden="1"/>
    </xf>
    <xf numFmtId="0" fontId="80" fillId="12" borderId="0" xfId="0" applyFont="1" applyFill="1" applyBorder="1" applyAlignment="1" applyProtection="1">
      <alignment horizontal="center" vertical="center"/>
      <protection hidden="1"/>
    </xf>
    <xf numFmtId="0" fontId="106" fillId="12" borderId="0" xfId="0" applyFont="1" applyFill="1" applyBorder="1" applyAlignment="1" applyProtection="1">
      <alignment horizontal="center" vertical="center"/>
      <protection hidden="1"/>
    </xf>
    <xf numFmtId="0" fontId="81" fillId="12" borderId="0" xfId="0" applyFont="1" applyFill="1" applyBorder="1" applyAlignment="1" applyProtection="1">
      <alignment vertical="center"/>
      <protection hidden="1"/>
    </xf>
    <xf numFmtId="0" fontId="82" fillId="12" borderId="0" xfId="0" applyFont="1" applyFill="1" applyBorder="1" applyAlignment="1" applyProtection="1">
      <alignment vertical="center"/>
      <protection hidden="1"/>
    </xf>
    <xf numFmtId="0" fontId="88" fillId="12" borderId="0" xfId="0" applyFont="1" applyFill="1" applyBorder="1" applyAlignment="1" applyProtection="1">
      <alignment horizontal="right" vertical="center"/>
      <protection hidden="1"/>
    </xf>
    <xf numFmtId="0" fontId="89" fillId="12" borderId="0" xfId="0" applyFont="1" applyFill="1" applyBorder="1" applyAlignment="1" applyProtection="1">
      <alignment horizontal="center" vertical="center"/>
      <protection hidden="1"/>
    </xf>
    <xf numFmtId="0" fontId="84" fillId="12" borderId="0" xfId="0" applyFont="1" applyFill="1" applyBorder="1" applyAlignment="1" applyProtection="1">
      <alignment horizontal="center" vertical="center"/>
      <protection hidden="1"/>
    </xf>
    <xf numFmtId="0" fontId="90" fillId="12" borderId="0" xfId="0" applyFont="1" applyFill="1" applyBorder="1" applyAlignment="1" applyProtection="1">
      <alignment horizontal="center" vertical="center"/>
      <protection hidden="1"/>
    </xf>
    <xf numFmtId="0" fontId="83" fillId="12" borderId="0" xfId="0" applyFont="1" applyFill="1" applyBorder="1" applyAlignment="1" applyProtection="1">
      <alignment horizontal="center" vertical="center"/>
      <protection hidden="1"/>
    </xf>
    <xf numFmtId="0" fontId="91" fillId="12" borderId="0" xfId="0" applyFont="1" applyFill="1" applyBorder="1" applyAlignment="1" applyProtection="1">
      <alignment horizontal="center" vertical="center"/>
      <protection hidden="1"/>
    </xf>
    <xf numFmtId="0" fontId="0" fillId="12" borderId="0" xfId="0" applyFill="1" applyBorder="1" applyProtection="1">
      <protection hidden="1"/>
    </xf>
    <xf numFmtId="0" fontId="102" fillId="12" borderId="0" xfId="0" applyFont="1" applyFill="1" applyBorder="1" applyAlignment="1" applyProtection="1">
      <alignment horizontal="right"/>
      <protection hidden="1"/>
    </xf>
    <xf numFmtId="0" fontId="103" fillId="12" borderId="0" xfId="0" applyFont="1" applyFill="1" applyBorder="1" applyAlignment="1" applyProtection="1">
      <alignment horizontal="center" vertical="center"/>
      <protection hidden="1"/>
    </xf>
    <xf numFmtId="2" fontId="65" fillId="15" borderId="0" xfId="9" applyNumberFormat="1" applyFont="1" applyFill="1" applyBorder="1" applyAlignment="1" applyProtection="1">
      <alignment horizontal="left" vertical="center"/>
      <protection hidden="1"/>
    </xf>
    <xf numFmtId="2" fontId="65" fillId="14" borderId="0" xfId="9" applyNumberFormat="1" applyFont="1" applyFill="1" applyBorder="1" applyAlignment="1" applyProtection="1">
      <alignment horizontal="left" vertical="center"/>
      <protection hidden="1"/>
    </xf>
    <xf numFmtId="0" fontId="14" fillId="9" borderId="1" xfId="0" applyFont="1" applyFill="1" applyBorder="1" applyAlignment="1" applyProtection="1">
      <alignment horizontal="center" vertical="center" wrapText="1"/>
      <protection locked="0"/>
    </xf>
    <xf numFmtId="0" fontId="85" fillId="12" borderId="0" xfId="0" applyFont="1" applyFill="1" applyBorder="1" applyAlignment="1" applyProtection="1">
      <alignment vertical="center"/>
      <protection hidden="1"/>
    </xf>
    <xf numFmtId="1" fontId="0" fillId="0" borderId="0" xfId="0" applyNumberFormat="1" applyFont="1" applyProtection="1">
      <protection hidden="1"/>
    </xf>
    <xf numFmtId="0" fontId="57" fillId="0" borderId="0" xfId="6" applyFont="1" applyBorder="1" applyAlignment="1" applyProtection="1">
      <alignment vertical="center"/>
      <protection hidden="1"/>
    </xf>
    <xf numFmtId="0" fontId="0" fillId="0" borderId="0" xfId="0"/>
    <xf numFmtId="0" fontId="0" fillId="0" borderId="0" xfId="0" applyAlignment="1">
      <alignment vertical="center"/>
    </xf>
    <xf numFmtId="0" fontId="14" fillId="9" borderId="1" xfId="0" applyFont="1" applyFill="1" applyBorder="1" applyAlignment="1" applyProtection="1">
      <alignment horizontal="center" vertical="center"/>
      <protection locked="0"/>
    </xf>
    <xf numFmtId="0" fontId="0" fillId="0" borderId="0" xfId="0"/>
    <xf numFmtId="0" fontId="34" fillId="0" borderId="0" xfId="0" applyFont="1" applyBorder="1" applyAlignment="1" applyProtection="1">
      <alignment horizontal="center" vertical="center" wrapText="1"/>
      <protection hidden="1"/>
    </xf>
    <xf numFmtId="0" fontId="32" fillId="0" borderId="0" xfId="0" applyFont="1" applyBorder="1" applyAlignment="1" applyProtection="1">
      <alignment horizontal="left" vertical="center" wrapText="1"/>
      <protection hidden="1"/>
    </xf>
    <xf numFmtId="0" fontId="0" fillId="0" borderId="0" xfId="0"/>
    <xf numFmtId="0" fontId="33" fillId="0" borderId="0" xfId="0" applyFont="1" applyBorder="1" applyAlignment="1" applyProtection="1">
      <alignment horizontal="center" vertical="center" wrapText="1"/>
      <protection hidden="1"/>
    </xf>
    <xf numFmtId="0" fontId="30" fillId="0" borderId="0" xfId="0" applyFont="1" applyBorder="1" applyAlignment="1" applyProtection="1">
      <alignment horizontal="center" vertical="center"/>
      <protection hidden="1"/>
    </xf>
    <xf numFmtId="0" fontId="111" fillId="19" borderId="22" xfId="0" applyFont="1" applyFill="1" applyBorder="1" applyAlignment="1">
      <alignment horizontal="center" vertical="top"/>
    </xf>
    <xf numFmtId="0" fontId="42" fillId="19" borderId="22" xfId="0" applyFont="1" applyFill="1" applyBorder="1" applyAlignment="1">
      <alignment wrapText="1"/>
    </xf>
    <xf numFmtId="0" fontId="111" fillId="19" borderId="22" xfId="0" applyFont="1" applyFill="1" applyBorder="1" applyAlignment="1">
      <alignment horizontal="center" vertical="center"/>
    </xf>
    <xf numFmtId="0" fontId="111" fillId="19" borderId="22" xfId="0" applyFont="1" applyFill="1" applyBorder="1" applyAlignment="1">
      <alignment horizontal="center"/>
    </xf>
    <xf numFmtId="0" fontId="110" fillId="20" borderId="22" xfId="0" applyFont="1" applyFill="1" applyBorder="1" applyAlignment="1"/>
    <xf numFmtId="1" fontId="40" fillId="0" borderId="0" xfId="0" applyNumberFormat="1" applyFont="1" applyBorder="1" applyAlignment="1" applyProtection="1">
      <alignment horizontal="center" vertical="center" wrapText="1"/>
      <protection hidden="1"/>
    </xf>
    <xf numFmtId="0" fontId="0" fillId="0" borderId="0" xfId="0" applyFont="1" applyBorder="1" applyAlignment="1" applyProtection="1">
      <alignment horizontal="left" wrapText="1"/>
      <protection hidden="1"/>
    </xf>
    <xf numFmtId="0" fontId="32" fillId="0" borderId="0" xfId="0" applyFont="1" applyBorder="1" applyAlignment="1" applyProtection="1">
      <alignment horizontal="center" vertical="center"/>
      <protection hidden="1"/>
    </xf>
    <xf numFmtId="0" fontId="34" fillId="0" borderId="22" xfId="0" applyFont="1" applyBorder="1" applyAlignment="1" applyProtection="1">
      <alignment vertical="center"/>
      <protection hidden="1"/>
    </xf>
    <xf numFmtId="0" fontId="36" fillId="0" borderId="22" xfId="0" applyFont="1" applyBorder="1" applyAlignment="1" applyProtection="1">
      <alignment horizontal="center" vertical="center" wrapText="1"/>
      <protection hidden="1"/>
    </xf>
    <xf numFmtId="0" fontId="34" fillId="0" borderId="22" xfId="0" applyFont="1" applyBorder="1" applyAlignment="1" applyProtection="1">
      <alignment horizontal="center" vertical="center"/>
      <protection hidden="1"/>
    </xf>
    <xf numFmtId="0" fontId="34" fillId="0" borderId="22" xfId="0" applyFont="1" applyBorder="1" applyAlignment="1" applyProtection="1">
      <alignment horizontal="right" vertical="center"/>
      <protection hidden="1"/>
    </xf>
    <xf numFmtId="0" fontId="0" fillId="0" borderId="22" xfId="0" applyFont="1" applyBorder="1" applyProtection="1">
      <protection hidden="1"/>
    </xf>
    <xf numFmtId="0" fontId="36" fillId="0" borderId="22" xfId="0" applyFont="1" applyBorder="1" applyAlignment="1" applyProtection="1">
      <alignment vertical="center"/>
      <protection hidden="1"/>
    </xf>
    <xf numFmtId="0" fontId="36" fillId="0" borderId="22" xfId="0" applyFont="1" applyBorder="1" applyAlignment="1" applyProtection="1">
      <alignment horizontal="right" vertical="center"/>
      <protection hidden="1"/>
    </xf>
    <xf numFmtId="0" fontId="34" fillId="0" borderId="23" xfId="0" applyFont="1" applyBorder="1" applyAlignment="1" applyProtection="1">
      <alignment horizontal="center" vertical="center"/>
      <protection hidden="1"/>
    </xf>
    <xf numFmtId="0" fontId="34" fillId="0" borderId="24" xfId="0" applyFont="1" applyBorder="1" applyAlignment="1" applyProtection="1">
      <alignment vertical="center"/>
      <protection hidden="1"/>
    </xf>
    <xf numFmtId="0" fontId="34" fillId="0" borderId="24" xfId="0" applyFont="1" applyBorder="1" applyAlignment="1" applyProtection="1">
      <alignment horizontal="right" vertical="center"/>
      <protection hidden="1"/>
    </xf>
    <xf numFmtId="0" fontId="30" fillId="0" borderId="22" xfId="0" applyFont="1" applyBorder="1" applyAlignment="1" applyProtection="1">
      <alignment vertical="center"/>
      <protection hidden="1"/>
    </xf>
    <xf numFmtId="0" fontId="35" fillId="0" borderId="22" xfId="0" applyFont="1" applyBorder="1" applyAlignment="1" applyProtection="1">
      <alignment horizontal="center" vertical="center"/>
      <protection hidden="1"/>
    </xf>
    <xf numFmtId="0" fontId="36" fillId="0" borderId="22" xfId="0" applyFont="1" applyBorder="1" applyAlignment="1" applyProtection="1">
      <alignment horizontal="center" vertical="center"/>
      <protection hidden="1"/>
    </xf>
    <xf numFmtId="0" fontId="31" fillId="0" borderId="22" xfId="0" applyFont="1" applyBorder="1" applyAlignment="1" applyProtection="1">
      <alignment vertical="center"/>
      <protection hidden="1"/>
    </xf>
    <xf numFmtId="0" fontId="39" fillId="0" borderId="22" xfId="0" applyFont="1" applyBorder="1" applyAlignment="1" applyProtection="1">
      <alignment vertical="center"/>
      <protection hidden="1"/>
    </xf>
    <xf numFmtId="0" fontId="39" fillId="0" borderId="22" xfId="0" applyFont="1" applyBorder="1" applyAlignment="1" applyProtection="1">
      <alignment horizontal="left" vertical="center"/>
      <protection hidden="1"/>
    </xf>
    <xf numFmtId="0" fontId="34" fillId="0" borderId="22" xfId="0" applyFont="1" applyBorder="1" applyAlignment="1" applyProtection="1">
      <alignment horizontal="left" vertical="center"/>
      <protection hidden="1"/>
    </xf>
    <xf numFmtId="0" fontId="3" fillId="0" borderId="22" xfId="0" applyFont="1" applyBorder="1" applyProtection="1">
      <protection hidden="1"/>
    </xf>
    <xf numFmtId="0" fontId="9" fillId="0" borderId="22" xfId="0" applyFont="1" applyBorder="1" applyProtection="1">
      <protection hidden="1"/>
    </xf>
    <xf numFmtId="0" fontId="9" fillId="0" borderId="22" xfId="0" applyFont="1" applyBorder="1" applyAlignment="1" applyProtection="1">
      <alignment horizontal="right" vertical="center"/>
      <protection hidden="1"/>
    </xf>
    <xf numFmtId="1" fontId="9" fillId="0" borderId="22" xfId="0" applyNumberFormat="1" applyFont="1" applyBorder="1" applyAlignment="1" applyProtection="1">
      <alignment horizontal="right" vertical="center"/>
      <protection hidden="1"/>
    </xf>
    <xf numFmtId="0" fontId="0" fillId="0" borderId="22" xfId="0" applyBorder="1" applyProtection="1">
      <protection hidden="1"/>
    </xf>
    <xf numFmtId="0" fontId="114" fillId="11" borderId="0" xfId="0" applyFont="1" applyFill="1" applyBorder="1" applyAlignment="1" applyProtection="1">
      <alignment vertical="center"/>
      <protection hidden="1"/>
    </xf>
    <xf numFmtId="0" fontId="115" fillId="11" borderId="0" xfId="0" applyFont="1" applyFill="1" applyBorder="1" applyAlignment="1" applyProtection="1">
      <alignment vertical="center"/>
      <protection hidden="1"/>
    </xf>
    <xf numFmtId="0" fontId="116" fillId="11" borderId="0" xfId="0" applyFont="1" applyFill="1" applyBorder="1" applyAlignment="1" applyProtection="1">
      <alignment vertical="center"/>
      <protection hidden="1"/>
    </xf>
    <xf numFmtId="0" fontId="117" fillId="11" borderId="0" xfId="0" applyFont="1" applyFill="1" applyBorder="1" applyAlignment="1" applyProtection="1">
      <alignment vertical="center"/>
      <protection hidden="1"/>
    </xf>
    <xf numFmtId="0" fontId="118" fillId="11" borderId="0" xfId="0" applyFont="1" applyFill="1" applyBorder="1" applyAlignment="1" applyProtection="1">
      <alignment vertical="center"/>
      <protection hidden="1"/>
    </xf>
    <xf numFmtId="0" fontId="120" fillId="11" borderId="0" xfId="0" applyFont="1" applyFill="1" applyBorder="1" applyAlignment="1" applyProtection="1">
      <alignment vertical="center"/>
      <protection hidden="1"/>
    </xf>
    <xf numFmtId="0" fontId="121" fillId="21" borderId="34" xfId="0" applyFont="1" applyFill="1" applyBorder="1" applyAlignment="1">
      <alignment horizontal="center" vertical="center"/>
    </xf>
    <xf numFmtId="0" fontId="122" fillId="21" borderId="34" xfId="0" applyFont="1" applyFill="1" applyBorder="1" applyAlignment="1">
      <alignment horizontal="center" vertical="top"/>
    </xf>
    <xf numFmtId="0" fontId="123" fillId="21" borderId="34" xfId="0" applyFont="1" applyFill="1" applyBorder="1" applyAlignment="1">
      <alignment vertical="top" wrapText="1"/>
    </xf>
    <xf numFmtId="14" fontId="14" fillId="9" borderId="1" xfId="0" applyNumberFormat="1" applyFont="1" applyFill="1" applyBorder="1" applyAlignment="1" applyProtection="1">
      <alignment horizontal="center" vertical="center"/>
      <protection locked="0"/>
    </xf>
    <xf numFmtId="0" fontId="14" fillId="9" borderId="2" xfId="0" applyFont="1" applyFill="1" applyBorder="1" applyAlignment="1" applyProtection="1">
      <alignment horizontal="center" vertical="center"/>
      <protection locked="0"/>
    </xf>
    <xf numFmtId="0" fontId="14" fillId="9" borderId="2" xfId="0" applyFont="1" applyFill="1" applyBorder="1" applyAlignment="1" applyProtection="1">
      <alignment horizontal="center" vertical="center"/>
      <protection hidden="1"/>
    </xf>
    <xf numFmtId="0" fontId="31" fillId="16" borderId="0" xfId="0" applyFont="1" applyFill="1" applyBorder="1" applyProtection="1">
      <protection hidden="1"/>
    </xf>
    <xf numFmtId="0" fontId="31" fillId="16" borderId="0" xfId="0" applyFont="1" applyFill="1" applyBorder="1" applyAlignment="1" applyProtection="1">
      <alignment horizontal="center" vertical="center"/>
      <protection hidden="1"/>
    </xf>
    <xf numFmtId="0" fontId="31" fillId="17" borderId="0" xfId="0" applyFont="1" applyFill="1" applyBorder="1" applyProtection="1">
      <protection hidden="1"/>
    </xf>
    <xf numFmtId="0" fontId="31" fillId="17" borderId="0" xfId="0" applyFont="1" applyFill="1" applyBorder="1" applyAlignment="1" applyProtection="1">
      <alignment horizontal="center" vertical="center"/>
      <protection hidden="1"/>
    </xf>
    <xf numFmtId="0" fontId="0" fillId="24" borderId="29" xfId="0" applyFill="1" applyBorder="1"/>
    <xf numFmtId="14" fontId="14" fillId="9" borderId="2" xfId="0" applyNumberFormat="1" applyFont="1" applyFill="1" applyBorder="1" applyAlignment="1" applyProtection="1">
      <alignment horizontal="center" vertical="center"/>
      <protection locked="0"/>
    </xf>
    <xf numFmtId="0" fontId="14" fillId="9" borderId="1" xfId="0" applyNumberFormat="1" applyFont="1" applyFill="1" applyBorder="1" applyAlignment="1" applyProtection="1">
      <alignment horizontal="center" vertical="center"/>
      <protection locked="0"/>
    </xf>
    <xf numFmtId="0" fontId="14" fillId="9" borderId="2" xfId="0" applyNumberFormat="1" applyFont="1" applyFill="1" applyBorder="1" applyAlignment="1" applyProtection="1">
      <alignment horizontal="center" vertical="center"/>
      <protection locked="0"/>
    </xf>
    <xf numFmtId="0" fontId="40" fillId="9" borderId="1" xfId="0" applyNumberFormat="1" applyFont="1" applyFill="1" applyBorder="1" applyAlignment="1" applyProtection="1">
      <alignment horizontal="center" vertical="center"/>
      <protection locked="0"/>
    </xf>
    <xf numFmtId="0" fontId="40" fillId="9" borderId="2" xfId="0" applyNumberFormat="1" applyFont="1" applyFill="1" applyBorder="1" applyAlignment="1" applyProtection="1">
      <alignment horizontal="center" vertical="center"/>
      <protection locked="0"/>
    </xf>
    <xf numFmtId="0" fontId="133" fillId="12" borderId="0" xfId="0" applyFont="1" applyFill="1" applyBorder="1" applyAlignment="1" applyProtection="1">
      <alignment vertical="center" wrapText="1"/>
      <protection hidden="1"/>
    </xf>
    <xf numFmtId="0" fontId="99" fillId="12" borderId="12" xfId="0" applyFont="1" applyFill="1" applyBorder="1" applyAlignment="1" applyProtection="1">
      <alignment horizontal="center" vertical="center"/>
      <protection hidden="1"/>
    </xf>
    <xf numFmtId="0" fontId="81" fillId="12" borderId="11" xfId="0" applyFont="1" applyFill="1" applyBorder="1" applyAlignment="1" applyProtection="1">
      <alignment vertical="center"/>
      <protection hidden="1"/>
    </xf>
    <xf numFmtId="49" fontId="100" fillId="12" borderId="12" xfId="0" applyNumberFormat="1" applyFont="1" applyFill="1" applyBorder="1" applyAlignment="1" applyProtection="1">
      <alignment horizontal="center" vertical="center"/>
      <protection hidden="1"/>
    </xf>
    <xf numFmtId="0" fontId="82" fillId="12" borderId="11" xfId="0" applyFont="1" applyFill="1" applyBorder="1" applyAlignment="1" applyProtection="1">
      <alignment vertical="center"/>
      <protection hidden="1"/>
    </xf>
    <xf numFmtId="0" fontId="80" fillId="12" borderId="11" xfId="0" applyFont="1" applyFill="1" applyBorder="1" applyAlignment="1" applyProtection="1">
      <alignment horizontal="center" vertical="center"/>
      <protection hidden="1"/>
    </xf>
    <xf numFmtId="0" fontId="98" fillId="12" borderId="7" xfId="0" applyFont="1" applyFill="1" applyBorder="1" applyAlignment="1" applyProtection="1">
      <alignment horizontal="center" vertical="center"/>
      <protection hidden="1"/>
    </xf>
    <xf numFmtId="0" fontId="101" fillId="12" borderId="8" xfId="0" applyFont="1" applyFill="1" applyBorder="1" applyAlignment="1" applyProtection="1">
      <alignment horizontal="center" vertical="center"/>
      <protection hidden="1"/>
    </xf>
    <xf numFmtId="0" fontId="80" fillId="12" borderId="8" xfId="0" applyFont="1" applyFill="1" applyBorder="1" applyAlignment="1" applyProtection="1">
      <alignment horizontal="center" vertical="center"/>
      <protection hidden="1"/>
    </xf>
    <xf numFmtId="0" fontId="80" fillId="12" borderId="13" xfId="0" applyFont="1" applyFill="1" applyBorder="1" applyAlignment="1" applyProtection="1">
      <alignment horizontal="center" vertical="center"/>
      <protection hidden="1"/>
    </xf>
    <xf numFmtId="0" fontId="0" fillId="25" borderId="0" xfId="0" applyFill="1" applyProtection="1">
      <protection hidden="1"/>
    </xf>
    <xf numFmtId="0" fontId="0" fillId="25" borderId="0" xfId="0" applyFill="1" applyBorder="1" applyProtection="1">
      <protection hidden="1"/>
    </xf>
    <xf numFmtId="0" fontId="136" fillId="27" borderId="0" xfId="0" applyFont="1" applyFill="1" applyAlignment="1" applyProtection="1">
      <alignment horizontal="center" vertical="center"/>
      <protection hidden="1"/>
    </xf>
    <xf numFmtId="0" fontId="137" fillId="12" borderId="11" xfId="0" applyFont="1" applyFill="1" applyBorder="1" applyAlignment="1" applyProtection="1">
      <alignment horizontal="center" vertical="center"/>
      <protection hidden="1"/>
    </xf>
    <xf numFmtId="0" fontId="141" fillId="12" borderId="11" xfId="0" applyFont="1" applyFill="1" applyBorder="1" applyAlignment="1" applyProtection="1">
      <alignment horizontal="left" vertical="center"/>
      <protection hidden="1"/>
    </xf>
    <xf numFmtId="1" fontId="45" fillId="12" borderId="0" xfId="0" applyNumberFormat="1" applyFont="1" applyFill="1" applyBorder="1" applyAlignment="1" applyProtection="1">
      <alignment horizontal="center"/>
      <protection hidden="1"/>
    </xf>
    <xf numFmtId="0" fontId="138" fillId="12" borderId="8" xfId="0" applyFont="1" applyFill="1" applyBorder="1" applyAlignment="1" applyProtection="1">
      <alignment horizontal="left" vertical="center"/>
      <protection hidden="1"/>
    </xf>
    <xf numFmtId="0" fontId="144" fillId="10" borderId="0" xfId="0" applyFont="1" applyFill="1" applyProtection="1">
      <protection hidden="1"/>
    </xf>
    <xf numFmtId="0" fontId="145" fillId="10" borderId="0" xfId="0" applyFont="1" applyFill="1" applyProtection="1">
      <protection hidden="1"/>
    </xf>
    <xf numFmtId="1" fontId="30" fillId="8" borderId="1" xfId="0" applyNumberFormat="1" applyFont="1" applyFill="1" applyBorder="1" applyAlignment="1" applyProtection="1">
      <alignment horizontal="center" vertical="center"/>
      <protection locked="0" hidden="1"/>
    </xf>
    <xf numFmtId="0" fontId="0" fillId="0" borderId="9" xfId="0" applyBorder="1" applyProtection="1">
      <protection hidden="1"/>
    </xf>
    <xf numFmtId="0" fontId="27" fillId="10" borderId="0" xfId="0" applyFont="1" applyFill="1" applyBorder="1" applyAlignment="1" applyProtection="1">
      <alignment horizontal="center" vertical="center"/>
      <protection hidden="1"/>
    </xf>
    <xf numFmtId="164" fontId="0" fillId="10" borderId="0" xfId="0" applyNumberFormat="1" applyFill="1" applyBorder="1" applyAlignment="1" applyProtection="1">
      <alignment horizontal="center" vertical="center"/>
      <protection hidden="1"/>
    </xf>
    <xf numFmtId="1" fontId="0" fillId="10" borderId="0" xfId="0" applyNumberFormat="1" applyFill="1" applyBorder="1" applyAlignment="1" applyProtection="1">
      <alignment horizontal="center" vertical="center"/>
      <protection hidden="1"/>
    </xf>
    <xf numFmtId="2" fontId="0" fillId="10" borderId="0" xfId="0" applyNumberFormat="1" applyFill="1" applyBorder="1" applyAlignment="1" applyProtection="1">
      <alignment horizontal="center" vertical="center"/>
      <protection hidden="1"/>
    </xf>
    <xf numFmtId="2" fontId="29" fillId="10" borderId="0" xfId="0" applyNumberFormat="1" applyFont="1" applyFill="1" applyBorder="1" applyAlignment="1" applyProtection="1">
      <alignment horizontal="center" vertical="center"/>
      <protection hidden="1"/>
    </xf>
    <xf numFmtId="0" fontId="2" fillId="10" borderId="0" xfId="0" applyFont="1" applyFill="1" applyBorder="1" applyAlignment="1" applyProtection="1">
      <alignment horizontal="center" vertical="center"/>
      <protection hidden="1"/>
    </xf>
    <xf numFmtId="0" fontId="0" fillId="10" borderId="0" xfId="0" applyFill="1" applyBorder="1" applyAlignment="1" applyProtection="1">
      <alignment horizontal="center" vertical="center"/>
      <protection hidden="1"/>
    </xf>
    <xf numFmtId="0" fontId="26" fillId="10" borderId="42" xfId="0" applyFont="1" applyFill="1" applyBorder="1" applyAlignment="1" applyProtection="1">
      <alignment horizontal="center" vertical="center" wrapText="1"/>
      <protection hidden="1"/>
    </xf>
    <xf numFmtId="0" fontId="40" fillId="9" borderId="42" xfId="0" applyFont="1" applyFill="1" applyBorder="1" applyAlignment="1" applyProtection="1">
      <alignment horizontal="center" vertical="center" wrapText="1"/>
      <protection locked="0"/>
    </xf>
    <xf numFmtId="0" fontId="30" fillId="9" borderId="42" xfId="0" applyFont="1" applyFill="1" applyBorder="1" applyAlignment="1" applyProtection="1">
      <alignment horizontal="center" vertical="center" wrapText="1"/>
      <protection locked="0" hidden="1"/>
    </xf>
    <xf numFmtId="0" fontId="26" fillId="10" borderId="42" xfId="0" applyFont="1" applyFill="1" applyBorder="1" applyAlignment="1" applyProtection="1">
      <alignment vertical="center" wrapText="1"/>
      <protection hidden="1"/>
    </xf>
    <xf numFmtId="0" fontId="27" fillId="10" borderId="44" xfId="0" applyFont="1" applyFill="1" applyBorder="1" applyAlignment="1" applyProtection="1">
      <alignment horizontal="center" vertical="center"/>
      <protection hidden="1"/>
    </xf>
    <xf numFmtId="14" fontId="0" fillId="0" borderId="45" xfId="0" applyNumberFormat="1"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5" xfId="0" applyFont="1" applyBorder="1" applyAlignment="1" applyProtection="1">
      <alignment horizontal="center" vertical="center"/>
      <protection locked="0"/>
    </xf>
    <xf numFmtId="1" fontId="3" fillId="9" borderId="46" xfId="0" applyNumberFormat="1" applyFont="1" applyFill="1" applyBorder="1" applyAlignment="1" applyProtection="1">
      <alignment horizontal="center" vertical="center"/>
      <protection locked="0"/>
    </xf>
    <xf numFmtId="1" fontId="30" fillId="9" borderId="46" xfId="0" applyNumberFormat="1"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wrapText="1"/>
      <protection locked="0"/>
    </xf>
    <xf numFmtId="0" fontId="14" fillId="16" borderId="1" xfId="0" applyFont="1" applyFill="1" applyBorder="1" applyAlignment="1" applyProtection="1">
      <alignment horizontal="center" vertical="center"/>
      <protection hidden="1"/>
    </xf>
    <xf numFmtId="0" fontId="14" fillId="17" borderId="1" xfId="0" applyNumberFormat="1" applyFont="1" applyFill="1" applyBorder="1" applyAlignment="1" applyProtection="1">
      <alignment horizontal="center" vertical="center"/>
      <protection hidden="1"/>
    </xf>
    <xf numFmtId="0" fontId="62" fillId="16" borderId="1" xfId="0" applyFont="1" applyFill="1" applyBorder="1" applyAlignment="1" applyProtection="1">
      <alignment horizontal="center" vertical="center"/>
      <protection hidden="1"/>
    </xf>
    <xf numFmtId="0" fontId="149" fillId="17" borderId="1" xfId="0" applyFont="1" applyFill="1" applyBorder="1" applyAlignment="1" applyProtection="1">
      <alignment horizontal="center" vertical="center"/>
      <protection hidden="1"/>
    </xf>
    <xf numFmtId="0" fontId="150" fillId="3" borderId="0" xfId="0" applyFont="1" applyFill="1"/>
    <xf numFmtId="2" fontId="65" fillId="15" borderId="1" xfId="9" applyNumberFormat="1" applyFont="1" applyFill="1" applyBorder="1" applyAlignment="1" applyProtection="1">
      <alignment horizontal="right" vertical="center" wrapText="1"/>
      <protection hidden="1"/>
    </xf>
    <xf numFmtId="2" fontId="148" fillId="9" borderId="1" xfId="9" applyNumberFormat="1" applyFont="1" applyFill="1" applyBorder="1" applyAlignment="1" applyProtection="1">
      <alignment horizontal="center" vertical="center"/>
      <protection locked="0"/>
    </xf>
    <xf numFmtId="1" fontId="23" fillId="10" borderId="1" xfId="0" applyNumberFormat="1" applyFont="1" applyFill="1" applyBorder="1" applyAlignment="1" applyProtection="1">
      <alignment horizontal="center" vertical="center"/>
      <protection locked="0" hidden="1"/>
    </xf>
    <xf numFmtId="1" fontId="0" fillId="10" borderId="1" xfId="0" applyNumberFormat="1" applyFont="1" applyFill="1" applyBorder="1" applyAlignment="1" applyProtection="1">
      <alignment horizontal="center" vertical="center"/>
      <protection locked="0" hidden="1"/>
    </xf>
    <xf numFmtId="1" fontId="78" fillId="10" borderId="1" xfId="0" applyNumberFormat="1" applyFont="1" applyFill="1" applyBorder="1" applyAlignment="1" applyProtection="1">
      <alignment horizontal="center" vertical="center"/>
      <protection locked="0" hidden="1"/>
    </xf>
    <xf numFmtId="2" fontId="0" fillId="9" borderId="1" xfId="0" applyNumberFormat="1" applyFill="1" applyBorder="1" applyAlignment="1" applyProtection="1">
      <alignment horizontal="center" vertical="center"/>
      <protection locked="0" hidden="1"/>
    </xf>
    <xf numFmtId="2" fontId="0" fillId="9" borderId="46" xfId="0" applyNumberFormat="1" applyFill="1" applyBorder="1" applyAlignment="1" applyProtection="1">
      <alignment horizontal="center" vertical="center"/>
      <protection locked="0" hidden="1"/>
    </xf>
    <xf numFmtId="0" fontId="14" fillId="9" borderId="2" xfId="0" applyFont="1" applyFill="1" applyBorder="1" applyAlignment="1" applyProtection="1">
      <alignment horizontal="center" vertical="center" wrapText="1"/>
      <protection locked="0"/>
    </xf>
    <xf numFmtId="0" fontId="154" fillId="0" borderId="0" xfId="0" applyFont="1" applyBorder="1" applyAlignment="1" applyProtection="1">
      <alignment vertical="top" wrapText="1"/>
      <protection hidden="1"/>
    </xf>
    <xf numFmtId="0" fontId="156" fillId="10" borderId="0" xfId="0" applyFont="1" applyFill="1" applyAlignment="1" applyProtection="1">
      <alignment vertical="center" wrapText="1"/>
      <protection hidden="1"/>
    </xf>
    <xf numFmtId="17" fontId="0" fillId="0" borderId="0" xfId="0" applyNumberFormat="1" applyProtection="1">
      <protection hidden="1"/>
    </xf>
    <xf numFmtId="165" fontId="0" fillId="0" borderId="0" xfId="0" applyNumberFormat="1" applyProtection="1">
      <protection hidden="1"/>
    </xf>
    <xf numFmtId="1" fontId="40" fillId="9" borderId="1" xfId="0" applyNumberFormat="1" applyFont="1" applyFill="1" applyBorder="1" applyAlignment="1" applyProtection="1">
      <alignment horizontal="center" vertical="center"/>
      <protection locked="0" hidden="1"/>
    </xf>
    <xf numFmtId="1" fontId="31" fillId="10" borderId="1" xfId="0" applyNumberFormat="1" applyFont="1" applyFill="1" applyBorder="1" applyAlignment="1" applyProtection="1">
      <alignment horizontal="center" vertical="center"/>
      <protection locked="0" hidden="1"/>
    </xf>
    <xf numFmtId="1" fontId="0" fillId="10" borderId="1" xfId="0" applyNumberFormat="1" applyFill="1" applyBorder="1" applyAlignment="1" applyProtection="1">
      <alignment horizontal="center" vertical="center"/>
      <protection locked="0" hidden="1"/>
    </xf>
    <xf numFmtId="2" fontId="0" fillId="10" borderId="1" xfId="0" applyNumberFormat="1" applyFont="1" applyFill="1" applyBorder="1" applyAlignment="1" applyProtection="1">
      <alignment horizontal="center" vertical="center"/>
      <protection locked="0" hidden="1"/>
    </xf>
    <xf numFmtId="2" fontId="0" fillId="10" borderId="1" xfId="0" applyNumberFormat="1" applyFill="1" applyBorder="1" applyAlignment="1" applyProtection="1">
      <alignment horizontal="center" vertical="center"/>
      <protection locked="0" hidden="1"/>
    </xf>
    <xf numFmtId="0" fontId="0" fillId="0" borderId="0" xfId="0" applyFill="1" applyAlignment="1" applyProtection="1">
      <alignment horizontal="center" vertical="center"/>
      <protection hidden="1"/>
    </xf>
    <xf numFmtId="164" fontId="0" fillId="0" borderId="0" xfId="0" applyNumberFormat="1" applyFill="1" applyAlignment="1" applyProtection="1">
      <alignment horizontal="center" vertical="center"/>
      <protection hidden="1"/>
    </xf>
    <xf numFmtId="2" fontId="0" fillId="0" borderId="0" xfId="0" applyNumberFormat="1" applyFill="1" applyAlignment="1" applyProtection="1">
      <alignment horizontal="center" vertical="center"/>
      <protection hidden="1"/>
    </xf>
    <xf numFmtId="2" fontId="2" fillId="0" borderId="0" xfId="0" applyNumberFormat="1" applyFont="1" applyFill="1" applyAlignment="1" applyProtection="1">
      <alignment horizontal="center" vertical="center"/>
      <protection hidden="1"/>
    </xf>
    <xf numFmtId="0" fontId="2" fillId="0" borderId="0" xfId="0" applyFont="1" applyFill="1" applyAlignment="1" applyProtection="1">
      <alignment horizontal="center" vertical="center"/>
      <protection hidden="1"/>
    </xf>
    <xf numFmtId="0" fontId="2" fillId="0" borderId="0" xfId="0" applyFont="1" applyFill="1" applyProtection="1">
      <protection hidden="1"/>
    </xf>
    <xf numFmtId="0" fontId="0" fillId="0" borderId="0" xfId="0" applyFill="1" applyProtection="1">
      <protection hidden="1"/>
    </xf>
    <xf numFmtId="2" fontId="16" fillId="0" borderId="0" xfId="0" applyNumberFormat="1" applyFont="1" applyFill="1" applyAlignment="1" applyProtection="1">
      <alignment horizontal="center" vertical="center"/>
      <protection hidden="1"/>
    </xf>
    <xf numFmtId="0" fontId="60" fillId="11" borderId="0" xfId="0" applyFont="1" applyFill="1" applyBorder="1" applyAlignment="1" applyProtection="1">
      <alignment horizontal="center" vertical="center"/>
      <protection hidden="1"/>
    </xf>
    <xf numFmtId="0" fontId="3" fillId="17" borderId="2" xfId="0" applyFont="1" applyFill="1" applyBorder="1" applyAlignment="1" applyProtection="1">
      <alignment horizontal="center" vertical="center" wrapText="1"/>
      <protection hidden="1"/>
    </xf>
    <xf numFmtId="0" fontId="3" fillId="16" borderId="2" xfId="0" applyFont="1" applyFill="1" applyBorder="1" applyAlignment="1" applyProtection="1">
      <alignment horizontal="center" vertical="center" wrapText="1"/>
      <protection hidden="1"/>
    </xf>
    <xf numFmtId="0" fontId="60" fillId="11" borderId="0" xfId="0" applyFont="1" applyFill="1" applyBorder="1" applyAlignment="1" applyProtection="1">
      <alignment horizontal="left" vertical="center"/>
      <protection hidden="1"/>
    </xf>
    <xf numFmtId="0" fontId="0" fillId="11" borderId="47" xfId="0" applyFill="1" applyBorder="1" applyProtection="1">
      <protection hidden="1"/>
    </xf>
    <xf numFmtId="0" fontId="0" fillId="11" borderId="48" xfId="0" applyFill="1" applyBorder="1" applyProtection="1">
      <protection hidden="1"/>
    </xf>
    <xf numFmtId="0" fontId="46" fillId="11" borderId="48" xfId="0" applyFont="1" applyFill="1" applyBorder="1" applyAlignment="1" applyProtection="1">
      <alignment horizontal="center" vertical="center"/>
      <protection hidden="1"/>
    </xf>
    <xf numFmtId="0" fontId="0" fillId="11" borderId="48" xfId="0" applyFill="1" applyBorder="1" applyAlignment="1" applyProtection="1">
      <alignment horizontal="center" vertical="center"/>
      <protection hidden="1"/>
    </xf>
    <xf numFmtId="0" fontId="0" fillId="11" borderId="49" xfId="0" applyFill="1" applyBorder="1" applyAlignment="1" applyProtection="1">
      <alignment horizontal="center" vertical="center"/>
      <protection hidden="1"/>
    </xf>
    <xf numFmtId="0" fontId="0" fillId="11" borderId="50" xfId="0" applyFill="1" applyBorder="1" applyProtection="1">
      <protection hidden="1"/>
    </xf>
    <xf numFmtId="0" fontId="0" fillId="11" borderId="51" xfId="0" applyFill="1" applyBorder="1" applyAlignment="1" applyProtection="1">
      <alignment horizontal="center" vertical="center"/>
      <protection hidden="1"/>
    </xf>
    <xf numFmtId="0" fontId="44" fillId="11" borderId="0" xfId="0" applyFont="1" applyFill="1" applyBorder="1" applyAlignment="1" applyProtection="1">
      <alignment horizontal="right" vertical="center"/>
      <protection hidden="1"/>
    </xf>
    <xf numFmtId="0" fontId="45" fillId="11" borderId="0" xfId="0" applyFont="1" applyFill="1" applyBorder="1" applyAlignment="1" applyProtection="1">
      <alignment horizontal="right" vertical="center"/>
      <protection hidden="1"/>
    </xf>
    <xf numFmtId="0" fontId="3" fillId="16" borderId="0" xfId="0" applyFont="1" applyFill="1" applyBorder="1" applyAlignment="1" applyProtection="1">
      <alignment horizontal="center" vertical="center" wrapText="1"/>
      <protection hidden="1"/>
    </xf>
    <xf numFmtId="0" fontId="40" fillId="16" borderId="52" xfId="0" applyFont="1" applyFill="1" applyBorder="1" applyProtection="1">
      <protection hidden="1"/>
    </xf>
    <xf numFmtId="0" fontId="40" fillId="16" borderId="53" xfId="0" applyFont="1" applyFill="1" applyBorder="1" applyProtection="1">
      <protection hidden="1"/>
    </xf>
    <xf numFmtId="0" fontId="40" fillId="17" borderId="52" xfId="0" applyFont="1" applyFill="1" applyBorder="1" applyProtection="1">
      <protection hidden="1"/>
    </xf>
    <xf numFmtId="0" fontId="40" fillId="17" borderId="53" xfId="0" applyFont="1" applyFill="1" applyBorder="1" applyProtection="1">
      <protection hidden="1"/>
    </xf>
    <xf numFmtId="0" fontId="0" fillId="11" borderId="54" xfId="0" applyFill="1" applyBorder="1" applyProtection="1">
      <protection hidden="1"/>
    </xf>
    <xf numFmtId="0" fontId="0" fillId="11" borderId="55" xfId="0" applyFill="1" applyBorder="1" applyProtection="1">
      <protection hidden="1"/>
    </xf>
    <xf numFmtId="0" fontId="0" fillId="11" borderId="55" xfId="0" applyFill="1" applyBorder="1" applyAlignment="1" applyProtection="1">
      <alignment horizontal="center" vertical="center"/>
      <protection hidden="1"/>
    </xf>
    <xf numFmtId="0" fontId="0" fillId="11" borderId="56" xfId="0" applyFill="1" applyBorder="1" applyAlignment="1" applyProtection="1">
      <alignment horizontal="center" vertical="center"/>
      <protection hidden="1"/>
    </xf>
    <xf numFmtId="1" fontId="0" fillId="25" borderId="0" xfId="0" applyNumberFormat="1" applyFill="1" applyBorder="1" applyProtection="1">
      <protection hidden="1"/>
    </xf>
    <xf numFmtId="1" fontId="80" fillId="12" borderId="8" xfId="0" applyNumberFormat="1" applyFont="1" applyFill="1" applyBorder="1" applyAlignment="1" applyProtection="1">
      <alignment horizontal="center" vertical="center"/>
      <protection hidden="1"/>
    </xf>
    <xf numFmtId="0" fontId="157" fillId="24" borderId="31" xfId="0" applyFont="1" applyFill="1" applyBorder="1" applyAlignment="1">
      <alignment horizontal="center" vertical="top"/>
    </xf>
    <xf numFmtId="0" fontId="9" fillId="0" borderId="22" xfId="0" applyFont="1" applyBorder="1" applyAlignment="1" applyProtection="1">
      <alignment horizontal="right" vertical="center"/>
      <protection hidden="1"/>
    </xf>
    <xf numFmtId="0" fontId="34" fillId="0" borderId="22" xfId="0" applyFont="1" applyBorder="1" applyAlignment="1" applyProtection="1">
      <alignment horizontal="center" vertical="center"/>
      <protection hidden="1"/>
    </xf>
    <xf numFmtId="1" fontId="0" fillId="9" borderId="1" xfId="0" applyNumberFormat="1" applyFill="1" applyBorder="1" applyAlignment="1" applyProtection="1">
      <alignment horizontal="center" vertical="center"/>
      <protection locked="0" hidden="1"/>
    </xf>
    <xf numFmtId="1" fontId="0" fillId="9" borderId="46" xfId="0" applyNumberFormat="1" applyFill="1" applyBorder="1" applyAlignment="1" applyProtection="1">
      <alignment horizontal="center" vertical="center"/>
      <protection locked="0" hidden="1"/>
    </xf>
    <xf numFmtId="0" fontId="160" fillId="0" borderId="0" xfId="5" applyFont="1" applyAlignment="1" applyProtection="1">
      <protection hidden="1"/>
    </xf>
    <xf numFmtId="0" fontId="159" fillId="0" borderId="0" xfId="6" applyFont="1" applyBorder="1" applyAlignment="1" applyProtection="1">
      <protection hidden="1"/>
    </xf>
    <xf numFmtId="0" fontId="160" fillId="0" borderId="0" xfId="6" applyFont="1" applyBorder="1" applyAlignment="1" applyProtection="1">
      <protection hidden="1"/>
    </xf>
    <xf numFmtId="0" fontId="161" fillId="0" borderId="0" xfId="6" applyFont="1" applyBorder="1" applyAlignment="1" applyProtection="1">
      <alignment horizontal="center" vertical="center"/>
      <protection hidden="1"/>
    </xf>
    <xf numFmtId="0" fontId="56" fillId="0" borderId="0" xfId="5" applyFont="1" applyProtection="1">
      <alignment vertical="center"/>
      <protection hidden="1"/>
    </xf>
    <xf numFmtId="0" fontId="162" fillId="0" borderId="0" xfId="6" applyFont="1" applyBorder="1" applyAlignment="1" applyProtection="1">
      <alignment horizontal="right"/>
      <protection hidden="1"/>
    </xf>
    <xf numFmtId="0" fontId="160" fillId="0" borderId="0" xfId="6" applyFont="1" applyBorder="1" applyAlignment="1" applyProtection="1">
      <alignment horizontal="right"/>
      <protection hidden="1"/>
    </xf>
    <xf numFmtId="0" fontId="159" fillId="0" borderId="0" xfId="6" applyFont="1" applyFill="1" applyBorder="1" applyAlignment="1" applyProtection="1">
      <protection hidden="1"/>
    </xf>
    <xf numFmtId="0" fontId="158" fillId="0" borderId="0" xfId="6" applyFont="1" applyFill="1" applyAlignment="1" applyProtection="1">
      <alignment vertical="top"/>
      <protection hidden="1"/>
    </xf>
    <xf numFmtId="0" fontId="160" fillId="0" borderId="0" xfId="5" applyFont="1" applyFill="1" applyAlignment="1" applyProtection="1">
      <protection hidden="1"/>
    </xf>
    <xf numFmtId="0" fontId="159" fillId="0" borderId="0" xfId="6" applyFont="1" applyFill="1" applyAlignment="1" applyProtection="1">
      <protection hidden="1"/>
    </xf>
    <xf numFmtId="0" fontId="160" fillId="0" borderId="0" xfId="6" applyFont="1" applyFill="1" applyBorder="1" applyAlignment="1" applyProtection="1">
      <protection hidden="1"/>
    </xf>
    <xf numFmtId="0" fontId="163" fillId="0" borderId="0" xfId="6" applyFont="1" applyFill="1" applyBorder="1" applyAlignment="1" applyProtection="1">
      <alignment vertical="center"/>
      <protection hidden="1"/>
    </xf>
    <xf numFmtId="0" fontId="160" fillId="0" borderId="0" xfId="6" applyFont="1" applyFill="1" applyAlignment="1" applyProtection="1">
      <protection hidden="1"/>
    </xf>
    <xf numFmtId="0" fontId="162" fillId="0" borderId="0" xfId="6" applyFont="1" applyFill="1" applyAlignment="1" applyProtection="1">
      <protection hidden="1"/>
    </xf>
    <xf numFmtId="0" fontId="159" fillId="9" borderId="0" xfId="6" applyFont="1" applyFill="1" applyAlignment="1" applyProtection="1">
      <protection hidden="1"/>
    </xf>
    <xf numFmtId="0" fontId="160" fillId="9" borderId="0" xfId="6" applyFont="1" applyFill="1" applyAlignment="1" applyProtection="1">
      <protection hidden="1"/>
    </xf>
    <xf numFmtId="0" fontId="160" fillId="9" borderId="0" xfId="5" applyFont="1" applyFill="1" applyAlignment="1" applyProtection="1">
      <protection hidden="1"/>
    </xf>
    <xf numFmtId="0" fontId="162" fillId="9" borderId="0" xfId="6" applyFont="1" applyFill="1" applyAlignment="1" applyProtection="1">
      <alignment horizontal="right"/>
      <protection hidden="1"/>
    </xf>
    <xf numFmtId="0" fontId="160" fillId="9" borderId="0" xfId="6" applyFont="1" applyFill="1" applyAlignment="1" applyProtection="1">
      <alignment horizontal="right"/>
      <protection hidden="1"/>
    </xf>
    <xf numFmtId="0" fontId="162" fillId="9" borderId="0" xfId="6" applyFont="1" applyFill="1" applyAlignment="1" applyProtection="1">
      <protection hidden="1"/>
    </xf>
    <xf numFmtId="2" fontId="160" fillId="9" borderId="0" xfId="6" applyNumberFormat="1" applyFont="1" applyFill="1" applyAlignment="1" applyProtection="1">
      <alignment horizontal="right"/>
      <protection hidden="1"/>
    </xf>
    <xf numFmtId="0" fontId="159" fillId="0" borderId="0" xfId="6" applyFont="1" applyAlignment="1" applyProtection="1">
      <protection hidden="1"/>
    </xf>
    <xf numFmtId="0" fontId="160" fillId="0" borderId="0" xfId="6" applyFont="1" applyAlignment="1" applyProtection="1">
      <protection hidden="1"/>
    </xf>
    <xf numFmtId="0" fontId="162" fillId="0" borderId="0" xfId="6" applyFont="1" applyAlignment="1" applyProtection="1">
      <alignment horizontal="right"/>
      <protection hidden="1"/>
    </xf>
    <xf numFmtId="0" fontId="160" fillId="0" borderId="0" xfId="6" applyFont="1" applyAlignment="1" applyProtection="1">
      <alignment horizontal="right"/>
      <protection hidden="1"/>
    </xf>
    <xf numFmtId="0" fontId="7" fillId="0" borderId="0" xfId="0" applyFont="1" applyProtection="1">
      <protection hidden="1"/>
    </xf>
    <xf numFmtId="0" fontId="7" fillId="0" borderId="0" xfId="0" applyFont="1" applyAlignment="1" applyProtection="1">
      <protection hidden="1"/>
    </xf>
    <xf numFmtId="0" fontId="0" fillId="15" borderId="0" xfId="0" applyFill="1" applyProtection="1">
      <protection hidden="1"/>
    </xf>
    <xf numFmtId="0" fontId="6" fillId="15" borderId="0" xfId="0" applyFont="1" applyFill="1" applyProtection="1">
      <protection hidden="1"/>
    </xf>
    <xf numFmtId="0" fontId="164" fillId="0" borderId="0" xfId="0" applyFont="1" applyAlignment="1" applyProtection="1">
      <alignment vertical="center"/>
      <protection hidden="1"/>
    </xf>
    <xf numFmtId="0" fontId="0" fillId="0" borderId="0" xfId="0" applyFont="1" applyAlignment="1">
      <alignment horizontal="right" vertical="top"/>
    </xf>
    <xf numFmtId="0" fontId="3" fillId="0" borderId="0" xfId="0" applyFont="1" applyBorder="1" applyAlignment="1">
      <alignment horizontal="center" vertical="center"/>
    </xf>
    <xf numFmtId="0" fontId="0" fillId="0" borderId="0" xfId="0" applyAlignment="1">
      <alignment vertical="center" wrapText="1"/>
    </xf>
    <xf numFmtId="2" fontId="169" fillId="15" borderId="0" xfId="11" applyNumberFormat="1" applyFont="1" applyFill="1" applyBorder="1" applyAlignment="1" applyProtection="1">
      <alignment horizontal="left" vertical="center"/>
      <protection hidden="1"/>
    </xf>
    <xf numFmtId="0" fontId="108" fillId="12" borderId="0" xfId="0" applyFont="1" applyFill="1" applyBorder="1" applyAlignment="1" applyProtection="1">
      <alignment horizontal="left" vertical="center"/>
      <protection hidden="1"/>
    </xf>
    <xf numFmtId="0" fontId="137" fillId="12" borderId="0" xfId="0" applyFont="1" applyFill="1" applyBorder="1" applyAlignment="1" applyProtection="1">
      <alignment horizontal="center" vertical="center"/>
      <protection hidden="1"/>
    </xf>
    <xf numFmtId="0" fontId="104" fillId="12" borderId="0" xfId="0" applyFont="1" applyFill="1" applyBorder="1" applyAlignment="1" applyProtection="1">
      <alignment horizontal="left" wrapText="1"/>
      <protection hidden="1"/>
    </xf>
    <xf numFmtId="0" fontId="152" fillId="12" borderId="0" xfId="0" applyFont="1" applyFill="1" applyBorder="1" applyAlignment="1" applyProtection="1">
      <alignment horizontal="left" vertical="center"/>
      <protection hidden="1"/>
    </xf>
    <xf numFmtId="0" fontId="141" fillId="12" borderId="0" xfId="0" applyFont="1" applyFill="1" applyBorder="1" applyAlignment="1" applyProtection="1">
      <alignment horizontal="left" vertical="center"/>
      <protection hidden="1"/>
    </xf>
    <xf numFmtId="0" fontId="140" fillId="12" borderId="0" xfId="0" applyFont="1" applyFill="1" applyBorder="1" applyAlignment="1" applyProtection="1">
      <alignment horizontal="left" wrapText="1"/>
      <protection hidden="1"/>
    </xf>
    <xf numFmtId="0" fontId="152" fillId="12" borderId="11" xfId="0" applyFont="1" applyFill="1" applyBorder="1" applyAlignment="1" applyProtection="1">
      <alignment horizontal="left" vertical="center" wrapText="1"/>
      <protection hidden="1"/>
    </xf>
    <xf numFmtId="1" fontId="14" fillId="15" borderId="1" xfId="0" applyNumberFormat="1" applyFont="1" applyFill="1" applyBorder="1" applyAlignment="1" applyProtection="1">
      <alignment horizontal="center" vertical="center" wrapText="1"/>
      <protection locked="0" hidden="1"/>
    </xf>
    <xf numFmtId="0" fontId="14" fillId="9" borderId="67" xfId="0" applyFont="1" applyFill="1" applyBorder="1" applyAlignment="1" applyProtection="1">
      <alignment horizontal="center" vertical="center" wrapText="1"/>
      <protection locked="0"/>
    </xf>
    <xf numFmtId="1" fontId="0" fillId="10" borderId="46" xfId="0" applyNumberFormat="1" applyFill="1" applyBorder="1" applyAlignment="1" applyProtection="1">
      <alignment horizontal="center" vertical="center"/>
      <protection locked="0" hidden="1"/>
    </xf>
    <xf numFmtId="1" fontId="3" fillId="9" borderId="46" xfId="0" applyNumberFormat="1" applyFont="1" applyFill="1" applyBorder="1" applyAlignment="1" applyProtection="1">
      <alignment horizontal="center" vertical="center"/>
      <protection locked="0" hidden="1"/>
    </xf>
    <xf numFmtId="1" fontId="21" fillId="0" borderId="9" xfId="0" applyNumberFormat="1" applyFont="1" applyBorder="1" applyAlignment="1" applyProtection="1">
      <alignment horizontal="center" vertical="center"/>
      <protection hidden="1"/>
    </xf>
    <xf numFmtId="1" fontId="20" fillId="0" borderId="1" xfId="0" applyNumberFormat="1" applyFont="1" applyBorder="1" applyAlignment="1" applyProtection="1">
      <alignment horizontal="center" vertical="center"/>
      <protection hidden="1"/>
    </xf>
    <xf numFmtId="1" fontId="22" fillId="0" borderId="9" xfId="0" applyNumberFormat="1" applyFont="1" applyBorder="1" applyAlignment="1" applyProtection="1">
      <alignment horizontal="center" vertical="center"/>
      <protection hidden="1"/>
    </xf>
    <xf numFmtId="1" fontId="11" fillId="0" borderId="20" xfId="0" applyNumberFormat="1" applyFont="1" applyBorder="1" applyAlignment="1" applyProtection="1">
      <alignment horizontal="center" vertical="center"/>
      <protection hidden="1"/>
    </xf>
    <xf numFmtId="0" fontId="34" fillId="0" borderId="22" xfId="0" applyFont="1" applyBorder="1" applyAlignment="1" applyProtection="1">
      <alignment horizontal="center" vertical="center"/>
      <protection hidden="1"/>
    </xf>
    <xf numFmtId="0" fontId="0" fillId="0" borderId="0" xfId="0" applyNumberFormat="1" applyFont="1" applyProtection="1">
      <protection hidden="1"/>
    </xf>
    <xf numFmtId="2" fontId="65" fillId="15" borderId="0" xfId="9" applyNumberFormat="1" applyFont="1" applyFill="1" applyBorder="1" applyAlignment="1" applyProtection="1">
      <alignment horizontal="left" vertical="center"/>
      <protection hidden="1"/>
    </xf>
    <xf numFmtId="0" fontId="32" fillId="0" borderId="58" xfId="2" applyFont="1" applyBorder="1" applyAlignment="1">
      <alignment horizontal="center" vertical="center"/>
    </xf>
    <xf numFmtId="9" fontId="32" fillId="0" borderId="58" xfId="2" applyNumberFormat="1" applyFont="1" applyBorder="1" applyAlignment="1">
      <alignment horizontal="center" vertical="center"/>
    </xf>
    <xf numFmtId="0" fontId="173" fillId="0" borderId="0" xfId="2" applyFont="1" applyFill="1" applyBorder="1" applyAlignment="1">
      <alignment horizontal="center" vertical="center"/>
    </xf>
    <xf numFmtId="0" fontId="51" fillId="0" borderId="0" xfId="2" applyFont="1" applyBorder="1" applyAlignment="1">
      <alignment horizontal="center" vertical="center"/>
    </xf>
    <xf numFmtId="2" fontId="33" fillId="0" borderId="0" xfId="2" applyNumberFormat="1" applyFont="1" applyBorder="1" applyAlignment="1">
      <alignment horizontal="right" vertical="center"/>
    </xf>
    <xf numFmtId="0" fontId="52" fillId="0" borderId="0" xfId="2" applyFont="1" applyBorder="1" applyAlignment="1">
      <alignment horizontal="center" vertical="center"/>
    </xf>
    <xf numFmtId="2" fontId="40" fillId="0" borderId="0" xfId="2" applyNumberFormat="1" applyFont="1" applyBorder="1" applyAlignment="1">
      <alignment horizontal="right" vertical="center"/>
    </xf>
    <xf numFmtId="0" fontId="175" fillId="0" borderId="0" xfId="2" applyFont="1" applyBorder="1" applyAlignment="1">
      <alignment horizontal="left" vertical="center"/>
    </xf>
    <xf numFmtId="0" fontId="174" fillId="0" borderId="0" xfId="2" applyFont="1" applyBorder="1" applyAlignment="1">
      <alignment horizontal="left" vertical="center"/>
    </xf>
    <xf numFmtId="2" fontId="178" fillId="0" borderId="0" xfId="2" applyNumberFormat="1" applyFont="1" applyBorder="1" applyAlignment="1">
      <alignment horizontal="right" vertical="center"/>
    </xf>
    <xf numFmtId="0" fontId="51" fillId="0" borderId="0" xfId="2" applyFont="1" applyBorder="1" applyAlignment="1">
      <alignment horizontal="left" vertical="center"/>
    </xf>
    <xf numFmtId="0" fontId="175" fillId="0" borderId="0" xfId="2" applyFont="1" applyBorder="1" applyAlignment="1">
      <alignment vertical="center"/>
    </xf>
    <xf numFmtId="2" fontId="33" fillId="0" borderId="0" xfId="2" applyNumberFormat="1" applyFont="1" applyBorder="1" applyAlignment="1">
      <alignment vertical="center"/>
    </xf>
    <xf numFmtId="0" fontId="175" fillId="0" borderId="0" xfId="2" applyFont="1" applyBorder="1" applyAlignment="1">
      <alignment horizontal="center" vertical="center" wrapText="1"/>
    </xf>
    <xf numFmtId="2" fontId="33" fillId="0" borderId="0" xfId="2" applyNumberFormat="1" applyFont="1" applyBorder="1" applyAlignment="1">
      <alignment horizontal="right" vertical="center" wrapText="1"/>
    </xf>
    <xf numFmtId="0" fontId="55" fillId="0" borderId="58" xfId="2" applyFont="1" applyBorder="1" applyAlignment="1">
      <alignment horizontal="right"/>
    </xf>
    <xf numFmtId="0" fontId="183" fillId="0" borderId="58" xfId="2" applyFont="1" applyBorder="1" applyAlignment="1">
      <alignment horizontal="right" vertical="center"/>
    </xf>
    <xf numFmtId="2" fontId="179" fillId="0" borderId="64" xfId="5" applyNumberFormat="1" applyFont="1" applyBorder="1" applyAlignment="1" applyProtection="1">
      <protection hidden="1"/>
    </xf>
    <xf numFmtId="0" fontId="184" fillId="0" borderId="0" xfId="0" applyFont="1" applyAlignment="1" applyProtection="1">
      <alignment horizontal="right" vertical="center"/>
      <protection hidden="1"/>
    </xf>
    <xf numFmtId="0" fontId="55" fillId="0" borderId="70" xfId="2" applyFont="1" applyBorder="1" applyAlignment="1">
      <alignment horizontal="center" vertical="center"/>
    </xf>
    <xf numFmtId="0" fontId="32" fillId="0" borderId="70" xfId="2" applyFont="1" applyBorder="1" applyAlignment="1">
      <alignment horizontal="right" vertical="center"/>
    </xf>
    <xf numFmtId="2" fontId="33" fillId="0" borderId="74" xfId="2" applyNumberFormat="1" applyFont="1" applyBorder="1" applyAlignment="1">
      <alignment horizontal="right" vertical="center"/>
    </xf>
    <xf numFmtId="0" fontId="175" fillId="0" borderId="74" xfId="2" applyFont="1" applyBorder="1" applyAlignment="1">
      <alignment vertical="center"/>
    </xf>
    <xf numFmtId="0" fontId="55" fillId="0" borderId="80" xfId="2" applyFont="1" applyBorder="1" applyAlignment="1">
      <alignment horizontal="right" vertical="center"/>
    </xf>
    <xf numFmtId="0" fontId="53" fillId="0" borderId="0" xfId="2" applyFont="1" applyBorder="1" applyAlignment="1">
      <alignment horizontal="right" vertical="center"/>
    </xf>
    <xf numFmtId="0" fontId="55" fillId="0" borderId="0" xfId="2" applyFont="1" applyBorder="1" applyAlignment="1">
      <alignment horizontal="right" vertical="center"/>
    </xf>
    <xf numFmtId="0" fontId="0" fillId="10" borderId="0" xfId="0" applyFill="1" applyAlignment="1" applyProtection="1">
      <alignment vertical="center"/>
      <protection hidden="1"/>
    </xf>
    <xf numFmtId="0" fontId="149" fillId="10" borderId="0" xfId="0" applyFont="1" applyFill="1" applyProtection="1">
      <protection hidden="1"/>
    </xf>
    <xf numFmtId="0" fontId="0" fillId="0" borderId="58" xfId="0" applyBorder="1" applyProtection="1">
      <protection hidden="1"/>
    </xf>
    <xf numFmtId="0" fontId="55" fillId="0" borderId="58" xfId="2" applyFont="1" applyBorder="1" applyAlignment="1">
      <alignment horizontal="right" vertical="center"/>
    </xf>
    <xf numFmtId="0" fontId="0" fillId="0" borderId="0" xfId="0" applyBorder="1" applyProtection="1">
      <protection hidden="1"/>
    </xf>
    <xf numFmtId="0" fontId="29" fillId="10" borderId="0" xfId="0" applyFont="1" applyFill="1" applyAlignment="1" applyProtection="1">
      <alignment horizontal="center" vertical="center"/>
      <protection hidden="1"/>
    </xf>
    <xf numFmtId="2" fontId="31" fillId="8" borderId="1" xfId="0" applyNumberFormat="1" applyFont="1" applyFill="1" applyBorder="1" applyAlignment="1" applyProtection="1">
      <alignment horizontal="center" vertical="center"/>
      <protection locked="0" hidden="1"/>
    </xf>
    <xf numFmtId="0" fontId="55" fillId="0" borderId="65" xfId="2" applyFont="1" applyBorder="1" applyAlignment="1">
      <alignment vertical="center"/>
    </xf>
    <xf numFmtId="1" fontId="3" fillId="9" borderId="58" xfId="0" applyNumberFormat="1" applyFont="1" applyFill="1" applyBorder="1" applyAlignment="1" applyProtection="1">
      <alignment horizontal="center" vertical="center"/>
      <protection locked="0"/>
    </xf>
    <xf numFmtId="1" fontId="3" fillId="9" borderId="58" xfId="0" applyNumberFormat="1" applyFont="1" applyFill="1" applyBorder="1" applyAlignment="1" applyProtection="1">
      <alignment horizontal="center" vertical="center"/>
      <protection locked="0" hidden="1"/>
    </xf>
    <xf numFmtId="1" fontId="30" fillId="9" borderId="58" xfId="0" applyNumberFormat="1" applyFont="1" applyFill="1" applyBorder="1" applyAlignment="1" applyProtection="1">
      <alignment horizontal="center" vertical="center"/>
      <protection locked="0"/>
    </xf>
    <xf numFmtId="1" fontId="0" fillId="9" borderId="58" xfId="0" applyNumberFormat="1" applyFill="1" applyBorder="1" applyAlignment="1" applyProtection="1">
      <alignment horizontal="center" vertical="center"/>
      <protection locked="0" hidden="1"/>
    </xf>
    <xf numFmtId="1" fontId="0" fillId="10" borderId="58" xfId="0" applyNumberFormat="1" applyFill="1" applyBorder="1" applyAlignment="1" applyProtection="1">
      <alignment horizontal="center" vertical="center"/>
      <protection locked="0" hidden="1"/>
    </xf>
    <xf numFmtId="0" fontId="0" fillId="0" borderId="58" xfId="0" applyBorder="1" applyAlignment="1" applyProtection="1">
      <alignment horizontal="center" vertical="center"/>
      <protection locked="0"/>
    </xf>
    <xf numFmtId="1" fontId="3" fillId="10" borderId="1" xfId="0" applyNumberFormat="1" applyFont="1" applyFill="1" applyBorder="1" applyAlignment="1" applyProtection="1">
      <alignment horizontal="center" vertical="center"/>
      <protection locked="0"/>
    </xf>
    <xf numFmtId="1" fontId="0" fillId="10" borderId="1" xfId="0" applyNumberFormat="1" applyFill="1" applyBorder="1" applyAlignment="1" applyProtection="1">
      <alignment horizontal="center" vertical="center"/>
      <protection locked="0"/>
    </xf>
    <xf numFmtId="1" fontId="78" fillId="10" borderId="1" xfId="0" applyNumberFormat="1" applyFont="1" applyFill="1" applyBorder="1" applyAlignment="1" applyProtection="1">
      <alignment horizontal="center" vertical="center"/>
      <protection locked="0"/>
    </xf>
    <xf numFmtId="165" fontId="22" fillId="0" borderId="1" xfId="0" applyNumberFormat="1" applyFont="1" applyBorder="1" applyAlignment="1" applyProtection="1">
      <alignment horizontal="left" vertical="center"/>
      <protection hidden="1"/>
    </xf>
    <xf numFmtId="165" fontId="20" fillId="0" borderId="1" xfId="0" applyNumberFormat="1" applyFont="1" applyBorder="1" applyAlignment="1" applyProtection="1">
      <alignment horizontal="left" vertical="center" wrapText="1"/>
      <protection hidden="1"/>
    </xf>
    <xf numFmtId="165" fontId="185" fillId="0" borderId="1" xfId="0" applyNumberFormat="1" applyFont="1" applyBorder="1" applyAlignment="1" applyProtection="1">
      <alignment horizontal="left" vertical="center"/>
      <protection hidden="1"/>
    </xf>
    <xf numFmtId="1" fontId="55" fillId="0" borderId="58" xfId="2" applyNumberFormat="1" applyFont="1" applyBorder="1" applyAlignment="1">
      <alignment horizontal="right" vertical="center"/>
    </xf>
    <xf numFmtId="1" fontId="40" fillId="0" borderId="74" xfId="2" applyNumberFormat="1" applyFont="1" applyBorder="1" applyAlignment="1">
      <alignment horizontal="right" vertical="center"/>
    </xf>
    <xf numFmtId="1" fontId="33" fillId="0" borderId="74" xfId="2" applyNumberFormat="1" applyFont="1" applyBorder="1" applyAlignment="1">
      <alignment horizontal="right" vertical="center"/>
    </xf>
    <xf numFmtId="1" fontId="180" fillId="0" borderId="74" xfId="2" applyNumberFormat="1" applyFont="1" applyBorder="1" applyAlignment="1">
      <alignment horizontal="right" vertical="center"/>
    </xf>
    <xf numFmtId="1" fontId="178" fillId="0" borderId="74" xfId="2" applyNumberFormat="1" applyFont="1" applyBorder="1" applyAlignment="1">
      <alignment vertical="center"/>
    </xf>
    <xf numFmtId="1" fontId="177" fillId="0" borderId="58" xfId="2" applyNumberFormat="1" applyFont="1" applyBorder="1" applyAlignment="1">
      <alignment horizontal="center"/>
    </xf>
    <xf numFmtId="1" fontId="177" fillId="0" borderId="58" xfId="2" applyNumberFormat="1" applyFont="1" applyBorder="1" applyAlignment="1">
      <alignment horizontal="right"/>
    </xf>
    <xf numFmtId="1" fontId="177" fillId="13" borderId="58" xfId="2" applyNumberFormat="1" applyFont="1" applyFill="1" applyBorder="1" applyAlignment="1">
      <alignment horizontal="right"/>
    </xf>
    <xf numFmtId="1" fontId="58" fillId="0" borderId="58" xfId="2" applyNumberFormat="1" applyFont="1" applyBorder="1" applyAlignment="1">
      <alignment horizontal="right"/>
    </xf>
    <xf numFmtId="0" fontId="186" fillId="0" borderId="58" xfId="2" applyFont="1" applyBorder="1" applyAlignment="1">
      <alignment horizontal="center"/>
    </xf>
    <xf numFmtId="0" fontId="187" fillId="0" borderId="58" xfId="2" applyFont="1" applyBorder="1" applyAlignment="1">
      <alignment horizontal="center"/>
    </xf>
    <xf numFmtId="1" fontId="180" fillId="0" borderId="78" xfId="2" applyNumberFormat="1" applyFont="1" applyBorder="1" applyAlignment="1">
      <alignment vertical="center" wrapText="1"/>
    </xf>
    <xf numFmtId="1" fontId="189" fillId="0" borderId="81" xfId="2" applyNumberFormat="1" applyFont="1" applyBorder="1" applyAlignment="1">
      <alignment horizontal="right" vertical="center"/>
    </xf>
    <xf numFmtId="0" fontId="190" fillId="0" borderId="0" xfId="6" applyFont="1" applyBorder="1" applyAlignment="1" applyProtection="1">
      <alignment horizontal="left" vertical="center"/>
      <protection hidden="1"/>
    </xf>
    <xf numFmtId="0" fontId="60" fillId="11" borderId="0" xfId="0" applyFont="1" applyFill="1" applyBorder="1" applyAlignment="1" applyProtection="1">
      <alignment vertical="center"/>
      <protection hidden="1"/>
    </xf>
    <xf numFmtId="0" fontId="194" fillId="30" borderId="0" xfId="0" applyFont="1" applyFill="1" applyBorder="1" applyAlignment="1" applyProtection="1">
      <alignment vertical="center"/>
      <protection locked="0"/>
    </xf>
    <xf numFmtId="0" fontId="195" fillId="11" borderId="83" xfId="0" applyFont="1" applyFill="1" applyBorder="1" applyAlignment="1" applyProtection="1">
      <alignment horizontal="center" vertical="center"/>
      <protection hidden="1"/>
    </xf>
    <xf numFmtId="0" fontId="18" fillId="9" borderId="83" xfId="0" applyFont="1" applyFill="1" applyBorder="1" applyAlignment="1" applyProtection="1">
      <alignment horizontal="center" vertical="center"/>
      <protection locked="0"/>
    </xf>
    <xf numFmtId="0" fontId="4" fillId="9" borderId="83" xfId="0" applyFont="1" applyFill="1" applyBorder="1" applyAlignment="1" applyProtection="1">
      <alignment horizontal="center" vertical="center"/>
      <protection locked="0"/>
    </xf>
    <xf numFmtId="0" fontId="25" fillId="11" borderId="83" xfId="0" applyFont="1" applyFill="1" applyBorder="1" applyAlignment="1" applyProtection="1">
      <alignment horizontal="center" vertical="center"/>
      <protection hidden="1"/>
    </xf>
    <xf numFmtId="0" fontId="64" fillId="9" borderId="83" xfId="0" applyFont="1" applyFill="1" applyBorder="1" applyAlignment="1" applyProtection="1">
      <alignment horizontal="center" vertical="center"/>
      <protection locked="0"/>
    </xf>
    <xf numFmtId="0" fontId="18" fillId="9" borderId="83" xfId="0" applyFont="1" applyFill="1" applyBorder="1" applyAlignment="1" applyProtection="1">
      <alignment horizontal="right" vertical="center"/>
      <protection locked="0"/>
    </xf>
    <xf numFmtId="0" fontId="0" fillId="11" borderId="0" xfId="0" applyFill="1" applyProtection="1">
      <protection locked="0"/>
    </xf>
    <xf numFmtId="1" fontId="17" fillId="2" borderId="1" xfId="0" applyNumberFormat="1" applyFont="1" applyFill="1" applyBorder="1" applyAlignment="1" applyProtection="1">
      <alignment horizontal="center" vertical="center"/>
      <protection locked="0"/>
    </xf>
    <xf numFmtId="2" fontId="70" fillId="2" borderId="1" xfId="0" applyNumberFormat="1" applyFont="1" applyFill="1" applyBorder="1" applyAlignment="1" applyProtection="1">
      <alignment vertical="center" wrapText="1"/>
      <protection locked="0"/>
    </xf>
    <xf numFmtId="1" fontId="75" fillId="10" borderId="1" xfId="0" applyNumberFormat="1" applyFont="1" applyFill="1" applyBorder="1" applyAlignment="1" applyProtection="1">
      <alignment horizontal="center" vertical="center"/>
      <protection locked="0" hidden="1"/>
    </xf>
    <xf numFmtId="166" fontId="71" fillId="0" borderId="1" xfId="7" applyNumberFormat="1" applyFont="1" applyFill="1" applyBorder="1" applyAlignment="1" applyProtection="1">
      <alignment horizontal="left" vertical="center"/>
      <protection locked="0"/>
    </xf>
    <xf numFmtId="1" fontId="0" fillId="11" borderId="0" xfId="0" applyNumberFormat="1" applyFill="1" applyBorder="1" applyAlignment="1" applyProtection="1">
      <alignment horizontal="center" vertical="center"/>
      <protection hidden="1"/>
    </xf>
    <xf numFmtId="1" fontId="14" fillId="16" borderId="1" xfId="0" applyNumberFormat="1" applyFont="1" applyFill="1" applyBorder="1" applyAlignment="1" applyProtection="1">
      <alignment horizontal="center" vertical="center"/>
      <protection locked="0" hidden="1"/>
    </xf>
    <xf numFmtId="0" fontId="14" fillId="17" borderId="1" xfId="0" applyNumberFormat="1" applyFont="1" applyFill="1" applyBorder="1" applyAlignment="1" applyProtection="1">
      <alignment horizontal="center" vertical="center"/>
      <protection locked="0" hidden="1"/>
    </xf>
    <xf numFmtId="1" fontId="40" fillId="0" borderId="22" xfId="0" applyNumberFormat="1" applyFont="1" applyBorder="1" applyAlignment="1" applyProtection="1">
      <alignment vertical="center"/>
      <protection hidden="1"/>
    </xf>
    <xf numFmtId="1" fontId="30" fillId="0" borderId="22" xfId="0" applyNumberFormat="1" applyFont="1" applyBorder="1" applyAlignment="1" applyProtection="1">
      <alignment vertical="center"/>
      <protection hidden="1"/>
    </xf>
    <xf numFmtId="0" fontId="55" fillId="0" borderId="58" xfId="2" applyFont="1" applyBorder="1" applyAlignment="1">
      <alignment horizontal="right" vertical="center"/>
    </xf>
    <xf numFmtId="0" fontId="34" fillId="0" borderId="22" xfId="0" applyFont="1" applyBorder="1" applyAlignment="1" applyProtection="1">
      <alignment horizontal="center" vertical="center"/>
      <protection hidden="1"/>
    </xf>
    <xf numFmtId="0" fontId="14" fillId="9" borderId="0" xfId="0" applyFont="1" applyFill="1" applyBorder="1" applyAlignment="1" applyProtection="1">
      <alignment horizontal="center" vertical="center"/>
      <protection locked="0"/>
    </xf>
    <xf numFmtId="14" fontId="21" fillId="0" borderId="20" xfId="0" applyNumberFormat="1" applyFont="1" applyBorder="1" applyAlignment="1" applyProtection="1">
      <alignment horizontal="center" vertical="center"/>
      <protection hidden="1"/>
    </xf>
    <xf numFmtId="0" fontId="55" fillId="0" borderId="73" xfId="2" applyFont="1" applyBorder="1" applyAlignment="1">
      <alignment horizontal="center" vertical="center"/>
    </xf>
    <xf numFmtId="0" fontId="55" fillId="0" borderId="68" xfId="2" applyFont="1" applyBorder="1" applyAlignment="1">
      <alignment horizontal="center" vertical="center"/>
    </xf>
    <xf numFmtId="0" fontId="183" fillId="0" borderId="74" xfId="2" applyFont="1" applyBorder="1" applyAlignment="1">
      <alignment horizontal="center" vertical="center" wrapText="1"/>
    </xf>
    <xf numFmtId="14" fontId="0" fillId="0" borderId="45" xfId="0" applyNumberFormat="1" applyFont="1" applyBorder="1" applyAlignment="1" applyProtection="1">
      <alignment horizontal="center" vertical="center"/>
      <protection locked="0"/>
    </xf>
    <xf numFmtId="14" fontId="0" fillId="8" borderId="45" xfId="0" applyNumberFormat="1" applyFont="1" applyFill="1" applyBorder="1" applyAlignment="1" applyProtection="1">
      <alignment horizontal="center" vertical="center"/>
      <protection locked="0"/>
    </xf>
    <xf numFmtId="0" fontId="60" fillId="11" borderId="88" xfId="0" applyFont="1" applyFill="1" applyBorder="1" applyAlignment="1" applyProtection="1">
      <alignment vertical="center"/>
      <protection hidden="1"/>
    </xf>
    <xf numFmtId="0" fontId="60" fillId="11" borderId="0" xfId="0" applyFont="1" applyFill="1" applyBorder="1" applyAlignment="1" applyProtection="1">
      <alignment horizontal="right" vertical="center"/>
      <protection hidden="1"/>
    </xf>
    <xf numFmtId="0" fontId="60" fillId="30" borderId="0" xfId="0" applyFont="1" applyFill="1" applyBorder="1" applyAlignment="1" applyProtection="1">
      <alignment vertical="center"/>
      <protection hidden="1"/>
    </xf>
    <xf numFmtId="1" fontId="0" fillId="0" borderId="0" xfId="0" applyNumberFormat="1" applyProtection="1">
      <protection hidden="1"/>
    </xf>
    <xf numFmtId="164" fontId="9" fillId="9" borderId="1" xfId="0" applyNumberFormat="1" applyFont="1" applyFill="1" applyBorder="1" applyAlignment="1" applyProtection="1">
      <alignment horizontal="left" vertical="center"/>
      <protection locked="0"/>
    </xf>
    <xf numFmtId="0" fontId="17" fillId="10" borderId="0" xfId="0" applyFont="1" applyFill="1" applyBorder="1" applyAlignment="1" applyProtection="1">
      <alignment vertical="center" wrapText="1"/>
      <protection hidden="1"/>
    </xf>
    <xf numFmtId="0" fontId="26" fillId="10" borderId="42" xfId="0" applyFont="1" applyFill="1" applyBorder="1" applyAlignment="1" applyProtection="1">
      <alignment horizontal="center" vertical="center" wrapText="1"/>
      <protection locked="0"/>
    </xf>
    <xf numFmtId="1" fontId="40" fillId="9" borderId="1" xfId="0" applyNumberFormat="1" applyFont="1" applyFill="1" applyBorder="1" applyAlignment="1" applyProtection="1">
      <alignment horizontal="center" vertical="center"/>
      <protection locked="0"/>
    </xf>
    <xf numFmtId="14" fontId="3" fillId="9" borderId="58" xfId="0" applyNumberFormat="1" applyFont="1" applyFill="1" applyBorder="1" applyAlignment="1" applyProtection="1">
      <alignment horizontal="center" vertical="center"/>
      <protection locked="0"/>
    </xf>
    <xf numFmtId="14" fontId="0" fillId="0" borderId="0" xfId="0" applyNumberFormat="1" applyFont="1" applyFill="1" applyAlignment="1" applyProtection="1">
      <alignment horizontal="center" vertical="center"/>
      <protection hidden="1"/>
    </xf>
    <xf numFmtId="1" fontId="0" fillId="0" borderId="0" xfId="0" applyNumberFormat="1" applyFill="1" applyAlignment="1" applyProtection="1">
      <alignment horizontal="center" vertical="center"/>
      <protection hidden="1"/>
    </xf>
    <xf numFmtId="2" fontId="0" fillId="32" borderId="0" xfId="0" applyNumberFormat="1" applyFill="1" applyAlignment="1" applyProtection="1">
      <alignment horizontal="center" vertical="center"/>
      <protection hidden="1"/>
    </xf>
    <xf numFmtId="1" fontId="0" fillId="0" borderId="58" xfId="0" applyNumberFormat="1" applyBorder="1" applyProtection="1">
      <protection hidden="1"/>
    </xf>
    <xf numFmtId="0" fontId="31" fillId="8" borderId="1" xfId="0" applyFont="1" applyFill="1" applyBorder="1" applyProtection="1">
      <protection hidden="1"/>
    </xf>
    <xf numFmtId="0" fontId="42" fillId="19" borderId="22" xfId="0" applyFont="1" applyFill="1" applyBorder="1" applyAlignment="1">
      <alignment horizontal="justify" vertical="justify" wrapText="1"/>
    </xf>
    <xf numFmtId="0" fontId="42" fillId="19" borderId="22" xfId="0" applyFont="1" applyFill="1" applyBorder="1" applyAlignment="1">
      <alignment horizontal="justify" vertical="justify"/>
    </xf>
    <xf numFmtId="0" fontId="130" fillId="21" borderId="34" xfId="0" applyFont="1" applyFill="1" applyBorder="1" applyAlignment="1">
      <alignment horizontal="justify" vertical="center" wrapText="1"/>
    </xf>
    <xf numFmtId="164" fontId="204" fillId="10" borderId="1" xfId="0" applyNumberFormat="1" applyFont="1" applyFill="1" applyBorder="1" applyAlignment="1" applyProtection="1">
      <alignment horizontal="left" vertical="center"/>
      <protection hidden="1"/>
    </xf>
    <xf numFmtId="0" fontId="204" fillId="10" borderId="1" xfId="0" applyNumberFormat="1" applyFont="1" applyFill="1" applyBorder="1" applyAlignment="1" applyProtection="1">
      <alignment horizontal="left" vertical="center"/>
      <protection hidden="1"/>
    </xf>
    <xf numFmtId="1" fontId="30" fillId="0" borderId="22" xfId="0" applyNumberFormat="1" applyFont="1" applyBorder="1" applyAlignment="1" applyProtection="1">
      <alignment horizontal="center" vertical="center"/>
      <protection locked="0" hidden="1"/>
    </xf>
    <xf numFmtId="0" fontId="30" fillId="0" borderId="22" xfId="0" applyFont="1" applyBorder="1" applyAlignment="1" applyProtection="1">
      <alignment horizontal="center" vertical="center"/>
      <protection locked="0" hidden="1"/>
    </xf>
    <xf numFmtId="0" fontId="34" fillId="0" borderId="22" xfId="0" applyFont="1" applyBorder="1" applyAlignment="1" applyProtection="1">
      <alignment horizontal="right" vertical="center"/>
      <protection locked="0"/>
    </xf>
    <xf numFmtId="0" fontId="31" fillId="0" borderId="22" xfId="0" applyFont="1" applyBorder="1" applyAlignment="1" applyProtection="1">
      <alignment vertical="center"/>
      <protection locked="0"/>
    </xf>
    <xf numFmtId="0" fontId="39" fillId="0" borderId="22" xfId="0" applyFont="1" applyBorder="1" applyAlignment="1" applyProtection="1">
      <alignment vertical="center"/>
      <protection locked="0"/>
    </xf>
    <xf numFmtId="0" fontId="30" fillId="0" borderId="22" xfId="0" applyFont="1" applyBorder="1" applyAlignment="1" applyProtection="1">
      <alignment vertical="center"/>
      <protection locked="0"/>
    </xf>
    <xf numFmtId="1" fontId="0" fillId="0" borderId="22" xfId="0" applyNumberFormat="1" applyFont="1" applyBorder="1" applyProtection="1">
      <protection locked="0" hidden="1"/>
    </xf>
    <xf numFmtId="0" fontId="0" fillId="0" borderId="22" xfId="0" applyFont="1" applyBorder="1" applyProtection="1">
      <protection locked="0" hidden="1"/>
    </xf>
    <xf numFmtId="1" fontId="9" fillId="0" borderId="22" xfId="0" applyNumberFormat="1" applyFont="1" applyBorder="1" applyProtection="1">
      <protection hidden="1"/>
    </xf>
    <xf numFmtId="1" fontId="70" fillId="2" borderId="1" xfId="0" applyNumberFormat="1" applyFont="1" applyFill="1" applyBorder="1" applyAlignment="1" applyProtection="1">
      <alignment horizontal="center" vertical="center"/>
      <protection locked="0" hidden="1"/>
    </xf>
    <xf numFmtId="0" fontId="216" fillId="4" borderId="83" xfId="0" applyFont="1" applyFill="1" applyBorder="1" applyAlignment="1" applyProtection="1">
      <alignment horizontal="center" vertical="center"/>
      <protection locked="0"/>
    </xf>
    <xf numFmtId="1" fontId="40" fillId="0" borderId="74" xfId="2" applyNumberFormat="1" applyFont="1" applyBorder="1" applyAlignment="1" applyProtection="1">
      <alignment horizontal="right" vertical="center"/>
      <protection locked="0"/>
    </xf>
    <xf numFmtId="1" fontId="177" fillId="0" borderId="58" xfId="2" applyNumberFormat="1" applyFont="1" applyBorder="1" applyAlignment="1" applyProtection="1">
      <alignment horizontal="right"/>
      <protection locked="0"/>
    </xf>
    <xf numFmtId="1" fontId="33" fillId="0" borderId="74" xfId="2" applyNumberFormat="1" applyFont="1" applyBorder="1" applyAlignment="1" applyProtection="1">
      <alignment horizontal="right" vertical="center"/>
      <protection locked="0"/>
    </xf>
    <xf numFmtId="0" fontId="11" fillId="0" borderId="0" xfId="0" applyFont="1" applyBorder="1" applyAlignment="1" applyProtection="1">
      <alignment horizontal="center" vertical="center" wrapText="1"/>
      <protection hidden="1"/>
    </xf>
    <xf numFmtId="0" fontId="0" fillId="0" borderId="4" xfId="0" applyBorder="1" applyAlignment="1" applyProtection="1">
      <alignment horizontal="center" vertical="center"/>
      <protection hidden="1"/>
    </xf>
    <xf numFmtId="0" fontId="219" fillId="0" borderId="58" xfId="2" applyFont="1" applyBorder="1" applyAlignment="1">
      <alignment horizontal="center" vertical="center" wrapText="1"/>
    </xf>
    <xf numFmtId="0" fontId="6" fillId="0" borderId="57" xfId="0" applyFont="1" applyBorder="1" applyAlignment="1" applyProtection="1">
      <alignment horizontal="center" vertical="center" wrapText="1"/>
      <protection hidden="1"/>
    </xf>
    <xf numFmtId="0" fontId="129" fillId="22" borderId="39" xfId="0" applyFont="1" applyFill="1" applyBorder="1" applyAlignment="1">
      <alignment horizontal="center"/>
    </xf>
    <xf numFmtId="0" fontId="129" fillId="22" borderId="40" xfId="0" applyFont="1" applyFill="1" applyBorder="1" applyAlignment="1">
      <alignment horizontal="center"/>
    </xf>
    <xf numFmtId="0" fontId="131" fillId="22" borderId="39" xfId="22" applyFont="1" applyFill="1" applyBorder="1" applyAlignment="1" applyProtection="1">
      <alignment horizontal="center"/>
    </xf>
    <xf numFmtId="0" fontId="128" fillId="22" borderId="40" xfId="0" applyFont="1" applyFill="1" applyBorder="1" applyAlignment="1">
      <alignment horizontal="center"/>
    </xf>
    <xf numFmtId="0" fontId="201" fillId="23" borderId="26" xfId="0" applyFont="1" applyFill="1" applyBorder="1" applyAlignment="1" applyProtection="1">
      <alignment horizontal="center" vertical="top" wrapText="1"/>
      <protection hidden="1"/>
    </xf>
    <xf numFmtId="0" fontId="201" fillId="23" borderId="28" xfId="0" applyFont="1" applyFill="1" applyBorder="1" applyAlignment="1" applyProtection="1">
      <alignment horizontal="center" vertical="top" wrapText="1"/>
      <protection hidden="1"/>
    </xf>
    <xf numFmtId="0" fontId="124" fillId="22" borderId="35" xfId="0" applyFont="1" applyFill="1" applyBorder="1" applyAlignment="1">
      <alignment horizontal="center"/>
    </xf>
    <xf numFmtId="0" fontId="124" fillId="22" borderId="36" xfId="0" applyFont="1" applyFill="1" applyBorder="1" applyAlignment="1">
      <alignment horizontal="center"/>
    </xf>
    <xf numFmtId="0" fontId="125" fillId="22" borderId="37" xfId="0" applyFont="1" applyFill="1" applyBorder="1" applyAlignment="1">
      <alignment horizontal="center"/>
    </xf>
    <xf numFmtId="0" fontId="125" fillId="22" borderId="38" xfId="0" applyFont="1" applyFill="1" applyBorder="1" applyAlignment="1">
      <alignment horizontal="center"/>
    </xf>
    <xf numFmtId="0" fontId="126" fillId="22" borderId="37" xfId="0" applyFont="1" applyFill="1" applyBorder="1" applyAlignment="1">
      <alignment horizontal="center"/>
    </xf>
    <xf numFmtId="0" fontId="126" fillId="22" borderId="38" xfId="0" applyFont="1" applyFill="1" applyBorder="1" applyAlignment="1">
      <alignment horizontal="center"/>
    </xf>
    <xf numFmtId="0" fontId="127" fillId="22" borderId="37" xfId="0" applyFont="1" applyFill="1" applyBorder="1" applyAlignment="1">
      <alignment horizontal="center"/>
    </xf>
    <xf numFmtId="0" fontId="127" fillId="22" borderId="38" xfId="0" applyFont="1" applyFill="1" applyBorder="1" applyAlignment="1">
      <alignment horizontal="center"/>
    </xf>
    <xf numFmtId="0" fontId="128" fillId="22" borderId="39" xfId="0" applyFont="1" applyFill="1" applyBorder="1" applyAlignment="1">
      <alignment horizontal="center"/>
    </xf>
    <xf numFmtId="0" fontId="112" fillId="2" borderId="22" xfId="0" applyFont="1" applyFill="1" applyBorder="1" applyAlignment="1">
      <alignment horizontal="left" vertical="top" wrapText="1"/>
    </xf>
    <xf numFmtId="0" fontId="110" fillId="20" borderId="22" xfId="0" applyFont="1" applyFill="1" applyBorder="1" applyAlignment="1">
      <alignment horizontal="left"/>
    </xf>
    <xf numFmtId="0" fontId="202" fillId="18" borderId="22" xfId="0" applyFont="1" applyFill="1" applyBorder="1" applyAlignment="1">
      <alignment horizontal="center" vertical="center"/>
    </xf>
    <xf numFmtId="0" fontId="18" fillId="19" borderId="22" xfId="0" applyFont="1" applyFill="1" applyBorder="1" applyAlignment="1">
      <alignment horizontal="center" vertical="center"/>
    </xf>
    <xf numFmtId="0" fontId="76" fillId="20" borderId="22" xfId="0" applyFont="1" applyFill="1" applyBorder="1" applyAlignment="1">
      <alignment horizontal="left" vertical="center"/>
    </xf>
    <xf numFmtId="0" fontId="110" fillId="20" borderId="22" xfId="0" applyFont="1" applyFill="1" applyBorder="1" applyAlignment="1">
      <alignment horizontal="left" vertical="center"/>
    </xf>
    <xf numFmtId="0" fontId="42" fillId="19" borderId="22" xfId="0" applyFont="1" applyFill="1" applyBorder="1" applyAlignment="1">
      <alignment horizontal="left" vertical="top" wrapText="1"/>
    </xf>
    <xf numFmtId="0" fontId="4" fillId="9" borderId="83" xfId="0" applyFont="1" applyFill="1" applyBorder="1" applyAlignment="1" applyProtection="1">
      <alignment horizontal="left" vertical="center"/>
      <protection locked="0"/>
    </xf>
    <xf numFmtId="0" fontId="60" fillId="11" borderId="0" xfId="0" applyFont="1" applyFill="1" applyBorder="1" applyAlignment="1" applyProtection="1">
      <alignment horizontal="center" vertical="center"/>
      <protection hidden="1"/>
    </xf>
    <xf numFmtId="0" fontId="60" fillId="11" borderId="0" xfId="0" applyFont="1" applyFill="1" applyBorder="1" applyAlignment="1" applyProtection="1">
      <alignment horizontal="left" vertical="center"/>
      <protection hidden="1"/>
    </xf>
    <xf numFmtId="0" fontId="44" fillId="11" borderId="0" xfId="0" applyFont="1" applyFill="1" applyBorder="1" applyAlignment="1" applyProtection="1">
      <alignment horizontal="right" vertical="center"/>
      <protection hidden="1"/>
    </xf>
    <xf numFmtId="0" fontId="45" fillId="11" borderId="0" xfId="0" applyFont="1" applyFill="1" applyBorder="1" applyAlignment="1" applyProtection="1">
      <alignment horizontal="right" vertical="center"/>
      <protection hidden="1"/>
    </xf>
    <xf numFmtId="0" fontId="3" fillId="17" borderId="50" xfId="0" applyFont="1" applyFill="1" applyBorder="1" applyAlignment="1" applyProtection="1">
      <alignment horizontal="center" vertical="center"/>
      <protection hidden="1"/>
    </xf>
    <xf numFmtId="0" fontId="3" fillId="17" borderId="1" xfId="0" applyFont="1" applyFill="1" applyBorder="1" applyAlignment="1" applyProtection="1">
      <alignment horizontal="center" vertical="center" wrapText="1"/>
      <protection hidden="1"/>
    </xf>
    <xf numFmtId="0" fontId="3" fillId="17" borderId="2" xfId="0" applyFont="1" applyFill="1" applyBorder="1" applyAlignment="1" applyProtection="1">
      <alignment horizontal="center" vertical="center" wrapText="1"/>
      <protection hidden="1"/>
    </xf>
    <xf numFmtId="0" fontId="4" fillId="17" borderId="9" xfId="0" applyFont="1" applyFill="1" applyBorder="1" applyAlignment="1" applyProtection="1">
      <alignment horizontal="center" vertical="center"/>
      <protection hidden="1"/>
    </xf>
    <xf numFmtId="0" fontId="4" fillId="17" borderId="10" xfId="0" applyFont="1" applyFill="1" applyBorder="1" applyAlignment="1" applyProtection="1">
      <alignment horizontal="center" vertical="center"/>
      <protection hidden="1"/>
    </xf>
    <xf numFmtId="0" fontId="68" fillId="11" borderId="50" xfId="0" applyFont="1" applyFill="1" applyBorder="1" applyAlignment="1" applyProtection="1">
      <alignment horizontal="center" vertical="center"/>
      <protection hidden="1"/>
    </xf>
    <xf numFmtId="0" fontId="68" fillId="11" borderId="0" xfId="0" applyFont="1" applyFill="1" applyBorder="1" applyAlignment="1" applyProtection="1">
      <alignment horizontal="center" vertical="center"/>
      <protection hidden="1"/>
    </xf>
    <xf numFmtId="0" fontId="40" fillId="9" borderId="17" xfId="0" applyFont="1" applyFill="1" applyBorder="1" applyAlignment="1" applyProtection="1">
      <alignment horizontal="left" vertical="center"/>
      <protection locked="0"/>
    </xf>
    <xf numFmtId="0" fontId="3" fillId="16" borderId="50" xfId="0" applyFont="1" applyFill="1" applyBorder="1" applyAlignment="1" applyProtection="1">
      <alignment horizontal="center" vertical="center"/>
      <protection hidden="1"/>
    </xf>
    <xf numFmtId="0" fontId="3" fillId="16" borderId="1" xfId="0" applyFont="1" applyFill="1" applyBorder="1" applyAlignment="1" applyProtection="1">
      <alignment horizontal="center" vertical="center" wrapText="1"/>
      <protection hidden="1"/>
    </xf>
    <xf numFmtId="0" fontId="3" fillId="16" borderId="2" xfId="0" applyFont="1" applyFill="1" applyBorder="1" applyAlignment="1" applyProtection="1">
      <alignment horizontal="center" vertical="center" wrapText="1"/>
      <protection hidden="1"/>
    </xf>
    <xf numFmtId="0" fontId="4" fillId="16" borderId="9" xfId="0" applyFont="1" applyFill="1" applyBorder="1" applyAlignment="1" applyProtection="1">
      <alignment horizontal="center" vertical="center"/>
      <protection hidden="1"/>
    </xf>
    <xf numFmtId="0" fontId="4" fillId="16" borderId="10" xfId="0" applyFont="1" applyFill="1" applyBorder="1" applyAlignment="1" applyProtection="1">
      <alignment horizontal="center" vertical="center"/>
      <protection hidden="1"/>
    </xf>
    <xf numFmtId="1" fontId="4" fillId="9" borderId="83" xfId="0" applyNumberFormat="1" applyFont="1" applyFill="1" applyBorder="1" applyAlignment="1" applyProtection="1">
      <alignment horizontal="left" vertical="center"/>
      <protection locked="0"/>
    </xf>
    <xf numFmtId="0" fontId="62" fillId="11" borderId="0" xfId="0" applyFont="1" applyFill="1" applyBorder="1" applyAlignment="1" applyProtection="1">
      <alignment horizontal="right" vertical="center"/>
      <protection hidden="1"/>
    </xf>
    <xf numFmtId="14" fontId="14" fillId="9" borderId="83" xfId="0" applyNumberFormat="1" applyFont="1" applyFill="1" applyBorder="1" applyAlignment="1" applyProtection="1">
      <alignment horizontal="left" vertical="center"/>
      <protection locked="0"/>
    </xf>
    <xf numFmtId="0" fontId="48" fillId="9" borderId="83" xfId="0" applyFont="1" applyFill="1" applyBorder="1" applyAlignment="1" applyProtection="1">
      <alignment horizontal="left" vertical="center"/>
      <protection locked="0"/>
    </xf>
    <xf numFmtId="0" fontId="59" fillId="9" borderId="83" xfId="0" applyFont="1" applyFill="1" applyBorder="1" applyAlignment="1" applyProtection="1">
      <alignment horizontal="left" vertical="center"/>
      <protection locked="0"/>
    </xf>
    <xf numFmtId="14" fontId="4" fillId="9" borderId="83" xfId="0" applyNumberFormat="1" applyFont="1" applyFill="1" applyBorder="1" applyAlignment="1" applyProtection="1">
      <alignment horizontal="left" vertical="center"/>
      <protection locked="0"/>
    </xf>
    <xf numFmtId="0" fontId="212" fillId="9" borderId="22" xfId="0" applyFont="1" applyFill="1" applyBorder="1" applyAlignment="1" applyProtection="1">
      <alignment horizontal="center" vertical="center"/>
      <protection hidden="1"/>
    </xf>
    <xf numFmtId="0" fontId="212" fillId="9" borderId="23" xfId="0" applyFont="1" applyFill="1" applyBorder="1" applyAlignment="1" applyProtection="1">
      <alignment horizontal="center" vertical="center"/>
      <protection hidden="1"/>
    </xf>
    <xf numFmtId="0" fontId="44" fillId="11" borderId="0" xfId="0" applyFont="1" applyFill="1" applyAlignment="1" applyProtection="1">
      <alignment horizontal="center" vertical="center"/>
      <protection hidden="1"/>
    </xf>
    <xf numFmtId="0" fontId="63" fillId="11" borderId="48" xfId="0" applyFont="1" applyFill="1" applyBorder="1" applyAlignment="1" applyProtection="1">
      <alignment horizontal="center" vertical="center"/>
      <protection hidden="1"/>
    </xf>
    <xf numFmtId="0" fontId="147" fillId="11" borderId="0" xfId="0" applyFont="1" applyFill="1" applyBorder="1" applyAlignment="1" applyProtection="1">
      <alignment horizontal="left" vertical="center"/>
      <protection hidden="1"/>
    </xf>
    <xf numFmtId="0" fontId="4" fillId="11" borderId="83" xfId="0" applyFont="1" applyFill="1" applyBorder="1" applyAlignment="1" applyProtection="1">
      <alignment horizontal="left" vertical="center"/>
      <protection hidden="1"/>
    </xf>
    <xf numFmtId="0" fontId="4" fillId="9" borderId="84" xfId="0" applyFont="1" applyFill="1" applyBorder="1" applyAlignment="1" applyProtection="1">
      <alignment horizontal="left" vertical="center"/>
      <protection locked="0"/>
    </xf>
    <xf numFmtId="0" fontId="207" fillId="9" borderId="22" xfId="0" applyFont="1" applyFill="1" applyBorder="1" applyAlignment="1" applyProtection="1">
      <alignment horizontal="center" vertical="center"/>
      <protection hidden="1"/>
    </xf>
    <xf numFmtId="0" fontId="207" fillId="9" borderId="23" xfId="0" applyFont="1" applyFill="1" applyBorder="1" applyAlignment="1" applyProtection="1">
      <alignment horizontal="center" vertical="center"/>
      <protection hidden="1"/>
    </xf>
    <xf numFmtId="0" fontId="208" fillId="9" borderId="22" xfId="0" applyFont="1" applyFill="1" applyBorder="1" applyAlignment="1" applyProtection="1">
      <alignment horizontal="center" vertical="center"/>
      <protection hidden="1"/>
    </xf>
    <xf numFmtId="0" fontId="208" fillId="9" borderId="23" xfId="0" applyFont="1" applyFill="1" applyBorder="1" applyAlignment="1" applyProtection="1">
      <alignment horizontal="center" vertical="center"/>
      <protection hidden="1"/>
    </xf>
    <xf numFmtId="0" fontId="209" fillId="9" borderId="22" xfId="0" applyFont="1" applyFill="1" applyBorder="1" applyAlignment="1" applyProtection="1">
      <alignment horizontal="center" vertical="center"/>
      <protection hidden="1"/>
    </xf>
    <xf numFmtId="0" fontId="209" fillId="9" borderId="23" xfId="0" applyFont="1" applyFill="1" applyBorder="1" applyAlignment="1" applyProtection="1">
      <alignment horizontal="center" vertical="center"/>
      <protection hidden="1"/>
    </xf>
    <xf numFmtId="0" fontId="210" fillId="9" borderId="22" xfId="0" applyFont="1" applyFill="1" applyBorder="1" applyAlignment="1" applyProtection="1">
      <alignment horizontal="center" vertical="center"/>
      <protection hidden="1"/>
    </xf>
    <xf numFmtId="0" fontId="210" fillId="9" borderId="23" xfId="0" applyFont="1" applyFill="1" applyBorder="1" applyAlignment="1" applyProtection="1">
      <alignment horizontal="center" vertical="center"/>
      <protection hidden="1"/>
    </xf>
    <xf numFmtId="0" fontId="211" fillId="9" borderId="22" xfId="22" applyFont="1" applyFill="1" applyBorder="1" applyAlignment="1" applyProtection="1">
      <alignment horizontal="center" vertical="center"/>
      <protection hidden="1"/>
    </xf>
    <xf numFmtId="0" fontId="211" fillId="9" borderId="23" xfId="22" applyFont="1" applyFill="1" applyBorder="1" applyAlignment="1" applyProtection="1">
      <alignment horizontal="center" vertical="center"/>
      <protection hidden="1"/>
    </xf>
    <xf numFmtId="0" fontId="26" fillId="10" borderId="42" xfId="0" applyFont="1" applyFill="1" applyBorder="1" applyAlignment="1" applyProtection="1">
      <alignment horizontal="center" vertical="center" wrapText="1"/>
      <protection hidden="1"/>
    </xf>
    <xf numFmtId="0" fontId="26" fillId="10" borderId="1" xfId="0" applyFont="1" applyFill="1" applyBorder="1" applyAlignment="1" applyProtection="1">
      <alignment horizontal="center" vertical="center" wrapText="1"/>
      <protection hidden="1"/>
    </xf>
    <xf numFmtId="165" fontId="155" fillId="27" borderId="1" xfId="0" applyNumberFormat="1" applyFont="1" applyFill="1" applyBorder="1" applyAlignment="1" applyProtection="1">
      <alignment horizontal="center" vertical="center"/>
      <protection locked="0"/>
    </xf>
    <xf numFmtId="0" fontId="200" fillId="10" borderId="0" xfId="0" applyFont="1" applyFill="1" applyAlignment="1" applyProtection="1">
      <alignment horizontal="center" vertical="center"/>
      <protection hidden="1"/>
    </xf>
    <xf numFmtId="0" fontId="156" fillId="10" borderId="0" xfId="0" applyFont="1" applyFill="1" applyAlignment="1" applyProtection="1">
      <alignment horizontal="left" vertical="center" wrapText="1"/>
      <protection hidden="1"/>
    </xf>
    <xf numFmtId="0" fontId="26" fillId="10" borderId="43" xfId="0" applyFont="1" applyFill="1" applyBorder="1" applyAlignment="1" applyProtection="1">
      <alignment horizontal="center" vertical="center" wrapText="1"/>
      <protection hidden="1"/>
    </xf>
    <xf numFmtId="0" fontId="26" fillId="10" borderId="45" xfId="0" applyFont="1" applyFill="1" applyBorder="1" applyAlignment="1" applyProtection="1">
      <alignment horizontal="center" vertical="center" wrapText="1"/>
      <protection hidden="1"/>
    </xf>
    <xf numFmtId="0" fontId="26" fillId="10" borderId="89" xfId="0" applyFont="1" applyFill="1" applyBorder="1" applyAlignment="1" applyProtection="1">
      <alignment horizontal="center" vertical="center" wrapText="1"/>
      <protection hidden="1"/>
    </xf>
    <xf numFmtId="0" fontId="26" fillId="10" borderId="3" xfId="0" applyFont="1" applyFill="1" applyBorder="1" applyAlignment="1" applyProtection="1">
      <alignment horizontal="center" vertical="center" wrapText="1"/>
      <protection hidden="1"/>
    </xf>
    <xf numFmtId="0" fontId="24" fillId="10" borderId="0" xfId="0" applyFont="1" applyFill="1" applyAlignment="1" applyProtection="1">
      <alignment horizontal="center" vertical="center"/>
      <protection hidden="1"/>
    </xf>
    <xf numFmtId="0" fontId="148" fillId="31" borderId="0" xfId="0" applyFont="1" applyFill="1" applyAlignment="1" applyProtection="1">
      <alignment horizontal="center" vertical="center" wrapText="1"/>
      <protection hidden="1"/>
    </xf>
    <xf numFmtId="0" fontId="148" fillId="31" borderId="16" xfId="0" applyFont="1" applyFill="1" applyBorder="1" applyAlignment="1" applyProtection="1">
      <alignment horizontal="center" vertical="center" wrapText="1"/>
      <protection hidden="1"/>
    </xf>
    <xf numFmtId="0" fontId="205" fillId="15" borderId="0" xfId="0" applyFont="1" applyFill="1" applyAlignment="1" applyProtection="1">
      <alignment horizontal="right" vertical="center" wrapText="1"/>
      <protection hidden="1"/>
    </xf>
    <xf numFmtId="0" fontId="205" fillId="15" borderId="16" xfId="0" applyFont="1" applyFill="1" applyBorder="1" applyAlignment="1" applyProtection="1">
      <alignment horizontal="right" vertical="center" wrapText="1"/>
      <protection hidden="1"/>
    </xf>
    <xf numFmtId="0" fontId="206" fillId="10" borderId="0" xfId="0" applyFont="1" applyFill="1" applyBorder="1" applyAlignment="1" applyProtection="1">
      <alignment horizontal="left" vertical="center"/>
      <protection hidden="1"/>
    </xf>
    <xf numFmtId="1" fontId="155" fillId="27" borderId="1" xfId="0" applyNumberFormat="1" applyFont="1" applyFill="1" applyBorder="1" applyAlignment="1" applyProtection="1">
      <alignment horizontal="center" vertical="center"/>
      <protection locked="0"/>
    </xf>
    <xf numFmtId="0" fontId="28" fillId="10" borderId="41" xfId="0" applyFont="1" applyFill="1" applyBorder="1" applyAlignment="1" applyProtection="1">
      <alignment horizontal="center" vertical="center" wrapText="1"/>
      <protection hidden="1"/>
    </xf>
    <xf numFmtId="0" fontId="28" fillId="10" borderId="44" xfId="0" applyFont="1" applyFill="1" applyBorder="1" applyAlignment="1" applyProtection="1">
      <alignment horizontal="center" vertical="center" wrapText="1"/>
      <protection hidden="1"/>
    </xf>
    <xf numFmtId="2" fontId="213" fillId="14" borderId="0" xfId="9" applyNumberFormat="1" applyFont="1" applyFill="1" applyBorder="1" applyAlignment="1" applyProtection="1">
      <alignment horizontal="left" vertical="center"/>
      <protection hidden="1"/>
    </xf>
    <xf numFmtId="2" fontId="213" fillId="14" borderId="16" xfId="9" applyNumberFormat="1" applyFont="1" applyFill="1" applyBorder="1" applyAlignment="1" applyProtection="1">
      <alignment horizontal="left" vertical="center"/>
      <protection hidden="1"/>
    </xf>
    <xf numFmtId="2" fontId="172" fillId="26" borderId="15" xfId="11" applyNumberFormat="1" applyFont="1" applyFill="1" applyBorder="1" applyAlignment="1" applyProtection="1">
      <alignment horizontal="left" vertical="center" wrapText="1"/>
      <protection hidden="1"/>
    </xf>
    <xf numFmtId="2" fontId="172" fillId="26" borderId="16" xfId="11" applyNumberFormat="1" applyFont="1" applyFill="1" applyBorder="1" applyAlignment="1" applyProtection="1">
      <alignment horizontal="left" vertical="center" wrapText="1"/>
      <protection hidden="1"/>
    </xf>
    <xf numFmtId="2" fontId="65" fillId="14" borderId="15" xfId="11" applyNumberFormat="1" applyFont="1" applyFill="1" applyBorder="1" applyAlignment="1" applyProtection="1">
      <alignment horizontal="left" vertical="center"/>
      <protection hidden="1"/>
    </xf>
    <xf numFmtId="2" fontId="65" fillId="14" borderId="16" xfId="11" applyNumberFormat="1" applyFont="1" applyFill="1" applyBorder="1" applyAlignment="1" applyProtection="1">
      <alignment horizontal="left" vertical="center"/>
      <protection hidden="1"/>
    </xf>
    <xf numFmtId="2" fontId="65" fillId="15" borderId="15" xfId="11" applyNumberFormat="1" applyFont="1" applyFill="1" applyBorder="1" applyAlignment="1" applyProtection="1">
      <alignment horizontal="left" vertical="center"/>
      <protection hidden="1"/>
    </xf>
    <xf numFmtId="2" fontId="65" fillId="15" borderId="16" xfId="11" applyNumberFormat="1" applyFont="1" applyFill="1" applyBorder="1" applyAlignment="1" applyProtection="1">
      <alignment horizontal="left" vertical="center"/>
      <protection hidden="1"/>
    </xf>
    <xf numFmtId="0" fontId="90" fillId="12" borderId="0" xfId="0" applyFont="1" applyFill="1" applyBorder="1" applyAlignment="1" applyProtection="1">
      <alignment horizontal="right"/>
      <protection hidden="1"/>
    </xf>
    <xf numFmtId="0" fontId="91" fillId="12" borderId="0" xfId="0" applyFont="1" applyFill="1" applyBorder="1" applyAlignment="1" applyProtection="1">
      <alignment horizontal="right"/>
      <protection hidden="1"/>
    </xf>
    <xf numFmtId="0" fontId="133" fillId="12" borderId="11" xfId="0" applyFont="1" applyFill="1" applyBorder="1" applyAlignment="1" applyProtection="1">
      <alignment vertical="center" wrapText="1"/>
      <protection hidden="1"/>
    </xf>
    <xf numFmtId="0" fontId="198" fillId="12" borderId="11" xfId="0" applyFont="1" applyFill="1" applyBorder="1" applyAlignment="1" applyProtection="1">
      <alignment horizontal="left" wrapText="1"/>
      <protection hidden="1"/>
    </xf>
    <xf numFmtId="0" fontId="140" fillId="12" borderId="11" xfId="0" applyFont="1" applyFill="1" applyBorder="1" applyAlignment="1" applyProtection="1">
      <alignment horizontal="left" wrapText="1"/>
      <protection hidden="1"/>
    </xf>
    <xf numFmtId="0" fontId="87" fillId="12" borderId="0" xfId="0" applyFont="1" applyFill="1" applyBorder="1" applyAlignment="1" applyProtection="1">
      <alignment horizontal="right"/>
      <protection hidden="1"/>
    </xf>
    <xf numFmtId="0" fontId="66" fillId="12" borderId="0" xfId="0" applyFont="1" applyFill="1" applyBorder="1" applyAlignment="1" applyProtection="1">
      <alignment horizontal="right" vertical="center"/>
      <protection hidden="1"/>
    </xf>
    <xf numFmtId="0" fontId="89" fillId="12" borderId="0" xfId="0" applyFont="1" applyFill="1" applyBorder="1" applyAlignment="1" applyProtection="1">
      <alignment horizontal="right" vertical="center"/>
      <protection hidden="1"/>
    </xf>
    <xf numFmtId="0" fontId="108" fillId="12" borderId="4" xfId="0" applyFont="1" applyFill="1" applyBorder="1" applyAlignment="1" applyProtection="1">
      <alignment horizontal="left" vertical="center"/>
      <protection hidden="1"/>
    </xf>
    <xf numFmtId="0" fontId="108" fillId="12" borderId="5" xfId="0" applyFont="1" applyFill="1" applyBorder="1" applyAlignment="1" applyProtection="1">
      <alignment horizontal="left" vertical="center"/>
      <protection hidden="1"/>
    </xf>
    <xf numFmtId="0" fontId="108" fillId="12" borderId="19" xfId="0" applyFont="1" applyFill="1" applyBorder="1" applyAlignment="1" applyProtection="1">
      <alignment horizontal="left" vertical="center"/>
      <protection hidden="1"/>
    </xf>
    <xf numFmtId="0" fontId="18" fillId="7" borderId="0" xfId="0" applyFont="1" applyFill="1" applyAlignment="1" applyProtection="1">
      <alignment horizontal="center" vertical="center"/>
      <protection hidden="1"/>
    </xf>
    <xf numFmtId="0" fontId="67" fillId="12" borderId="0" xfId="0" applyFont="1" applyFill="1" applyBorder="1" applyAlignment="1" applyProtection="1">
      <alignment horizontal="center" vertical="center" wrapText="1"/>
      <protection hidden="1"/>
    </xf>
    <xf numFmtId="0" fontId="95" fillId="12" borderId="0" xfId="0" applyFont="1" applyFill="1" applyBorder="1" applyAlignment="1" applyProtection="1">
      <alignment horizontal="center" vertical="center"/>
      <protection hidden="1"/>
    </xf>
    <xf numFmtId="2" fontId="65" fillId="14" borderId="0" xfId="9" applyNumberFormat="1" applyFont="1" applyFill="1" applyBorder="1" applyAlignment="1" applyProtection="1">
      <alignment horizontal="left" vertical="center" wrapText="1"/>
      <protection hidden="1"/>
    </xf>
    <xf numFmtId="2" fontId="65" fillId="14" borderId="16" xfId="9" applyNumberFormat="1" applyFont="1" applyFill="1" applyBorder="1" applyAlignment="1" applyProtection="1">
      <alignment horizontal="left" vertical="center" wrapText="1"/>
      <protection hidden="1"/>
    </xf>
    <xf numFmtId="2" fontId="65" fillId="15" borderId="0" xfId="9" applyNumberFormat="1" applyFont="1" applyFill="1" applyBorder="1" applyAlignment="1" applyProtection="1">
      <alignment horizontal="left" vertical="center"/>
      <protection hidden="1"/>
    </xf>
    <xf numFmtId="2" fontId="65" fillId="15" borderId="16" xfId="9" applyNumberFormat="1" applyFont="1" applyFill="1" applyBorder="1" applyAlignment="1" applyProtection="1">
      <alignment horizontal="left" vertical="center"/>
      <protection hidden="1"/>
    </xf>
    <xf numFmtId="2" fontId="65" fillId="14" borderId="0" xfId="9" applyNumberFormat="1" applyFont="1" applyFill="1" applyBorder="1" applyAlignment="1" applyProtection="1">
      <alignment horizontal="left" vertical="center"/>
      <protection hidden="1"/>
    </xf>
    <xf numFmtId="2" fontId="65" fillId="14" borderId="16" xfId="9" applyNumberFormat="1" applyFont="1" applyFill="1" applyBorder="1" applyAlignment="1" applyProtection="1">
      <alignment horizontal="left" vertical="center"/>
      <protection hidden="1"/>
    </xf>
    <xf numFmtId="2" fontId="154" fillId="14" borderId="0" xfId="9" applyNumberFormat="1" applyFont="1" applyFill="1" applyBorder="1" applyAlignment="1" applyProtection="1">
      <alignment horizontal="left" vertical="center"/>
      <protection hidden="1"/>
    </xf>
    <xf numFmtId="2" fontId="154" fillId="14" borderId="16" xfId="9" applyNumberFormat="1" applyFont="1" applyFill="1" applyBorder="1" applyAlignment="1" applyProtection="1">
      <alignment horizontal="left" vertical="center"/>
      <protection hidden="1"/>
    </xf>
    <xf numFmtId="2" fontId="214" fillId="15" borderId="0" xfId="9" applyNumberFormat="1" applyFont="1" applyFill="1" applyBorder="1" applyAlignment="1" applyProtection="1">
      <alignment horizontal="left" vertical="center"/>
      <protection hidden="1"/>
    </xf>
    <xf numFmtId="2" fontId="214" fillId="15" borderId="16" xfId="9" applyNumberFormat="1" applyFont="1" applyFill="1" applyBorder="1" applyAlignment="1" applyProtection="1">
      <alignment horizontal="left" vertical="center"/>
      <protection hidden="1"/>
    </xf>
    <xf numFmtId="2" fontId="65" fillId="14" borderId="15" xfId="11" applyNumberFormat="1" applyFont="1" applyFill="1" applyBorder="1" applyAlignment="1" applyProtection="1">
      <alignment horizontal="left" vertical="center" wrapText="1"/>
      <protection hidden="1"/>
    </xf>
    <xf numFmtId="2" fontId="65" fillId="14" borderId="16" xfId="11" applyNumberFormat="1" applyFont="1" applyFill="1" applyBorder="1" applyAlignment="1" applyProtection="1">
      <alignment horizontal="left" vertical="center" wrapText="1"/>
      <protection hidden="1"/>
    </xf>
    <xf numFmtId="0" fontId="6" fillId="0" borderId="6" xfId="0" applyFont="1" applyBorder="1" applyAlignment="1" applyProtection="1">
      <alignment horizontal="right" vertical="center" wrapText="1"/>
      <protection hidden="1"/>
    </xf>
    <xf numFmtId="0" fontId="6" fillId="0" borderId="0" xfId="0" applyFont="1" applyBorder="1" applyAlignment="1" applyProtection="1">
      <alignment horizontal="right" vertical="center" wrapText="1"/>
      <protection hidden="1"/>
    </xf>
    <xf numFmtId="0" fontId="7" fillId="0" borderId="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9" fillId="0" borderId="0" xfId="0" applyFont="1" applyBorder="1" applyAlignment="1" applyProtection="1">
      <alignment horizontal="left" vertical="center" wrapText="1"/>
      <protection hidden="1"/>
    </xf>
    <xf numFmtId="0" fontId="4" fillId="0" borderId="57" xfId="0" applyFont="1" applyBorder="1" applyAlignment="1" applyProtection="1">
      <alignment horizontal="left" vertical="center" wrapText="1"/>
      <protection hidden="1"/>
    </xf>
    <xf numFmtId="1" fontId="4" fillId="0" borderId="57" xfId="0" applyNumberFormat="1" applyFont="1" applyBorder="1" applyAlignment="1" applyProtection="1">
      <alignment horizontal="left" vertical="center" wrapText="1"/>
      <protection hidden="1"/>
    </xf>
    <xf numFmtId="0" fontId="4" fillId="0" borderId="0" xfId="0" applyFont="1" applyBorder="1" applyAlignment="1" applyProtection="1">
      <alignment horizontal="center" vertical="center" wrapText="1"/>
      <protection hidden="1"/>
    </xf>
    <xf numFmtId="0" fontId="64" fillId="0" borderId="0" xfId="0" applyFont="1" applyBorder="1" applyAlignment="1" applyProtection="1">
      <alignment horizontal="center" vertical="center"/>
      <protection hidden="1"/>
    </xf>
    <xf numFmtId="0" fontId="165" fillId="0" borderId="0"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protection hidden="1"/>
    </xf>
    <xf numFmtId="0" fontId="6" fillId="0" borderId="21" xfId="0" applyFont="1" applyBorder="1" applyAlignment="1" applyProtection="1">
      <alignment horizontal="right" vertical="center" wrapText="1"/>
      <protection hidden="1"/>
    </xf>
    <xf numFmtId="0" fontId="6" fillId="0" borderId="57" xfId="0" applyFont="1" applyBorder="1" applyAlignment="1" applyProtection="1">
      <alignment horizontal="right" vertical="center" wrapText="1"/>
      <protection hidden="1"/>
    </xf>
    <xf numFmtId="0" fontId="5" fillId="0" borderId="9" xfId="0" applyFont="1" applyBorder="1" applyAlignment="1" applyProtection="1">
      <alignment horizontal="center" vertical="center"/>
      <protection hidden="1"/>
    </xf>
    <xf numFmtId="0" fontId="5" fillId="0" borderId="65" xfId="0" applyFont="1" applyBorder="1" applyAlignment="1" applyProtection="1">
      <alignment horizontal="center" vertical="center"/>
      <protection hidden="1"/>
    </xf>
    <xf numFmtId="0" fontId="3" fillId="0" borderId="1" xfId="0" applyFont="1" applyBorder="1" applyAlignment="1" applyProtection="1">
      <alignment horizontal="center" vertical="center"/>
      <protection hidden="1"/>
    </xf>
    <xf numFmtId="0" fontId="4" fillId="0" borderId="5" xfId="0" applyFont="1" applyBorder="1" applyAlignment="1" applyProtection="1">
      <alignment horizontal="left" vertical="center"/>
      <protection hidden="1"/>
    </xf>
    <xf numFmtId="0" fontId="4" fillId="0" borderId="19" xfId="0" applyFont="1" applyBorder="1" applyAlignment="1" applyProtection="1">
      <alignment horizontal="left" vertical="center"/>
      <protection hidden="1"/>
    </xf>
    <xf numFmtId="0" fontId="3" fillId="0" borderId="1" xfId="0" applyFont="1" applyBorder="1" applyAlignment="1" applyProtection="1">
      <alignment horizontal="center" vertical="center" textRotation="90"/>
      <protection hidden="1"/>
    </xf>
    <xf numFmtId="0" fontId="3" fillId="0" borderId="20" xfId="0" applyFont="1" applyBorder="1" applyAlignment="1" applyProtection="1">
      <alignment horizontal="center" vertical="center" textRotation="90"/>
      <protection hidden="1"/>
    </xf>
    <xf numFmtId="0" fontId="6" fillId="0" borderId="5" xfId="0" applyFont="1" applyBorder="1" applyAlignment="1" applyProtection="1">
      <alignment horizontal="center" vertical="center"/>
      <protection hidden="1"/>
    </xf>
    <xf numFmtId="0" fontId="6" fillId="0" borderId="57"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protection hidden="1"/>
    </xf>
    <xf numFmtId="0" fontId="5" fillId="0" borderId="66" xfId="0" applyFont="1" applyBorder="1" applyAlignment="1" applyProtection="1">
      <alignment horizontal="center" vertical="center"/>
      <protection hidden="1"/>
    </xf>
    <xf numFmtId="0" fontId="218" fillId="0" borderId="5" xfId="0" applyNumberFormat="1" applyFont="1" applyBorder="1" applyAlignment="1" applyProtection="1">
      <alignment horizontal="center" vertical="center"/>
      <protection hidden="1"/>
    </xf>
    <xf numFmtId="0" fontId="6" fillId="0" borderId="8" xfId="0" applyFont="1" applyBorder="1" applyAlignment="1" applyProtection="1">
      <alignment horizontal="center" vertical="center" wrapText="1"/>
      <protection hidden="1"/>
    </xf>
    <xf numFmtId="0" fontId="59" fillId="0" borderId="0" xfId="0" applyFont="1" applyBorder="1" applyAlignment="1" applyProtection="1">
      <alignment horizontal="left" vertical="center" wrapText="1"/>
      <protection hidden="1"/>
    </xf>
    <xf numFmtId="1" fontId="9" fillId="0" borderId="57" xfId="0" applyNumberFormat="1" applyFont="1" applyBorder="1" applyAlignment="1" applyProtection="1">
      <alignment horizontal="left" vertical="center" wrapText="1"/>
      <protection hidden="1"/>
    </xf>
    <xf numFmtId="1" fontId="9" fillId="0" borderId="90" xfId="0" applyNumberFormat="1" applyFont="1" applyBorder="1" applyAlignment="1" applyProtection="1">
      <alignment horizontal="left" vertical="center" wrapText="1"/>
      <protection hidden="1"/>
    </xf>
    <xf numFmtId="0" fontId="181" fillId="0" borderId="58" xfId="2" applyFont="1" applyBorder="1" applyAlignment="1">
      <alignment horizontal="left" vertical="center"/>
    </xf>
    <xf numFmtId="0" fontId="179" fillId="0" borderId="58" xfId="2" applyFont="1" applyBorder="1" applyAlignment="1">
      <alignment horizontal="left" vertical="center"/>
    </xf>
    <xf numFmtId="0" fontId="158" fillId="0" borderId="0" xfId="6" applyFont="1" applyBorder="1" applyAlignment="1" applyProtection="1">
      <alignment horizontal="center" vertical="center"/>
      <protection hidden="1"/>
    </xf>
    <xf numFmtId="0" fontId="32" fillId="0" borderId="58" xfId="2" applyFont="1" applyBorder="1" applyAlignment="1">
      <alignment horizontal="center"/>
    </xf>
    <xf numFmtId="0" fontId="188" fillId="0" borderId="64" xfId="2" applyFont="1" applyBorder="1" applyAlignment="1">
      <alignment horizontal="center" vertical="center" wrapText="1"/>
    </xf>
    <xf numFmtId="0" fontId="188" fillId="0" borderId="66" xfId="2" applyFont="1" applyBorder="1" applyAlignment="1">
      <alignment horizontal="center" vertical="center" wrapText="1"/>
    </xf>
    <xf numFmtId="1" fontId="177" fillId="0" borderId="64" xfId="2" applyNumberFormat="1" applyFont="1" applyBorder="1" applyAlignment="1">
      <alignment horizontal="center"/>
    </xf>
    <xf numFmtId="1" fontId="177" fillId="0" borderId="66" xfId="2" applyNumberFormat="1" applyFont="1" applyBorder="1" applyAlignment="1">
      <alignment horizontal="center"/>
    </xf>
    <xf numFmtId="0" fontId="176" fillId="0" borderId="79" xfId="2" applyFont="1" applyBorder="1" applyAlignment="1">
      <alignment horizontal="right" vertical="center"/>
    </xf>
    <xf numFmtId="0" fontId="176" fillId="0" borderId="80" xfId="2" applyFont="1" applyBorder="1" applyAlignment="1">
      <alignment horizontal="right" vertical="center"/>
    </xf>
    <xf numFmtId="0" fontId="55" fillId="0" borderId="75" xfId="2" applyFont="1" applyBorder="1" applyAlignment="1">
      <alignment horizontal="center" vertical="top"/>
    </xf>
    <xf numFmtId="0" fontId="55" fillId="0" borderId="77" xfId="2" applyFont="1" applyBorder="1" applyAlignment="1">
      <alignment horizontal="center" vertical="top"/>
    </xf>
    <xf numFmtId="0" fontId="179" fillId="0" borderId="58" xfId="2" applyFont="1" applyBorder="1" applyAlignment="1">
      <alignment horizontal="center" vertical="center" wrapText="1"/>
    </xf>
    <xf numFmtId="0" fontId="183" fillId="0" borderId="58" xfId="2" applyFont="1" applyBorder="1" applyAlignment="1">
      <alignment horizontal="center" vertical="center" wrapText="1"/>
    </xf>
    <xf numFmtId="0" fontId="188" fillId="0" borderId="58" xfId="2" applyFont="1" applyBorder="1" applyAlignment="1">
      <alignment horizontal="center" vertical="center" wrapText="1"/>
    </xf>
    <xf numFmtId="0" fontId="219" fillId="0" borderId="58" xfId="2" applyFont="1" applyBorder="1" applyAlignment="1">
      <alignment horizontal="center" vertical="center" wrapText="1"/>
    </xf>
    <xf numFmtId="1" fontId="177" fillId="0" borderId="65" xfId="2" applyNumberFormat="1" applyFont="1" applyBorder="1" applyAlignment="1">
      <alignment horizontal="center"/>
    </xf>
    <xf numFmtId="0" fontId="55" fillId="0" borderId="76" xfId="2" applyFont="1" applyBorder="1" applyAlignment="1">
      <alignment horizontal="center" vertical="top"/>
    </xf>
    <xf numFmtId="0" fontId="55" fillId="0" borderId="64" xfId="2" applyFont="1" applyBorder="1" applyAlignment="1">
      <alignment horizontal="left"/>
    </xf>
    <xf numFmtId="0" fontId="55" fillId="0" borderId="65" xfId="2" applyFont="1" applyBorder="1" applyAlignment="1">
      <alignment horizontal="left"/>
    </xf>
    <xf numFmtId="0" fontId="55" fillId="0" borderId="78" xfId="2" applyFont="1" applyBorder="1" applyAlignment="1">
      <alignment horizontal="left"/>
    </xf>
    <xf numFmtId="0" fontId="183" fillId="0" borderId="58" xfId="2" applyFont="1" applyBorder="1" applyAlignment="1">
      <alignment horizontal="center" vertical="center"/>
    </xf>
    <xf numFmtId="0" fontId="15" fillId="0" borderId="58" xfId="2" applyFont="1" applyBorder="1" applyAlignment="1">
      <alignment horizontal="center"/>
    </xf>
    <xf numFmtId="0" fontId="0" fillId="0" borderId="58" xfId="2" applyFont="1" applyBorder="1" applyAlignment="1">
      <alignment horizontal="center"/>
    </xf>
    <xf numFmtId="0" fontId="154" fillId="0" borderId="58" xfId="0" applyFont="1" applyBorder="1" applyAlignment="1" applyProtection="1">
      <alignment horizontal="left" vertical="center" wrapText="1"/>
      <protection hidden="1"/>
    </xf>
    <xf numFmtId="0" fontId="154" fillId="0" borderId="58" xfId="0" applyFont="1" applyBorder="1" applyAlignment="1" applyProtection="1">
      <alignment horizontal="left" vertical="top" wrapText="1"/>
      <protection hidden="1"/>
    </xf>
    <xf numFmtId="0" fontId="55" fillId="0" borderId="69" xfId="2" applyFont="1" applyBorder="1" applyAlignment="1">
      <alignment horizontal="left" vertical="center"/>
    </xf>
    <xf numFmtId="0" fontId="55" fillId="0" borderId="70" xfId="2" applyFont="1" applyBorder="1" applyAlignment="1">
      <alignment horizontal="left" vertical="center"/>
    </xf>
    <xf numFmtId="0" fontId="191" fillId="0" borderId="0" xfId="6" applyFont="1" applyBorder="1" applyAlignment="1" applyProtection="1">
      <alignment horizontal="center" vertical="center"/>
      <protection hidden="1"/>
    </xf>
    <xf numFmtId="0" fontId="190" fillId="0" borderId="82" xfId="6" applyFont="1" applyBorder="1" applyAlignment="1" applyProtection="1">
      <alignment horizontal="right" vertical="center"/>
      <protection hidden="1"/>
    </xf>
    <xf numFmtId="0" fontId="56" fillId="0" borderId="58" xfId="2" applyFont="1" applyBorder="1" applyAlignment="1">
      <alignment horizontal="left"/>
    </xf>
    <xf numFmtId="0" fontId="55" fillId="0" borderId="58" xfId="2" applyFont="1" applyFill="1" applyBorder="1" applyAlignment="1">
      <alignment horizontal="left"/>
    </xf>
    <xf numFmtId="0" fontId="50" fillId="0" borderId="58" xfId="2" applyFont="1" applyBorder="1" applyAlignment="1">
      <alignment horizontal="right"/>
    </xf>
    <xf numFmtId="0" fontId="55" fillId="0" borderId="58" xfId="2" applyFont="1" applyBorder="1" applyAlignment="1">
      <alignment horizontal="right" vertical="center"/>
    </xf>
    <xf numFmtId="0" fontId="174" fillId="0" borderId="58" xfId="2" applyFont="1" applyBorder="1" applyAlignment="1">
      <alignment horizontal="left" vertical="top" wrapText="1"/>
    </xf>
    <xf numFmtId="0" fontId="174" fillId="0" borderId="58" xfId="2" applyFont="1" applyBorder="1" applyAlignment="1">
      <alignment horizontal="left" vertical="center" wrapText="1"/>
    </xf>
    <xf numFmtId="0" fontId="181" fillId="0" borderId="58" xfId="2" applyFont="1" applyBorder="1" applyAlignment="1">
      <alignment horizontal="right" vertical="center"/>
    </xf>
    <xf numFmtId="0" fontId="54" fillId="0" borderId="58" xfId="2" applyFont="1" applyBorder="1" applyAlignment="1">
      <alignment horizontal="left"/>
    </xf>
    <xf numFmtId="0" fontId="54" fillId="0" borderId="58" xfId="2" applyFont="1" applyFill="1" applyBorder="1" applyAlignment="1">
      <alignment horizontal="left"/>
    </xf>
    <xf numFmtId="0" fontId="42" fillId="0" borderId="64" xfId="2" applyFont="1" applyBorder="1" applyAlignment="1">
      <alignment horizontal="right" vertical="center"/>
    </xf>
    <xf numFmtId="0" fontId="42" fillId="0" borderId="65" xfId="2" applyFont="1" applyBorder="1" applyAlignment="1">
      <alignment horizontal="right" vertical="center"/>
    </xf>
    <xf numFmtId="0" fontId="42" fillId="0" borderId="66" xfId="2" applyFont="1" applyBorder="1" applyAlignment="1">
      <alignment horizontal="right" vertical="center"/>
    </xf>
    <xf numFmtId="0" fontId="55" fillId="0" borderId="64" xfId="2" applyFont="1" applyBorder="1" applyAlignment="1">
      <alignment horizontal="right" vertical="center"/>
    </xf>
    <xf numFmtId="0" fontId="55" fillId="0" borderId="65" xfId="2" applyFont="1" applyBorder="1" applyAlignment="1">
      <alignment horizontal="right" vertical="center"/>
    </xf>
    <xf numFmtId="0" fontId="55" fillId="0" borderId="66" xfId="2" applyFont="1" applyBorder="1" applyAlignment="1">
      <alignment horizontal="right" vertical="center"/>
    </xf>
    <xf numFmtId="0" fontId="180" fillId="0" borderId="58" xfId="2" applyFont="1" applyBorder="1" applyAlignment="1">
      <alignment horizontal="center" vertical="center"/>
    </xf>
    <xf numFmtId="0" fontId="55" fillId="0" borderId="58" xfId="2" applyFont="1" applyBorder="1" applyAlignment="1">
      <alignment horizontal="left" vertical="center"/>
    </xf>
    <xf numFmtId="0" fontId="192" fillId="0" borderId="0" xfId="6" applyFont="1" applyAlignment="1" applyProtection="1">
      <alignment horizontal="center" vertical="center"/>
      <protection hidden="1"/>
    </xf>
    <xf numFmtId="0" fontId="180" fillId="0" borderId="70" xfId="4" applyFont="1" applyFill="1" applyBorder="1" applyAlignment="1" applyProtection="1">
      <alignment horizontal="left" vertical="center"/>
    </xf>
    <xf numFmtId="0" fontId="180" fillId="0" borderId="70" xfId="2" applyFont="1" applyFill="1" applyBorder="1" applyAlignment="1">
      <alignment horizontal="left" vertical="center"/>
    </xf>
    <xf numFmtId="0" fontId="180" fillId="0" borderId="71" xfId="2" applyFont="1" applyFill="1" applyBorder="1" applyAlignment="1">
      <alignment horizontal="center" vertical="center"/>
    </xf>
    <xf numFmtId="0" fontId="180" fillId="0" borderId="72" xfId="2" applyFont="1" applyFill="1" applyBorder="1" applyAlignment="1">
      <alignment horizontal="center" vertical="center"/>
    </xf>
    <xf numFmtId="0" fontId="55" fillId="0" borderId="3" xfId="2" applyFont="1" applyBorder="1" applyAlignment="1">
      <alignment horizontal="left"/>
    </xf>
    <xf numFmtId="0" fontId="55" fillId="0" borderId="58" xfId="2" applyFont="1" applyBorder="1" applyAlignment="1">
      <alignment horizontal="left"/>
    </xf>
    <xf numFmtId="2" fontId="33" fillId="0" borderId="58" xfId="2" applyNumberFormat="1" applyFont="1" applyBorder="1" applyAlignment="1">
      <alignment horizontal="center" vertical="center"/>
    </xf>
    <xf numFmtId="1" fontId="51" fillId="0" borderId="58" xfId="2" applyNumberFormat="1" applyFont="1" applyBorder="1" applyAlignment="1">
      <alignment horizontal="center" vertical="center"/>
    </xf>
    <xf numFmtId="1" fontId="51" fillId="0" borderId="74" xfId="2" applyNumberFormat="1" applyFont="1" applyBorder="1" applyAlignment="1">
      <alignment horizontal="center" vertical="center"/>
    </xf>
    <xf numFmtId="1" fontId="33" fillId="23" borderId="58" xfId="2" applyNumberFormat="1" applyFont="1" applyFill="1" applyBorder="1" applyAlignment="1" applyProtection="1">
      <alignment horizontal="center" vertical="center"/>
      <protection locked="0"/>
    </xf>
    <xf numFmtId="0" fontId="55" fillId="0" borderId="73" xfId="2" applyFont="1" applyBorder="1" applyAlignment="1">
      <alignment horizontal="center" vertical="top"/>
    </xf>
    <xf numFmtId="0" fontId="55" fillId="0" borderId="58" xfId="2" applyFont="1" applyBorder="1" applyAlignment="1">
      <alignment horizontal="center" vertical="center"/>
    </xf>
    <xf numFmtId="1" fontId="52" fillId="0" borderId="58" xfId="2" applyNumberFormat="1" applyFont="1" applyBorder="1" applyAlignment="1">
      <alignment horizontal="center" vertical="center"/>
    </xf>
    <xf numFmtId="1" fontId="52" fillId="0" borderId="74" xfId="2" applyNumberFormat="1" applyFont="1" applyBorder="1" applyAlignment="1">
      <alignment horizontal="center" vertical="center"/>
    </xf>
    <xf numFmtId="0" fontId="55" fillId="0" borderId="58" xfId="2" applyFont="1" applyBorder="1" applyAlignment="1">
      <alignment horizontal="left" vertical="center" wrapText="1"/>
    </xf>
    <xf numFmtId="0" fontId="55" fillId="0" borderId="58" xfId="2" applyFont="1" applyBorder="1" applyAlignment="1">
      <alignment horizontal="center"/>
    </xf>
    <xf numFmtId="0" fontId="175" fillId="0" borderId="58" xfId="2" applyFont="1" applyBorder="1" applyAlignment="1">
      <alignment horizontal="left" vertical="center"/>
    </xf>
    <xf numFmtId="0" fontId="175" fillId="0" borderId="74" xfId="2" applyFont="1" applyBorder="1" applyAlignment="1">
      <alignment horizontal="left" vertical="center"/>
    </xf>
    <xf numFmtId="0" fontId="15" fillId="0" borderId="58" xfId="2" applyFont="1" applyBorder="1" applyAlignment="1">
      <alignment horizontal="left"/>
    </xf>
    <xf numFmtId="0" fontId="15" fillId="0" borderId="74" xfId="2" applyFont="1" applyBorder="1" applyAlignment="1">
      <alignment horizontal="left"/>
    </xf>
    <xf numFmtId="0" fontId="56" fillId="0" borderId="58" xfId="2" applyFont="1" applyFill="1" applyBorder="1" applyAlignment="1">
      <alignment horizontal="left" wrapText="1"/>
    </xf>
    <xf numFmtId="0" fontId="55" fillId="0" borderId="74" xfId="2" applyFont="1" applyBorder="1" applyAlignment="1">
      <alignment horizontal="center"/>
    </xf>
    <xf numFmtId="0" fontId="54" fillId="0" borderId="58" xfId="2" applyFont="1" applyFill="1" applyBorder="1" applyAlignment="1"/>
    <xf numFmtId="0" fontId="179" fillId="0" borderId="74" xfId="2" applyFont="1" applyBorder="1" applyAlignment="1">
      <alignment horizontal="left" vertical="center"/>
    </xf>
    <xf numFmtId="2" fontId="179" fillId="0" borderId="58" xfId="0" applyNumberFormat="1" applyFont="1" applyBorder="1" applyAlignment="1">
      <alignment horizontal="left"/>
    </xf>
    <xf numFmtId="2" fontId="179" fillId="0" borderId="58" xfId="0" applyNumberFormat="1" applyFont="1" applyBorder="1" applyAlignment="1">
      <alignment horizontal="center" vertical="center"/>
    </xf>
    <xf numFmtId="2" fontId="179" fillId="0" borderId="3" xfId="0" applyNumberFormat="1" applyFont="1" applyBorder="1" applyAlignment="1">
      <alignment horizontal="center" vertical="center"/>
    </xf>
    <xf numFmtId="2" fontId="55" fillId="0" borderId="65" xfId="0" applyNumberFormat="1" applyFont="1" applyBorder="1" applyAlignment="1" applyProtection="1">
      <alignment horizontal="left"/>
      <protection hidden="1"/>
    </xf>
    <xf numFmtId="2" fontId="55" fillId="0" borderId="66" xfId="0" applyNumberFormat="1" applyFont="1" applyBorder="1" applyAlignment="1" applyProtection="1">
      <alignment horizontal="left"/>
      <protection hidden="1"/>
    </xf>
    <xf numFmtId="0" fontId="179" fillId="0" borderId="58" xfId="2" applyFont="1" applyBorder="1" applyAlignment="1">
      <alignment horizontal="left"/>
    </xf>
    <xf numFmtId="2" fontId="55" fillId="0" borderId="58" xfId="0" applyNumberFormat="1" applyFont="1" applyBorder="1" applyAlignment="1">
      <alignment horizontal="left"/>
    </xf>
    <xf numFmtId="2" fontId="179" fillId="0" borderId="67" xfId="0" applyNumberFormat="1" applyFont="1" applyBorder="1" applyAlignment="1">
      <alignment horizontal="left"/>
    </xf>
    <xf numFmtId="0" fontId="9" fillId="29" borderId="59" xfId="0" applyFont="1" applyFill="1" applyBorder="1" applyAlignment="1" applyProtection="1">
      <alignment horizontal="left" vertical="top"/>
      <protection hidden="1"/>
    </xf>
    <xf numFmtId="0" fontId="9" fillId="29" borderId="60" xfId="0" applyFont="1" applyFill="1" applyBorder="1" applyAlignment="1" applyProtection="1">
      <alignment horizontal="left" vertical="top"/>
      <protection hidden="1"/>
    </xf>
    <xf numFmtId="0" fontId="9" fillId="29" borderId="61" xfId="0" applyFont="1" applyFill="1" applyBorder="1" applyAlignment="1" applyProtection="1">
      <alignment horizontal="left" vertical="top"/>
      <protection hidden="1"/>
    </xf>
    <xf numFmtId="1" fontId="6" fillId="0" borderId="58" xfId="0" applyNumberFormat="1" applyFont="1" applyBorder="1" applyAlignment="1" applyProtection="1">
      <alignment horizontal="center"/>
      <protection locked="0"/>
    </xf>
    <xf numFmtId="0" fontId="6" fillId="0" borderId="58" xfId="0" applyFont="1" applyBorder="1" applyAlignment="1" applyProtection="1">
      <alignment horizontal="center"/>
      <protection locked="0"/>
    </xf>
    <xf numFmtId="0" fontId="9" fillId="29" borderId="62" xfId="0" applyFont="1" applyFill="1" applyBorder="1" applyAlignment="1" applyProtection="1">
      <alignment horizontal="left" vertical="top"/>
      <protection hidden="1"/>
    </xf>
    <xf numFmtId="0" fontId="9" fillId="29" borderId="57" xfId="0" applyFont="1" applyFill="1" applyBorder="1" applyAlignment="1" applyProtection="1">
      <alignment horizontal="left" vertical="top"/>
      <protection hidden="1"/>
    </xf>
    <xf numFmtId="0" fontId="9" fillId="29" borderId="63" xfId="0" applyFont="1" applyFill="1" applyBorder="1" applyAlignment="1" applyProtection="1">
      <alignment horizontal="left" vertical="top"/>
      <protection hidden="1"/>
    </xf>
    <xf numFmtId="0" fontId="12" fillId="2" borderId="85" xfId="0" applyFont="1" applyFill="1" applyBorder="1" applyAlignment="1" applyProtection="1">
      <alignment horizontal="center"/>
      <protection hidden="1"/>
    </xf>
    <xf numFmtId="0" fontId="12" fillId="2" borderId="86" xfId="0" applyFont="1" applyFill="1" applyBorder="1" applyAlignment="1" applyProtection="1">
      <alignment horizontal="center"/>
      <protection hidden="1"/>
    </xf>
    <xf numFmtId="0" fontId="12" fillId="2" borderId="87" xfId="0" applyFont="1" applyFill="1" applyBorder="1" applyAlignment="1" applyProtection="1">
      <alignment horizontal="center"/>
      <protection hidden="1"/>
    </xf>
    <xf numFmtId="0" fontId="4" fillId="28" borderId="0" xfId="0" applyFont="1" applyFill="1" applyAlignment="1" applyProtection="1">
      <alignment horizontal="center"/>
      <protection hidden="1"/>
    </xf>
    <xf numFmtId="0" fontId="9" fillId="29" borderId="64" xfId="0" applyFont="1" applyFill="1" applyBorder="1" applyAlignment="1" applyProtection="1">
      <alignment horizontal="left" vertical="top" wrapText="1"/>
      <protection hidden="1"/>
    </xf>
    <xf numFmtId="0" fontId="9" fillId="29" borderId="65" xfId="0" applyFont="1" applyFill="1" applyBorder="1" applyAlignment="1" applyProtection="1">
      <alignment horizontal="left" vertical="top" wrapText="1"/>
      <protection hidden="1"/>
    </xf>
    <xf numFmtId="0" fontId="9" fillId="29" borderId="66" xfId="0" applyFont="1" applyFill="1" applyBorder="1" applyAlignment="1" applyProtection="1">
      <alignment horizontal="left" vertical="top" wrapText="1"/>
      <protection hidden="1"/>
    </xf>
    <xf numFmtId="1" fontId="4" fillId="0" borderId="64" xfId="0" applyNumberFormat="1" applyFont="1" applyBorder="1" applyAlignment="1" applyProtection="1">
      <alignment horizontal="center" vertical="center"/>
      <protection locked="0"/>
    </xf>
    <xf numFmtId="0" fontId="4" fillId="0" borderId="65" xfId="0" applyFont="1" applyBorder="1" applyAlignment="1" applyProtection="1">
      <alignment horizontal="center" vertical="center"/>
      <protection locked="0"/>
    </xf>
    <xf numFmtId="0" fontId="4" fillId="0" borderId="66" xfId="0" applyFont="1" applyBorder="1" applyAlignment="1" applyProtection="1">
      <alignment horizontal="center" vertical="center"/>
      <protection locked="0"/>
    </xf>
    <xf numFmtId="0" fontId="4" fillId="28" borderId="1" xfId="0" applyFont="1" applyFill="1" applyBorder="1" applyAlignment="1" applyProtection="1">
      <alignment horizontal="center"/>
      <protection hidden="1"/>
    </xf>
    <xf numFmtId="0" fontId="6" fillId="15" borderId="58" xfId="0" applyFont="1" applyFill="1" applyBorder="1" applyAlignment="1" applyProtection="1">
      <alignment horizontal="right" vertical="center"/>
      <protection hidden="1"/>
    </xf>
    <xf numFmtId="0" fontId="6" fillId="15" borderId="58" xfId="0" applyFont="1" applyFill="1" applyBorder="1" applyAlignment="1" applyProtection="1">
      <alignment horizontal="left" vertical="center"/>
      <protection hidden="1"/>
    </xf>
    <xf numFmtId="0" fontId="6" fillId="15" borderId="58" xfId="0" applyFont="1" applyFill="1" applyBorder="1" applyAlignment="1" applyProtection="1">
      <alignment horizontal="center"/>
      <protection hidden="1"/>
    </xf>
    <xf numFmtId="0" fontId="6" fillId="0" borderId="58" xfId="0" applyFont="1" applyBorder="1" applyAlignment="1" applyProtection="1">
      <alignment horizontal="left" vertical="center"/>
      <protection locked="0"/>
    </xf>
    <xf numFmtId="0" fontId="4" fillId="15" borderId="0" xfId="0" applyFont="1" applyFill="1" applyAlignment="1" applyProtection="1">
      <alignment horizontal="center" vertical="center"/>
      <protection hidden="1"/>
    </xf>
    <xf numFmtId="0" fontId="4" fillId="15" borderId="57" xfId="0" applyFont="1" applyFill="1" applyBorder="1" applyAlignment="1" applyProtection="1">
      <alignment horizontal="center" vertical="center"/>
      <protection hidden="1"/>
    </xf>
    <xf numFmtId="0" fontId="3" fillId="0" borderId="58" xfId="0" applyFont="1" applyBorder="1" applyAlignment="1">
      <alignment horizontal="center" vertical="center"/>
    </xf>
    <xf numFmtId="0" fontId="0" fillId="0" borderId="58" xfId="0" applyBorder="1" applyAlignment="1">
      <alignment horizontal="center" vertical="center"/>
    </xf>
    <xf numFmtId="1" fontId="3" fillId="0" borderId="58" xfId="0" applyNumberFormat="1" applyFont="1" applyBorder="1" applyAlignment="1">
      <alignment horizontal="center" vertical="center"/>
    </xf>
    <xf numFmtId="0" fontId="9" fillId="0" borderId="64" xfId="0" applyFont="1" applyBorder="1" applyAlignment="1">
      <alignment horizontal="center" vertical="center"/>
    </xf>
    <xf numFmtId="0" fontId="9" fillId="0" borderId="66" xfId="0" applyFont="1" applyBorder="1" applyAlignment="1">
      <alignment horizontal="center" vertical="center"/>
    </xf>
    <xf numFmtId="1" fontId="4" fillId="0" borderId="58" xfId="0" applyNumberFormat="1" applyFont="1" applyBorder="1" applyAlignment="1">
      <alignment horizontal="center" vertical="center"/>
    </xf>
    <xf numFmtId="0" fontId="4" fillId="0" borderId="58" xfId="0" applyFont="1" applyBorder="1" applyAlignment="1">
      <alignment horizontal="center" vertical="center"/>
    </xf>
    <xf numFmtId="0" fontId="136" fillId="0" borderId="64" xfId="0" applyFont="1" applyBorder="1" applyAlignment="1">
      <alignment horizontal="center" vertical="center"/>
    </xf>
    <xf numFmtId="0" fontId="136" fillId="0" borderId="66" xfId="0" applyFont="1" applyBorder="1" applyAlignment="1">
      <alignment horizontal="center" vertical="center"/>
    </xf>
    <xf numFmtId="0" fontId="11" fillId="0" borderId="58" xfId="0" applyFont="1" applyBorder="1" applyAlignment="1">
      <alignment horizontal="center" vertical="center" wrapText="1"/>
    </xf>
    <xf numFmtId="0" fontId="0" fillId="0" borderId="58" xfId="0" applyBorder="1" applyAlignment="1">
      <alignment horizontal="center"/>
    </xf>
    <xf numFmtId="0" fontId="19" fillId="0" borderId="58" xfId="0" applyFont="1" applyBorder="1" applyAlignment="1">
      <alignment horizontal="left" vertical="top"/>
    </xf>
    <xf numFmtId="0" fontId="168" fillId="0" borderId="58" xfId="0" applyFont="1" applyBorder="1" applyAlignment="1">
      <alignment horizontal="center" vertical="center"/>
    </xf>
    <xf numFmtId="0" fontId="19" fillId="0" borderId="58" xfId="0" applyFont="1" applyBorder="1" applyAlignment="1">
      <alignment horizontal="left" vertical="top" wrapText="1"/>
    </xf>
    <xf numFmtId="0" fontId="148" fillId="0" borderId="58" xfId="0" applyFont="1" applyBorder="1" applyAlignment="1">
      <alignment horizontal="center" vertical="center"/>
    </xf>
    <xf numFmtId="0" fontId="167" fillId="0" borderId="58" xfId="0" applyFont="1" applyBorder="1" applyAlignment="1">
      <alignment horizontal="center" vertical="center"/>
    </xf>
    <xf numFmtId="0" fontId="9" fillId="0" borderId="58" xfId="0" applyFont="1" applyBorder="1" applyAlignment="1">
      <alignment horizontal="center" vertical="center"/>
    </xf>
    <xf numFmtId="0" fontId="0" fillId="0" borderId="0" xfId="0" applyAlignment="1">
      <alignment horizontal="center" vertical="top"/>
    </xf>
    <xf numFmtId="14" fontId="0" fillId="0" borderId="0" xfId="0" applyNumberFormat="1" applyAlignment="1" applyProtection="1">
      <alignment horizontal="center" vertical="top"/>
      <protection locked="0" hidden="1"/>
    </xf>
    <xf numFmtId="0" fontId="0" fillId="0" borderId="0" xfId="0" applyAlignment="1" applyProtection="1">
      <alignment horizontal="center" vertical="top"/>
      <protection locked="0" hidden="1"/>
    </xf>
    <xf numFmtId="0" fontId="0" fillId="0" borderId="0" xfId="0" applyAlignment="1" applyProtection="1">
      <alignment horizontal="center"/>
      <protection locked="0"/>
    </xf>
    <xf numFmtId="14" fontId="0" fillId="0" borderId="0" xfId="0" applyNumberFormat="1" applyAlignment="1" applyProtection="1">
      <alignment horizontal="center"/>
      <protection locked="0" hidden="1"/>
    </xf>
    <xf numFmtId="0" fontId="0" fillId="0" borderId="0" xfId="0" applyAlignment="1" applyProtection="1">
      <alignment horizontal="center"/>
      <protection locked="0" hidden="1"/>
    </xf>
    <xf numFmtId="0" fontId="0" fillId="0" borderId="0" xfId="0" applyAlignment="1">
      <alignment horizontal="center"/>
    </xf>
    <xf numFmtId="0" fontId="165" fillId="0" borderId="0" xfId="0" applyFont="1" applyBorder="1" applyAlignment="1">
      <alignment horizontal="center" vertical="center"/>
    </xf>
    <xf numFmtId="0" fontId="3" fillId="0" borderId="0" xfId="0" applyFont="1" applyBorder="1" applyAlignment="1">
      <alignment horizontal="center" vertical="center"/>
    </xf>
    <xf numFmtId="1" fontId="9" fillId="0" borderId="58" xfId="0" applyNumberFormat="1" applyFont="1" applyBorder="1" applyAlignment="1">
      <alignment horizontal="center" vertical="center"/>
    </xf>
    <xf numFmtId="1" fontId="166" fillId="0" borderId="58" xfId="0" applyNumberFormat="1" applyFont="1" applyBorder="1" applyAlignment="1">
      <alignment horizontal="center" vertical="center"/>
    </xf>
    <xf numFmtId="0" fontId="0" fillId="0" borderId="0" xfId="0" applyAlignment="1">
      <alignment horizontal="left" vertical="top"/>
    </xf>
    <xf numFmtId="0" fontId="11" fillId="0" borderId="58" xfId="0" applyFont="1" applyBorder="1" applyAlignment="1">
      <alignment horizontal="left" vertical="top" wrapText="1"/>
    </xf>
    <xf numFmtId="0" fontId="0" fillId="0" borderId="64" xfId="0"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171" fillId="0" borderId="0" xfId="0" applyFont="1" applyAlignment="1">
      <alignment horizontal="center" vertical="center"/>
    </xf>
    <xf numFmtId="0" fontId="3" fillId="0" borderId="0" xfId="0" applyFont="1" applyAlignment="1">
      <alignment horizontal="center" vertical="top"/>
    </xf>
    <xf numFmtId="1" fontId="166" fillId="0" borderId="64" xfId="0" applyNumberFormat="1" applyFont="1" applyBorder="1" applyAlignment="1">
      <alignment horizontal="center" vertical="center"/>
    </xf>
    <xf numFmtId="0" fontId="166" fillId="0" borderId="65" xfId="0" applyFont="1" applyBorder="1" applyAlignment="1">
      <alignment horizontal="center" vertical="center"/>
    </xf>
    <xf numFmtId="0" fontId="166" fillId="0" borderId="66" xfId="0" applyFont="1" applyBorder="1" applyAlignment="1">
      <alignment horizontal="center" vertical="center"/>
    </xf>
    <xf numFmtId="0" fontId="9" fillId="0" borderId="0" xfId="0" applyFont="1" applyAlignment="1">
      <alignment horizontal="center" vertical="center"/>
    </xf>
    <xf numFmtId="0" fontId="22" fillId="0" borderId="0" xfId="0" applyNumberFormat="1" applyFont="1" applyAlignment="1">
      <alignment horizontal="left" vertical="top" wrapText="1"/>
    </xf>
    <xf numFmtId="0" fontId="0" fillId="0" borderId="58" xfId="0" applyBorder="1" applyAlignment="1">
      <alignment horizontal="right" vertical="center"/>
    </xf>
    <xf numFmtId="0" fontId="9" fillId="0" borderId="58" xfId="0" applyFont="1" applyBorder="1" applyAlignment="1">
      <alignment horizontal="left" vertical="center"/>
    </xf>
    <xf numFmtId="0" fontId="22" fillId="0" borderId="58" xfId="0" applyFont="1" applyBorder="1" applyAlignment="1">
      <alignment horizontal="left" vertical="top" wrapText="1"/>
    </xf>
    <xf numFmtId="0" fontId="54" fillId="0" borderId="23" xfId="0" applyFont="1" applyBorder="1" applyAlignment="1" applyProtection="1">
      <alignment horizontal="left"/>
      <protection locked="0"/>
    </xf>
    <xf numFmtId="0" fontId="54" fillId="0" borderId="24" xfId="0" applyFont="1" applyBorder="1" applyAlignment="1" applyProtection="1">
      <alignment horizontal="left"/>
      <protection locked="0"/>
    </xf>
    <xf numFmtId="0" fontId="54" fillId="0" borderId="25" xfId="0" applyFont="1" applyBorder="1" applyAlignment="1" applyProtection="1">
      <alignment horizontal="left"/>
      <protection locked="0"/>
    </xf>
    <xf numFmtId="0" fontId="31" fillId="0" borderId="22" xfId="0" applyFont="1" applyBorder="1" applyAlignment="1" applyProtection="1">
      <alignment horizontal="right" vertical="center"/>
      <protection locked="0"/>
    </xf>
    <xf numFmtId="0" fontId="31" fillId="0" borderId="22" xfId="0" applyFont="1" applyBorder="1" applyAlignment="1" applyProtection="1">
      <alignment horizontal="right" vertical="center"/>
      <protection hidden="1"/>
    </xf>
    <xf numFmtId="0" fontId="31" fillId="0" borderId="0" xfId="0" applyFont="1" applyBorder="1" applyAlignment="1" applyProtection="1">
      <alignment horizontal="left" vertical="center" wrapText="1"/>
      <protection hidden="1"/>
    </xf>
    <xf numFmtId="0" fontId="33" fillId="0" borderId="22" xfId="0" applyFont="1" applyBorder="1" applyAlignment="1" applyProtection="1">
      <alignment horizontal="left" vertical="center" wrapText="1"/>
      <protection hidden="1"/>
    </xf>
    <xf numFmtId="0" fontId="34" fillId="0" borderId="22" xfId="0" applyFont="1" applyBorder="1" applyAlignment="1" applyProtection="1">
      <alignment horizontal="center" vertical="center" wrapText="1"/>
      <protection locked="0" hidden="1"/>
    </xf>
    <xf numFmtId="0" fontId="35" fillId="0" borderId="22" xfId="0" applyFont="1" applyBorder="1" applyAlignment="1" applyProtection="1">
      <alignment horizontal="center" wrapText="1"/>
      <protection hidden="1"/>
    </xf>
    <xf numFmtId="14" fontId="40" fillId="0" borderId="23" xfId="0" applyNumberFormat="1" applyFont="1" applyBorder="1" applyAlignment="1" applyProtection="1">
      <alignment horizontal="left" vertical="center" wrapText="1"/>
      <protection locked="0" hidden="1"/>
    </xf>
    <xf numFmtId="0" fontId="40" fillId="0" borderId="24" xfId="0" applyFont="1" applyBorder="1" applyAlignment="1" applyProtection="1">
      <alignment horizontal="left" vertical="center" wrapText="1"/>
      <protection locked="0" hidden="1"/>
    </xf>
    <xf numFmtId="0" fontId="40" fillId="0" borderId="25" xfId="0" applyFont="1" applyBorder="1" applyAlignment="1" applyProtection="1">
      <alignment horizontal="left" vertical="center" wrapText="1"/>
      <protection locked="0" hidden="1"/>
    </xf>
    <xf numFmtId="0" fontId="11" fillId="0" borderId="22" xfId="0" applyFont="1" applyBorder="1" applyAlignment="1" applyProtection="1">
      <alignment horizontal="left" vertical="center" wrapText="1"/>
      <protection hidden="1"/>
    </xf>
    <xf numFmtId="0" fontId="9" fillId="0" borderId="22" xfId="0" applyFont="1" applyBorder="1" applyAlignment="1" applyProtection="1">
      <alignment horizontal="left" vertical="center"/>
      <protection hidden="1"/>
    </xf>
    <xf numFmtId="0" fontId="0" fillId="0" borderId="22" xfId="0" applyFont="1" applyBorder="1" applyAlignment="1" applyProtection="1">
      <alignment horizontal="center"/>
      <protection hidden="1"/>
    </xf>
    <xf numFmtId="0" fontId="31" fillId="0" borderId="22" xfId="0" applyFont="1" applyBorder="1" applyAlignment="1" applyProtection="1">
      <alignment horizontal="left" vertical="center"/>
      <protection hidden="1"/>
    </xf>
    <xf numFmtId="0" fontId="8" fillId="0" borderId="22" xfId="0" applyFont="1" applyBorder="1" applyAlignment="1" applyProtection="1">
      <alignment horizontal="left" vertical="center"/>
      <protection hidden="1"/>
    </xf>
    <xf numFmtId="0" fontId="54" fillId="0" borderId="22" xfId="0" applyFont="1" applyBorder="1" applyAlignment="1" applyProtection="1">
      <alignment horizontal="left" vertical="center"/>
      <protection locked="0"/>
    </xf>
    <xf numFmtId="0" fontId="22" fillId="0" borderId="22" xfId="0" applyFont="1" applyBorder="1" applyAlignment="1" applyProtection="1">
      <alignment horizontal="center"/>
      <protection hidden="1"/>
    </xf>
    <xf numFmtId="0" fontId="9" fillId="0" borderId="22" xfId="0" applyFont="1" applyBorder="1" applyAlignment="1" applyProtection="1">
      <alignment horizontal="right" vertical="center"/>
      <protection hidden="1"/>
    </xf>
    <xf numFmtId="0" fontId="40" fillId="0" borderId="22" xfId="0" applyFont="1" applyBorder="1" applyAlignment="1" applyProtection="1">
      <alignment horizontal="left" vertical="center" wrapText="1"/>
      <protection hidden="1"/>
    </xf>
    <xf numFmtId="0" fontId="33" fillId="0" borderId="22" xfId="0" applyFont="1" applyBorder="1" applyAlignment="1" applyProtection="1">
      <alignment horizontal="center" vertical="center" wrapText="1"/>
      <protection hidden="1"/>
    </xf>
    <xf numFmtId="0" fontId="40" fillId="0" borderId="22" xfId="0" applyFont="1" applyBorder="1" applyAlignment="1" applyProtection="1">
      <alignment horizontal="center" vertical="center" wrapText="1"/>
      <protection hidden="1"/>
    </xf>
    <xf numFmtId="0" fontId="33" fillId="0" borderId="0" xfId="0" applyFont="1" applyBorder="1" applyAlignment="1" applyProtection="1">
      <alignment horizontal="left" vertical="center" wrapText="1"/>
      <protection hidden="1"/>
    </xf>
    <xf numFmtId="0" fontId="40" fillId="0" borderId="0" xfId="0" applyFont="1" applyBorder="1" applyAlignment="1" applyProtection="1">
      <alignment horizontal="center" vertical="center" wrapText="1"/>
      <protection hidden="1"/>
    </xf>
    <xf numFmtId="0" fontId="33" fillId="0" borderId="0" xfId="0" applyFont="1" applyBorder="1" applyAlignment="1" applyProtection="1">
      <alignment horizontal="center" vertical="center" wrapText="1"/>
      <protection hidden="1"/>
    </xf>
    <xf numFmtId="0" fontId="0" fillId="0" borderId="22" xfId="0" applyFont="1" applyBorder="1" applyAlignment="1" applyProtection="1">
      <alignment horizontal="center"/>
      <protection locked="0" hidden="1"/>
    </xf>
    <xf numFmtId="0" fontId="77" fillId="0" borderId="0" xfId="0" applyFont="1" applyBorder="1" applyAlignment="1" applyProtection="1">
      <alignment horizontal="center" vertical="center" wrapText="1"/>
      <protection hidden="1"/>
    </xf>
    <xf numFmtId="0" fontId="30" fillId="0" borderId="22" xfId="0" applyFont="1" applyBorder="1" applyAlignment="1" applyProtection="1">
      <alignment horizontal="left" vertical="center"/>
      <protection hidden="1"/>
    </xf>
    <xf numFmtId="0" fontId="36" fillId="0" borderId="0" xfId="0" applyFont="1" applyBorder="1" applyAlignment="1" applyProtection="1">
      <alignment horizontal="left" vertical="center"/>
      <protection hidden="1"/>
    </xf>
    <xf numFmtId="0" fontId="54" fillId="0" borderId="22" xfId="0" applyFont="1" applyBorder="1" applyAlignment="1" applyProtection="1">
      <alignment horizontal="left" vertical="center"/>
      <protection hidden="1"/>
    </xf>
    <xf numFmtId="0" fontId="39" fillId="0" borderId="22" xfId="0" applyFont="1" applyBorder="1" applyAlignment="1" applyProtection="1">
      <alignment horizontal="left" vertical="center"/>
      <protection hidden="1"/>
    </xf>
    <xf numFmtId="0" fontId="113" fillId="0" borderId="22" xfId="0" applyFont="1" applyBorder="1" applyAlignment="1" applyProtection="1">
      <alignment horizontal="left" vertical="center"/>
      <protection hidden="1"/>
    </xf>
    <xf numFmtId="0" fontId="0" fillId="0" borderId="22" xfId="0" applyFont="1" applyBorder="1" applyAlignment="1" applyProtection="1">
      <alignment horizontal="left" vertical="center"/>
      <protection hidden="1"/>
    </xf>
    <xf numFmtId="0" fontId="32" fillId="0" borderId="22" xfId="0" applyFont="1" applyBorder="1" applyAlignment="1" applyProtection="1">
      <alignment horizontal="left" vertical="center"/>
      <protection hidden="1"/>
    </xf>
    <xf numFmtId="0" fontId="33" fillId="0" borderId="22" xfId="0" applyFont="1" applyBorder="1" applyAlignment="1" applyProtection="1">
      <alignment horizontal="center" vertical="center"/>
      <protection locked="0" hidden="1"/>
    </xf>
    <xf numFmtId="0" fontId="40" fillId="0" borderId="22" xfId="0" applyFont="1" applyBorder="1" applyAlignment="1" applyProtection="1">
      <alignment horizontal="center" vertical="center"/>
      <protection hidden="1"/>
    </xf>
    <xf numFmtId="0" fontId="34" fillId="0" borderId="22" xfId="0" applyFont="1" applyBorder="1" applyAlignment="1" applyProtection="1">
      <alignment horizontal="center" vertical="center"/>
      <protection hidden="1"/>
    </xf>
    <xf numFmtId="0" fontId="35" fillId="0" borderId="23" xfId="0" applyFont="1" applyBorder="1" applyAlignment="1" applyProtection="1">
      <alignment horizontal="left" vertical="center"/>
      <protection hidden="1"/>
    </xf>
    <xf numFmtId="0" fontId="35" fillId="0" borderId="24" xfId="0" applyFont="1" applyBorder="1" applyAlignment="1" applyProtection="1">
      <alignment horizontal="left" vertical="center"/>
      <protection hidden="1"/>
    </xf>
    <xf numFmtId="0" fontId="35" fillId="0" borderId="25" xfId="0" applyFont="1" applyBorder="1" applyAlignment="1" applyProtection="1">
      <alignment horizontal="left" vertical="center"/>
      <protection hidden="1"/>
    </xf>
    <xf numFmtId="0" fontId="34" fillId="0" borderId="23" xfId="0" applyFont="1" applyBorder="1" applyAlignment="1" applyProtection="1">
      <alignment horizontal="left" vertical="center"/>
      <protection hidden="1"/>
    </xf>
    <xf numFmtId="0" fontId="34" fillId="0" borderId="24" xfId="0" applyFont="1" applyBorder="1" applyAlignment="1" applyProtection="1">
      <alignment horizontal="left" vertical="center"/>
      <protection hidden="1"/>
    </xf>
    <xf numFmtId="0" fontId="34" fillId="0" borderId="25" xfId="0" applyFont="1" applyBorder="1" applyAlignment="1" applyProtection="1">
      <alignment horizontal="left" vertical="center"/>
      <protection hidden="1"/>
    </xf>
    <xf numFmtId="0" fontId="36" fillId="0" borderId="23" xfId="0" applyFont="1" applyBorder="1" applyAlignment="1" applyProtection="1">
      <alignment horizontal="left" vertical="center"/>
      <protection hidden="1"/>
    </xf>
    <xf numFmtId="0" fontId="36" fillId="0" borderId="24" xfId="0" applyFont="1" applyBorder="1" applyAlignment="1" applyProtection="1">
      <alignment horizontal="left" vertical="center"/>
      <protection hidden="1"/>
    </xf>
    <xf numFmtId="0" fontId="36" fillId="0" borderId="25" xfId="0" applyFont="1" applyBorder="1" applyAlignment="1" applyProtection="1">
      <alignment horizontal="left" vertical="center"/>
      <protection hidden="1"/>
    </xf>
    <xf numFmtId="0" fontId="32" fillId="0" borderId="0" xfId="0" applyFont="1" applyBorder="1" applyAlignment="1" applyProtection="1">
      <alignment horizontal="left" vertical="center" wrapText="1"/>
      <protection hidden="1"/>
    </xf>
    <xf numFmtId="0" fontId="36" fillId="0" borderId="22" xfId="0" applyFont="1" applyBorder="1" applyAlignment="1" applyProtection="1">
      <alignment horizontal="center" vertical="center"/>
      <protection hidden="1"/>
    </xf>
    <xf numFmtId="0" fontId="36" fillId="0" borderId="22" xfId="0" applyFont="1" applyBorder="1" applyAlignment="1" applyProtection="1">
      <alignment horizontal="left" vertical="center"/>
      <protection hidden="1"/>
    </xf>
    <xf numFmtId="0" fontId="35" fillId="0" borderId="22" xfId="0" applyFont="1" applyBorder="1" applyAlignment="1" applyProtection="1">
      <alignment horizontal="center" vertical="center"/>
      <protection hidden="1"/>
    </xf>
    <xf numFmtId="0" fontId="34" fillId="0" borderId="0" xfId="0" applyFont="1" applyBorder="1" applyAlignment="1" applyProtection="1">
      <alignment horizontal="left" vertical="center" wrapText="1"/>
      <protection hidden="1"/>
    </xf>
    <xf numFmtId="0" fontId="30" fillId="0" borderId="0" xfId="0" applyFont="1" applyBorder="1" applyAlignment="1" applyProtection="1">
      <alignment horizontal="center" vertical="center"/>
      <protection hidden="1"/>
    </xf>
    <xf numFmtId="1" fontId="30" fillId="0" borderId="22" xfId="0" applyNumberFormat="1" applyFont="1" applyBorder="1" applyAlignment="1" applyProtection="1">
      <alignment horizontal="center" vertical="center"/>
      <protection locked="0" hidden="1"/>
    </xf>
    <xf numFmtId="1" fontId="40" fillId="0" borderId="23" xfId="0" applyNumberFormat="1" applyFont="1" applyBorder="1" applyAlignment="1" applyProtection="1">
      <alignment horizontal="left" vertical="center"/>
      <protection locked="0" hidden="1"/>
    </xf>
    <xf numFmtId="1" fontId="40" fillId="0" borderId="24" xfId="0" applyNumberFormat="1" applyFont="1" applyBorder="1" applyAlignment="1" applyProtection="1">
      <alignment horizontal="left" vertical="center"/>
      <protection locked="0" hidden="1"/>
    </xf>
    <xf numFmtId="1" fontId="40" fillId="0" borderId="25" xfId="0" applyNumberFormat="1" applyFont="1" applyBorder="1" applyAlignment="1" applyProtection="1">
      <alignment horizontal="left" vertical="center"/>
      <protection locked="0" hidden="1"/>
    </xf>
    <xf numFmtId="0" fontId="40" fillId="0" borderId="23" xfId="0" applyFont="1" applyBorder="1" applyAlignment="1" applyProtection="1">
      <alignment horizontal="center"/>
      <protection hidden="1"/>
    </xf>
    <xf numFmtId="0" fontId="40" fillId="0" borderId="25" xfId="0" applyFont="1" applyBorder="1" applyAlignment="1" applyProtection="1">
      <alignment horizontal="center"/>
      <protection hidden="1"/>
    </xf>
    <xf numFmtId="0" fontId="33" fillId="0" borderId="22" xfId="0" applyFont="1" applyBorder="1" applyAlignment="1" applyProtection="1">
      <alignment horizontal="center" vertical="center" wrapText="1"/>
      <protection locked="0" hidden="1"/>
    </xf>
    <xf numFmtId="0" fontId="33" fillId="0" borderId="22" xfId="0" applyNumberFormat="1" applyFont="1" applyBorder="1" applyAlignment="1" applyProtection="1">
      <alignment horizontal="center" vertical="center"/>
      <protection locked="0" hidden="1"/>
    </xf>
    <xf numFmtId="14" fontId="32" fillId="0" borderId="22" xfId="0" applyNumberFormat="1" applyFont="1" applyBorder="1" applyAlignment="1" applyProtection="1">
      <alignment horizontal="center" vertical="center"/>
      <protection locked="0" hidden="1"/>
    </xf>
    <xf numFmtId="0" fontId="30" fillId="0" borderId="22"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43" fillId="0" borderId="22" xfId="0" applyFont="1" applyBorder="1" applyAlignment="1" applyProtection="1">
      <alignment horizontal="center" vertical="center" wrapText="1"/>
      <protection hidden="1"/>
    </xf>
    <xf numFmtId="14" fontId="23" fillId="0" borderId="22" xfId="0" applyNumberFormat="1" applyFont="1" applyBorder="1" applyAlignment="1" applyProtection="1">
      <alignment horizontal="center" vertical="center"/>
      <protection hidden="1"/>
    </xf>
    <xf numFmtId="0" fontId="32" fillId="0" borderId="0" xfId="0" applyFont="1" applyBorder="1" applyAlignment="1" applyProtection="1">
      <alignment horizontal="center" vertical="center" wrapText="1"/>
      <protection hidden="1"/>
    </xf>
    <xf numFmtId="0" fontId="151" fillId="0" borderId="0" xfId="0" applyFont="1" applyBorder="1" applyAlignment="1" applyProtection="1">
      <alignment horizontal="center" vertical="center" wrapText="1"/>
      <protection hidden="1"/>
    </xf>
    <xf numFmtId="0" fontId="14" fillId="0" borderId="22" xfId="0" applyFont="1" applyBorder="1" applyAlignment="1" applyProtection="1">
      <alignment horizontal="center" vertical="center" wrapText="1"/>
      <protection hidden="1"/>
    </xf>
    <xf numFmtId="0" fontId="31" fillId="0" borderId="22" xfId="0" applyFont="1" applyBorder="1" applyAlignment="1" applyProtection="1">
      <alignment horizontal="center" vertical="center"/>
      <protection hidden="1"/>
    </xf>
    <xf numFmtId="1" fontId="30" fillId="0" borderId="22" xfId="1" applyNumberFormat="1" applyFont="1" applyBorder="1" applyAlignment="1" applyProtection="1">
      <alignment horizontal="center" vertical="center"/>
      <protection locked="0" hidden="1"/>
    </xf>
    <xf numFmtId="1" fontId="30" fillId="0" borderId="22" xfId="1" applyNumberFormat="1" applyFont="1" applyBorder="1" applyAlignment="1" applyProtection="1">
      <alignment horizontal="center" vertical="center"/>
      <protection hidden="1"/>
    </xf>
    <xf numFmtId="0" fontId="30" fillId="0" borderId="22" xfId="0" applyFont="1" applyBorder="1" applyAlignment="1" applyProtection="1">
      <alignment horizontal="center" vertical="center"/>
      <protection locked="0" hidden="1"/>
    </xf>
    <xf numFmtId="1" fontId="30" fillId="0" borderId="22" xfId="0" applyNumberFormat="1" applyFont="1" applyBorder="1" applyAlignment="1" applyProtection="1">
      <alignment horizontal="center" vertical="center"/>
      <protection hidden="1"/>
    </xf>
    <xf numFmtId="0" fontId="34" fillId="0" borderId="22" xfId="0" applyFont="1" applyBorder="1" applyAlignment="1" applyProtection="1">
      <alignment horizontal="left" vertical="center" wrapText="1"/>
      <protection hidden="1"/>
    </xf>
    <xf numFmtId="0" fontId="32" fillId="0" borderId="22" xfId="0" applyFont="1" applyBorder="1" applyAlignment="1" applyProtection="1">
      <alignment horizontal="center" vertical="center" wrapText="1"/>
      <protection hidden="1"/>
    </xf>
    <xf numFmtId="14" fontId="32" fillId="0" borderId="22" xfId="0" applyNumberFormat="1" applyFont="1" applyBorder="1" applyAlignment="1" applyProtection="1">
      <alignment horizontal="center" vertical="center" wrapText="1"/>
      <protection hidden="1"/>
    </xf>
    <xf numFmtId="0" fontId="31" fillId="0" borderId="22" xfId="0" applyFont="1" applyBorder="1" applyAlignment="1" applyProtection="1">
      <alignment horizontal="center" vertical="center" wrapText="1"/>
      <protection hidden="1"/>
    </xf>
    <xf numFmtId="0" fontId="14" fillId="0" borderId="0" xfId="0" applyFont="1" applyBorder="1" applyAlignment="1" applyProtection="1">
      <alignment horizontal="center" vertical="center"/>
      <protection hidden="1"/>
    </xf>
    <xf numFmtId="0" fontId="31" fillId="0" borderId="0" xfId="0" applyFont="1" applyBorder="1" applyAlignment="1" applyProtection="1">
      <alignment horizontal="center" vertical="center"/>
      <protection hidden="1"/>
    </xf>
    <xf numFmtId="0" fontId="33" fillId="0" borderId="22" xfId="0" applyFont="1" applyBorder="1" applyAlignment="1" applyProtection="1">
      <alignment horizontal="left" vertical="center"/>
      <protection hidden="1"/>
    </xf>
    <xf numFmtId="0" fontId="14" fillId="0" borderId="22" xfId="0" applyFont="1" applyBorder="1" applyAlignment="1" applyProtection="1">
      <alignment horizontal="center" vertical="center"/>
      <protection hidden="1"/>
    </xf>
    <xf numFmtId="0" fontId="35" fillId="0" borderId="22" xfId="0" applyFont="1" applyBorder="1" applyAlignment="1" applyProtection="1">
      <alignment horizontal="center" vertical="center" wrapText="1"/>
      <protection hidden="1"/>
    </xf>
    <xf numFmtId="0" fontId="33" fillId="0" borderId="22" xfId="0" applyFont="1" applyBorder="1" applyAlignment="1" applyProtection="1">
      <alignment horizontal="center" vertical="center"/>
      <protection hidden="1"/>
    </xf>
    <xf numFmtId="0" fontId="34" fillId="0" borderId="22" xfId="0" applyFont="1" applyBorder="1" applyAlignment="1" applyProtection="1">
      <alignment horizontal="center" vertical="center" wrapText="1"/>
      <protection locked="0"/>
    </xf>
    <xf numFmtId="0" fontId="32" fillId="0" borderId="22" xfId="0" applyFont="1" applyBorder="1" applyAlignment="1" applyProtection="1">
      <alignment horizontal="center" vertical="center"/>
      <protection locked="0" hidden="1"/>
    </xf>
    <xf numFmtId="0" fontId="30" fillId="0" borderId="22" xfId="0" applyFont="1" applyBorder="1" applyAlignment="1" applyProtection="1">
      <alignment horizontal="center" vertical="center" wrapText="1"/>
      <protection hidden="1"/>
    </xf>
    <xf numFmtId="14" fontId="30" fillId="0" borderId="22" xfId="0" applyNumberFormat="1" applyFont="1" applyBorder="1" applyAlignment="1" applyProtection="1">
      <alignment horizontal="center" vertical="center" wrapText="1"/>
      <protection hidden="1"/>
    </xf>
    <xf numFmtId="14" fontId="30" fillId="0" borderId="22" xfId="0" applyNumberFormat="1" applyFont="1" applyBorder="1" applyAlignment="1" applyProtection="1">
      <alignment horizontal="center" vertical="center"/>
      <protection hidden="1"/>
    </xf>
    <xf numFmtId="0" fontId="37" fillId="0" borderId="22" xfId="0" applyFont="1" applyBorder="1" applyAlignment="1" applyProtection="1">
      <alignment horizontal="center" vertical="center"/>
      <protection hidden="1"/>
    </xf>
    <xf numFmtId="1" fontId="40" fillId="0" borderId="22" xfId="0" applyNumberFormat="1" applyFont="1" applyBorder="1" applyAlignment="1" applyProtection="1">
      <alignment horizontal="center" vertical="center"/>
      <protection hidden="1"/>
    </xf>
    <xf numFmtId="0" fontId="30" fillId="0" borderId="22" xfId="0" applyFont="1" applyBorder="1" applyAlignment="1" applyProtection="1">
      <alignment horizontal="right" vertical="center"/>
      <protection hidden="1"/>
    </xf>
    <xf numFmtId="0" fontId="34" fillId="0" borderId="26" xfId="0" applyFont="1" applyBorder="1" applyAlignment="1" applyProtection="1">
      <alignment horizontal="center" vertical="center"/>
      <protection hidden="1"/>
    </xf>
    <xf numFmtId="0" fontId="34" fillId="0" borderId="27" xfId="0" applyFont="1" applyBorder="1" applyAlignment="1" applyProtection="1">
      <alignment horizontal="center" vertical="center"/>
      <protection hidden="1"/>
    </xf>
    <xf numFmtId="0" fontId="34" fillId="0" borderId="28" xfId="0" applyFont="1" applyBorder="1" applyAlignment="1" applyProtection="1">
      <alignment horizontal="center" vertical="center"/>
      <protection hidden="1"/>
    </xf>
    <xf numFmtId="0" fontId="34" fillId="0" borderId="32" xfId="0" applyFont="1" applyBorder="1" applyAlignment="1" applyProtection="1">
      <alignment horizontal="center" vertical="center"/>
      <protection hidden="1"/>
    </xf>
    <xf numFmtId="0" fontId="34" fillId="0" borderId="0" xfId="0" applyFont="1" applyBorder="1" applyAlignment="1" applyProtection="1">
      <alignment horizontal="center" vertical="center"/>
      <protection hidden="1"/>
    </xf>
    <xf numFmtId="0" fontId="34" fillId="0" borderId="33" xfId="0" applyFont="1" applyBorder="1" applyAlignment="1" applyProtection="1">
      <alignment horizontal="center" vertical="center"/>
      <protection hidden="1"/>
    </xf>
    <xf numFmtId="0" fontId="34" fillId="0" borderId="29" xfId="0" applyFont="1" applyBorder="1" applyAlignment="1" applyProtection="1">
      <alignment horizontal="center" vertical="center"/>
      <protection hidden="1"/>
    </xf>
    <xf numFmtId="0" fontId="34" fillId="0" borderId="30" xfId="0" applyFont="1" applyBorder="1" applyAlignment="1" applyProtection="1">
      <alignment horizontal="center" vertical="center"/>
      <protection hidden="1"/>
    </xf>
    <xf numFmtId="0" fontId="34" fillId="0" borderId="31" xfId="0" applyFont="1" applyBorder="1" applyAlignment="1" applyProtection="1">
      <alignment horizontal="center" vertical="center"/>
      <protection hidden="1"/>
    </xf>
    <xf numFmtId="0" fontId="36" fillId="0" borderId="23" xfId="0" applyFont="1" applyBorder="1" applyAlignment="1" applyProtection="1">
      <alignment horizontal="center" vertical="center"/>
      <protection hidden="1"/>
    </xf>
    <xf numFmtId="0" fontId="36" fillId="0" borderId="24" xfId="0" applyFont="1" applyBorder="1" applyAlignment="1" applyProtection="1">
      <alignment horizontal="center" vertical="center"/>
      <protection hidden="1"/>
    </xf>
    <xf numFmtId="0" fontId="36" fillId="0" borderId="25" xfId="0" applyFont="1" applyBorder="1" applyAlignment="1" applyProtection="1">
      <alignment horizontal="center" vertical="center"/>
      <protection hidden="1"/>
    </xf>
    <xf numFmtId="0" fontId="34" fillId="0" borderId="22" xfId="0" applyFont="1" applyBorder="1" applyAlignment="1" applyProtection="1">
      <alignment horizontal="left" vertical="center"/>
      <protection hidden="1"/>
    </xf>
    <xf numFmtId="0" fontId="0" fillId="0" borderId="0" xfId="0" applyFont="1" applyAlignment="1" applyProtection="1">
      <alignment horizontal="center" wrapText="1"/>
      <protection hidden="1"/>
    </xf>
    <xf numFmtId="0" fontId="36" fillId="0" borderId="0" xfId="0" applyFont="1" applyBorder="1" applyAlignment="1" applyProtection="1">
      <alignment horizontal="center" vertical="center"/>
      <protection hidden="1"/>
    </xf>
    <xf numFmtId="0" fontId="34" fillId="0" borderId="0" xfId="0" applyFont="1" applyBorder="1" applyAlignment="1" applyProtection="1">
      <alignment horizontal="center" vertical="center" wrapText="1"/>
      <protection hidden="1"/>
    </xf>
    <xf numFmtId="0" fontId="0" fillId="0" borderId="0" xfId="0" applyBorder="1" applyProtection="1">
      <protection hidden="1"/>
    </xf>
    <xf numFmtId="0" fontId="35" fillId="0" borderId="23" xfId="0" applyFont="1" applyBorder="1" applyAlignment="1" applyProtection="1">
      <alignment horizontal="center" vertical="center" wrapText="1"/>
      <protection hidden="1"/>
    </xf>
    <xf numFmtId="0" fontId="35" fillId="0" borderId="24" xfId="0" applyFont="1" applyBorder="1" applyAlignment="1" applyProtection="1">
      <alignment horizontal="center" vertical="center" wrapText="1"/>
      <protection hidden="1"/>
    </xf>
    <xf numFmtId="0" fontId="35" fillId="0" borderId="25" xfId="0" applyFont="1" applyBorder="1" applyAlignment="1" applyProtection="1">
      <alignment horizontal="center" vertical="center" wrapText="1"/>
      <protection hidden="1"/>
    </xf>
    <xf numFmtId="0" fontId="34" fillId="0" borderId="26" xfId="0" applyFont="1" applyBorder="1" applyAlignment="1" applyProtection="1">
      <alignment horizontal="center" vertical="center" wrapText="1"/>
      <protection locked="0"/>
    </xf>
    <xf numFmtId="0" fontId="34" fillId="0" borderId="27" xfId="0" applyFont="1" applyBorder="1" applyAlignment="1" applyProtection="1">
      <alignment horizontal="center" vertical="center" wrapText="1"/>
      <protection locked="0"/>
    </xf>
    <xf numFmtId="0" fontId="34" fillId="0" borderId="28" xfId="0" applyFont="1" applyBorder="1" applyAlignment="1" applyProtection="1">
      <alignment horizontal="center" vertical="center" wrapText="1"/>
      <protection locked="0"/>
    </xf>
    <xf numFmtId="0" fontId="34" fillId="0" borderId="29" xfId="0" applyFont="1" applyBorder="1" applyAlignment="1" applyProtection="1">
      <alignment horizontal="center" vertical="center" wrapText="1"/>
      <protection locked="0"/>
    </xf>
    <xf numFmtId="0" fontId="34" fillId="0" borderId="30" xfId="0" applyFont="1" applyBorder="1" applyAlignment="1" applyProtection="1">
      <alignment horizontal="center" vertical="center" wrapText="1"/>
      <protection locked="0"/>
    </xf>
    <xf numFmtId="0" fontId="34" fillId="0" borderId="31" xfId="0" applyFont="1" applyBorder="1" applyAlignment="1" applyProtection="1">
      <alignment horizontal="center" vertical="center" wrapText="1"/>
      <protection locked="0"/>
    </xf>
    <xf numFmtId="0" fontId="30" fillId="0" borderId="23" xfId="0" applyFont="1" applyBorder="1" applyAlignment="1" applyProtection="1">
      <alignment horizontal="right" vertical="center" wrapText="1"/>
      <protection hidden="1"/>
    </xf>
    <xf numFmtId="0" fontId="30" fillId="0" borderId="24" xfId="0" applyFont="1" applyBorder="1" applyAlignment="1" applyProtection="1">
      <alignment horizontal="right" vertical="center" wrapText="1"/>
      <protection hidden="1"/>
    </xf>
    <xf numFmtId="0" fontId="30" fillId="0" borderId="25" xfId="0" applyFont="1" applyBorder="1" applyAlignment="1" applyProtection="1">
      <alignment horizontal="right" vertical="center" wrapText="1"/>
      <protection hidden="1"/>
    </xf>
    <xf numFmtId="0" fontId="30" fillId="0" borderId="23" xfId="0" applyFont="1" applyBorder="1" applyAlignment="1" applyProtection="1">
      <alignment horizontal="left" vertical="center"/>
      <protection hidden="1"/>
    </xf>
    <xf numFmtId="0" fontId="30" fillId="0" borderId="24" xfId="0" applyFont="1" applyBorder="1" applyAlignment="1" applyProtection="1">
      <alignment horizontal="left" vertical="center"/>
      <protection hidden="1"/>
    </xf>
    <xf numFmtId="0" fontId="30" fillId="0" borderId="25" xfId="0" applyFont="1" applyBorder="1" applyAlignment="1" applyProtection="1">
      <alignment horizontal="left" vertical="center"/>
      <protection hidden="1"/>
    </xf>
    <xf numFmtId="0" fontId="35" fillId="0" borderId="22" xfId="0" applyFont="1" applyBorder="1" applyAlignment="1" applyProtection="1">
      <alignment horizontal="left" vertical="center"/>
      <protection hidden="1"/>
    </xf>
    <xf numFmtId="1" fontId="40" fillId="9" borderId="67" xfId="0" applyNumberFormat="1" applyFont="1" applyFill="1" applyBorder="1" applyAlignment="1" applyProtection="1">
      <alignment horizontal="center" vertical="center"/>
      <protection locked="0" hidden="1"/>
    </xf>
  </cellXfs>
  <cellStyles count="23">
    <cellStyle name="Comma" xfId="1" builtinId="3"/>
    <cellStyle name="Hyperlink" xfId="22" builtinId="8"/>
    <cellStyle name="Hyperlink 2" xfId="21"/>
    <cellStyle name="Normal" xfId="0" builtinId="0"/>
    <cellStyle name="Normal 10" xfId="19"/>
    <cellStyle name="Normal 2" xfId="2"/>
    <cellStyle name="Normal 2 10" xfId="20"/>
    <cellStyle name="Normal 2 2" xfId="3"/>
    <cellStyle name="Normal 2 3" xfId="6"/>
    <cellStyle name="Normal 2 4" xfId="8"/>
    <cellStyle name="Normal 2 5" xfId="10"/>
    <cellStyle name="Normal 2 6" xfId="12"/>
    <cellStyle name="Normal 2 7" xfId="14"/>
    <cellStyle name="Normal 2 8" xfId="16"/>
    <cellStyle name="Normal 2 9" xfId="18"/>
    <cellStyle name="Normal 3" xfId="5"/>
    <cellStyle name="Normal 4" xfId="7"/>
    <cellStyle name="Normal 5" xfId="9"/>
    <cellStyle name="Normal 6" xfId="11"/>
    <cellStyle name="Normal 7" xfId="13"/>
    <cellStyle name="Normal 8" xfId="15"/>
    <cellStyle name="Normal 9" xfId="17"/>
    <cellStyle name="Normal_pay 2008-09" xfId="4"/>
  </cellStyles>
  <dxfs count="1">
    <dxf>
      <font>
        <condense val="0"/>
        <extend val="0"/>
        <color rgb="FF9C0006"/>
      </font>
    </dxf>
  </dxfs>
  <tableStyles count="0" defaultTableStyle="TableStyleMedium9" defaultPivotStyle="PivotStyleLight16"/>
  <colors>
    <mruColors>
      <color rgb="FF166D07"/>
      <color rgb="FF2C5123"/>
      <color rgb="FFC0C03E"/>
      <color rgb="FF525E16"/>
      <color rgb="FF5A285B"/>
      <color rgb="FF2A4A32"/>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2771775</xdr:colOff>
      <xdr:row>1</xdr:row>
      <xdr:rowOff>19050</xdr:rowOff>
    </xdr:from>
    <xdr:to>
      <xdr:col>1</xdr:col>
      <xdr:colOff>4714875</xdr:colOff>
      <xdr:row>1</xdr:row>
      <xdr:rowOff>1752600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3381375" y="514350"/>
          <a:ext cx="1943100" cy="1733550"/>
        </a:xfrm>
        <a:prstGeom prst="rect">
          <a:avLst/>
        </a:prstGeom>
        <a:noFill/>
      </xdr:spPr>
    </xdr:pic>
    <xdr:clientData/>
  </xdr:twoCellAnchor>
  <xdr:oneCellAnchor>
    <xdr:from>
      <xdr:col>0</xdr:col>
      <xdr:colOff>47625</xdr:colOff>
      <xdr:row>1</xdr:row>
      <xdr:rowOff>152400</xdr:rowOff>
    </xdr:from>
    <xdr:ext cx="3171825" cy="655885"/>
    <xdr:sp macro="" textlink="">
      <xdr:nvSpPr>
        <xdr:cNvPr id="3" name="Rectangle 2"/>
        <xdr:cNvSpPr/>
      </xdr:nvSpPr>
      <xdr:spPr>
        <a:xfrm>
          <a:off x="47625" y="647700"/>
          <a:ext cx="3171825" cy="655885"/>
        </a:xfrm>
        <a:prstGeom prst="rect">
          <a:avLst/>
        </a:prstGeom>
        <a:noFill/>
      </xdr:spPr>
      <xdr:txBody>
        <a:bodyPr wrap="square" lIns="91440" tIns="45720" rIns="91440" bIns="45720">
          <a:spAutoFit/>
        </a:bodyPr>
        <a:lstStyle/>
        <a:p>
          <a:pPr algn="ctr"/>
          <a:endParaRPr lang="en-US" sz="36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970281</xdr:colOff>
      <xdr:row>21</xdr:row>
      <xdr:rowOff>91017</xdr:rowOff>
    </xdr:from>
    <xdr:to>
      <xdr:col>3</xdr:col>
      <xdr:colOff>1349375</xdr:colOff>
      <xdr:row>21</xdr:row>
      <xdr:rowOff>300567</xdr:rowOff>
    </xdr:to>
    <xdr:sp macro="" textlink="">
      <xdr:nvSpPr>
        <xdr:cNvPr id="3" name="rightArrow"/>
        <xdr:cNvSpPr/>
      </xdr:nvSpPr>
      <xdr:spPr>
        <a:xfrm>
          <a:off x="4685031" y="6568017"/>
          <a:ext cx="379094" cy="209550"/>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xdr:from>
      <xdr:col>6</xdr:col>
      <xdr:colOff>1400174</xdr:colOff>
      <xdr:row>21</xdr:row>
      <xdr:rowOff>171450</xdr:rowOff>
    </xdr:from>
    <xdr:to>
      <xdr:col>10</xdr:col>
      <xdr:colOff>2038349</xdr:colOff>
      <xdr:row>23</xdr:row>
      <xdr:rowOff>412750</xdr:rowOff>
    </xdr:to>
    <xdr:sp macro="" textlink="">
      <xdr:nvSpPr>
        <xdr:cNvPr id="13" name="Oval Callout 12"/>
        <xdr:cNvSpPr/>
      </xdr:nvSpPr>
      <xdr:spPr>
        <a:xfrm>
          <a:off x="8999007" y="6648450"/>
          <a:ext cx="5951009" cy="897467"/>
        </a:xfrm>
        <a:prstGeom prst="wedgeEllipseCallout">
          <a:avLst>
            <a:gd name="adj1" fmla="val -73983"/>
            <a:gd name="adj2" fmla="val -19029"/>
          </a:avLst>
        </a:prstGeom>
        <a:solidFill>
          <a:schemeClr val="accent3">
            <a:lumMod val="40000"/>
            <a:lumOff val="6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1" baseline="0">
              <a:solidFill>
                <a:srgbClr val="7030A0"/>
              </a:solidFill>
              <a:latin typeface="Kruti Dev 010" pitchFamily="2" charset="0"/>
              <a:ea typeface="+mn-ea"/>
              <a:cs typeface="+mn-cs"/>
            </a:rPr>
            <a:t>vkidk VhMh,l  </a:t>
          </a:r>
          <a:r>
            <a:rPr lang="en-US" sz="1200" b="1" baseline="0">
              <a:solidFill>
                <a:srgbClr val="7030A0"/>
              </a:solidFill>
              <a:latin typeface="+mn-lt"/>
              <a:ea typeface="+mn-ea"/>
              <a:cs typeface="+mn-cs"/>
            </a:rPr>
            <a:t>BIN </a:t>
          </a:r>
          <a:r>
            <a:rPr lang="en-US" sz="1200" b="1" baseline="0">
              <a:solidFill>
                <a:srgbClr val="7030A0"/>
              </a:solidFill>
              <a:latin typeface="Kruti Dev 010" pitchFamily="2" charset="0"/>
              <a:ea typeface="+mn-ea"/>
              <a:cs typeface="+mn-cs"/>
            </a:rPr>
            <a:t>ds }kjk tek gksrk gSa rks </a:t>
          </a:r>
          <a:r>
            <a:rPr lang="en-US" sz="1200" b="1" baseline="0">
              <a:solidFill>
                <a:srgbClr val="7030A0"/>
              </a:solidFill>
              <a:latin typeface="+mn-lt"/>
              <a:ea typeface="+mn-ea"/>
              <a:cs typeface="+mn-cs"/>
            </a:rPr>
            <a:t>Cell E23  </a:t>
          </a:r>
          <a:r>
            <a:rPr lang="en-US" sz="1200" b="1" baseline="0">
              <a:solidFill>
                <a:srgbClr val="7030A0"/>
              </a:solidFill>
              <a:latin typeface="Kruti Dev 010" pitchFamily="2" charset="0"/>
              <a:ea typeface="+mn-ea"/>
              <a:cs typeface="+mn-cs"/>
            </a:rPr>
            <a:t> esa </a:t>
          </a:r>
          <a:r>
            <a:rPr lang="en-US" sz="1200" b="1" baseline="0">
              <a:solidFill>
                <a:srgbClr val="7030A0"/>
              </a:solidFill>
              <a:latin typeface="+mn-lt"/>
              <a:ea typeface="+mn-ea"/>
              <a:cs typeface="Aharoni" pitchFamily="2" charset="-79"/>
            </a:rPr>
            <a:t>Book Indentification Number </a:t>
          </a:r>
          <a:r>
            <a:rPr lang="en-US" sz="1200" b="1" baseline="0">
              <a:solidFill>
                <a:srgbClr val="7030A0"/>
              </a:solidFill>
              <a:latin typeface="Kruti Dev 010" pitchFamily="2" charset="0"/>
              <a:ea typeface="+mn-ea"/>
              <a:cs typeface="+mn-cs"/>
            </a:rPr>
            <a:t>lysDV djsa vkSj </a:t>
          </a:r>
          <a:r>
            <a:rPr lang="en-US" sz="1100" b="1" baseline="0">
              <a:solidFill>
                <a:srgbClr val="7030A0"/>
              </a:solidFill>
              <a:latin typeface="Kruti Dev 010" pitchFamily="2" charset="0"/>
              <a:ea typeface="+mn-ea"/>
              <a:cs typeface="+mn-cs"/>
            </a:rPr>
            <a:t>vkidk VhMh,l  pkyku </a:t>
          </a:r>
          <a:r>
            <a:rPr lang="en-US" sz="1100" b="1" baseline="0">
              <a:solidFill>
                <a:srgbClr val="7030A0"/>
              </a:solidFill>
              <a:latin typeface="+mn-lt"/>
              <a:ea typeface="+mn-ea"/>
              <a:cs typeface="+mn-cs"/>
            </a:rPr>
            <a:t>CIN</a:t>
          </a:r>
          <a:r>
            <a:rPr lang="en-US" sz="1100" b="1" baseline="0">
              <a:solidFill>
                <a:srgbClr val="7030A0"/>
              </a:solidFill>
              <a:latin typeface="Kruti Dev 010" pitchFamily="2" charset="0"/>
              <a:ea typeface="+mn-ea"/>
              <a:cs typeface="+mn-cs"/>
            </a:rPr>
            <a:t> ds }kjk tek gksrk gSa rks </a:t>
          </a:r>
          <a:r>
            <a:rPr lang="en-US" sz="1100" b="1" baseline="0">
              <a:solidFill>
                <a:srgbClr val="7030A0"/>
              </a:solidFill>
              <a:latin typeface="+mn-lt"/>
              <a:ea typeface="+mn-ea"/>
              <a:cs typeface="+mn-cs"/>
            </a:rPr>
            <a:t>Cell E23   </a:t>
          </a:r>
          <a:r>
            <a:rPr lang="en-US" sz="1100" b="1" baseline="0">
              <a:solidFill>
                <a:srgbClr val="7030A0"/>
              </a:solidFill>
              <a:latin typeface="Kruti Dev 010" pitchFamily="2" charset="0"/>
              <a:ea typeface="+mn-ea"/>
              <a:cs typeface="+mn-cs"/>
            </a:rPr>
            <a:t>esa </a:t>
          </a:r>
          <a:r>
            <a:rPr lang="en-US" sz="1100" b="1" baseline="0">
              <a:solidFill>
                <a:srgbClr val="7030A0"/>
              </a:solidFill>
              <a:latin typeface="+mn-lt"/>
              <a:ea typeface="+mn-ea"/>
              <a:cs typeface="+mn-cs"/>
            </a:rPr>
            <a:t>Challan Indentification Number </a:t>
          </a:r>
          <a:r>
            <a:rPr lang="en-US" sz="1100" b="1" baseline="0">
              <a:solidFill>
                <a:srgbClr val="7030A0"/>
              </a:solidFill>
              <a:latin typeface="Kruti Dev 010" pitchFamily="2" charset="0"/>
              <a:ea typeface="+mn-ea"/>
              <a:cs typeface="+mn-cs"/>
            </a:rPr>
            <a:t>lysDV djsa </a:t>
          </a:r>
          <a:endParaRPr lang="en-US" sz="1200" b="1">
            <a:solidFill>
              <a:srgbClr val="7030A0"/>
            </a:solidFill>
            <a:latin typeface="Kruti Dev 010" pitchFamily="2" charset="0"/>
            <a:ea typeface="+mn-ea"/>
            <a:cs typeface="+mn-cs"/>
          </a:endParaRPr>
        </a:p>
        <a:p>
          <a:pPr algn="ctr"/>
          <a:endParaRPr lang="en-US" sz="1100">
            <a:solidFill>
              <a:srgbClr val="7030A0"/>
            </a:solidFill>
          </a:endParaRPr>
        </a:p>
      </xdr:txBody>
    </xdr:sp>
    <xdr:clientData/>
  </xdr:twoCellAnchor>
  <xdr:twoCellAnchor>
    <xdr:from>
      <xdr:col>1</xdr:col>
      <xdr:colOff>1771649</xdr:colOff>
      <xdr:row>7</xdr:row>
      <xdr:rowOff>78318</xdr:rowOff>
    </xdr:from>
    <xdr:to>
      <xdr:col>2</xdr:col>
      <xdr:colOff>9524</xdr:colOff>
      <xdr:row>7</xdr:row>
      <xdr:rowOff>173567</xdr:rowOff>
    </xdr:to>
    <xdr:sp macro="" textlink="">
      <xdr:nvSpPr>
        <xdr:cNvPr id="14" name="5-Point Star 13"/>
        <xdr:cNvSpPr/>
      </xdr:nvSpPr>
      <xdr:spPr>
        <a:xfrm>
          <a:off x="2258482" y="2110318"/>
          <a:ext cx="142875" cy="95249"/>
        </a:xfrm>
        <a:prstGeom prst="star5">
          <a:avLst/>
        </a:prstGeom>
      </xdr:spPr>
      <xdr:style>
        <a:lnRef idx="1">
          <a:schemeClr val="accent2"/>
        </a:lnRef>
        <a:fillRef idx="3">
          <a:schemeClr val="accent2"/>
        </a:fillRef>
        <a:effectRef idx="2">
          <a:schemeClr val="accent2"/>
        </a:effectRef>
        <a:fontRef idx="minor">
          <a:schemeClr val="lt1"/>
        </a:fontRef>
      </xdr:style>
      <xdr:txBody>
        <a:bodyPr rtlCol="0" anchor="ctr"/>
        <a:lstStyle/>
        <a:p>
          <a:endParaRPr lang="en-US"/>
        </a:p>
      </xdr:txBody>
    </xdr:sp>
    <xdr:clientData/>
  </xdr:twoCellAnchor>
  <xdr:twoCellAnchor>
    <xdr:from>
      <xdr:col>6</xdr:col>
      <xdr:colOff>99483</xdr:colOff>
      <xdr:row>8</xdr:row>
      <xdr:rowOff>87842</xdr:rowOff>
    </xdr:from>
    <xdr:to>
      <xdr:col>6</xdr:col>
      <xdr:colOff>242358</xdr:colOff>
      <xdr:row>8</xdr:row>
      <xdr:rowOff>183091</xdr:rowOff>
    </xdr:to>
    <xdr:sp macro="" textlink="">
      <xdr:nvSpPr>
        <xdr:cNvPr id="56" name="5-Point Star 55"/>
        <xdr:cNvSpPr/>
      </xdr:nvSpPr>
      <xdr:spPr>
        <a:xfrm>
          <a:off x="8248650" y="2437342"/>
          <a:ext cx="142875" cy="95249"/>
        </a:xfrm>
        <a:prstGeom prst="star5">
          <a:avLst/>
        </a:prstGeom>
      </xdr:spPr>
      <xdr:style>
        <a:lnRef idx="1">
          <a:schemeClr val="accent2"/>
        </a:lnRef>
        <a:fillRef idx="3">
          <a:schemeClr val="accent2"/>
        </a:fillRef>
        <a:effectRef idx="2">
          <a:schemeClr val="accent2"/>
        </a:effectRef>
        <a:fontRef idx="minor">
          <a:schemeClr val="lt1"/>
        </a:fontRef>
      </xdr:style>
      <xdr:txBody>
        <a:bodyPr rtlCol="0" anchor="ctr"/>
        <a:lstStyle/>
        <a:p>
          <a:endParaRPr lang="en-US"/>
        </a:p>
      </xdr:txBody>
    </xdr:sp>
    <xdr:clientData/>
  </xdr:twoCellAnchor>
  <xdr:twoCellAnchor>
    <xdr:from>
      <xdr:col>0</xdr:col>
      <xdr:colOff>476250</xdr:colOff>
      <xdr:row>22</xdr:row>
      <xdr:rowOff>66675</xdr:rowOff>
    </xdr:from>
    <xdr:to>
      <xdr:col>1</xdr:col>
      <xdr:colOff>133350</xdr:colOff>
      <xdr:row>22</xdr:row>
      <xdr:rowOff>161924</xdr:rowOff>
    </xdr:to>
    <xdr:sp macro="" textlink="">
      <xdr:nvSpPr>
        <xdr:cNvPr id="61" name="5-Point Star 60"/>
        <xdr:cNvSpPr/>
      </xdr:nvSpPr>
      <xdr:spPr>
        <a:xfrm>
          <a:off x="476250" y="6861175"/>
          <a:ext cx="143933" cy="95249"/>
        </a:xfrm>
        <a:prstGeom prst="star5">
          <a:avLst/>
        </a:prstGeom>
      </xdr:spPr>
      <xdr:style>
        <a:lnRef idx="1">
          <a:schemeClr val="accent2"/>
        </a:lnRef>
        <a:fillRef idx="3">
          <a:schemeClr val="accent2"/>
        </a:fillRef>
        <a:effectRef idx="2">
          <a:schemeClr val="accent2"/>
        </a:effectRef>
        <a:fontRef idx="minor">
          <a:schemeClr val="lt1"/>
        </a:fontRef>
      </xdr:style>
      <xdr:txBody>
        <a:bodyPr rtlCol="0" anchor="ctr"/>
        <a:lstStyle/>
        <a:p>
          <a:endParaRPr lang="en-US"/>
        </a:p>
      </xdr:txBody>
    </xdr:sp>
    <xdr:clientData/>
  </xdr:twoCellAnchor>
  <xdr:twoCellAnchor>
    <xdr:from>
      <xdr:col>10</xdr:col>
      <xdr:colOff>0</xdr:colOff>
      <xdr:row>1</xdr:row>
      <xdr:rowOff>201084</xdr:rowOff>
    </xdr:from>
    <xdr:to>
      <xdr:col>10</xdr:col>
      <xdr:colOff>142875</xdr:colOff>
      <xdr:row>2</xdr:row>
      <xdr:rowOff>31750</xdr:rowOff>
    </xdr:to>
    <xdr:sp macro="" textlink="">
      <xdr:nvSpPr>
        <xdr:cNvPr id="71" name="5-Point Star 70"/>
        <xdr:cNvSpPr/>
      </xdr:nvSpPr>
      <xdr:spPr>
        <a:xfrm>
          <a:off x="13387917" y="645584"/>
          <a:ext cx="142875" cy="95249"/>
        </a:xfrm>
        <a:prstGeom prst="star5">
          <a:avLst/>
        </a:prstGeom>
      </xdr:spPr>
      <xdr:style>
        <a:lnRef idx="1">
          <a:schemeClr val="accent6"/>
        </a:lnRef>
        <a:fillRef idx="2">
          <a:schemeClr val="accent6"/>
        </a:fillRef>
        <a:effectRef idx="1">
          <a:schemeClr val="accent6"/>
        </a:effectRef>
        <a:fontRef idx="minor">
          <a:schemeClr val="dk1"/>
        </a:fontRef>
      </xdr:style>
      <xdr:txBody>
        <a:bodyPr rtlCol="0" anchor="ctr"/>
        <a:lstStyle/>
        <a:p>
          <a:endParaRPr lang="en-US"/>
        </a:p>
      </xdr:txBody>
    </xdr:sp>
    <xdr:clientData/>
  </xdr:twoCellAnchor>
  <xdr:twoCellAnchor>
    <xdr:from>
      <xdr:col>7</xdr:col>
      <xdr:colOff>929216</xdr:colOff>
      <xdr:row>3</xdr:row>
      <xdr:rowOff>34925</xdr:rowOff>
    </xdr:from>
    <xdr:to>
      <xdr:col>7</xdr:col>
      <xdr:colOff>1338791</xdr:colOff>
      <xdr:row>3</xdr:row>
      <xdr:rowOff>234950</xdr:rowOff>
    </xdr:to>
    <xdr:sp macro="" textlink="">
      <xdr:nvSpPr>
        <xdr:cNvPr id="75" name="rightArrow"/>
        <xdr:cNvSpPr/>
      </xdr:nvSpPr>
      <xdr:spPr>
        <a:xfrm>
          <a:off x="10030883" y="1008592"/>
          <a:ext cx="409575" cy="200025"/>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xdr:from>
      <xdr:col>7</xdr:col>
      <xdr:colOff>1356782</xdr:colOff>
      <xdr:row>5</xdr:row>
      <xdr:rowOff>59269</xdr:rowOff>
    </xdr:from>
    <xdr:to>
      <xdr:col>7</xdr:col>
      <xdr:colOff>1728256</xdr:colOff>
      <xdr:row>5</xdr:row>
      <xdr:rowOff>259292</xdr:rowOff>
    </xdr:to>
    <xdr:sp macro="" textlink="">
      <xdr:nvSpPr>
        <xdr:cNvPr id="77" name="rightArrow"/>
        <xdr:cNvSpPr/>
      </xdr:nvSpPr>
      <xdr:spPr>
        <a:xfrm>
          <a:off x="10458449" y="1562102"/>
          <a:ext cx="371474" cy="200023"/>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xdr:from>
      <xdr:col>6</xdr:col>
      <xdr:colOff>27517</xdr:colOff>
      <xdr:row>5</xdr:row>
      <xdr:rowOff>47625</xdr:rowOff>
    </xdr:from>
    <xdr:to>
      <xdr:col>6</xdr:col>
      <xdr:colOff>138642</xdr:colOff>
      <xdr:row>5</xdr:row>
      <xdr:rowOff>142874</xdr:rowOff>
    </xdr:to>
    <xdr:sp macro="" textlink="">
      <xdr:nvSpPr>
        <xdr:cNvPr id="78" name="5-Point Star 77"/>
        <xdr:cNvSpPr/>
      </xdr:nvSpPr>
      <xdr:spPr>
        <a:xfrm>
          <a:off x="7626350" y="1550458"/>
          <a:ext cx="111125" cy="95249"/>
        </a:xfrm>
        <a:prstGeom prst="star5">
          <a:avLst/>
        </a:prstGeom>
      </xdr:spPr>
      <xdr:style>
        <a:lnRef idx="1">
          <a:schemeClr val="accent6"/>
        </a:lnRef>
        <a:fillRef idx="2">
          <a:schemeClr val="accent6"/>
        </a:fillRef>
        <a:effectRef idx="1">
          <a:schemeClr val="accent6"/>
        </a:effectRef>
        <a:fontRef idx="minor">
          <a:schemeClr val="dk1"/>
        </a:fontRef>
      </xdr:style>
      <xdr:txBody>
        <a:bodyPr rtlCol="0" anchor="ctr"/>
        <a:lstStyle/>
        <a:p>
          <a:endParaRPr lang="en-US"/>
        </a:p>
      </xdr:txBody>
    </xdr:sp>
    <xdr:clientData/>
  </xdr:twoCellAnchor>
  <xdr:twoCellAnchor>
    <xdr:from>
      <xdr:col>3</xdr:col>
      <xdr:colOff>508000</xdr:colOff>
      <xdr:row>2</xdr:row>
      <xdr:rowOff>52917</xdr:rowOff>
    </xdr:from>
    <xdr:to>
      <xdr:col>3</xdr:col>
      <xdr:colOff>1164167</xdr:colOff>
      <xdr:row>3</xdr:row>
      <xdr:rowOff>9522</xdr:rowOff>
    </xdr:to>
    <xdr:sp macro="" textlink="">
      <xdr:nvSpPr>
        <xdr:cNvPr id="68" name="rightArrow"/>
        <xdr:cNvSpPr/>
      </xdr:nvSpPr>
      <xdr:spPr>
        <a:xfrm>
          <a:off x="4222750" y="762000"/>
          <a:ext cx="656167" cy="221189"/>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xdr:from>
      <xdr:col>3</xdr:col>
      <xdr:colOff>582083</xdr:colOff>
      <xdr:row>4</xdr:row>
      <xdr:rowOff>74083</xdr:rowOff>
    </xdr:from>
    <xdr:to>
      <xdr:col>3</xdr:col>
      <xdr:colOff>1143000</xdr:colOff>
      <xdr:row>4</xdr:row>
      <xdr:rowOff>242357</xdr:rowOff>
    </xdr:to>
    <xdr:sp macro="" textlink="">
      <xdr:nvSpPr>
        <xdr:cNvPr id="80" name="rightArrow"/>
        <xdr:cNvSpPr/>
      </xdr:nvSpPr>
      <xdr:spPr>
        <a:xfrm>
          <a:off x="4296833" y="1312333"/>
          <a:ext cx="560917" cy="168274"/>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editAs="oneCell">
    <xdr:from>
      <xdr:col>11</xdr:col>
      <xdr:colOff>2370668</xdr:colOff>
      <xdr:row>1</xdr:row>
      <xdr:rowOff>127000</xdr:rowOff>
    </xdr:from>
    <xdr:to>
      <xdr:col>13</xdr:col>
      <xdr:colOff>124884</xdr:colOff>
      <xdr:row>10</xdr:row>
      <xdr:rowOff>1058</xdr:rowOff>
    </xdr:to>
    <xdr:pic>
      <xdr:nvPicPr>
        <xdr:cNvPr id="15" name="Picture 14"/>
        <xdr:cNvPicPr>
          <a:picLocks noChangeAspect="1" noChangeArrowheads="1"/>
        </xdr:cNvPicPr>
      </xdr:nvPicPr>
      <xdr:blipFill>
        <a:blip xmlns:r="http://schemas.openxmlformats.org/officeDocument/2006/relationships" r:embed="rId1"/>
        <a:srcRect/>
        <a:stretch>
          <a:fillRect/>
        </a:stretch>
      </xdr:blipFill>
      <xdr:spPr bwMode="auto">
        <a:xfrm>
          <a:off x="17663585" y="571500"/>
          <a:ext cx="2222500" cy="2414058"/>
        </a:xfrm>
        <a:prstGeom prst="rect">
          <a:avLst/>
        </a:prstGeom>
        <a:noFill/>
      </xdr:spPr>
    </xdr:pic>
    <xdr:clientData/>
  </xdr:twoCellAnchor>
  <xdr:twoCellAnchor editAs="oneCell">
    <xdr:from>
      <xdr:col>12</xdr:col>
      <xdr:colOff>1206499</xdr:colOff>
      <xdr:row>22</xdr:row>
      <xdr:rowOff>169333</xdr:rowOff>
    </xdr:from>
    <xdr:to>
      <xdr:col>13</xdr:col>
      <xdr:colOff>702732</xdr:colOff>
      <xdr:row>28</xdr:row>
      <xdr:rowOff>0</xdr:rowOff>
    </xdr:to>
    <xdr:pic>
      <xdr:nvPicPr>
        <xdr:cNvPr id="3105" name="Picture 33"/>
        <xdr:cNvPicPr>
          <a:picLocks noChangeAspect="1" noChangeArrowheads="1"/>
        </xdr:cNvPicPr>
      </xdr:nvPicPr>
      <xdr:blipFill>
        <a:blip xmlns:r="http://schemas.openxmlformats.org/officeDocument/2006/relationships" r:embed="rId2"/>
        <a:srcRect/>
        <a:stretch>
          <a:fillRect/>
        </a:stretch>
      </xdr:blipFill>
      <xdr:spPr bwMode="auto">
        <a:xfrm>
          <a:off x="16531166" y="6963833"/>
          <a:ext cx="1591733" cy="1767417"/>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21167</xdr:colOff>
      <xdr:row>2</xdr:row>
      <xdr:rowOff>21166</xdr:rowOff>
    </xdr:from>
    <xdr:to>
      <xdr:col>3</xdr:col>
      <xdr:colOff>709084</xdr:colOff>
      <xdr:row>2</xdr:row>
      <xdr:rowOff>423333</xdr:rowOff>
    </xdr:to>
    <xdr:sp macro="" textlink="">
      <xdr:nvSpPr>
        <xdr:cNvPr id="3" name="Rounded Rectangle 2"/>
        <xdr:cNvSpPr/>
      </xdr:nvSpPr>
      <xdr:spPr>
        <a:xfrm>
          <a:off x="21167" y="857249"/>
          <a:ext cx="2381250" cy="402167"/>
        </a:xfrm>
        <a:prstGeom prst="roundRect">
          <a:avLst>
            <a:gd name="adj" fmla="val 13889"/>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600" b="1">
              <a:solidFill>
                <a:srgbClr val="FF0000"/>
              </a:solidFill>
              <a:latin typeface="Kruti Dev 010" pitchFamily="2" charset="0"/>
            </a:rPr>
            <a:t>VsDl dh x.kuk fdl ekg ls %&amp;</a:t>
          </a:r>
        </a:p>
      </xdr:txBody>
    </xdr:sp>
    <xdr:clientData/>
  </xdr:twoCellAnchor>
  <xdr:twoCellAnchor>
    <xdr:from>
      <xdr:col>6</xdr:col>
      <xdr:colOff>10583</xdr:colOff>
      <xdr:row>1</xdr:row>
      <xdr:rowOff>391584</xdr:rowOff>
    </xdr:from>
    <xdr:to>
      <xdr:col>8</xdr:col>
      <xdr:colOff>465667</xdr:colOff>
      <xdr:row>2</xdr:row>
      <xdr:rowOff>412750</xdr:rowOff>
    </xdr:to>
    <xdr:sp macro="" textlink="">
      <xdr:nvSpPr>
        <xdr:cNvPr id="6" name="Rounded Rectangle 5"/>
        <xdr:cNvSpPr/>
      </xdr:nvSpPr>
      <xdr:spPr>
        <a:xfrm>
          <a:off x="3513666" y="825501"/>
          <a:ext cx="1471084" cy="423332"/>
        </a:xfrm>
        <a:prstGeom prst="roundRect">
          <a:avLst>
            <a:gd name="adj" fmla="val 50000"/>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600" b="1">
              <a:solidFill>
                <a:srgbClr val="FF0000"/>
              </a:solidFill>
              <a:latin typeface="Kruti Dev 010" pitchFamily="2" charset="0"/>
            </a:rPr>
            <a:t>fdl ekg rd %&amp;</a:t>
          </a:r>
        </a:p>
      </xdr:txBody>
    </xdr:sp>
    <xdr:clientData/>
  </xdr:twoCellAnchor>
  <xdr:twoCellAnchor>
    <xdr:from>
      <xdr:col>12</xdr:col>
      <xdr:colOff>498474</xdr:colOff>
      <xdr:row>1</xdr:row>
      <xdr:rowOff>280458</xdr:rowOff>
    </xdr:from>
    <xdr:to>
      <xdr:col>20</xdr:col>
      <xdr:colOff>11641</xdr:colOff>
      <xdr:row>2</xdr:row>
      <xdr:rowOff>365126</xdr:rowOff>
    </xdr:to>
    <xdr:sp macro="" textlink="">
      <xdr:nvSpPr>
        <xdr:cNvPr id="7" name="Rounded Rectangle 6"/>
        <xdr:cNvSpPr/>
      </xdr:nvSpPr>
      <xdr:spPr>
        <a:xfrm>
          <a:off x="7023099" y="709083"/>
          <a:ext cx="3456517" cy="484718"/>
        </a:xfrm>
        <a:prstGeom prst="roundRect">
          <a:avLst/>
        </a:prstGeom>
      </xdr:spPr>
      <xdr:style>
        <a:lnRef idx="2">
          <a:schemeClr val="accent4">
            <a:shade val="50000"/>
          </a:schemeClr>
        </a:lnRef>
        <a:fillRef idx="1">
          <a:schemeClr val="accent4"/>
        </a:fillRef>
        <a:effectRef idx="0">
          <a:schemeClr val="accent4"/>
        </a:effectRef>
        <a:fontRef idx="minor">
          <a:schemeClr val="lt1"/>
        </a:fontRef>
      </xdr:style>
      <xdr:txBody>
        <a:bodyPr rtlCol="0" anchor="ctr"/>
        <a:lstStyle/>
        <a:p>
          <a:pPr algn="ctr"/>
          <a:r>
            <a:rPr lang="en-US" sz="1800">
              <a:solidFill>
                <a:srgbClr val="FFFF00"/>
              </a:solidFill>
            </a:rPr>
            <a:t>GA55  PAY BILL ENTRY SHEET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1080136</xdr:colOff>
      <xdr:row>31</xdr:row>
      <xdr:rowOff>95250</xdr:rowOff>
    </xdr:from>
    <xdr:to>
      <xdr:col>6</xdr:col>
      <xdr:colOff>1162049</xdr:colOff>
      <xdr:row>31</xdr:row>
      <xdr:rowOff>161926</xdr:rowOff>
    </xdr:to>
    <xdr:sp macro="" textlink="">
      <xdr:nvSpPr>
        <xdr:cNvPr id="2" name="5-Point Star 1"/>
        <xdr:cNvSpPr/>
      </xdr:nvSpPr>
      <xdr:spPr>
        <a:xfrm flipH="1">
          <a:off x="6737986" y="8258175"/>
          <a:ext cx="81913" cy="66676"/>
        </a:xfrm>
        <a:prstGeom prst="star5">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endParaRPr lang="en-US" sz="1100"/>
        </a:p>
      </xdr:txBody>
    </xdr:sp>
    <xdr:clientData/>
  </xdr:twoCellAnchor>
  <xdr:twoCellAnchor>
    <xdr:from>
      <xdr:col>6</xdr:col>
      <xdr:colOff>1028700</xdr:colOff>
      <xdr:row>36</xdr:row>
      <xdr:rowOff>47624</xdr:rowOff>
    </xdr:from>
    <xdr:to>
      <xdr:col>6</xdr:col>
      <xdr:colOff>1123951</xdr:colOff>
      <xdr:row>36</xdr:row>
      <xdr:rowOff>133349</xdr:rowOff>
    </xdr:to>
    <xdr:sp macro="" textlink="">
      <xdr:nvSpPr>
        <xdr:cNvPr id="3" name="5-Point Star 2"/>
        <xdr:cNvSpPr/>
      </xdr:nvSpPr>
      <xdr:spPr>
        <a:xfrm>
          <a:off x="6686550" y="9544049"/>
          <a:ext cx="95251" cy="85725"/>
        </a:xfrm>
        <a:prstGeom prst="star5">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endParaRPr lang="en-US" sz="1100"/>
        </a:p>
      </xdr:txBody>
    </xdr:sp>
    <xdr:clientData/>
  </xdr:twoCellAnchor>
  <xdr:twoCellAnchor>
    <xdr:from>
      <xdr:col>6</xdr:col>
      <xdr:colOff>561975</xdr:colOff>
      <xdr:row>23</xdr:row>
      <xdr:rowOff>9526</xdr:rowOff>
    </xdr:from>
    <xdr:to>
      <xdr:col>6</xdr:col>
      <xdr:colOff>695325</xdr:colOff>
      <xdr:row>23</xdr:row>
      <xdr:rowOff>238125</xdr:rowOff>
    </xdr:to>
    <xdr:sp macro="" textlink="">
      <xdr:nvSpPr>
        <xdr:cNvPr id="4" name="Down Arrow 3"/>
        <xdr:cNvSpPr/>
      </xdr:nvSpPr>
      <xdr:spPr>
        <a:xfrm>
          <a:off x="6219825" y="5886451"/>
          <a:ext cx="133350" cy="22859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266698</xdr:colOff>
      <xdr:row>8</xdr:row>
      <xdr:rowOff>76200</xdr:rowOff>
    </xdr:from>
    <xdr:to>
      <xdr:col>28</xdr:col>
      <xdr:colOff>9525</xdr:colOff>
      <xdr:row>15</xdr:row>
      <xdr:rowOff>152400</xdr:rowOff>
    </xdr:to>
    <xdr:sp macro="" textlink="">
      <xdr:nvSpPr>
        <xdr:cNvPr id="2" name="Oval Callout 1"/>
        <xdr:cNvSpPr/>
      </xdr:nvSpPr>
      <xdr:spPr>
        <a:xfrm>
          <a:off x="9905998" y="1724025"/>
          <a:ext cx="2790827" cy="1238250"/>
        </a:xfrm>
        <a:prstGeom prst="wedgeEllipseCallout">
          <a:avLst>
            <a:gd name="adj1" fmla="val -116891"/>
            <a:gd name="adj2" fmla="val -105016"/>
          </a:avLst>
        </a:prstGeom>
      </xdr:spPr>
      <xdr:style>
        <a:lnRef idx="2">
          <a:schemeClr val="accent4">
            <a:shade val="50000"/>
          </a:schemeClr>
        </a:lnRef>
        <a:fillRef idx="1">
          <a:schemeClr val="accent4"/>
        </a:fillRef>
        <a:effectRef idx="0">
          <a:schemeClr val="accent4"/>
        </a:effectRef>
        <a:fontRef idx="minor">
          <a:schemeClr val="lt1"/>
        </a:fontRef>
      </xdr:style>
      <xdr:txBody>
        <a:bodyPr rtlCol="0" anchor="ctr"/>
        <a:lstStyle/>
        <a:p>
          <a:r>
            <a:rPr lang="en-US" sz="1400" b="1">
              <a:solidFill>
                <a:schemeClr val="lt1"/>
              </a:solidFill>
              <a:latin typeface="Kruti Dev 010" pitchFamily="2" charset="0"/>
              <a:ea typeface="+mn-ea"/>
              <a:cs typeface="+mn-cs"/>
            </a:rPr>
            <a:t>bl</a:t>
          </a:r>
          <a:r>
            <a:rPr lang="en-US" sz="1400" b="1" baseline="0">
              <a:solidFill>
                <a:schemeClr val="lt1"/>
              </a:solidFill>
              <a:latin typeface="Kruti Dev 010" pitchFamily="2" charset="0"/>
              <a:ea typeface="+mn-ea"/>
              <a:cs typeface="+mn-cs"/>
            </a:rPr>
            <a:t> dkWye esa x`g fdjk;k jlhn ds vykok fodykax HkÙkk  rFkk vU; HkÙkk tks dj eqDr gSa dks ;gkW n'kkZ;k x;k gSaA</a:t>
          </a:r>
          <a:endParaRPr lang="en-US" sz="1400" b="1">
            <a:solidFill>
              <a:schemeClr val="lt1"/>
            </a:solidFill>
            <a:latin typeface="Kruti Dev 010" pitchFamily="2" charset="0"/>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85724</xdr:colOff>
      <xdr:row>20</xdr:row>
      <xdr:rowOff>171450</xdr:rowOff>
    </xdr:from>
    <xdr:to>
      <xdr:col>24</xdr:col>
      <xdr:colOff>200025</xdr:colOff>
      <xdr:row>23</xdr:row>
      <xdr:rowOff>28575</xdr:rowOff>
    </xdr:to>
    <xdr:sp macro="" textlink="">
      <xdr:nvSpPr>
        <xdr:cNvPr id="2" name="Oval Callout 1"/>
        <xdr:cNvSpPr/>
      </xdr:nvSpPr>
      <xdr:spPr>
        <a:xfrm>
          <a:off x="8267699" y="3409950"/>
          <a:ext cx="4248151" cy="752475"/>
        </a:xfrm>
        <a:prstGeom prst="wedgeEllipseCallout">
          <a:avLst>
            <a:gd name="adj1" fmla="val -90988"/>
            <a:gd name="adj2" fmla="val 27244"/>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latin typeface="Kruti Dev 010" pitchFamily="2" charset="0"/>
            </a:rPr>
            <a:t>bl</a:t>
          </a:r>
          <a:r>
            <a:rPr lang="en-US" sz="1600" b="1" baseline="0">
              <a:latin typeface="Kruti Dev 010" pitchFamily="2" charset="0"/>
            </a:rPr>
            <a:t> o"kZ </a:t>
          </a:r>
          <a:r>
            <a:rPr lang="en-US" sz="1600" b="1" baseline="0">
              <a:latin typeface="+mn-lt"/>
            </a:rPr>
            <a:t>2018-19</a:t>
          </a:r>
          <a:r>
            <a:rPr lang="en-US" sz="1600" b="1" baseline="0">
              <a:latin typeface="Kruti Dev 010" pitchFamily="2" charset="0"/>
            </a:rPr>
            <a:t> dh usV VsDlscy bUde ,fj;j lfgr jkf'k nl ds xq.kkad esa fy[kuh gSaA</a:t>
          </a:r>
          <a:endParaRPr lang="en-US" sz="1600" b="1">
            <a:latin typeface="Kruti Dev 010" pitchFamily="2" charset="0"/>
          </a:endParaRPr>
        </a:p>
      </xdr:txBody>
    </xdr:sp>
    <xdr:clientData/>
  </xdr:twoCellAnchor>
  <xdr:twoCellAnchor>
    <xdr:from>
      <xdr:col>17</xdr:col>
      <xdr:colOff>114299</xdr:colOff>
      <xdr:row>5</xdr:row>
      <xdr:rowOff>19050</xdr:rowOff>
    </xdr:from>
    <xdr:to>
      <xdr:col>25</xdr:col>
      <xdr:colOff>0</xdr:colOff>
      <xdr:row>11</xdr:row>
      <xdr:rowOff>57150</xdr:rowOff>
    </xdr:to>
    <xdr:sp macro="" textlink="">
      <xdr:nvSpPr>
        <xdr:cNvPr id="3" name="Oval Callout 2"/>
        <xdr:cNvSpPr/>
      </xdr:nvSpPr>
      <xdr:spPr>
        <a:xfrm>
          <a:off x="9763124" y="1114425"/>
          <a:ext cx="4610101" cy="752475"/>
        </a:xfrm>
        <a:prstGeom prst="wedgeEllipseCallout">
          <a:avLst>
            <a:gd name="adj1" fmla="val -90988"/>
            <a:gd name="adj2" fmla="val 27244"/>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latin typeface="Kruti Dev 010" pitchFamily="2" charset="0"/>
            </a:rPr>
            <a:t>l= ds nkSjku </a:t>
          </a:r>
          <a:r>
            <a:rPr lang="en-US" sz="1600" b="1" baseline="0">
              <a:latin typeface="Kruti Dev 010" pitchFamily="2" charset="0"/>
            </a:rPr>
            <a:t>usV VsDlscy jkf'k nl ds xq.kkad esa fy[kuh gSaA  ftlesa lHkh rjg dh dVkSfr;kW o NwV dks ?kVk dj fy[kuk gSaA</a:t>
          </a:r>
          <a:endParaRPr lang="en-US" sz="1600" b="1">
            <a:latin typeface="Kruti Dev 010" pitchFamily="2" charset="0"/>
          </a:endParaRPr>
        </a:p>
      </xdr:txBody>
    </xdr:sp>
    <xdr:clientData/>
  </xdr:twoCellAnchor>
  <xdr:twoCellAnchor>
    <xdr:from>
      <xdr:col>17</xdr:col>
      <xdr:colOff>247650</xdr:colOff>
      <xdr:row>15</xdr:row>
      <xdr:rowOff>47625</xdr:rowOff>
    </xdr:from>
    <xdr:to>
      <xdr:col>23</xdr:col>
      <xdr:colOff>419099</xdr:colOff>
      <xdr:row>18</xdr:row>
      <xdr:rowOff>85725</xdr:rowOff>
    </xdr:to>
    <xdr:sp macro="" textlink="">
      <xdr:nvSpPr>
        <xdr:cNvPr id="4" name="Oval Callout 3"/>
        <xdr:cNvSpPr/>
      </xdr:nvSpPr>
      <xdr:spPr>
        <a:xfrm>
          <a:off x="9896475" y="2095500"/>
          <a:ext cx="3714749" cy="752475"/>
        </a:xfrm>
        <a:prstGeom prst="wedgeEllipseCallout">
          <a:avLst>
            <a:gd name="adj1" fmla="val -101491"/>
            <a:gd name="adj2" fmla="val 27244"/>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latin typeface="Kruti Dev 010" pitchFamily="2" charset="0"/>
            </a:rPr>
            <a:t>,fj;j jkf'k</a:t>
          </a:r>
          <a:r>
            <a:rPr lang="en-US" sz="1600" b="1" baseline="0">
              <a:latin typeface="Kruti Dev 010" pitchFamily="2" charset="0"/>
            </a:rPr>
            <a:t> </a:t>
          </a:r>
          <a:r>
            <a:rPr lang="en-US" sz="1600" b="1">
              <a:latin typeface="Kruti Dev 010" pitchFamily="2" charset="0"/>
            </a:rPr>
            <a:t>tks</a:t>
          </a:r>
          <a:r>
            <a:rPr lang="en-US" sz="1600" b="1" baseline="0">
              <a:latin typeface="Kruti Dev 010" pitchFamily="2" charset="0"/>
            </a:rPr>
            <a:t> bu l= ds nkSjku feyuh Fkh ] dks fy[kuh gSaA</a:t>
          </a:r>
          <a:endParaRPr lang="en-US" sz="1600" b="1">
            <a:latin typeface="Kruti Dev 010" pitchFamily="2" charset="0"/>
          </a:endParaRPr>
        </a:p>
      </xdr:txBody>
    </xdr:sp>
    <xdr:clientData/>
  </xdr:twoCellAnchor>
  <xdr:twoCellAnchor>
    <xdr:from>
      <xdr:col>16</xdr:col>
      <xdr:colOff>352425</xdr:colOff>
      <xdr:row>12</xdr:row>
      <xdr:rowOff>228607</xdr:rowOff>
    </xdr:from>
    <xdr:to>
      <xdr:col>17</xdr:col>
      <xdr:colOff>530081</xdr:colOff>
      <xdr:row>13</xdr:row>
      <xdr:rowOff>180979</xdr:rowOff>
    </xdr:to>
    <xdr:sp macro="" textlink="">
      <xdr:nvSpPr>
        <xdr:cNvPr id="5" name="Down Arrow 4"/>
        <xdr:cNvSpPr/>
      </xdr:nvSpPr>
      <xdr:spPr>
        <a:xfrm rot="5400000">
          <a:off x="9694792" y="1992390"/>
          <a:ext cx="200022" cy="768206"/>
        </a:xfrm>
        <a:prstGeom prst="downArrow">
          <a:avLst>
            <a:gd name="adj1" fmla="val 57862"/>
            <a:gd name="adj2" fmla="val 67689"/>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219076</xdr:colOff>
      <xdr:row>19</xdr:row>
      <xdr:rowOff>142875</xdr:rowOff>
    </xdr:from>
    <xdr:to>
      <xdr:col>17</xdr:col>
      <xdr:colOff>590549</xdr:colOff>
      <xdr:row>23</xdr:row>
      <xdr:rowOff>38100</xdr:rowOff>
    </xdr:to>
    <xdr:sp macro="" textlink="">
      <xdr:nvSpPr>
        <xdr:cNvPr id="2" name="Oval Callout 1"/>
        <xdr:cNvSpPr/>
      </xdr:nvSpPr>
      <xdr:spPr>
        <a:xfrm>
          <a:off x="6429376" y="5343525"/>
          <a:ext cx="2143123" cy="800100"/>
        </a:xfrm>
        <a:prstGeom prst="wedgeEllipseCallout">
          <a:avLst>
            <a:gd name="adj1" fmla="val -56931"/>
            <a:gd name="adj2" fmla="val 2932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latin typeface="Kruti Dev 010" pitchFamily="2" charset="0"/>
            </a:rPr>
            <a:t>4 izfr'kr midj Hkh lfEefyr</a:t>
          </a:r>
          <a:r>
            <a:rPr lang="en-US" sz="1600" b="1" baseline="0">
              <a:latin typeface="Kruti Dev 010" pitchFamily="2" charset="0"/>
            </a:rPr>
            <a:t> gSaA</a:t>
          </a:r>
          <a:endParaRPr lang="en-US" sz="1600" b="1">
            <a:latin typeface="Kruti Dev 010" pitchFamily="2" charset="0"/>
          </a:endParaRPr>
        </a:p>
      </xdr:txBody>
    </xdr:sp>
    <xdr:clientData/>
  </xdr:twoCellAnchor>
  <xdr:twoCellAnchor>
    <xdr:from>
      <xdr:col>14</xdr:col>
      <xdr:colOff>238125</xdr:colOff>
      <xdr:row>25</xdr:row>
      <xdr:rowOff>0</xdr:rowOff>
    </xdr:from>
    <xdr:to>
      <xdr:col>17</xdr:col>
      <xdr:colOff>581024</xdr:colOff>
      <xdr:row>29</xdr:row>
      <xdr:rowOff>19050</xdr:rowOff>
    </xdr:to>
    <xdr:sp macro="" textlink="">
      <xdr:nvSpPr>
        <xdr:cNvPr id="3" name="Oval Callout 2"/>
        <xdr:cNvSpPr/>
      </xdr:nvSpPr>
      <xdr:spPr>
        <a:xfrm>
          <a:off x="6448425" y="6581775"/>
          <a:ext cx="2114549" cy="904875"/>
        </a:xfrm>
        <a:prstGeom prst="wedgeEllipseCallout">
          <a:avLst>
            <a:gd name="adj1" fmla="val -58198"/>
            <a:gd name="adj2" fmla="val 19876"/>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latin typeface="Kruti Dev 010" pitchFamily="2" charset="0"/>
            </a:rPr>
            <a:t>;g jkf'k 89 ¼1½ ds rgr NqV feyus okyh gSaA</a:t>
          </a:r>
          <a:r>
            <a:rPr lang="en-US" sz="1600" b="1" baseline="0">
              <a:latin typeface="Kruti Dev 010" pitchFamily="2" charset="0"/>
            </a:rPr>
            <a:t> </a:t>
          </a:r>
          <a:endParaRPr lang="en-US" sz="1600" b="1">
            <a:latin typeface="Kruti Dev 010" pitchFamily="2"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eeralaljatchandawal@gmail.com"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comments" Target="../comments1.xml"/><Relationship Id="rId2" Type="http://schemas.openxmlformats.org/officeDocument/2006/relationships/hyperlink" Target="mailto:heeralaljatchandawal@gmail.com"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sheetPr codeName="Sheet2"/>
  <dimension ref="A1:B31"/>
  <sheetViews>
    <sheetView tabSelected="1" workbookViewId="0">
      <selection activeCell="B2" sqref="B2"/>
    </sheetView>
  </sheetViews>
  <sheetFormatPr defaultColWidth="0" defaultRowHeight="15" zeroHeight="1"/>
  <cols>
    <col min="1" max="1" width="9.140625" customWidth="1"/>
    <col min="2" max="2" width="134.140625" customWidth="1"/>
    <col min="3" max="16384" width="9.140625" hidden="1"/>
  </cols>
  <sheetData>
    <row r="1" spans="1:2" ht="39" customHeight="1" thickTop="1">
      <c r="A1" s="457" t="s">
        <v>339</v>
      </c>
      <c r="B1" s="458"/>
    </row>
    <row r="2" spans="1:2" ht="138.75" customHeight="1" thickBot="1">
      <c r="A2" s="172"/>
      <c r="B2" s="271" t="s">
        <v>465</v>
      </c>
    </row>
    <row r="3" spans="1:2" ht="24.75" customHeight="1" thickTop="1" thickBot="1">
      <c r="A3" s="470" t="s">
        <v>311</v>
      </c>
      <c r="B3" s="470"/>
    </row>
    <row r="4" spans="1:2" ht="21.75" customHeight="1" thickTop="1" thickBot="1">
      <c r="A4" s="471" t="s">
        <v>338</v>
      </c>
      <c r="B4" s="471"/>
    </row>
    <row r="5" spans="1:2" ht="78.75" customHeight="1" thickTop="1" thickBot="1">
      <c r="A5" s="128">
        <v>1</v>
      </c>
      <c r="B5" s="430" t="s">
        <v>514</v>
      </c>
    </row>
    <row r="6" spans="1:2" s="117" customFormat="1" ht="42" customHeight="1" thickTop="1" thickBot="1">
      <c r="A6" s="128">
        <v>2</v>
      </c>
      <c r="B6" s="430" t="s">
        <v>515</v>
      </c>
    </row>
    <row r="7" spans="1:2" ht="43.5" customHeight="1" thickTop="1" thickBot="1">
      <c r="A7" s="128">
        <v>3</v>
      </c>
      <c r="B7" s="430" t="s">
        <v>562</v>
      </c>
    </row>
    <row r="8" spans="1:2" ht="39" thickTop="1" thickBot="1">
      <c r="A8" s="128">
        <v>4</v>
      </c>
      <c r="B8" s="430" t="s">
        <v>312</v>
      </c>
    </row>
    <row r="9" spans="1:2" ht="114" thickTop="1" thickBot="1">
      <c r="A9" s="128">
        <v>5</v>
      </c>
      <c r="B9" s="430" t="s">
        <v>516</v>
      </c>
    </row>
    <row r="10" spans="1:2" ht="56.25" customHeight="1" thickTop="1" thickBot="1">
      <c r="A10" s="128">
        <v>6</v>
      </c>
      <c r="B10" s="430" t="s">
        <v>466</v>
      </c>
    </row>
    <row r="11" spans="1:2" s="118" customFormat="1" ht="44.25" customHeight="1" thickTop="1" thickBot="1">
      <c r="A11" s="128">
        <v>7</v>
      </c>
      <c r="B11" s="430" t="s">
        <v>467</v>
      </c>
    </row>
    <row r="12" spans="1:2" ht="24" customHeight="1" thickTop="1" thickBot="1">
      <c r="A12" s="126">
        <v>8</v>
      </c>
      <c r="B12" s="431" t="s">
        <v>336</v>
      </c>
    </row>
    <row r="13" spans="1:2" ht="20.25" thickTop="1" thickBot="1">
      <c r="A13" s="129">
        <v>9</v>
      </c>
      <c r="B13" s="431" t="s">
        <v>313</v>
      </c>
    </row>
    <row r="14" spans="1:2" ht="20.25" thickTop="1" thickBot="1">
      <c r="A14" s="130" t="s">
        <v>308</v>
      </c>
      <c r="B14" s="130"/>
    </row>
    <row r="15" spans="1:2" ht="39" thickTop="1" thickBot="1">
      <c r="A15" s="128">
        <v>10</v>
      </c>
      <c r="B15" s="127" t="s">
        <v>468</v>
      </c>
    </row>
    <row r="16" spans="1:2" ht="20.25" thickTop="1" thickBot="1">
      <c r="A16" s="130" t="s">
        <v>309</v>
      </c>
      <c r="B16" s="130"/>
    </row>
    <row r="17" spans="1:2" ht="37.5" customHeight="1" thickTop="1" thickBot="1">
      <c r="A17" s="128">
        <v>11</v>
      </c>
      <c r="B17" s="127" t="s">
        <v>314</v>
      </c>
    </row>
    <row r="18" spans="1:2" s="120" customFormat="1" ht="19.5" customHeight="1" thickTop="1" thickBot="1">
      <c r="A18" s="472" t="s">
        <v>362</v>
      </c>
      <c r="B18" s="473"/>
    </row>
    <row r="19" spans="1:2" s="120" customFormat="1" ht="37.5" customHeight="1" thickTop="1" thickBot="1">
      <c r="A19" s="128">
        <v>12</v>
      </c>
      <c r="B19" s="127" t="s">
        <v>315</v>
      </c>
    </row>
    <row r="20" spans="1:2" ht="20.25" thickTop="1" thickBot="1">
      <c r="A20" s="469" t="s">
        <v>310</v>
      </c>
      <c r="B20" s="469"/>
    </row>
    <row r="21" spans="1:2" ht="39.75" customHeight="1" thickTop="1" thickBot="1">
      <c r="A21" s="474" t="s">
        <v>337</v>
      </c>
      <c r="B21" s="474"/>
    </row>
    <row r="22" spans="1:2" ht="38.25" customHeight="1" thickTop="1" thickBot="1">
      <c r="A22" s="468" t="s">
        <v>329</v>
      </c>
      <c r="B22" s="468"/>
    </row>
    <row r="23" spans="1:2" ht="64.5" customHeight="1" thickTop="1">
      <c r="A23" s="162"/>
      <c r="B23" s="432" t="s">
        <v>517</v>
      </c>
    </row>
    <row r="24" spans="1:2" ht="11.25" customHeight="1">
      <c r="A24" s="163"/>
      <c r="B24" s="164"/>
    </row>
    <row r="25" spans="1:2" ht="23.25">
      <c r="A25" s="459" t="s">
        <v>335</v>
      </c>
      <c r="B25" s="460"/>
    </row>
    <row r="26" spans="1:2" ht="23.25">
      <c r="A26" s="461" t="s">
        <v>469</v>
      </c>
      <c r="B26" s="462"/>
    </row>
    <row r="27" spans="1:2" ht="23.25">
      <c r="A27" s="463" t="s">
        <v>471</v>
      </c>
      <c r="B27" s="464"/>
    </row>
    <row r="28" spans="1:2" ht="23.25">
      <c r="A28" s="465" t="s">
        <v>333</v>
      </c>
      <c r="B28" s="466"/>
    </row>
    <row r="29" spans="1:2" ht="23.25">
      <c r="A29" s="467" t="s">
        <v>470</v>
      </c>
      <c r="B29" s="456"/>
    </row>
    <row r="30" spans="1:2" s="123" customFormat="1" ht="23.25">
      <c r="A30" s="455" t="s">
        <v>332</v>
      </c>
      <c r="B30" s="456"/>
    </row>
    <row r="31" spans="1:2" ht="29.25">
      <c r="A31" s="453" t="s">
        <v>334</v>
      </c>
      <c r="B31" s="454"/>
    </row>
  </sheetData>
  <sheetProtection password="C1FB" sheet="1" objects="1" scenarios="1" selectLockedCells="1"/>
  <customSheetViews>
    <customSheetView guid="{8E92581F-007A-4A12-99AF-FBD8FA5F0BC8}">
      <selection activeCell="G6" sqref="G6"/>
      <pageMargins left="0.7" right="0.7" top="0.75" bottom="0.75" header="0.3" footer="0.3"/>
      <pageSetup orientation="portrait" r:id="rId1"/>
    </customSheetView>
  </customSheetViews>
  <mergeCells count="14">
    <mergeCell ref="A31:B31"/>
    <mergeCell ref="A30:B30"/>
    <mergeCell ref="A1:B1"/>
    <mergeCell ref="A25:B25"/>
    <mergeCell ref="A26:B26"/>
    <mergeCell ref="A27:B27"/>
    <mergeCell ref="A28:B28"/>
    <mergeCell ref="A29:B29"/>
    <mergeCell ref="A22:B22"/>
    <mergeCell ref="A20:B20"/>
    <mergeCell ref="A3:B3"/>
    <mergeCell ref="A4:B4"/>
    <mergeCell ref="A18:B18"/>
    <mergeCell ref="A21:B21"/>
  </mergeCells>
  <hyperlinks>
    <hyperlink ref="A30" r:id="rId2"/>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sheetPr codeName="Sheet8">
    <tabColor rgb="FFFF0000"/>
  </sheetPr>
  <dimension ref="A1:AJ130"/>
  <sheetViews>
    <sheetView view="pageBreakPreview" zoomScaleSheetLayoutView="100" workbookViewId="0">
      <selection activeCell="D20" sqref="D20:H20"/>
    </sheetView>
  </sheetViews>
  <sheetFormatPr defaultRowHeight="15"/>
  <cols>
    <col min="1" max="1" width="3.140625" style="34" customWidth="1"/>
    <col min="2" max="2" width="5.5703125" style="34" customWidth="1"/>
    <col min="3" max="3" width="6.85546875" style="34" customWidth="1"/>
    <col min="4" max="4" width="7.28515625" style="34" customWidth="1"/>
    <col min="5" max="5" width="6.5703125" style="34" customWidth="1"/>
    <col min="6" max="6" width="5.85546875" style="34" customWidth="1"/>
    <col min="7" max="7" width="6" style="34" customWidth="1"/>
    <col min="8" max="8" width="4.42578125" style="34" customWidth="1"/>
    <col min="9" max="9" width="10.42578125" style="34" customWidth="1"/>
    <col min="10" max="10" width="4" style="34" customWidth="1"/>
    <col min="11" max="11" width="7.28515625" style="34" customWidth="1"/>
    <col min="12" max="12" width="7.85546875" style="34" customWidth="1"/>
    <col min="13" max="13" width="3.5703125" style="34" customWidth="1"/>
    <col min="14" max="14" width="13.5703125" style="34" customWidth="1"/>
    <col min="15" max="26" width="9.140625" style="34"/>
    <col min="27" max="27" width="0" style="34" hidden="1" customWidth="1"/>
    <col min="28" max="36" width="9.140625" style="34" hidden="1" customWidth="1"/>
    <col min="37" max="56" width="9.140625" style="34" customWidth="1"/>
    <col min="57" max="16384" width="9.140625" style="34"/>
  </cols>
  <sheetData>
    <row r="1" spans="1:17" ht="17.25" customHeight="1">
      <c r="A1" s="823" t="s">
        <v>75</v>
      </c>
      <c r="B1" s="823"/>
      <c r="C1" s="823"/>
      <c r="D1" s="823"/>
      <c r="E1" s="823"/>
      <c r="F1" s="823"/>
      <c r="G1" s="823"/>
      <c r="H1" s="823"/>
      <c r="I1" s="823"/>
      <c r="J1" s="823"/>
      <c r="K1" s="823"/>
      <c r="L1" s="823"/>
      <c r="M1" s="823"/>
      <c r="N1" s="823"/>
      <c r="O1" s="89"/>
    </row>
    <row r="2" spans="1:17" ht="21.75" customHeight="1">
      <c r="A2" s="823" t="s">
        <v>74</v>
      </c>
      <c r="B2" s="823"/>
      <c r="C2" s="823"/>
      <c r="D2" s="823"/>
      <c r="E2" s="823"/>
      <c r="F2" s="823"/>
      <c r="G2" s="823"/>
      <c r="H2" s="823"/>
      <c r="I2" s="823"/>
      <c r="J2" s="823"/>
      <c r="K2" s="823"/>
      <c r="L2" s="823"/>
      <c r="M2" s="823"/>
      <c r="N2" s="823"/>
      <c r="O2" s="89"/>
    </row>
    <row r="3" spans="1:17" ht="15" customHeight="1">
      <c r="A3" s="824" t="s">
        <v>19</v>
      </c>
      <c r="B3" s="824"/>
      <c r="C3" s="824"/>
      <c r="D3" s="824"/>
      <c r="E3" s="824"/>
      <c r="F3" s="824"/>
      <c r="G3" s="824"/>
      <c r="H3" s="824"/>
      <c r="I3" s="824"/>
      <c r="J3" s="824"/>
      <c r="K3" s="824"/>
      <c r="L3" s="824"/>
      <c r="M3" s="824"/>
      <c r="N3" s="824"/>
      <c r="O3" s="89"/>
    </row>
    <row r="4" spans="1:17" ht="15.75" customHeight="1" thickBot="1">
      <c r="A4" s="824" t="s">
        <v>120</v>
      </c>
      <c r="B4" s="824"/>
      <c r="C4" s="824"/>
      <c r="D4" s="824"/>
      <c r="E4" s="824"/>
      <c r="F4" s="824"/>
      <c r="G4" s="824"/>
      <c r="H4" s="824"/>
      <c r="I4" s="824"/>
      <c r="J4" s="824"/>
      <c r="K4" s="824"/>
      <c r="L4" s="824"/>
      <c r="M4" s="824"/>
      <c r="N4" s="824"/>
      <c r="O4" s="89"/>
    </row>
    <row r="5" spans="1:17" ht="18.75" customHeight="1" thickTop="1" thickBot="1">
      <c r="A5" s="825" t="s">
        <v>68</v>
      </c>
      <c r="B5" s="825"/>
      <c r="C5" s="825"/>
      <c r="D5" s="825"/>
      <c r="E5" s="825"/>
      <c r="F5" s="825"/>
      <c r="G5" s="825"/>
      <c r="H5" s="825" t="s">
        <v>121</v>
      </c>
      <c r="I5" s="825"/>
      <c r="J5" s="825"/>
      <c r="K5" s="825"/>
      <c r="L5" s="825"/>
      <c r="M5" s="825"/>
      <c r="N5" s="825"/>
    </row>
    <row r="6" spans="1:17" ht="18" customHeight="1" thickTop="1" thickBot="1">
      <c r="A6" s="828" t="s">
        <v>122</v>
      </c>
      <c r="B6" s="828"/>
      <c r="C6" s="828"/>
      <c r="D6" s="828"/>
      <c r="E6" s="828"/>
      <c r="F6" s="828"/>
      <c r="G6" s="828"/>
      <c r="H6" s="828" t="s">
        <v>20</v>
      </c>
      <c r="I6" s="828"/>
      <c r="J6" s="828"/>
      <c r="K6" s="828"/>
      <c r="L6" s="828"/>
      <c r="M6" s="828"/>
      <c r="N6" s="828"/>
    </row>
    <row r="7" spans="1:17" ht="18.75" customHeight="1" thickTop="1" thickBot="1">
      <c r="A7" s="826" t="str">
        <f>IF(AND(Master!H16=""),"",UPPER(Master!H16))</f>
        <v>DEEO PALI</v>
      </c>
      <c r="B7" s="826"/>
      <c r="C7" s="826"/>
      <c r="D7" s="826"/>
      <c r="E7" s="826"/>
      <c r="F7" s="826"/>
      <c r="G7" s="826"/>
      <c r="H7" s="826" t="str">
        <f>IF(AND(Master!D9=""),"",UPPER(Master!D9))</f>
        <v>HEERA LAL JAT</v>
      </c>
      <c r="I7" s="826"/>
      <c r="J7" s="826"/>
      <c r="K7" s="826"/>
      <c r="L7" s="826"/>
      <c r="M7" s="826"/>
      <c r="N7" s="826"/>
    </row>
    <row r="8" spans="1:17" ht="19.5" customHeight="1" thickTop="1" thickBot="1">
      <c r="A8" s="826"/>
      <c r="B8" s="826"/>
      <c r="C8" s="826"/>
      <c r="D8" s="826"/>
      <c r="E8" s="826"/>
      <c r="F8" s="826"/>
      <c r="G8" s="826"/>
      <c r="H8" s="826" t="str">
        <f>IF(AND(Master!H9=""),"",UPPER(Master!H9))</f>
        <v>SR. TEACHER</v>
      </c>
      <c r="I8" s="826"/>
      <c r="J8" s="826"/>
      <c r="K8" s="826"/>
      <c r="L8" s="826"/>
      <c r="M8" s="826"/>
      <c r="N8" s="826"/>
    </row>
    <row r="9" spans="1:17" ht="18.75" customHeight="1" thickTop="1" thickBot="1">
      <c r="A9" s="826"/>
      <c r="B9" s="826"/>
      <c r="C9" s="826"/>
      <c r="D9" s="826"/>
      <c r="E9" s="826"/>
      <c r="F9" s="826"/>
      <c r="G9" s="826"/>
      <c r="H9" s="781" t="str">
        <f>IF(AND(Master!D10=""),"",UPPER(Master!D10))</f>
        <v>G.S.S.S INDERWARA</v>
      </c>
      <c r="I9" s="781"/>
      <c r="J9" s="781"/>
      <c r="K9" s="781"/>
      <c r="L9" s="781"/>
      <c r="M9" s="781"/>
      <c r="N9" s="781"/>
    </row>
    <row r="10" spans="1:17" ht="30" customHeight="1" thickTop="1" thickBot="1">
      <c r="A10" s="807" t="s">
        <v>117</v>
      </c>
      <c r="B10" s="807"/>
      <c r="C10" s="807"/>
      <c r="D10" s="807"/>
      <c r="E10" s="807" t="s">
        <v>116</v>
      </c>
      <c r="F10" s="807"/>
      <c r="G10" s="807"/>
      <c r="H10" s="807" t="s">
        <v>118</v>
      </c>
      <c r="I10" s="807"/>
      <c r="J10" s="807"/>
      <c r="K10" s="807"/>
      <c r="L10" s="827" t="s">
        <v>119</v>
      </c>
      <c r="M10" s="827"/>
      <c r="N10" s="827"/>
    </row>
    <row r="11" spans="1:17" ht="23.25" customHeight="1" thickTop="1" thickBot="1">
      <c r="A11" s="830"/>
      <c r="B11" s="830"/>
      <c r="C11" s="830"/>
      <c r="D11" s="830"/>
      <c r="E11" s="795" t="str">
        <f>IF(AND(Master!H12=""),"",UPPER(Master!H12))</f>
        <v>JDHG13119B</v>
      </c>
      <c r="F11" s="795"/>
      <c r="G11" s="795"/>
      <c r="H11" s="807" t="str">
        <f>IF(AND(Master!D12=""),"",UPPER(Master!D12))</f>
        <v>ADEPLXXXXX</v>
      </c>
      <c r="I11" s="807"/>
      <c r="J11" s="807"/>
      <c r="K11" s="807"/>
      <c r="L11" s="795" t="str">
        <f>IF(AND(Master!D11=""),"",UPPER(Master!D11))</f>
        <v>RJPA20032XXXXXX88</v>
      </c>
      <c r="M11" s="795"/>
      <c r="N11" s="795"/>
    </row>
    <row r="12" spans="1:17" ht="18" customHeight="1" thickTop="1" thickBot="1">
      <c r="A12" s="854" t="s">
        <v>70</v>
      </c>
      <c r="B12" s="855"/>
      <c r="C12" s="855"/>
      <c r="D12" s="855"/>
      <c r="E12" s="855"/>
      <c r="F12" s="855"/>
      <c r="G12" s="856"/>
      <c r="H12" s="807" t="s">
        <v>123</v>
      </c>
      <c r="I12" s="807"/>
      <c r="J12" s="807"/>
      <c r="K12" s="807"/>
      <c r="L12" s="834" t="s">
        <v>22</v>
      </c>
      <c r="M12" s="834"/>
      <c r="N12" s="834"/>
    </row>
    <row r="13" spans="1:17" ht="21.75" customHeight="1" thickTop="1" thickBot="1">
      <c r="A13" s="793" t="s">
        <v>71</v>
      </c>
      <c r="B13" s="793"/>
      <c r="C13" s="857"/>
      <c r="D13" s="858"/>
      <c r="E13" s="858"/>
      <c r="F13" s="858"/>
      <c r="G13" s="859"/>
      <c r="H13" s="793" t="s">
        <v>21</v>
      </c>
      <c r="I13" s="793"/>
      <c r="J13" s="793"/>
      <c r="K13" s="793"/>
      <c r="L13" s="834"/>
      <c r="M13" s="834"/>
      <c r="N13" s="834"/>
    </row>
    <row r="14" spans="1:17" ht="18" customHeight="1" thickTop="1" thickBot="1">
      <c r="A14" s="793"/>
      <c r="B14" s="793"/>
      <c r="C14" s="860"/>
      <c r="D14" s="861"/>
      <c r="E14" s="861"/>
      <c r="F14" s="861"/>
      <c r="G14" s="862"/>
      <c r="H14" s="793" t="s">
        <v>23</v>
      </c>
      <c r="I14" s="793"/>
      <c r="J14" s="793" t="s">
        <v>24</v>
      </c>
      <c r="K14" s="793"/>
      <c r="L14" s="834"/>
      <c r="M14" s="834"/>
      <c r="N14" s="834"/>
    </row>
    <row r="15" spans="1:17" ht="21.75" customHeight="1" thickTop="1" thickBot="1">
      <c r="A15" s="793" t="s">
        <v>72</v>
      </c>
      <c r="B15" s="793"/>
      <c r="C15" s="829"/>
      <c r="D15" s="829"/>
      <c r="E15" s="135" t="s">
        <v>73</v>
      </c>
      <c r="F15" s="829"/>
      <c r="G15" s="829"/>
      <c r="H15" s="833">
        <f>IF(AND(Master!D18=""),"",Master!D18)</f>
        <v>43525</v>
      </c>
      <c r="I15" s="833"/>
      <c r="J15" s="833">
        <f>IF(AND(Master!H18=""),"",Master!H18)</f>
        <v>43921</v>
      </c>
      <c r="K15" s="833"/>
      <c r="L15" s="807" t="str">
        <f>IF(AND(Master!H19=""),"",CONCATENATE(Master!D19," - ",Master!H19))</f>
        <v>2019-20 - 2020-21</v>
      </c>
      <c r="M15" s="807"/>
      <c r="N15" s="807"/>
      <c r="Q15" s="87"/>
    </row>
    <row r="16" spans="1:17" ht="21" customHeight="1" thickTop="1" thickBot="1">
      <c r="A16" s="814" t="s">
        <v>124</v>
      </c>
      <c r="B16" s="814"/>
      <c r="C16" s="814"/>
      <c r="D16" s="814"/>
      <c r="E16" s="814"/>
      <c r="F16" s="814"/>
      <c r="G16" s="814"/>
      <c r="H16" s="814"/>
      <c r="I16" s="814"/>
      <c r="J16" s="814"/>
      <c r="K16" s="814"/>
      <c r="L16" s="814"/>
      <c r="M16" s="814"/>
      <c r="N16" s="814"/>
    </row>
    <row r="17" spans="1:35" ht="48" customHeight="1" thickTop="1" thickBot="1">
      <c r="A17" s="807" t="s">
        <v>76</v>
      </c>
      <c r="B17" s="807"/>
      <c r="C17" s="807"/>
      <c r="D17" s="827" t="s">
        <v>81</v>
      </c>
      <c r="E17" s="827"/>
      <c r="F17" s="827"/>
      <c r="G17" s="827"/>
      <c r="H17" s="827"/>
      <c r="I17" s="832" t="s">
        <v>82</v>
      </c>
      <c r="J17" s="832"/>
      <c r="K17" s="832" t="s">
        <v>83</v>
      </c>
      <c r="L17" s="832"/>
      <c r="M17" s="831" t="s">
        <v>84</v>
      </c>
      <c r="N17" s="831"/>
    </row>
    <row r="18" spans="1:35" ht="15.95" customHeight="1" thickTop="1" thickBot="1">
      <c r="A18" s="814" t="s">
        <v>77</v>
      </c>
      <c r="B18" s="814"/>
      <c r="C18" s="814"/>
      <c r="D18" s="752"/>
      <c r="E18" s="752"/>
      <c r="F18" s="752"/>
      <c r="G18" s="752"/>
      <c r="H18" s="752"/>
      <c r="I18" s="815">
        <f>SUM('GA55 Only Print'!V6:V8)</f>
        <v>1500</v>
      </c>
      <c r="J18" s="815"/>
      <c r="K18" s="798">
        <f>I18</f>
        <v>1500</v>
      </c>
      <c r="L18" s="798"/>
      <c r="M18" s="798">
        <f>K18</f>
        <v>1500</v>
      </c>
      <c r="N18" s="817"/>
    </row>
    <row r="19" spans="1:35" ht="15.95" customHeight="1" thickTop="1" thickBot="1">
      <c r="A19" s="814" t="s">
        <v>78</v>
      </c>
      <c r="B19" s="814"/>
      <c r="C19" s="814"/>
      <c r="D19" s="752"/>
      <c r="E19" s="752"/>
      <c r="F19" s="752"/>
      <c r="G19" s="752"/>
      <c r="H19" s="752"/>
      <c r="I19" s="815">
        <f>SUM('GA55 Only Print'!V9:V11)</f>
        <v>1500</v>
      </c>
      <c r="J19" s="815"/>
      <c r="K19" s="798">
        <f t="shared" ref="K19:K21" si="0">I19</f>
        <v>1500</v>
      </c>
      <c r="L19" s="798"/>
      <c r="M19" s="798">
        <f t="shared" ref="M19:M21" si="1">K19</f>
        <v>1500</v>
      </c>
      <c r="N19" s="817"/>
    </row>
    <row r="20" spans="1:35" ht="15.95" customHeight="1" thickTop="1" thickBot="1">
      <c r="A20" s="814" t="s">
        <v>79</v>
      </c>
      <c r="B20" s="814"/>
      <c r="C20" s="814"/>
      <c r="D20" s="752"/>
      <c r="E20" s="752"/>
      <c r="F20" s="752"/>
      <c r="G20" s="752"/>
      <c r="H20" s="752"/>
      <c r="I20" s="815">
        <f>SUM('GA55 Only Print'!V12:V14)</f>
        <v>1500</v>
      </c>
      <c r="J20" s="815"/>
      <c r="K20" s="798">
        <f t="shared" si="0"/>
        <v>1500</v>
      </c>
      <c r="L20" s="798"/>
      <c r="M20" s="798">
        <f t="shared" si="1"/>
        <v>1500</v>
      </c>
      <c r="N20" s="817"/>
    </row>
    <row r="21" spans="1:35" ht="15.95" customHeight="1" thickTop="1" thickBot="1">
      <c r="A21" s="814" t="s">
        <v>80</v>
      </c>
      <c r="B21" s="814"/>
      <c r="C21" s="814"/>
      <c r="D21" s="752"/>
      <c r="E21" s="752"/>
      <c r="F21" s="752"/>
      <c r="G21" s="752"/>
      <c r="H21" s="752"/>
      <c r="I21" s="815">
        <f>SUM('GA55 Only Print'!V15:V26)</f>
        <v>1500</v>
      </c>
      <c r="J21" s="815"/>
      <c r="K21" s="798">
        <f t="shared" si="0"/>
        <v>1500</v>
      </c>
      <c r="L21" s="798"/>
      <c r="M21" s="798">
        <f t="shared" si="1"/>
        <v>1500</v>
      </c>
      <c r="N21" s="817"/>
    </row>
    <row r="22" spans="1:35" ht="15.95" customHeight="1" thickTop="1" thickBot="1">
      <c r="A22" s="863" t="s">
        <v>85</v>
      </c>
      <c r="B22" s="864"/>
      <c r="C22" s="864"/>
      <c r="D22" s="864"/>
      <c r="E22" s="864"/>
      <c r="F22" s="864"/>
      <c r="G22" s="864"/>
      <c r="H22" s="865"/>
      <c r="I22" s="816">
        <f>SUM(I18:J21)</f>
        <v>6000</v>
      </c>
      <c r="J22" s="816"/>
      <c r="K22" s="818">
        <f>I22</f>
        <v>6000</v>
      </c>
      <c r="L22" s="818"/>
      <c r="M22" s="818">
        <f>K22</f>
        <v>6000</v>
      </c>
      <c r="N22" s="807"/>
    </row>
    <row r="23" spans="1:35" ht="37.5" customHeight="1" thickTop="1" thickBot="1">
      <c r="A23" s="819" t="str">
        <f>IF(AND(Master!E22=""),"",IF(AND(Master!E22=Master!C23),'Form No. 16'!AI25,IF(AND(Master!E22=Master!C43),'Form No. 16'!AI26,"")))</f>
        <v>I- DETAIL OF TAX DEDUCTED AND DEPOSITED IN THE CENTRAL GOVERNMENT ACCOUNT THROUGH BOOK ADJUSTMENT       (The deductor to provide payment wise detail of tax deducted and deposited with respect to the deductee)</v>
      </c>
      <c r="B23" s="819"/>
      <c r="C23" s="819"/>
      <c r="D23" s="819"/>
      <c r="E23" s="819"/>
      <c r="F23" s="819"/>
      <c r="G23" s="819"/>
      <c r="H23" s="819"/>
      <c r="I23" s="819"/>
      <c r="J23" s="819"/>
      <c r="K23" s="819"/>
      <c r="L23" s="819"/>
      <c r="M23" s="819"/>
      <c r="N23" s="819"/>
    </row>
    <row r="24" spans="1:35" ht="20.25" customHeight="1" thickTop="1" thickBot="1">
      <c r="A24" s="766" t="s">
        <v>86</v>
      </c>
      <c r="B24" s="766"/>
      <c r="C24" s="766" t="str">
        <f>IF(AND(Master!E22=""),"",IF(AND(Master!E22=Master!C23),Master!B23,IF(AND(Master!E22=Master!C43),Master!B43,"")))</f>
        <v>Tax deposited in respect of the deductee (Rs.)</v>
      </c>
      <c r="D24" s="766"/>
      <c r="E24" s="766"/>
      <c r="F24" s="767" t="str">
        <f>IF(AND(Master!E22=""),"",IF(AND(Master!E22=Master!C23),Master!C23,IF(AND(Master!E22=Master!C43),Master!C43,"")))</f>
        <v>Book Identification Number (BIN)</v>
      </c>
      <c r="G24" s="767"/>
      <c r="H24" s="767"/>
      <c r="I24" s="767"/>
      <c r="J24" s="767"/>
      <c r="K24" s="767"/>
      <c r="L24" s="767"/>
      <c r="M24" s="767"/>
      <c r="N24" s="767"/>
    </row>
    <row r="25" spans="1:35" ht="44.25" customHeight="1" thickTop="1" thickBot="1">
      <c r="A25" s="766"/>
      <c r="B25" s="766"/>
      <c r="C25" s="766"/>
      <c r="D25" s="766"/>
      <c r="E25" s="766"/>
      <c r="F25" s="822" t="str">
        <f>IF(AND(Master!E22=""),"",IF(AND(Master!E22=Master!C23),Master!C24,IF(AND(Master!E22=Master!C43),Master!C44,"")))</f>
        <v>Receipt Numbers Of Form no. 24G</v>
      </c>
      <c r="G25" s="822"/>
      <c r="H25" s="822"/>
      <c r="I25" s="821" t="str">
        <f>IF(AND(Master!E22=""),"",IF(AND(Master!E22=Master!C23),Master!D24,IF(AND(Master!E22=Master!C43),Master!D44,"")))</f>
        <v>DDO Serial Number in Form No. 24G</v>
      </c>
      <c r="J25" s="821"/>
      <c r="K25" s="821" t="str">
        <f>IF(AND(Master!E22=""),"",IF(AND(Master!E22=Master!C23),Master!E24,IF(AND(Master!E22=Master!C43),Master!E44,"")))</f>
        <v>Date Of transfer Voucher    (dd/mm/yyyy)</v>
      </c>
      <c r="L25" s="821"/>
      <c r="M25" s="820" t="str">
        <f>IF(AND(Master!E22=""),"",IF(AND(Master!E22=Master!C23),Master!F24,IF(AND(Master!E22=Master!C43),Master!F44,"")))</f>
        <v>Status of matching with form no. 24G</v>
      </c>
      <c r="N25" s="820"/>
      <c r="AI25" s="34" t="s">
        <v>266</v>
      </c>
    </row>
    <row r="26" spans="1:35" ht="18" customHeight="1" thickTop="1" thickBot="1">
      <c r="A26" s="782">
        <v>1</v>
      </c>
      <c r="B26" s="782"/>
      <c r="C26" s="804">
        <f>IF(AND(AA26=""),"",AA26)</f>
        <v>500</v>
      </c>
      <c r="D26" s="804"/>
      <c r="E26" s="804"/>
      <c r="F26" s="804">
        <f t="shared" ref="F26:F41" si="2">IF(AND(AB26=0),"",AB26)</f>
        <v>45</v>
      </c>
      <c r="G26" s="804"/>
      <c r="H26" s="804"/>
      <c r="I26" s="805">
        <f t="shared" ref="I26:I41" si="3">IF(AND(AC26=0),"",AC26)</f>
        <v>45</v>
      </c>
      <c r="J26" s="805"/>
      <c r="K26" s="806">
        <f t="shared" ref="K26:K41" si="4">IF(AND(AD26=0),"",AD26)</f>
        <v>42877</v>
      </c>
      <c r="L26" s="806"/>
      <c r="M26" s="807" t="str">
        <f>IF(AND(Master!$E$22=""),"",IF(AND(Master!$E$22=Master!$C$23),Master!F25,IF(AND(Master!$E$22=Master!$C$43),Master!F45,"")))</f>
        <v>Yes</v>
      </c>
      <c r="N26" s="807"/>
      <c r="AA26" s="34">
        <f>IF(AND(Master!$E$22=""),"",IF(AND(Master!$E$22=Master!$C$23),Master!B25,IF(AND(Master!$E$22=Master!$C$43),Master!B45,"")))</f>
        <v>500</v>
      </c>
      <c r="AB26" s="34">
        <f>IF(AND(Master!$E$22=""),"",IF(AND(Master!$E$22=Master!$C$23),Master!C25,IF(AND(Master!$E$22=Master!$C$43),Master!C45,"")))</f>
        <v>45</v>
      </c>
      <c r="AC26" s="34">
        <f>IF(AND(Master!$E$22=""),"",IF(AND(Master!$E$22=Master!$C$23),Master!D25,IF(AND(Master!$E$22=Master!$C$43),Master!D45,"")))</f>
        <v>45</v>
      </c>
      <c r="AD26" s="327">
        <f>IF(AND(Master!$E$22=""),"",IF(AND(Master!$E$22=Master!$C$23),Master!E25,IF(AND(Master!$E$22=Master!$C$43),Master!E45,"")))</f>
        <v>42877</v>
      </c>
      <c r="AI26" s="34" t="s">
        <v>267</v>
      </c>
    </row>
    <row r="27" spans="1:35" ht="18" customHeight="1" thickTop="1" thickBot="1">
      <c r="A27" s="782">
        <v>2</v>
      </c>
      <c r="B27" s="782"/>
      <c r="C27" s="804">
        <f>IF(AND(Master!$E$22=""),"",IF(AND(AA27=""),"",AA27))</f>
        <v>500</v>
      </c>
      <c r="D27" s="804"/>
      <c r="E27" s="804"/>
      <c r="F27" s="804">
        <f t="shared" si="2"/>
        <v>25</v>
      </c>
      <c r="G27" s="804"/>
      <c r="H27" s="804"/>
      <c r="I27" s="805" t="str">
        <f t="shared" si="3"/>
        <v/>
      </c>
      <c r="J27" s="805"/>
      <c r="K27" s="806" t="str">
        <f t="shared" si="4"/>
        <v/>
      </c>
      <c r="L27" s="806"/>
      <c r="M27" s="807" t="str">
        <f>IF(AND(Master!$E$22=""),"",IF(AND(Master!$E$22=Master!$C$23),Master!F26,IF(AND(Master!$E$22=Master!$C$43),Master!F46,"")))</f>
        <v>Yes</v>
      </c>
      <c r="N27" s="807"/>
      <c r="AA27" s="34">
        <f>IF(AND(Master!$E$22=""),"",IF(AND(Master!$E$22=Master!$C$23),Master!B26,IF(AND(Master!$E$22=Master!$C$43),Master!B46,"")))</f>
        <v>500</v>
      </c>
      <c r="AB27" s="34">
        <f>IF(AND(Master!$E$22=""),"",IF(AND(Master!$E$22=Master!$C$23),Master!C26,IF(AND(Master!$E$22=Master!$C$43),Master!C46,"")))</f>
        <v>25</v>
      </c>
      <c r="AC27" s="34">
        <f>IF(AND(Master!$E$22=""),"",IF(AND(Master!$E$22=Master!$C$23),Master!D26,IF(AND(Master!$E$22=Master!$C$43),Master!D46,"")))</f>
        <v>0</v>
      </c>
      <c r="AD27" s="327">
        <f>IF(AND(Master!$E$22=""),"",IF(AND(Master!$E$22=Master!$C$23),Master!E26,IF(AND(Master!$E$22=Master!$C$43),Master!E46,"")))</f>
        <v>0</v>
      </c>
    </row>
    <row r="28" spans="1:35" ht="18" customHeight="1" thickTop="1" thickBot="1">
      <c r="A28" s="782">
        <v>3</v>
      </c>
      <c r="B28" s="782"/>
      <c r="C28" s="804">
        <f>IF(AND(Master!$E$22=""),"",IF(AND(AA28=""),"",AA28))</f>
        <v>500</v>
      </c>
      <c r="D28" s="804"/>
      <c r="E28" s="804"/>
      <c r="F28" s="804" t="str">
        <f t="shared" si="2"/>
        <v/>
      </c>
      <c r="G28" s="804"/>
      <c r="H28" s="804"/>
      <c r="I28" s="805" t="str">
        <f t="shared" si="3"/>
        <v/>
      </c>
      <c r="J28" s="805"/>
      <c r="K28" s="806" t="str">
        <f t="shared" si="4"/>
        <v/>
      </c>
      <c r="L28" s="806"/>
      <c r="M28" s="807" t="str">
        <f>IF(AND(Master!$E$22=""),"",IF(AND(Master!$E$22=Master!$C$23),Master!F27,IF(AND(Master!$E$22=Master!$C$43),Master!F47,"")))</f>
        <v>-</v>
      </c>
      <c r="N28" s="807"/>
      <c r="AA28" s="34">
        <f>IF(AND(Master!$E$22=""),"",IF(AND(Master!$E$22=Master!$C$23),Master!B27,IF(AND(Master!$E$22=Master!$C$43),Master!B47,"")))</f>
        <v>500</v>
      </c>
      <c r="AB28" s="34">
        <f>IF(AND(Master!$E$22=""),"",IF(AND(Master!$E$22=Master!$C$23),Master!C27,IF(AND(Master!$E$22=Master!$C$43),Master!C47,"")))</f>
        <v>0</v>
      </c>
      <c r="AC28" s="34">
        <f>IF(AND(Master!$E$22=""),"",IF(AND(Master!$E$22=Master!$C$23),Master!D27,IF(AND(Master!$E$22=Master!$C$43),Master!D47,"")))</f>
        <v>0</v>
      </c>
      <c r="AD28" s="327">
        <f>IF(AND(Master!$E$22=""),"",IF(AND(Master!$E$22=Master!$C$23),Master!E27,IF(AND(Master!$E$22=Master!$C$43),Master!E47,"")))</f>
        <v>0</v>
      </c>
    </row>
    <row r="29" spans="1:35" ht="18" customHeight="1" thickTop="1" thickBot="1">
      <c r="A29" s="782">
        <v>4</v>
      </c>
      <c r="B29" s="782"/>
      <c r="C29" s="804">
        <f>IF(AND(Master!$E$22=""),"",IF(AND(AA29=""),"",AA29))</f>
        <v>500</v>
      </c>
      <c r="D29" s="804"/>
      <c r="E29" s="804"/>
      <c r="F29" s="804" t="str">
        <f t="shared" si="2"/>
        <v/>
      </c>
      <c r="G29" s="804"/>
      <c r="H29" s="804"/>
      <c r="I29" s="805" t="str">
        <f t="shared" si="3"/>
        <v/>
      </c>
      <c r="J29" s="805"/>
      <c r="K29" s="806" t="str">
        <f t="shared" si="4"/>
        <v/>
      </c>
      <c r="L29" s="806"/>
      <c r="M29" s="807" t="str">
        <f>IF(AND(Master!$E$22=""),"",IF(AND(Master!$E$22=Master!$C$23),Master!F28,IF(AND(Master!$E$22=Master!$C$43),Master!F48,"")))</f>
        <v>-</v>
      </c>
      <c r="N29" s="807"/>
      <c r="AA29" s="34">
        <f>IF(AND(Master!$E$22=""),"",IF(AND(Master!$E$22=Master!$C$23),Master!B28,IF(AND(Master!$E$22=Master!$C$43),Master!B48,"")))</f>
        <v>500</v>
      </c>
      <c r="AB29" s="34">
        <f>IF(AND(Master!$E$22=""),"",IF(AND(Master!$E$22=Master!$C$23),Master!C28,IF(AND(Master!$E$22=Master!$C$43),Master!C48,"")))</f>
        <v>0</v>
      </c>
      <c r="AC29" s="34">
        <f>IF(AND(Master!$E$22=""),"",IF(AND(Master!$E$22=Master!$C$23),Master!D28,IF(AND(Master!$E$22=Master!$C$43),Master!D48,"")))</f>
        <v>0</v>
      </c>
      <c r="AD29" s="327">
        <f>IF(AND(Master!$E$22=""),"",IF(AND(Master!$E$22=Master!$C$23),Master!E28,IF(AND(Master!$E$22=Master!$C$43),Master!E48,"")))</f>
        <v>0</v>
      </c>
    </row>
    <row r="30" spans="1:35" ht="18" customHeight="1" thickTop="1" thickBot="1">
      <c r="A30" s="782">
        <v>5</v>
      </c>
      <c r="B30" s="782"/>
      <c r="C30" s="804">
        <f>IF(AND(Master!$E$22=""),"",IF(AND(AA30=""),"",AA30))</f>
        <v>500</v>
      </c>
      <c r="D30" s="804"/>
      <c r="E30" s="804"/>
      <c r="F30" s="804" t="str">
        <f t="shared" si="2"/>
        <v/>
      </c>
      <c r="G30" s="804"/>
      <c r="H30" s="804"/>
      <c r="I30" s="805" t="str">
        <f t="shared" si="3"/>
        <v/>
      </c>
      <c r="J30" s="805"/>
      <c r="K30" s="806" t="str">
        <f t="shared" si="4"/>
        <v/>
      </c>
      <c r="L30" s="806"/>
      <c r="M30" s="807" t="str">
        <f>IF(AND(Master!$E$22=""),"",IF(AND(Master!$E$22=Master!$C$23),Master!F29,IF(AND(Master!$E$22=Master!$C$43),Master!F49,"")))</f>
        <v>-</v>
      </c>
      <c r="N30" s="807"/>
      <c r="AA30" s="34">
        <f>IF(AND(Master!$E$22=""),"",IF(AND(Master!$E$22=Master!$C$23),Master!B29,IF(AND(Master!$E$22=Master!$C$43),Master!B49,"")))</f>
        <v>500</v>
      </c>
      <c r="AB30" s="34">
        <f>IF(AND(Master!$E$22=""),"",IF(AND(Master!$E$22=Master!$C$23),Master!C29,IF(AND(Master!$E$22=Master!$C$43),Master!C49,"")))</f>
        <v>0</v>
      </c>
      <c r="AC30" s="34">
        <f>IF(AND(Master!$E$22=""),"",IF(AND(Master!$E$22=Master!$C$23),Master!D29,IF(AND(Master!$E$22=Master!$C$43),Master!D49,"")))</f>
        <v>0</v>
      </c>
      <c r="AD30" s="327">
        <f>IF(AND(Master!$E$22=""),"",IF(AND(Master!$E$22=Master!$C$23),Master!E29,IF(AND(Master!$E$22=Master!$C$43),Master!E49,"")))</f>
        <v>0</v>
      </c>
    </row>
    <row r="31" spans="1:35" ht="18" customHeight="1" thickTop="1" thickBot="1">
      <c r="A31" s="782">
        <v>6</v>
      </c>
      <c r="B31" s="782"/>
      <c r="C31" s="804">
        <f>IF(AND(Master!$E$22=""),"",IF(AND(AA31=""),"",AA31))</f>
        <v>500</v>
      </c>
      <c r="D31" s="804"/>
      <c r="E31" s="804"/>
      <c r="F31" s="804" t="str">
        <f t="shared" si="2"/>
        <v/>
      </c>
      <c r="G31" s="804"/>
      <c r="H31" s="804"/>
      <c r="I31" s="805" t="str">
        <f t="shared" si="3"/>
        <v/>
      </c>
      <c r="J31" s="805"/>
      <c r="K31" s="806" t="str">
        <f t="shared" si="4"/>
        <v/>
      </c>
      <c r="L31" s="806"/>
      <c r="M31" s="807" t="str">
        <f>IF(AND(Master!$E$22=""),"",IF(AND(Master!$E$22=Master!$C$23),Master!F30,IF(AND(Master!$E$22=Master!$C$43),Master!F50,"")))</f>
        <v>-</v>
      </c>
      <c r="N31" s="807"/>
      <c r="AA31" s="34">
        <f>IF(AND(Master!$E$22=""),"",IF(AND(Master!$E$22=Master!$C$23),Master!B30,IF(AND(Master!$E$22=Master!$C$43),Master!B50,"")))</f>
        <v>500</v>
      </c>
      <c r="AB31" s="34">
        <f>IF(AND(Master!$E$22=""),"",IF(AND(Master!$E$22=Master!$C$23),Master!C30,IF(AND(Master!$E$22=Master!$C$43),Master!C50,"")))</f>
        <v>0</v>
      </c>
      <c r="AC31" s="34">
        <f>IF(AND(Master!$E$22=""),"",IF(AND(Master!$E$22=Master!$C$23),Master!D30,IF(AND(Master!$E$22=Master!$C$43),Master!D50,"")))</f>
        <v>0</v>
      </c>
      <c r="AD31" s="327">
        <f>IF(AND(Master!$E$22=""),"",IF(AND(Master!$E$22=Master!$C$23),Master!E30,IF(AND(Master!$E$22=Master!$C$43),Master!E50,"")))</f>
        <v>0</v>
      </c>
    </row>
    <row r="32" spans="1:35" ht="18" customHeight="1" thickTop="1" thickBot="1">
      <c r="A32" s="782">
        <v>7</v>
      </c>
      <c r="B32" s="782"/>
      <c r="C32" s="804">
        <f>IF(AND(Master!$E$22=""),"",IF(AND(AA32=""),"",AA32))</f>
        <v>500</v>
      </c>
      <c r="D32" s="804"/>
      <c r="E32" s="804"/>
      <c r="F32" s="804">
        <f t="shared" si="2"/>
        <v>8</v>
      </c>
      <c r="G32" s="804"/>
      <c r="H32" s="804"/>
      <c r="I32" s="805" t="str">
        <f t="shared" si="3"/>
        <v/>
      </c>
      <c r="J32" s="805"/>
      <c r="K32" s="806" t="str">
        <f t="shared" si="4"/>
        <v/>
      </c>
      <c r="L32" s="806"/>
      <c r="M32" s="807" t="str">
        <f>IF(AND(Master!$E$22=""),"",IF(AND(Master!$E$22=Master!$C$23),Master!F31,IF(AND(Master!$E$22=Master!$C$43),Master!F51,"")))</f>
        <v>Yes</v>
      </c>
      <c r="N32" s="807"/>
      <c r="AA32" s="34">
        <f>IF(AND(Master!$E$22=""),"",IF(AND(Master!$E$22=Master!$C$23),Master!B31,IF(AND(Master!$E$22=Master!$C$43),Master!B51,"")))</f>
        <v>500</v>
      </c>
      <c r="AB32" s="34">
        <f>IF(AND(Master!$E$22=""),"",IF(AND(Master!$E$22=Master!$C$23),Master!C31,IF(AND(Master!$E$22=Master!$C$43),Master!C51,"")))</f>
        <v>8</v>
      </c>
      <c r="AC32" s="34">
        <f>IF(AND(Master!$E$22=""),"",IF(AND(Master!$E$22=Master!$C$23),Master!D31,IF(AND(Master!$E$22=Master!$C$43),Master!D51,"")))</f>
        <v>0</v>
      </c>
      <c r="AD32" s="327">
        <f>IF(AND(Master!$E$22=""),"",IF(AND(Master!$E$22=Master!$C$23),Master!E31,IF(AND(Master!$E$22=Master!$C$43),Master!E51,"")))</f>
        <v>0</v>
      </c>
    </row>
    <row r="33" spans="1:30" ht="18" customHeight="1" thickTop="1" thickBot="1">
      <c r="A33" s="782">
        <v>8</v>
      </c>
      <c r="B33" s="782"/>
      <c r="C33" s="804">
        <f>IF(AND(Master!$E$22=""),"",IF(AND(AA33=""),"",AA33))</f>
        <v>500</v>
      </c>
      <c r="D33" s="804"/>
      <c r="E33" s="804"/>
      <c r="F33" s="804">
        <f t="shared" si="2"/>
        <v>9</v>
      </c>
      <c r="G33" s="804"/>
      <c r="H33" s="804"/>
      <c r="I33" s="805" t="str">
        <f t="shared" si="3"/>
        <v/>
      </c>
      <c r="J33" s="805"/>
      <c r="K33" s="806" t="str">
        <f t="shared" si="4"/>
        <v/>
      </c>
      <c r="L33" s="806"/>
      <c r="M33" s="807" t="str">
        <f>IF(AND(Master!$E$22=""),"",IF(AND(Master!$E$22=Master!$C$23),Master!F32,IF(AND(Master!$E$22=Master!$C$43),Master!F52,"")))</f>
        <v>Yes</v>
      </c>
      <c r="N33" s="807"/>
      <c r="AA33" s="34">
        <f>IF(AND(Master!$E$22=""),"",IF(AND(Master!$E$22=Master!$C$23),Master!B32,IF(AND(Master!$E$22=Master!$C$43),Master!B52,"")))</f>
        <v>500</v>
      </c>
      <c r="AB33" s="34">
        <f>IF(AND(Master!$E$22=""),"",IF(AND(Master!$E$22=Master!$C$23),Master!C32,IF(AND(Master!$E$22=Master!$C$43),Master!C52,"")))</f>
        <v>9</v>
      </c>
      <c r="AC33" s="34">
        <f>IF(AND(Master!$E$22=""),"",IF(AND(Master!$E$22=Master!$C$23),Master!D32,IF(AND(Master!$E$22=Master!$C$43),Master!D52,"")))</f>
        <v>0</v>
      </c>
      <c r="AD33" s="327">
        <f>IF(AND(Master!$E$22=""),"",IF(AND(Master!$E$22=Master!$C$23),Master!E32,IF(AND(Master!$E$22=Master!$C$43),Master!E52,"")))</f>
        <v>0</v>
      </c>
    </row>
    <row r="34" spans="1:30" ht="18" customHeight="1" thickTop="1" thickBot="1">
      <c r="A34" s="782">
        <v>9</v>
      </c>
      <c r="B34" s="782"/>
      <c r="C34" s="804">
        <f>IF(AND(Master!$E$22=""),"",IF(AND(AA34=""),"",AA34))</f>
        <v>500</v>
      </c>
      <c r="D34" s="804"/>
      <c r="E34" s="804"/>
      <c r="F34" s="804">
        <f t="shared" si="2"/>
        <v>10</v>
      </c>
      <c r="G34" s="804"/>
      <c r="H34" s="804"/>
      <c r="I34" s="805" t="str">
        <f t="shared" si="3"/>
        <v/>
      </c>
      <c r="J34" s="805"/>
      <c r="K34" s="806" t="str">
        <f t="shared" si="4"/>
        <v/>
      </c>
      <c r="L34" s="806"/>
      <c r="M34" s="807" t="str">
        <f>IF(AND(Master!$E$22=""),"",IF(AND(Master!$E$22=Master!$C$23),Master!F33,IF(AND(Master!$E$22=Master!$C$43),Master!F53,"")))</f>
        <v>Yes</v>
      </c>
      <c r="N34" s="807"/>
      <c r="AA34" s="34">
        <f>IF(AND(Master!$E$22=""),"",IF(AND(Master!$E$22=Master!$C$23),Master!B33,IF(AND(Master!$E$22=Master!$C$43),Master!B53,"")))</f>
        <v>500</v>
      </c>
      <c r="AB34" s="34">
        <f>IF(AND(Master!$E$22=""),"",IF(AND(Master!$E$22=Master!$C$23),Master!C33,IF(AND(Master!$E$22=Master!$C$43),Master!C53,"")))</f>
        <v>10</v>
      </c>
      <c r="AC34" s="34">
        <f>IF(AND(Master!$E$22=""),"",IF(AND(Master!$E$22=Master!$C$23),Master!D33,IF(AND(Master!$E$22=Master!$C$43),Master!D53,"")))</f>
        <v>0</v>
      </c>
      <c r="AD34" s="34">
        <f>IF(AND(Master!$E$22=""),"",IF(AND(Master!$E$22=Master!$C$23),Master!E33,IF(AND(Master!$E$22=Master!$C$43),Master!E53,"")))</f>
        <v>0</v>
      </c>
    </row>
    <row r="35" spans="1:30" ht="18" customHeight="1" thickTop="1" thickBot="1">
      <c r="A35" s="782">
        <v>10</v>
      </c>
      <c r="B35" s="782"/>
      <c r="C35" s="804">
        <f>IF(AND(Master!$E$22=""),"",IF(AND(AA35=""),"",AA35))</f>
        <v>500</v>
      </c>
      <c r="D35" s="804"/>
      <c r="E35" s="804"/>
      <c r="F35" s="804">
        <f t="shared" si="2"/>
        <v>15</v>
      </c>
      <c r="G35" s="804"/>
      <c r="H35" s="804"/>
      <c r="I35" s="805" t="str">
        <f t="shared" si="3"/>
        <v/>
      </c>
      <c r="J35" s="805"/>
      <c r="K35" s="806" t="str">
        <f t="shared" si="4"/>
        <v/>
      </c>
      <c r="L35" s="806"/>
      <c r="M35" s="807" t="str">
        <f>IF(AND(Master!$E$22=""),"",IF(AND(Master!$E$22=Master!$C$23),Master!F34,IF(AND(Master!$E$22=Master!$C$43),Master!F54,"")))</f>
        <v>Yes</v>
      </c>
      <c r="N35" s="807"/>
      <c r="AA35" s="34">
        <f>IF(AND(Master!$E$22=""),"",IF(AND(Master!$E$22=Master!$C$23),Master!B34,IF(AND(Master!$E$22=Master!$C$43),Master!B54,"")))</f>
        <v>500</v>
      </c>
      <c r="AB35" s="34">
        <f>IF(AND(Master!$E$22=""),"",IF(AND(Master!$E$22=Master!$C$23),Master!C34,IF(AND(Master!$E$22=Master!$C$43),Master!C54,"")))</f>
        <v>15</v>
      </c>
      <c r="AC35" s="34">
        <f>IF(AND(Master!$E$22=""),"",IF(AND(Master!$E$22=Master!$C$23),Master!D34,IF(AND(Master!$E$22=Master!$C$43),Master!D54,"")))</f>
        <v>0</v>
      </c>
      <c r="AD35" s="34">
        <f>IF(AND(Master!$E$22=""),"",IF(AND(Master!$E$22=Master!$C$23),Master!E34,IF(AND(Master!$E$22=Master!$C$43),Master!E54,"")))</f>
        <v>0</v>
      </c>
    </row>
    <row r="36" spans="1:30" ht="18" customHeight="1" thickTop="1" thickBot="1">
      <c r="A36" s="782">
        <v>11</v>
      </c>
      <c r="B36" s="782"/>
      <c r="C36" s="804">
        <f>IF(AND(Master!$E$22=""),"",IF(AND(AA36=""),"",AA36))</f>
        <v>500</v>
      </c>
      <c r="D36" s="804"/>
      <c r="E36" s="804"/>
      <c r="F36" s="804" t="str">
        <f t="shared" si="2"/>
        <v/>
      </c>
      <c r="G36" s="804"/>
      <c r="H36" s="804"/>
      <c r="I36" s="805" t="str">
        <f t="shared" si="3"/>
        <v/>
      </c>
      <c r="J36" s="805"/>
      <c r="K36" s="806" t="str">
        <f t="shared" si="4"/>
        <v/>
      </c>
      <c r="L36" s="806"/>
      <c r="M36" s="807" t="str">
        <f>IF(AND(Master!$E$22=""),"",IF(AND(Master!$E$22=Master!$C$23),Master!F35,IF(AND(Master!$E$22=Master!$C$43),Master!F55,"")))</f>
        <v>-</v>
      </c>
      <c r="N36" s="807"/>
      <c r="AA36" s="34">
        <f>IF(AND(Master!$E$22=""),"",IF(AND(Master!$E$22=Master!$C$23),Master!B35,IF(AND(Master!$E$22=Master!$C$43),Master!B55,"")))</f>
        <v>500</v>
      </c>
      <c r="AB36" s="34">
        <f>IF(AND(Master!$E$22=""),"",IF(AND(Master!$E$22=Master!$C$23),Master!C35,IF(AND(Master!$E$22=Master!$C$43),Master!C55,"")))</f>
        <v>0</v>
      </c>
      <c r="AC36" s="34">
        <f>IF(AND(Master!$E$22=""),"",IF(AND(Master!$E$22=Master!$C$23),Master!D35,IF(AND(Master!$E$22=Master!$C$43),Master!D55,"")))</f>
        <v>0</v>
      </c>
      <c r="AD36" s="34">
        <f>IF(AND(Master!$E$22=""),"",IF(AND(Master!$E$22=Master!$C$23),Master!E35,IF(AND(Master!$E$22=Master!$C$43),Master!E55,"")))</f>
        <v>0</v>
      </c>
    </row>
    <row r="37" spans="1:30" ht="18" customHeight="1" thickTop="1" thickBot="1">
      <c r="A37" s="782">
        <v>12</v>
      </c>
      <c r="B37" s="782"/>
      <c r="C37" s="804">
        <f>IF(AND(Master!$E$22=""),"",IF(AND(AA37=""),"",AA37))</f>
        <v>500</v>
      </c>
      <c r="D37" s="804"/>
      <c r="E37" s="804"/>
      <c r="F37" s="804" t="str">
        <f t="shared" si="2"/>
        <v/>
      </c>
      <c r="G37" s="804"/>
      <c r="H37" s="804"/>
      <c r="I37" s="805" t="str">
        <f t="shared" si="3"/>
        <v/>
      </c>
      <c r="J37" s="805"/>
      <c r="K37" s="806" t="str">
        <f t="shared" si="4"/>
        <v/>
      </c>
      <c r="L37" s="806"/>
      <c r="M37" s="807" t="str">
        <f>IF(AND(Master!$E$22=""),"",IF(AND(Master!$E$22=Master!$C$23),Master!F36,IF(AND(Master!$E$22=Master!$C$43),Master!F56,"")))</f>
        <v>-</v>
      </c>
      <c r="N37" s="807"/>
      <c r="AA37" s="34">
        <f>IF(AND(Master!$E$22=""),"",IF(AND(Master!$E$22=Master!$C$23),Master!B36,IF(AND(Master!$E$22=Master!$C$43),Master!B56,"")))</f>
        <v>500</v>
      </c>
      <c r="AB37" s="34">
        <f>IF(AND(Master!$E$22=""),"",IF(AND(Master!$E$22=Master!$C$23),Master!C36,IF(AND(Master!$E$22=Master!$C$43),Master!C56,"")))</f>
        <v>0</v>
      </c>
      <c r="AC37" s="34">
        <f>IF(AND(Master!$E$22=""),"",IF(AND(Master!$E$22=Master!$C$23),Master!D36,IF(AND(Master!$E$22=Master!$C$43),Master!D56,"")))</f>
        <v>0</v>
      </c>
      <c r="AD37" s="34">
        <f>IF(AND(Master!$E$22=""),"",IF(AND(Master!$E$22=Master!$C$23),Master!E36,IF(AND(Master!$E$22=Master!$C$43),Master!E56,"")))</f>
        <v>0</v>
      </c>
    </row>
    <row r="38" spans="1:30" ht="18" customHeight="1" thickTop="1" thickBot="1">
      <c r="A38" s="782">
        <v>13</v>
      </c>
      <c r="B38" s="782"/>
      <c r="C38" s="804" t="str">
        <f>IF(AND(Master!$E$22=""),"",IF(AND(AA38=""),"",AA38))</f>
        <v/>
      </c>
      <c r="D38" s="804"/>
      <c r="E38" s="804"/>
      <c r="F38" s="804" t="str">
        <f t="shared" si="2"/>
        <v/>
      </c>
      <c r="G38" s="804"/>
      <c r="H38" s="804"/>
      <c r="I38" s="805" t="str">
        <f t="shared" si="3"/>
        <v/>
      </c>
      <c r="J38" s="805"/>
      <c r="K38" s="806" t="str">
        <f t="shared" si="4"/>
        <v/>
      </c>
      <c r="L38" s="806"/>
      <c r="M38" s="807" t="str">
        <f>IF(AND(Master!$E$22=""),"",IF(AND(Master!$E$22=Master!$C$23),Master!F37,IF(AND(Master!$E$22=Master!$C$43),Master!F57,"")))</f>
        <v>-</v>
      </c>
      <c r="N38" s="807"/>
      <c r="AA38" s="34" t="str">
        <f>IF(AND(Master!$E$22=""),"",IF(AND(Master!$E$22=Master!$C$23),Master!B37,IF(AND(Master!$E$22=Master!$C$43),Master!B57,"")))</f>
        <v/>
      </c>
      <c r="AB38" s="34">
        <f>IF(AND(Master!$E$22=""),"",IF(AND(Master!$E$22=Master!$C$23),Master!C37,IF(AND(Master!$E$22=Master!$C$43),Master!C57,"")))</f>
        <v>0</v>
      </c>
      <c r="AC38" s="34">
        <f>IF(AND(Master!$E$22=""),"",IF(AND(Master!$E$22=Master!$C$23),Master!D37,IF(AND(Master!$E$22=Master!$C$43),Master!D57,"")))</f>
        <v>0</v>
      </c>
      <c r="AD38" s="34">
        <f>IF(AND(Master!$E$22=""),"",IF(AND(Master!$E$22=Master!$C$23),Master!E37,IF(AND(Master!$E$22=Master!$C$43),Master!E57,"")))</f>
        <v>0</v>
      </c>
    </row>
    <row r="39" spans="1:30" ht="18" customHeight="1" thickTop="1" thickBot="1">
      <c r="A39" s="782">
        <v>14</v>
      </c>
      <c r="B39" s="782"/>
      <c r="C39" s="804" t="str">
        <f>IF(AND(Master!$E$22=""),"",IF(AND(AA39=""),"",AA39))</f>
        <v/>
      </c>
      <c r="D39" s="804"/>
      <c r="E39" s="804"/>
      <c r="F39" s="804" t="str">
        <f t="shared" si="2"/>
        <v/>
      </c>
      <c r="G39" s="804"/>
      <c r="H39" s="804"/>
      <c r="I39" s="805" t="str">
        <f t="shared" si="3"/>
        <v/>
      </c>
      <c r="J39" s="805"/>
      <c r="K39" s="806" t="str">
        <f t="shared" si="4"/>
        <v/>
      </c>
      <c r="L39" s="806"/>
      <c r="M39" s="807" t="str">
        <f>IF(AND(Master!$E$22=""),"",IF(AND(Master!$E$22=Master!$C$23),Master!F38,IF(AND(Master!$E$22=Master!$C$43),Master!F60,"")))</f>
        <v>-</v>
      </c>
      <c r="N39" s="807"/>
      <c r="AA39" s="34" t="str">
        <f>IF(AND(Master!$E$22=""),"",IF(AND(Master!$E$22=Master!$C$23),Master!B38,IF(AND(Master!$E$22=Master!$C$43),Master!B58,"")))</f>
        <v/>
      </c>
      <c r="AB39" s="34">
        <f>IF(AND(Master!$E$22=""),"",IF(AND(Master!$E$22=Master!$C$23),Master!C38,IF(AND(Master!$E$22=Master!$C$43),Master!C58,"")))</f>
        <v>0</v>
      </c>
      <c r="AC39" s="34">
        <f>IF(AND(Master!$E$22=""),"",IF(AND(Master!$E$22=Master!$C$23),Master!D38,IF(AND(Master!$E$22=Master!$C$43),Master!D58,"")))</f>
        <v>0</v>
      </c>
      <c r="AD39" s="34">
        <f>IF(AND(Master!$E$22=""),"",IF(AND(Master!$E$22=Master!$C$23),Master!E38,IF(AND(Master!$E$22=Master!$C$43),Master!E58,"")))</f>
        <v>0</v>
      </c>
    </row>
    <row r="40" spans="1:30" ht="18" customHeight="1" thickTop="1" thickBot="1">
      <c r="A40" s="782">
        <v>15</v>
      </c>
      <c r="B40" s="782"/>
      <c r="C40" s="804" t="str">
        <f>IF(AND(Master!$E$22=""),"",IF(AND(AA40=""),"",AA40))</f>
        <v/>
      </c>
      <c r="D40" s="804"/>
      <c r="E40" s="804"/>
      <c r="F40" s="804" t="str">
        <f t="shared" si="2"/>
        <v/>
      </c>
      <c r="G40" s="804"/>
      <c r="H40" s="804"/>
      <c r="I40" s="805" t="str">
        <f t="shared" si="3"/>
        <v/>
      </c>
      <c r="J40" s="805"/>
      <c r="K40" s="806" t="str">
        <f t="shared" si="4"/>
        <v/>
      </c>
      <c r="L40" s="806"/>
      <c r="M40" s="807" t="str">
        <f>IF(AND(Master!$E$22=""),"",IF(AND(Master!$E$22=Master!$C$23),Master!F39,IF(AND(Master!$E$22=Master!$C$43),Master!F61,"")))</f>
        <v>-</v>
      </c>
      <c r="N40" s="807"/>
      <c r="AA40" s="34" t="str">
        <f>IF(AND(Master!$E$22=""),"",IF(AND(Master!$E$22=Master!$C$23),Master!B39,IF(AND(Master!$E$22=Master!$C$43),Master!B59,"")))</f>
        <v/>
      </c>
      <c r="AB40" s="34">
        <f>IF(AND(Master!$E$22=""),"",IF(AND(Master!$E$22=Master!$C$23),Master!C39,IF(AND(Master!$E$22=Master!$C$43),Master!C59,"")))</f>
        <v>0</v>
      </c>
      <c r="AC40" s="34">
        <f>IF(AND(Master!$E$22=""),"",IF(AND(Master!$E$22=Master!$C$23),Master!D39,IF(AND(Master!$E$22=Master!$C$43),Master!D59,"")))</f>
        <v>0</v>
      </c>
      <c r="AD40" s="34">
        <f>IF(AND(Master!$E$22=""),"",IF(AND(Master!$E$22=Master!$C$23),Master!E39,IF(AND(Master!$E$22=Master!$C$43),Master!E59,"")))</f>
        <v>0</v>
      </c>
    </row>
    <row r="41" spans="1:30" ht="18" customHeight="1" thickTop="1" thickBot="1">
      <c r="A41" s="782">
        <v>16</v>
      </c>
      <c r="B41" s="782"/>
      <c r="C41" s="804" t="str">
        <f>IF(AND(Master!$E$22=""),"",IF(AND(AA41=""),"",AA41))</f>
        <v/>
      </c>
      <c r="D41" s="804"/>
      <c r="E41" s="804"/>
      <c r="F41" s="804">
        <f t="shared" si="2"/>
        <v>1</v>
      </c>
      <c r="G41" s="804"/>
      <c r="H41" s="804"/>
      <c r="I41" s="805" t="str">
        <f t="shared" si="3"/>
        <v/>
      </c>
      <c r="J41" s="805"/>
      <c r="K41" s="806" t="str">
        <f t="shared" si="4"/>
        <v/>
      </c>
      <c r="L41" s="806"/>
      <c r="M41" s="807" t="str">
        <f>IF(AND(Master!$E$22=""),"",IF(AND(Master!$E$22=Master!$C$23),Master!F40,IF(AND(Master!$E$22=Master!$C$43),Master!F62,"")))</f>
        <v>Yes</v>
      </c>
      <c r="N41" s="807"/>
      <c r="AA41" s="34" t="str">
        <f>IF(AND(Master!$E$22=""),"",IF(AND(Master!$E$22=Master!$C$23),Master!B40,IF(AND(Master!$E$22=Master!$C$43),Master!B60,"")))</f>
        <v/>
      </c>
      <c r="AB41" s="34">
        <f>IF(AND(Master!$E$22=""),"",IF(AND(Master!$E$22=Master!$C$23),Master!C40,IF(AND(Master!$E$22=Master!$C$43),Master!C60,"")))</f>
        <v>1</v>
      </c>
      <c r="AC41" s="34">
        <f>IF(AND(Master!$E$22=""),"",IF(AND(Master!$E$22=Master!$C$23),Master!D40,IF(AND(Master!$E$22=Master!$C$43),Master!D60,"")))</f>
        <v>0</v>
      </c>
      <c r="AD41" s="34">
        <f>IF(AND(Master!$E$22=""),"",IF(AND(Master!$E$22=Master!$C$23),Master!E40,IF(AND(Master!$E$22=Master!$C$43),Master!E60,"")))</f>
        <v>0</v>
      </c>
    </row>
    <row r="42" spans="1:30" ht="24" customHeight="1" thickTop="1" thickBot="1">
      <c r="A42" s="795" t="s">
        <v>4</v>
      </c>
      <c r="B42" s="795"/>
      <c r="C42" s="813">
        <f>IF(AND(Master!$E$22=""),"",IF(AND(Master!$E$22=Master!$C$23),Master!B41,IF(AND(Master!$E$22=Master!$C$43),Master!B61,"")))</f>
        <v>6000</v>
      </c>
      <c r="D42" s="813"/>
      <c r="E42" s="813"/>
      <c r="F42" s="809" t="s">
        <v>146</v>
      </c>
      <c r="G42" s="809"/>
      <c r="H42" s="809"/>
      <c r="I42" s="810" t="s">
        <v>146</v>
      </c>
      <c r="J42" s="810"/>
      <c r="K42" s="810" t="s">
        <v>146</v>
      </c>
      <c r="L42" s="810"/>
      <c r="M42" s="808" t="s">
        <v>146</v>
      </c>
      <c r="N42" s="808"/>
    </row>
    <row r="43" spans="1:30" ht="23.25" customHeight="1" thickTop="1">
      <c r="A43" s="121"/>
      <c r="B43" s="121"/>
      <c r="C43" s="121"/>
      <c r="D43" s="121"/>
      <c r="E43" s="121"/>
      <c r="F43" s="772" t="s">
        <v>93</v>
      </c>
      <c r="G43" s="772"/>
      <c r="H43" s="772"/>
      <c r="I43" s="772"/>
      <c r="J43" s="772"/>
      <c r="K43" s="121"/>
      <c r="L43" s="121"/>
      <c r="M43" s="121"/>
      <c r="N43" s="121"/>
      <c r="O43" s="89"/>
    </row>
    <row r="44" spans="1:30" ht="20.100000000000001" customHeight="1">
      <c r="A44" s="124" t="s">
        <v>65</v>
      </c>
      <c r="B44" s="769" t="str">
        <f>UPPER(IF(Master!D17="","",(Master!D17)))</f>
        <v>MISHRI LAL</v>
      </c>
      <c r="C44" s="769"/>
      <c r="D44" s="769"/>
      <c r="E44" s="769"/>
      <c r="F44" s="769"/>
      <c r="G44" s="770" t="s">
        <v>94</v>
      </c>
      <c r="H44" s="770"/>
      <c r="I44" s="770"/>
      <c r="J44" s="770"/>
      <c r="K44" s="769" t="str">
        <f>UPPER(IF(Master!H17="","",Master!H17))</f>
        <v>MAKWANA</v>
      </c>
      <c r="L44" s="769"/>
      <c r="M44" s="769"/>
      <c r="N44" s="769"/>
      <c r="O44" s="89"/>
    </row>
    <row r="45" spans="1:30" ht="20.100000000000001" customHeight="1">
      <c r="A45" s="811" t="s">
        <v>95</v>
      </c>
      <c r="B45" s="811"/>
      <c r="C45" s="811"/>
      <c r="D45" s="811"/>
      <c r="E45" s="769" t="str">
        <f>UPPER(IF(Master!D16="","",Master!D16))</f>
        <v>GSSS INDERWARA  (PALI)</v>
      </c>
      <c r="F45" s="769"/>
      <c r="G45" s="769"/>
      <c r="H45" s="852" t="s">
        <v>96</v>
      </c>
      <c r="I45" s="852"/>
      <c r="J45" s="852"/>
      <c r="K45" s="852"/>
      <c r="L45" s="852"/>
      <c r="M45" s="852"/>
      <c r="N45" s="131">
        <f>IF(AND(C42=""),"",ROUND(C42,0))</f>
        <v>6000</v>
      </c>
      <c r="O45" s="89"/>
      <c r="P45" s="115"/>
    </row>
    <row r="46" spans="1:30" ht="20.100000000000001" customHeight="1">
      <c r="A46" s="792" t="s">
        <v>307</v>
      </c>
      <c r="B46" s="792"/>
      <c r="C46" s="812" t="str">
        <f>IF(AND(C42=""),"","( Rs. "&amp;LOOKUP(IF(INT(RIGHT(N45,7)/100000)&gt;19,INT(RIGHT(N45,7)/1000000),IF(INT(RIGHT(N45,7)/100000)&gt;=10,INT(RIGHT(N45,7)/100000),0)),{0,1,2,3,4,5,6,7,8,9,10,11,12,13,14,15,16,17,18,19},{""," TEN "," TWENTY "," THIRTY "," FOURTY "," FIFTY "," SIXTY "," SEVENTY "," EIGHTY "," NINETY "," TEN "," ELEVEN "," TWELVE "," THIRTEEN "," FOURTEEN "," FIFTEEN "," SIXTEEN"," SEVENTEEN"," EIGHTEEN "," NINETEEN "})&amp;IF((IF(INT(RIGHT(N45,7)/100000)&gt;19,INT(RIGHT(N45,7)/1000000),IF(INT(RIGHT(N45,7)/100000)&gt;=10,INT(RIGHT(N45,7)/100000),0))+IF(INT(RIGHT(N45,7)/100000)&gt;19,INT(RIGHT(N45,6)/100000),IF(INT(RIGHT(N45,7)/100000)&gt;10,0,INT(RIGHT(N45,6)/100000))))&gt;0,LOOKUP(IF(INT(RIGHT(N45,7)/100000)&gt;19,INT(RIGHT(N45,6)/100000),IF(INT(RIGHT(N45,7)/100000)&gt;10,0,INT(RIGHT(N45,6)/100000))),{0,1,2,3,4,5,6,7,8,9,10,11,12,13,14,15,16,17,18,19},{""," ONE "," TWO "," THREE "," FOUR "," FIVE "," SIX "," SEVEN "," EIGHT "," NINE "," TEN "," ELEVEN "," TWELVE "," THIRTEEN "," FOURTEEN "," FIFTEEN "," SIXTEEN"," SEVENTEEN"," EIGHTEEN "," NINETEEN "})&amp;" Lac. "," ")&amp;LOOKUP(IF(INT(RIGHT(N45,5)/1000)&gt;19,INT(RIGHT(N45,5)/10000),IF(INT(RIGHT(N45,5)/1000)&gt;=10,INT(RIGHT(N45,5)/1000),0)),{0,1,2,3,4,5,6,7,8,9,10,11,12,13,14,15,16,17,18,19},{""," TEN "," TWENTY "," THIRTY "," FOURTY "," FIFTY "," SIXTY "," SEVENTY "," EIGHTY "," NINETY "," TEN "," ELEVEN "," TWELVE "," THIRTEEN "," FOURTEEN "," FIFTEEN "," SIXTEEN"," SEVENTEEN"," EIGHTEEN "," NINETEEN "})&amp;IF((IF(INT(RIGHT(N45,5)/1000)&gt;19,INT(RIGHT(N45,4)/1000),IF(INT(RIGHT(N45,5)/1000)&gt;10,0,INT(RIGHT(N45,4)/1000)))+IF(INT(RIGHT(N45,5)/1000)&gt;19,INT(RIGHT(N45,5)/10000),IF(INT(RIGHT(N45,5)/1000)&gt;=10,INT(RIGHT(N45,5)/1000),0)))&gt;0,LOOKUP(IF(INT(RIGHT(N45,5)/1000)&gt;19,INT(RIGHT(N45,4)/1000),IF(INT(RIGHT(N45,5)/1000)&gt;10,0,INT(RIGHT(N45,4)/1000))),{0,1,2,3,4,5,6,7,8,9,10,11,12,13,14,15,16,17,18,19},{""," ONE "," TWO "," THREE "," FOUR "," FIVE "," SIX "," SEVEN "," EIGHT "," NINE "," TEN "," ELEVEN "," TWELVE "," THIRTEEN "," FOURTEEN "," FIFTEEN "," SIXTEEN"," SEVENTEEN"," EIGHTEEN "," NINETEEN "})&amp;" THOUSAND "," ")&amp;IF((INT((RIGHT(N45,3))/100))&gt;0,LOOKUP(INT((RIGHT(N45,3))/100),{0,1,2,3,4,5,6,7,8,9,10,11,12,13,14,15,16,17,18,19},{""," ONE "," TWO "," THREE "," FOUR "," FIVE "," SIX "," SEVEN "," EIGHT "," NINE "," TEN "," ELEVEN "," TWELVE "," THIRTEEN "," FOURTEEN "," FIFTEEN "," SIXTEEN"," SEVENTEEN"," EIGHTEEN "," NINETEEN "})&amp;" HUNDRED "," ")&amp;LOOKUP(IF(INT(RIGHT(N45,2))&gt;19,INT(RIGHT(N45,2)/10),IF(INT(RIGHT(N45,2))&gt;=10,INT(RIGHT(N45,2)),0)),{0,1,2,3,4,5,6,7,8,9,10,11,12,13,14,15,16,17,18,19},{""," TEN "," TWENTY "," THIRTY "," FOURTY "," FIFTY "," SIXTY "," SEVENTY "," EIGHTY "," NINETY "," TEN "," ELEVEN "," TWELVE "," THIRTEEN "," FOURTEEN "," FIFTEEN "," SIXTEEN"," SEVENTEEN"," EIGHTEEN "," NINETEEN "})&amp;LOOKUP(IF(INT(RIGHT(N45,2))&lt;10,INT(RIGHT(N45,1)),IF(INT(RIGHT(N45,2))&lt;20,0,INT(RIGHT(N45,1)))),{0,1,2,3,4,5,6,7,8,9,10,11,12,13,14,15,16,17,18,19},{""," ONE "," TWO "," THREE "," FOUR "," FIVE "," SIX "," SEVEN "," EIGHT "," NINE "," TEN "," ELEVEN "," TWELVE "," THIRTEEN "," FOURTEEN "," FIFTEEN "," SIXTEEN"," SEVENTEEN"," EIGHTEEN "," NINETEEN "})&amp;" Only)")</f>
        <v>( Rs.   SIX  THOUSAND   Only)</v>
      </c>
      <c r="D46" s="812"/>
      <c r="E46" s="812"/>
      <c r="F46" s="812"/>
      <c r="G46" s="812"/>
      <c r="H46" s="812"/>
      <c r="I46" s="812"/>
      <c r="J46" s="812"/>
      <c r="K46" s="792" t="s">
        <v>306</v>
      </c>
      <c r="L46" s="853"/>
      <c r="M46" s="853"/>
      <c r="N46" s="853"/>
      <c r="O46" s="89"/>
    </row>
    <row r="47" spans="1:30" ht="20.100000000000001" customHeight="1">
      <c r="A47" s="792" t="s">
        <v>97</v>
      </c>
      <c r="B47" s="792"/>
      <c r="C47" s="792"/>
      <c r="D47" s="792"/>
      <c r="E47" s="792"/>
      <c r="F47" s="792"/>
      <c r="G47" s="792"/>
      <c r="H47" s="792"/>
      <c r="I47" s="792"/>
      <c r="J47" s="792"/>
      <c r="K47" s="792"/>
      <c r="L47" s="792"/>
      <c r="M47" s="792"/>
      <c r="N47" s="792"/>
      <c r="O47" s="89"/>
    </row>
    <row r="48" spans="1:30" ht="20.100000000000001" customHeight="1" thickBot="1">
      <c r="A48" s="792" t="s">
        <v>98</v>
      </c>
      <c r="B48" s="792"/>
      <c r="C48" s="792"/>
      <c r="D48" s="792"/>
      <c r="E48" s="792"/>
      <c r="F48" s="792"/>
      <c r="G48" s="792"/>
      <c r="H48" s="792"/>
      <c r="I48" s="792"/>
      <c r="J48" s="792"/>
      <c r="K48" s="792"/>
      <c r="L48" s="792"/>
      <c r="M48" s="792"/>
      <c r="N48" s="792"/>
      <c r="O48" s="89"/>
    </row>
    <row r="49" spans="1:33" ht="30.95" customHeight="1" thickTop="1" thickBot="1">
      <c r="A49" s="751" t="s">
        <v>99</v>
      </c>
      <c r="B49" s="751"/>
      <c r="C49" s="752"/>
      <c r="D49" s="752"/>
      <c r="E49" s="752"/>
      <c r="F49" s="752"/>
      <c r="G49" s="752"/>
      <c r="H49" s="752"/>
      <c r="I49" s="753" t="s">
        <v>101</v>
      </c>
      <c r="J49" s="753"/>
      <c r="K49" s="753"/>
      <c r="L49" s="753"/>
      <c r="M49" s="753"/>
      <c r="N49" s="753"/>
      <c r="AG49" s="34" t="str">
        <f>"( Rs. "&amp;LOOKUP(IF(INT(RIGHT(N45,7)/100000)&gt;19,INT(RIGHT(N45,7)/1000000),IF(INT(RIGHT(N45,7)/100000)&gt;=10,INT(RIGHT(N45,7)/100000),0)),{0,1,2,3,4,5,6,7,8,9,10,11,12,13,14,15,16,17,18,19},{""," TEN "," TWENTY "," THIRTY "," FOURTY "," FIFTY "," SIXTY "," SEVENTY "," EIGHTY "," NINETY "," TEN "," ELEVEN "," TWELVE "," THIRTEEN "," FOURTEEN "," FIFTEEN "," SIXTEEN"," SEVENTEEN"," EIGHTEEN "," NINETEEN "})&amp;IF((IF(INT(RIGHT(N45,7)/100000)&gt;19,INT(RIGHT(N45,7)/1000000),IF(INT(RIGHT(N45,7)/100000)&gt;=10,INT(RIGHT(N45,7)/100000),0))+IF(INT(RIGHT(N45,7)/100000)&gt;19,INT(RIGHT(N45,6)/100000),IF(INT(RIGHT(N45,7)/100000)&gt;10,0,INT(RIGHT(N45,6)/100000))))&gt;0,LOOKUP(IF(INT(RIGHT(N45,7)/100000)&gt;19,INT(RIGHT(N45,6)/100000),IF(INT(RIGHT(N45,7)/100000)&gt;10,0,INT(RIGHT(N45,6)/100000))),{0,1,2,3,4,5,6,7,8,9,10,11,12,13,14,15,16,17,18,19},{""," ONE "," TWO "," THREE "," FOUR "," FIVE "," SIX "," SEVEN "," EIGHT "," NINE "," TEN "," ELEVEN "," TWELVE "," THIRTEEN "," FOURTEEN "," FIFTEEN "," SIXTEEN"," SEVENTEEN"," EIGHTEEN "," NINETEEN "})&amp;" Lac. "," ")&amp;LOOKUP(IF(INT(RIGHT(N45,5)/1000)&gt;19,INT(RIGHT(N45,5)/10000),IF(INT(RIGHT(N45,5)/1000)&gt;=10,INT(RIGHT(N45,5)/1000),0)),{0,1,2,3,4,5,6,7,8,9,10,11,12,13,14,15,16,17,18,19},{""," TEN "," TWENTY "," THIRTY "," FOURTY "," FIFTY "," SIXTY "," SEVENTY "," EIGHTY "," NINETY "," TEN "," ELEVEN "," TWELVE "," THIRTEEN "," FOURTEEN "," FIFTEEN "," SIXTEEN"," SEVENTEEN"," EIGHTEEN "," NINETEEN "})&amp;IF((IF(INT(RIGHT(N45,5)/1000)&gt;19,INT(RIGHT(N45,4)/1000),IF(INT(RIGHT(N45,5)/1000)&gt;10,0,INT(RIGHT(N45,4)/1000)))+IF(INT(RIGHT(N45,5)/1000)&gt;19,INT(RIGHT(N45,5)/10000),IF(INT(RIGHT(N45,5)/1000)&gt;=10,INT(RIGHT(N45,5)/1000),0)))&gt;0,LOOKUP(IF(INT(RIGHT(N45,5)/1000)&gt;19,INT(RIGHT(N45,4)/1000),IF(INT(RIGHT(N45,5)/1000)&gt;10,0,INT(RIGHT(N45,4)/1000))),{0,1,2,3,4,5,6,7,8,9,10,11,12,13,14,15,16,17,18,19},{""," ONE "," TWO "," THREE "," FOUR "," FIVE "," SIX "," SEVEN "," EIGHT "," NINE "," TEN "," ELEVEN "," TWELVE "," THIRTEEN "," FOURTEEN "," FIFTEEN "," SIXTEEN"," SEVENTEEN"," EIGHTEEN "," NINETEEN "})&amp;" Thousand "," ")&amp;IF((INT((RIGHT(N45,3))/100))&gt;0,LOOKUP(INT((RIGHT(N45,3))/100),{0,1,2,3,4,5,6,7,8,9,10,11,12,13,14,15,16,17,18,19},{""," ONE "," TWO "," THREE "," FOUR "," FIVE "," SIX "," SEVEN "," EIGHT "," NINE "," TEN "," ELEVEN "," TWELVE "," THIRTEEN "," FOURTEEN "," FIFTEEN "," SIXTEEN"," SEVENTEEN"," EIGHTEEN "," NINETEEN "})&amp;" Hundred "," ")&amp;LOOKUP(IF(INT(RIGHT(N45,2))&gt;19,INT(RIGHT(N45,2)/10),IF(INT(RIGHT(N45,2))&gt;=10,INT(RIGHT(N45,2)),0)),{0,1,2,3,4,5,6,7,8,9,10,11,12,13,14,15,16,17,18,19},{""," TEN "," TWENTY "," THIRTY "," FOURTY "," FIFTY "," SIXTY "," SEVENTY "," EIGHTY "," NINETY "," TEN "," ELEVEN "," TWELVE "," THIRTEEN "," FOURTEEN "," FIFTEEN "," SIXTEEN"," SEVENTEEN"," EIGHTEEN "," NINETEEN "})&amp;LOOKUP(IF(INT(RIGHT(N45,2))&lt;10,INT(RIGHT(N45,1)),IF(INT(RIGHT(N45,2))&lt;20,0,INT(RIGHT(N45,1)))),{0,1,2,3,4,5,6,7,8,9,10,11,12,13,14,15,16,17,18,19},{""," ONE "," TWO "," THREE "," FOUR "," FIVE "," SIX "," SEVEN "," EIGHT "," NINE "," TEN "," ELEVEN "," TWELVE "," THIRTEEN "," FOURTEEN "," FIFTEEN "," SIXTEEN"," SEVENTEEN"," EIGHTEEN "," NINETEEN "})&amp;" Only)"</f>
        <v>( Rs.   SIX  Thousand   Only)</v>
      </c>
    </row>
    <row r="50" spans="1:33" ht="30.95" customHeight="1" thickTop="1" thickBot="1">
      <c r="A50" s="751" t="s">
        <v>1</v>
      </c>
      <c r="B50" s="751"/>
      <c r="C50" s="754">
        <f ca="1">TODAY()</f>
        <v>43821</v>
      </c>
      <c r="D50" s="755"/>
      <c r="E50" s="755"/>
      <c r="F50" s="755"/>
      <c r="G50" s="755"/>
      <c r="H50" s="756"/>
      <c r="I50" s="753"/>
      <c r="J50" s="753"/>
      <c r="K50" s="753"/>
      <c r="L50" s="753"/>
      <c r="M50" s="753"/>
      <c r="N50" s="753"/>
    </row>
    <row r="51" spans="1:33" ht="30.95" customHeight="1" thickTop="1" thickBot="1">
      <c r="A51" s="751" t="s">
        <v>5</v>
      </c>
      <c r="B51" s="751"/>
      <c r="C51" s="751"/>
      <c r="D51" s="765" t="str">
        <f>UPPER(IF(Master!D16="","",Master!D16))</f>
        <v>GSSS INDERWARA  (PALI)</v>
      </c>
      <c r="E51" s="765"/>
      <c r="F51" s="765"/>
      <c r="G51" s="765"/>
      <c r="H51" s="765"/>
      <c r="I51" s="766" t="s">
        <v>100</v>
      </c>
      <c r="J51" s="766"/>
      <c r="K51" s="767" t="str">
        <f>IF(AND(Master!D17=""),"",CONCATENATE("( ",UPPER(Master!D17)," )"))</f>
        <v>( MISHRI LAL )</v>
      </c>
      <c r="L51" s="767"/>
      <c r="M51" s="767"/>
      <c r="N51" s="767"/>
    </row>
    <row r="52" spans="1:33" ht="22.5" customHeight="1" thickTop="1">
      <c r="A52" s="797" t="s">
        <v>102</v>
      </c>
      <c r="B52" s="797"/>
      <c r="C52" s="797"/>
      <c r="D52" s="121"/>
      <c r="E52" s="121"/>
      <c r="F52" s="121"/>
      <c r="G52" s="121"/>
      <c r="H52" s="121"/>
      <c r="I52" s="32"/>
      <c r="J52" s="32"/>
      <c r="K52" s="32"/>
      <c r="L52" s="32"/>
      <c r="M52" s="125"/>
      <c r="N52" s="125"/>
      <c r="O52" s="89"/>
    </row>
    <row r="53" spans="1:33" s="88" customFormat="1" ht="24.95" customHeight="1">
      <c r="A53" s="122">
        <v>1</v>
      </c>
      <c r="B53" s="796" t="s">
        <v>103</v>
      </c>
      <c r="C53" s="796"/>
      <c r="D53" s="796"/>
      <c r="E53" s="796"/>
      <c r="F53" s="796"/>
      <c r="G53" s="796"/>
      <c r="H53" s="796"/>
      <c r="I53" s="796"/>
      <c r="J53" s="796"/>
      <c r="K53" s="796"/>
      <c r="L53" s="796"/>
      <c r="M53" s="796"/>
      <c r="N53" s="796"/>
      <c r="O53" s="132"/>
    </row>
    <row r="54" spans="1:33" s="88" customFormat="1" ht="24.95" customHeight="1">
      <c r="A54" s="122">
        <v>2</v>
      </c>
      <c r="B54" s="796" t="s">
        <v>104</v>
      </c>
      <c r="C54" s="796"/>
      <c r="D54" s="796"/>
      <c r="E54" s="796"/>
      <c r="F54" s="796"/>
      <c r="G54" s="796"/>
      <c r="H54" s="796"/>
      <c r="I54" s="796"/>
      <c r="J54" s="796"/>
      <c r="K54" s="796"/>
      <c r="L54" s="796"/>
      <c r="M54" s="796"/>
      <c r="N54" s="796"/>
      <c r="O54" s="132"/>
      <c r="R54" s="850"/>
      <c r="S54" s="850"/>
      <c r="T54" s="850"/>
      <c r="U54" s="850"/>
    </row>
    <row r="55" spans="1:33" s="88" customFormat="1" ht="24.95" customHeight="1">
      <c r="A55" s="122">
        <v>3</v>
      </c>
      <c r="B55" s="796" t="s">
        <v>105</v>
      </c>
      <c r="C55" s="796"/>
      <c r="D55" s="796"/>
      <c r="E55" s="796"/>
      <c r="F55" s="796"/>
      <c r="G55" s="796"/>
      <c r="H55" s="796"/>
      <c r="I55" s="796"/>
      <c r="J55" s="796"/>
      <c r="K55" s="796"/>
      <c r="L55" s="796"/>
      <c r="M55" s="796"/>
      <c r="N55" s="796"/>
      <c r="O55" s="132"/>
    </row>
    <row r="56" spans="1:33" s="88" customFormat="1" ht="39.75" customHeight="1">
      <c r="A56" s="122">
        <v>4</v>
      </c>
      <c r="B56" s="796" t="s">
        <v>106</v>
      </c>
      <c r="C56" s="796"/>
      <c r="D56" s="796"/>
      <c r="E56" s="796"/>
      <c r="F56" s="796"/>
      <c r="G56" s="796"/>
      <c r="H56" s="796"/>
      <c r="I56" s="796"/>
      <c r="J56" s="796"/>
      <c r="K56" s="796"/>
      <c r="L56" s="796"/>
      <c r="M56" s="796"/>
      <c r="N56" s="796"/>
      <c r="O56" s="132"/>
    </row>
    <row r="57" spans="1:33" s="88" customFormat="1" ht="50.25" customHeight="1">
      <c r="A57" s="122">
        <v>5</v>
      </c>
      <c r="B57" s="796" t="s">
        <v>107</v>
      </c>
      <c r="C57" s="796"/>
      <c r="D57" s="796"/>
      <c r="E57" s="796"/>
      <c r="F57" s="796"/>
      <c r="G57" s="796"/>
      <c r="H57" s="796"/>
      <c r="I57" s="796"/>
      <c r="J57" s="796"/>
      <c r="K57" s="796"/>
      <c r="L57" s="796"/>
      <c r="M57" s="796"/>
      <c r="N57" s="796"/>
      <c r="O57" s="132"/>
    </row>
    <row r="58" spans="1:33" s="88" customFormat="1" ht="24.95" customHeight="1">
      <c r="A58" s="122">
        <v>6</v>
      </c>
      <c r="B58" s="796" t="s">
        <v>108</v>
      </c>
      <c r="C58" s="796"/>
      <c r="D58" s="796"/>
      <c r="E58" s="796"/>
      <c r="F58" s="796"/>
      <c r="G58" s="796"/>
      <c r="H58" s="796"/>
      <c r="I58" s="796"/>
      <c r="J58" s="796"/>
      <c r="K58" s="796"/>
      <c r="L58" s="796"/>
      <c r="M58" s="796"/>
      <c r="N58" s="796"/>
      <c r="O58" s="132"/>
    </row>
    <row r="59" spans="1:33" ht="18.75" customHeight="1">
      <c r="A59" s="33"/>
      <c r="B59" s="33"/>
      <c r="C59" s="121"/>
      <c r="D59" s="121"/>
      <c r="E59" s="121"/>
      <c r="F59" s="121"/>
      <c r="G59" s="769" t="s">
        <v>109</v>
      </c>
      <c r="H59" s="769"/>
      <c r="I59" s="769"/>
      <c r="J59" s="32"/>
      <c r="K59" s="32"/>
      <c r="L59" s="125"/>
      <c r="M59" s="125"/>
      <c r="N59" s="125"/>
      <c r="O59" s="89"/>
    </row>
    <row r="60" spans="1:33" ht="15" customHeight="1" thickBot="1">
      <c r="A60" s="851" t="s">
        <v>25</v>
      </c>
      <c r="B60" s="851"/>
      <c r="C60" s="851"/>
      <c r="D60" s="851"/>
      <c r="E60" s="851"/>
      <c r="F60" s="851"/>
      <c r="G60" s="851"/>
      <c r="H60" s="851"/>
      <c r="I60" s="851"/>
      <c r="J60" s="851"/>
      <c r="K60" s="851"/>
      <c r="L60" s="851"/>
      <c r="M60" s="851"/>
      <c r="N60" s="851"/>
      <c r="O60" s="89"/>
    </row>
    <row r="61" spans="1:33" ht="18" customHeight="1" thickTop="1" thickBot="1">
      <c r="A61" s="136">
        <v>1</v>
      </c>
      <c r="B61" s="866" t="s">
        <v>26</v>
      </c>
      <c r="C61" s="867"/>
      <c r="D61" s="867"/>
      <c r="E61" s="867"/>
      <c r="F61" s="867"/>
      <c r="G61" s="867"/>
      <c r="H61" s="867"/>
      <c r="I61" s="867"/>
      <c r="J61" s="867"/>
      <c r="K61" s="867"/>
      <c r="L61" s="867"/>
      <c r="M61" s="867"/>
      <c r="N61" s="868"/>
    </row>
    <row r="62" spans="1:33" ht="24" customHeight="1" thickTop="1" thickBot="1">
      <c r="A62" s="136"/>
      <c r="B62" s="134" t="s">
        <v>27</v>
      </c>
      <c r="C62" s="819" t="s">
        <v>28</v>
      </c>
      <c r="D62" s="819"/>
      <c r="E62" s="819"/>
      <c r="F62" s="819"/>
      <c r="G62" s="819"/>
      <c r="H62" s="136" t="s">
        <v>29</v>
      </c>
      <c r="I62" s="435">
        <f>IF(AND(COMPUTATION!O5=""),"",COMPUTATION!O5)</f>
        <v>0</v>
      </c>
      <c r="J62" s="837"/>
      <c r="K62" s="838"/>
      <c r="L62" s="838"/>
      <c r="M62" s="838"/>
      <c r="N62" s="839"/>
    </row>
    <row r="63" spans="1:33" ht="13.5" customHeight="1" thickTop="1" thickBot="1">
      <c r="A63" s="782"/>
      <c r="B63" s="782" t="s">
        <v>30</v>
      </c>
      <c r="C63" s="819" t="s">
        <v>110</v>
      </c>
      <c r="D63" s="819"/>
      <c r="E63" s="819"/>
      <c r="F63" s="819"/>
      <c r="G63" s="819"/>
      <c r="H63" s="782" t="s">
        <v>29</v>
      </c>
      <c r="I63" s="798">
        <f>IF(AND(COMPUTATION!O4=""),"",COMPUTATION!O4)</f>
        <v>806379</v>
      </c>
      <c r="J63" s="840"/>
      <c r="K63" s="841"/>
      <c r="L63" s="841"/>
      <c r="M63" s="841"/>
      <c r="N63" s="842"/>
    </row>
    <row r="64" spans="1:33" ht="17.25" customHeight="1" thickTop="1" thickBot="1">
      <c r="A64" s="782"/>
      <c r="B64" s="782"/>
      <c r="C64" s="819"/>
      <c r="D64" s="819"/>
      <c r="E64" s="819"/>
      <c r="F64" s="819"/>
      <c r="G64" s="819"/>
      <c r="H64" s="782"/>
      <c r="I64" s="798"/>
      <c r="J64" s="840"/>
      <c r="K64" s="841"/>
      <c r="L64" s="841"/>
      <c r="M64" s="841"/>
      <c r="N64" s="842"/>
    </row>
    <row r="65" spans="1:14" ht="36.75" customHeight="1" thickTop="1" thickBot="1">
      <c r="A65" s="136"/>
      <c r="B65" s="134" t="s">
        <v>31</v>
      </c>
      <c r="C65" s="819" t="s">
        <v>111</v>
      </c>
      <c r="D65" s="819"/>
      <c r="E65" s="819"/>
      <c r="F65" s="819"/>
      <c r="G65" s="819"/>
      <c r="H65" s="136" t="s">
        <v>29</v>
      </c>
      <c r="I65" s="436">
        <f>IF(AND(COMPUTATION!O16=""),"",COMPUTATION!E16)</f>
        <v>0</v>
      </c>
      <c r="J65" s="843"/>
      <c r="K65" s="844"/>
      <c r="L65" s="844"/>
      <c r="M65" s="844"/>
      <c r="N65" s="845"/>
    </row>
    <row r="66" spans="1:14" ht="18.75" customHeight="1" thickTop="1" thickBot="1">
      <c r="A66" s="136"/>
      <c r="B66" s="139" t="s">
        <v>32</v>
      </c>
      <c r="C66" s="846"/>
      <c r="D66" s="847"/>
      <c r="E66" s="847"/>
      <c r="F66" s="847"/>
      <c r="G66" s="847"/>
      <c r="H66" s="847"/>
      <c r="I66" s="848"/>
      <c r="J66" s="140" t="s">
        <v>29</v>
      </c>
      <c r="K66" s="799">
        <f>IF(AND(H7=""),"",I63+I65)</f>
        <v>806379</v>
      </c>
      <c r="L66" s="800"/>
      <c r="M66" s="800"/>
      <c r="N66" s="801"/>
    </row>
    <row r="67" spans="1:14" ht="20.25" customHeight="1" thickTop="1" thickBot="1">
      <c r="A67" s="136">
        <v>2</v>
      </c>
      <c r="B67" s="794" t="s">
        <v>284</v>
      </c>
      <c r="C67" s="794"/>
      <c r="D67" s="794"/>
      <c r="E67" s="794"/>
      <c r="F67" s="794"/>
      <c r="G67" s="794"/>
      <c r="H67" s="794"/>
      <c r="I67" s="794"/>
      <c r="J67" s="794"/>
      <c r="K67" s="794"/>
      <c r="L67" s="794"/>
      <c r="M67" s="794"/>
      <c r="N67" s="794"/>
    </row>
    <row r="68" spans="1:14" ht="17.25" customHeight="1" thickTop="1" thickBot="1">
      <c r="A68" s="136"/>
      <c r="B68" s="793" t="s">
        <v>126</v>
      </c>
      <c r="C68" s="793"/>
      <c r="D68" s="793"/>
      <c r="E68" s="137" t="s">
        <v>29</v>
      </c>
      <c r="F68" s="817">
        <f>IF(AND(H7=""),"",COMPUTATION!O5)</f>
        <v>0</v>
      </c>
      <c r="G68" s="817"/>
      <c r="H68" s="759"/>
      <c r="I68" s="759"/>
      <c r="J68" s="759"/>
      <c r="K68" s="759"/>
      <c r="L68" s="759"/>
      <c r="M68" s="759"/>
      <c r="N68" s="759"/>
    </row>
    <row r="69" spans="1:14" ht="17.25" customHeight="1" thickTop="1" thickBot="1">
      <c r="A69" s="136"/>
      <c r="B69" s="782"/>
      <c r="C69" s="782"/>
      <c r="D69" s="782"/>
      <c r="E69" s="782"/>
      <c r="F69" s="782"/>
      <c r="G69" s="782"/>
      <c r="H69" s="782"/>
      <c r="I69" s="782"/>
      <c r="J69" s="140" t="s">
        <v>29</v>
      </c>
      <c r="K69" s="836">
        <f>IF(AND(H7=""),"",SUM(F68))</f>
        <v>0</v>
      </c>
      <c r="L69" s="836"/>
      <c r="M69" s="802"/>
      <c r="N69" s="803"/>
    </row>
    <row r="70" spans="1:14" ht="20.25" customHeight="1" thickTop="1" thickBot="1">
      <c r="A70" s="136">
        <v>3</v>
      </c>
      <c r="B70" s="869" t="s">
        <v>33</v>
      </c>
      <c r="C70" s="869"/>
      <c r="D70" s="869"/>
      <c r="E70" s="869"/>
      <c r="F70" s="869"/>
      <c r="G70" s="869"/>
      <c r="H70" s="869"/>
      <c r="I70" s="869"/>
      <c r="J70" s="869"/>
      <c r="K70" s="869"/>
      <c r="L70" s="140" t="s">
        <v>29</v>
      </c>
      <c r="M70" s="835">
        <f>IF(AND(H7=""),"",K66-K69)</f>
        <v>806379</v>
      </c>
      <c r="N70" s="835"/>
    </row>
    <row r="71" spans="1:14" ht="17.25" customHeight="1" thickTop="1" thickBot="1">
      <c r="A71" s="136">
        <v>4</v>
      </c>
      <c r="B71" s="773" t="s">
        <v>285</v>
      </c>
      <c r="C71" s="773"/>
      <c r="D71" s="773"/>
      <c r="E71" s="773"/>
      <c r="F71" s="773"/>
      <c r="G71" s="773"/>
      <c r="H71" s="773"/>
      <c r="I71" s="773"/>
      <c r="J71" s="837"/>
      <c r="K71" s="838"/>
      <c r="L71" s="838"/>
      <c r="M71" s="838"/>
      <c r="N71" s="839"/>
    </row>
    <row r="72" spans="1:14" ht="16.5" customHeight="1" thickTop="1" thickBot="1">
      <c r="A72" s="136"/>
      <c r="B72" s="134" t="s">
        <v>27</v>
      </c>
      <c r="C72" s="849" t="s">
        <v>34</v>
      </c>
      <c r="D72" s="849"/>
      <c r="E72" s="849"/>
      <c r="F72" s="849"/>
      <c r="G72" s="137" t="s">
        <v>29</v>
      </c>
      <c r="H72" s="780">
        <f>IF(AND(H7=""),"",COMPUTATION!K7)</f>
        <v>0</v>
      </c>
      <c r="I72" s="780"/>
      <c r="J72" s="840"/>
      <c r="K72" s="841"/>
      <c r="L72" s="841"/>
      <c r="M72" s="841"/>
      <c r="N72" s="842"/>
    </row>
    <row r="73" spans="1:14" ht="16.5" customHeight="1" thickTop="1" thickBot="1">
      <c r="A73" s="136"/>
      <c r="B73" s="134" t="s">
        <v>30</v>
      </c>
      <c r="C73" s="849" t="s">
        <v>35</v>
      </c>
      <c r="D73" s="849"/>
      <c r="E73" s="849"/>
      <c r="F73" s="849"/>
      <c r="G73" s="137" t="s">
        <v>29</v>
      </c>
      <c r="H73" s="780">
        <f>IF(AND(H7=""),"",COMPUTATION!K8)</f>
        <v>0</v>
      </c>
      <c r="I73" s="780"/>
      <c r="J73" s="840"/>
      <c r="K73" s="841"/>
      <c r="L73" s="841"/>
      <c r="M73" s="841"/>
      <c r="N73" s="842"/>
    </row>
    <row r="74" spans="1:14" ht="16.5" customHeight="1" thickTop="1" thickBot="1">
      <c r="A74" s="273"/>
      <c r="B74" s="134" t="s">
        <v>31</v>
      </c>
      <c r="C74" s="849" t="s">
        <v>364</v>
      </c>
      <c r="D74" s="849"/>
      <c r="E74" s="849"/>
      <c r="F74" s="849"/>
      <c r="G74" s="137" t="s">
        <v>29</v>
      </c>
      <c r="H74" s="780">
        <f>IF(AND(H7=""),"",COMPUTATION!G13)</f>
        <v>0</v>
      </c>
      <c r="I74" s="780"/>
      <c r="J74" s="840"/>
      <c r="K74" s="841"/>
      <c r="L74" s="841"/>
      <c r="M74" s="841"/>
      <c r="N74" s="842"/>
    </row>
    <row r="75" spans="1:14" ht="16.5" customHeight="1" thickTop="1" thickBot="1">
      <c r="A75" s="408"/>
      <c r="B75" s="134" t="s">
        <v>32</v>
      </c>
      <c r="C75" s="849" t="s">
        <v>480</v>
      </c>
      <c r="D75" s="849"/>
      <c r="E75" s="849"/>
      <c r="F75" s="849"/>
      <c r="G75" s="137" t="s">
        <v>29</v>
      </c>
      <c r="H75" s="780">
        <f>IF(AND(H7=""),"",COMPUTATION!O9)</f>
        <v>50000</v>
      </c>
      <c r="I75" s="780"/>
      <c r="J75" s="840"/>
      <c r="K75" s="841"/>
      <c r="L75" s="841"/>
      <c r="M75" s="841"/>
      <c r="N75" s="842"/>
    </row>
    <row r="76" spans="1:14" ht="20.25" customHeight="1" thickTop="1" thickBot="1">
      <c r="A76" s="136">
        <v>5</v>
      </c>
      <c r="B76" s="773" t="s">
        <v>36</v>
      </c>
      <c r="C76" s="773"/>
      <c r="D76" s="773"/>
      <c r="E76" s="773"/>
      <c r="F76" s="138"/>
      <c r="G76" s="140" t="s">
        <v>29</v>
      </c>
      <c r="H76" s="781">
        <f>IF(AND(H7=""),"",H72+H73+H74+H75)</f>
        <v>50000</v>
      </c>
      <c r="I76" s="781"/>
      <c r="J76" s="843"/>
      <c r="K76" s="844"/>
      <c r="L76" s="844"/>
      <c r="M76" s="844"/>
      <c r="N76" s="845"/>
    </row>
    <row r="77" spans="1:14" ht="17.25" customHeight="1" thickTop="1" thickBot="1">
      <c r="A77" s="136">
        <v>6</v>
      </c>
      <c r="B77" s="783" t="s">
        <v>37</v>
      </c>
      <c r="C77" s="784"/>
      <c r="D77" s="784"/>
      <c r="E77" s="784"/>
      <c r="F77" s="784"/>
      <c r="G77" s="784"/>
      <c r="H77" s="784"/>
      <c r="I77" s="784"/>
      <c r="J77" s="784"/>
      <c r="K77" s="784"/>
      <c r="L77" s="785"/>
      <c r="M77" s="140" t="s">
        <v>29</v>
      </c>
      <c r="N77" s="405">
        <f>IF(AND(H7=""),"",M70-H76)</f>
        <v>756379</v>
      </c>
    </row>
    <row r="78" spans="1:14" ht="18" customHeight="1" thickTop="1" thickBot="1">
      <c r="A78" s="136">
        <v>7</v>
      </c>
      <c r="B78" s="783" t="s">
        <v>38</v>
      </c>
      <c r="C78" s="784"/>
      <c r="D78" s="784"/>
      <c r="E78" s="784"/>
      <c r="F78" s="784"/>
      <c r="G78" s="784"/>
      <c r="H78" s="784"/>
      <c r="I78" s="784"/>
      <c r="J78" s="784"/>
      <c r="K78" s="784"/>
      <c r="L78" s="785"/>
      <c r="M78" s="137"/>
      <c r="N78" s="134"/>
    </row>
    <row r="79" spans="1:14" ht="19.5" customHeight="1" thickTop="1" thickBot="1">
      <c r="A79" s="134"/>
      <c r="B79" s="782" t="s">
        <v>286</v>
      </c>
      <c r="C79" s="782"/>
      <c r="D79" s="782"/>
      <c r="E79" s="782"/>
      <c r="F79" s="782"/>
      <c r="G79" s="137" t="s">
        <v>29</v>
      </c>
      <c r="H79" s="782">
        <f>IF(AND(H7=""),"",COMPUTATION!E16)</f>
        <v>0</v>
      </c>
      <c r="I79" s="782"/>
      <c r="J79" s="786" t="s">
        <v>363</v>
      </c>
      <c r="K79" s="787"/>
      <c r="L79" s="787"/>
      <c r="M79" s="787"/>
      <c r="N79" s="788"/>
    </row>
    <row r="80" spans="1:14" ht="18.75" customHeight="1" thickTop="1" thickBot="1">
      <c r="A80" s="134"/>
      <c r="B80" s="782" t="s">
        <v>64</v>
      </c>
      <c r="C80" s="782"/>
      <c r="D80" s="782"/>
      <c r="E80" s="782"/>
      <c r="F80" s="782"/>
      <c r="G80" s="137" t="s">
        <v>29</v>
      </c>
      <c r="H80" s="782">
        <f>IF(AND(H7=""),"",COMPUTATION!E15)</f>
        <v>0</v>
      </c>
      <c r="I80" s="782"/>
      <c r="J80" s="137" t="s">
        <v>29</v>
      </c>
      <c r="K80" s="782">
        <f>IF(AND(H7=""),"",COMPUTATION!K11)</f>
        <v>0</v>
      </c>
      <c r="L80" s="782"/>
      <c r="M80" s="137" t="s">
        <v>29</v>
      </c>
      <c r="N80" s="140">
        <f>IF(AND(H7=""),"",H79+H80+K80)</f>
        <v>0</v>
      </c>
    </row>
    <row r="81" spans="1:15" ht="21.75" customHeight="1" thickTop="1" thickBot="1">
      <c r="A81" s="141">
        <v>8</v>
      </c>
      <c r="B81" s="784" t="s">
        <v>39</v>
      </c>
      <c r="C81" s="784"/>
      <c r="D81" s="784"/>
      <c r="E81" s="784"/>
      <c r="F81" s="142"/>
      <c r="G81" s="142"/>
      <c r="H81" s="143"/>
      <c r="I81" s="142"/>
      <c r="J81" s="143"/>
      <c r="K81" s="142"/>
      <c r="L81" s="142"/>
      <c r="M81" s="140" t="s">
        <v>29</v>
      </c>
      <c r="N81" s="406">
        <f>IF(AND(H7=""),"",N77+N80)</f>
        <v>756379</v>
      </c>
    </row>
    <row r="82" spans="1:15" ht="16.5" thickTop="1" thickBot="1">
      <c r="A82" s="133">
        <v>9</v>
      </c>
      <c r="B82" s="774" t="s">
        <v>40</v>
      </c>
      <c r="C82" s="774"/>
      <c r="D82" s="774"/>
      <c r="E82" s="774"/>
      <c r="F82" s="774"/>
      <c r="G82" s="91"/>
      <c r="H82" s="91"/>
      <c r="I82" s="91"/>
      <c r="J82" s="91"/>
      <c r="K82" s="91"/>
      <c r="L82" s="91"/>
      <c r="M82" s="90"/>
      <c r="N82" s="91"/>
      <c r="O82" s="89"/>
    </row>
    <row r="83" spans="1:15" ht="16.5" thickTop="1" thickBot="1">
      <c r="A83" s="145" t="s">
        <v>41</v>
      </c>
      <c r="B83" s="794" t="s">
        <v>42</v>
      </c>
      <c r="C83" s="794"/>
      <c r="D83" s="794"/>
      <c r="E83" s="794"/>
      <c r="F83" s="794"/>
      <c r="G83" s="794"/>
      <c r="H83" s="793" t="s">
        <v>43</v>
      </c>
      <c r="I83" s="793"/>
      <c r="J83" s="795" t="s">
        <v>44</v>
      </c>
      <c r="K83" s="795"/>
      <c r="L83" s="795"/>
      <c r="M83" s="793" t="s">
        <v>45</v>
      </c>
      <c r="N83" s="793"/>
    </row>
    <row r="84" spans="1:15" ht="16.5" thickTop="1" thickBot="1">
      <c r="A84" s="136"/>
      <c r="B84" s="146" t="s">
        <v>316</v>
      </c>
      <c r="C84" s="789" t="s">
        <v>46</v>
      </c>
      <c r="D84" s="790"/>
      <c r="E84" s="790"/>
      <c r="F84" s="790"/>
      <c r="G84" s="791"/>
      <c r="H84" s="793"/>
      <c r="I84" s="793"/>
      <c r="J84" s="795"/>
      <c r="K84" s="795"/>
      <c r="L84" s="795"/>
      <c r="M84" s="793"/>
      <c r="N84" s="793"/>
    </row>
    <row r="85" spans="1:15" ht="14.1" customHeight="1" thickTop="1" thickBot="1">
      <c r="A85" s="136"/>
      <c r="B85" s="136" t="s">
        <v>47</v>
      </c>
      <c r="C85" s="775" t="s">
        <v>13</v>
      </c>
      <c r="D85" s="775"/>
      <c r="E85" s="775"/>
      <c r="F85" s="775"/>
      <c r="G85" s="775"/>
      <c r="H85" s="137" t="s">
        <v>29</v>
      </c>
      <c r="I85" s="147">
        <f>IF(AND(H7=""),"",COMPUTATION!G20)</f>
        <v>48000</v>
      </c>
      <c r="J85" s="148" t="s">
        <v>29</v>
      </c>
      <c r="K85" s="749">
        <f>I85</f>
        <v>48000</v>
      </c>
      <c r="L85" s="749"/>
      <c r="M85" s="148" t="s">
        <v>29</v>
      </c>
      <c r="N85" s="144">
        <f>I85</f>
        <v>48000</v>
      </c>
    </row>
    <row r="86" spans="1:15" ht="14.1" customHeight="1" thickTop="1" thickBot="1">
      <c r="A86" s="136"/>
      <c r="B86" s="136" t="s">
        <v>48</v>
      </c>
      <c r="C86" s="760" t="s">
        <v>14</v>
      </c>
      <c r="D86" s="760"/>
      <c r="E86" s="760"/>
      <c r="F86" s="760"/>
      <c r="G86" s="760"/>
      <c r="H86" s="137" t="s">
        <v>29</v>
      </c>
      <c r="I86" s="147">
        <f>IF(AND(H8=""),"",COMPUTATION!G21)</f>
        <v>25896</v>
      </c>
      <c r="J86" s="148" t="s">
        <v>29</v>
      </c>
      <c r="K86" s="749">
        <f t="shared" ref="K86:K90" si="5">I86</f>
        <v>25896</v>
      </c>
      <c r="L86" s="749"/>
      <c r="M86" s="148" t="s">
        <v>29</v>
      </c>
      <c r="N86" s="144">
        <f t="shared" ref="N86:N100" si="6">I86</f>
        <v>25896</v>
      </c>
    </row>
    <row r="87" spans="1:15" ht="14.1" customHeight="1" thickTop="1" thickBot="1">
      <c r="A87" s="136"/>
      <c r="B87" s="136" t="s">
        <v>49</v>
      </c>
      <c r="C87" s="775" t="s">
        <v>141</v>
      </c>
      <c r="D87" s="775"/>
      <c r="E87" s="775"/>
      <c r="F87" s="775"/>
      <c r="G87" s="775"/>
      <c r="H87" s="137" t="s">
        <v>29</v>
      </c>
      <c r="I87" s="147">
        <f>IF(AND(H9=""),"",COMPUTATION!G25)</f>
        <v>0</v>
      </c>
      <c r="J87" s="148" t="s">
        <v>29</v>
      </c>
      <c r="K87" s="749">
        <f t="shared" si="5"/>
        <v>0</v>
      </c>
      <c r="L87" s="749"/>
      <c r="M87" s="148" t="s">
        <v>29</v>
      </c>
      <c r="N87" s="144">
        <f t="shared" si="6"/>
        <v>0</v>
      </c>
    </row>
    <row r="88" spans="1:15" ht="14.1" customHeight="1" thickTop="1" thickBot="1">
      <c r="A88" s="136"/>
      <c r="B88" s="136" t="s">
        <v>50</v>
      </c>
      <c r="C88" s="775" t="s">
        <v>142</v>
      </c>
      <c r="D88" s="775"/>
      <c r="E88" s="775"/>
      <c r="F88" s="775"/>
      <c r="G88" s="775"/>
      <c r="H88" s="137" t="s">
        <v>29</v>
      </c>
      <c r="I88" s="147">
        <f>IF(AND(H10=""),"",COMPUTATION!G26)</f>
        <v>220</v>
      </c>
      <c r="J88" s="148" t="s">
        <v>29</v>
      </c>
      <c r="K88" s="749">
        <f t="shared" si="5"/>
        <v>220</v>
      </c>
      <c r="L88" s="749"/>
      <c r="M88" s="148" t="s">
        <v>29</v>
      </c>
      <c r="N88" s="144">
        <f t="shared" si="6"/>
        <v>220</v>
      </c>
    </row>
    <row r="89" spans="1:15" ht="14.1" customHeight="1" thickTop="1" thickBot="1">
      <c r="A89" s="136"/>
      <c r="B89" s="136" t="s">
        <v>51</v>
      </c>
      <c r="C89" s="760" t="s">
        <v>143</v>
      </c>
      <c r="D89" s="760"/>
      <c r="E89" s="760"/>
      <c r="F89" s="760"/>
      <c r="G89" s="760"/>
      <c r="H89" s="137" t="s">
        <v>29</v>
      </c>
      <c r="I89" s="147">
        <f>IF(AND(H11=""),"",COMPUTATION!M23)</f>
        <v>0</v>
      </c>
      <c r="J89" s="148" t="s">
        <v>29</v>
      </c>
      <c r="K89" s="749">
        <f t="shared" si="5"/>
        <v>0</v>
      </c>
      <c r="L89" s="749"/>
      <c r="M89" s="148" t="s">
        <v>29</v>
      </c>
      <c r="N89" s="144">
        <f t="shared" si="6"/>
        <v>0</v>
      </c>
    </row>
    <row r="90" spans="1:15" ht="14.1" customHeight="1" thickTop="1" thickBot="1">
      <c r="A90" s="136"/>
      <c r="B90" s="136" t="s">
        <v>52</v>
      </c>
      <c r="C90" s="779" t="s">
        <v>319</v>
      </c>
      <c r="D90" s="779"/>
      <c r="E90" s="779"/>
      <c r="F90" s="779"/>
      <c r="G90" s="779"/>
      <c r="H90" s="137" t="s">
        <v>29</v>
      </c>
      <c r="I90" s="147">
        <f>IF(AND(H12=""),"",COMPUTATION!M20)</f>
        <v>65923</v>
      </c>
      <c r="J90" s="148" t="s">
        <v>29</v>
      </c>
      <c r="K90" s="749">
        <f t="shared" si="5"/>
        <v>65923</v>
      </c>
      <c r="L90" s="749"/>
      <c r="M90" s="148" t="s">
        <v>29</v>
      </c>
      <c r="N90" s="144">
        <f t="shared" si="6"/>
        <v>65923</v>
      </c>
    </row>
    <row r="91" spans="1:15" ht="14.1" customHeight="1" thickTop="1" thickBot="1">
      <c r="A91" s="136"/>
      <c r="B91" s="136" t="s">
        <v>53</v>
      </c>
      <c r="C91" s="775" t="s">
        <v>320</v>
      </c>
      <c r="D91" s="775"/>
      <c r="E91" s="775"/>
      <c r="F91" s="775"/>
      <c r="G91" s="775"/>
      <c r="H91" s="137" t="s">
        <v>29</v>
      </c>
      <c r="I91" s="147">
        <f>IF(AND(H13=""),"",COMPUTATION!G22)</f>
        <v>0</v>
      </c>
      <c r="J91" s="148" t="s">
        <v>29</v>
      </c>
      <c r="K91" s="749">
        <f>I91</f>
        <v>0</v>
      </c>
      <c r="L91" s="749"/>
      <c r="M91" s="148" t="s">
        <v>29</v>
      </c>
      <c r="N91" s="144">
        <f t="shared" si="6"/>
        <v>0</v>
      </c>
    </row>
    <row r="92" spans="1:15" ht="14.1" customHeight="1" thickTop="1" thickBot="1">
      <c r="A92" s="136"/>
      <c r="B92" s="136" t="s">
        <v>177</v>
      </c>
      <c r="C92" s="775" t="s">
        <v>317</v>
      </c>
      <c r="D92" s="775"/>
      <c r="E92" s="775"/>
      <c r="F92" s="775"/>
      <c r="G92" s="775"/>
      <c r="H92" s="137" t="s">
        <v>29</v>
      </c>
      <c r="I92" s="147">
        <f>IF(AND(H14=""),"",COMPUTATION!G23)</f>
        <v>0</v>
      </c>
      <c r="J92" s="148" t="s">
        <v>29</v>
      </c>
      <c r="K92" s="749">
        <f t="shared" ref="K92:K100" si="7">I92</f>
        <v>0</v>
      </c>
      <c r="L92" s="749"/>
      <c r="M92" s="148" t="s">
        <v>29</v>
      </c>
      <c r="N92" s="144">
        <f t="shared" si="6"/>
        <v>0</v>
      </c>
    </row>
    <row r="93" spans="1:15" ht="14.1" customHeight="1" thickTop="1" thickBot="1">
      <c r="A93" s="136"/>
      <c r="B93" s="136" t="s">
        <v>181</v>
      </c>
      <c r="C93" s="775" t="s">
        <v>318</v>
      </c>
      <c r="D93" s="775"/>
      <c r="E93" s="775"/>
      <c r="F93" s="775"/>
      <c r="G93" s="775"/>
      <c r="H93" s="137" t="s">
        <v>29</v>
      </c>
      <c r="I93" s="147">
        <f>IF(AND(H15=""),"",COMPUTATION!G28)</f>
        <v>0</v>
      </c>
      <c r="J93" s="148" t="s">
        <v>29</v>
      </c>
      <c r="K93" s="749">
        <f t="shared" si="7"/>
        <v>0</v>
      </c>
      <c r="L93" s="749"/>
      <c r="M93" s="148" t="s">
        <v>29</v>
      </c>
      <c r="N93" s="144">
        <f t="shared" si="6"/>
        <v>0</v>
      </c>
    </row>
    <row r="94" spans="1:15" ht="14.1" customHeight="1" thickTop="1" thickBot="1">
      <c r="A94" s="136"/>
      <c r="B94" s="136" t="s">
        <v>167</v>
      </c>
      <c r="C94" s="762" t="s">
        <v>180</v>
      </c>
      <c r="D94" s="762"/>
      <c r="E94" s="762"/>
      <c r="F94" s="762"/>
      <c r="G94" s="762"/>
      <c r="H94" s="437" t="s">
        <v>29</v>
      </c>
      <c r="I94" s="438" t="str">
        <f>IF(AND(H16=""),"",COMPUTATION!M27)</f>
        <v/>
      </c>
      <c r="J94" s="439" t="s">
        <v>29</v>
      </c>
      <c r="K94" s="748" t="str">
        <f t="shared" si="7"/>
        <v/>
      </c>
      <c r="L94" s="748"/>
      <c r="M94" s="439" t="s">
        <v>29</v>
      </c>
      <c r="N94" s="440" t="str">
        <f t="shared" si="6"/>
        <v/>
      </c>
    </row>
    <row r="95" spans="1:15" ht="14.1" customHeight="1" thickTop="1" thickBot="1">
      <c r="A95" s="136"/>
      <c r="B95" s="136" t="s">
        <v>168</v>
      </c>
      <c r="C95" s="762" t="s">
        <v>170</v>
      </c>
      <c r="D95" s="762"/>
      <c r="E95" s="762"/>
      <c r="F95" s="762"/>
      <c r="G95" s="762"/>
      <c r="H95" s="437" t="s">
        <v>29</v>
      </c>
      <c r="I95" s="438" t="str">
        <f>IF(AND(H17=""),"",COMPUTATION!M22)</f>
        <v/>
      </c>
      <c r="J95" s="439" t="s">
        <v>29</v>
      </c>
      <c r="K95" s="748" t="str">
        <f t="shared" si="7"/>
        <v/>
      </c>
      <c r="L95" s="748"/>
      <c r="M95" s="439" t="s">
        <v>29</v>
      </c>
      <c r="N95" s="440" t="str">
        <f t="shared" si="6"/>
        <v/>
      </c>
    </row>
    <row r="96" spans="1:15" ht="14.1" customHeight="1" thickTop="1" thickBot="1">
      <c r="A96" s="136"/>
      <c r="B96" s="136" t="s">
        <v>169</v>
      </c>
      <c r="C96" s="762" t="s">
        <v>321</v>
      </c>
      <c r="D96" s="762"/>
      <c r="E96" s="762"/>
      <c r="F96" s="762"/>
      <c r="G96" s="762"/>
      <c r="H96" s="437" t="s">
        <v>29</v>
      </c>
      <c r="I96" s="438" t="str">
        <f>IF(AND(H18=""),"",COMPUTATION!M21)</f>
        <v/>
      </c>
      <c r="J96" s="439" t="s">
        <v>29</v>
      </c>
      <c r="K96" s="748" t="str">
        <f t="shared" si="7"/>
        <v/>
      </c>
      <c r="L96" s="748"/>
      <c r="M96" s="439" t="s">
        <v>29</v>
      </c>
      <c r="N96" s="440" t="str">
        <f t="shared" si="6"/>
        <v/>
      </c>
    </row>
    <row r="97" spans="1:14" ht="14.1" customHeight="1" thickTop="1" thickBot="1">
      <c r="A97" s="136"/>
      <c r="B97" s="136" t="s">
        <v>171</v>
      </c>
      <c r="C97" s="762" t="s">
        <v>144</v>
      </c>
      <c r="D97" s="762"/>
      <c r="E97" s="762"/>
      <c r="F97" s="762"/>
      <c r="G97" s="762"/>
      <c r="H97" s="437" t="s">
        <v>29</v>
      </c>
      <c r="I97" s="438">
        <f>IF(AND(H7=""),"",COMPUTATION!M28)</f>
        <v>0</v>
      </c>
      <c r="J97" s="439" t="s">
        <v>29</v>
      </c>
      <c r="K97" s="748">
        <f t="shared" si="7"/>
        <v>0</v>
      </c>
      <c r="L97" s="748"/>
      <c r="M97" s="439" t="s">
        <v>29</v>
      </c>
      <c r="N97" s="440">
        <f t="shared" si="6"/>
        <v>0</v>
      </c>
    </row>
    <row r="98" spans="1:14" ht="14.1" customHeight="1" thickTop="1" thickBot="1">
      <c r="A98" s="326"/>
      <c r="B98" s="326" t="s">
        <v>173</v>
      </c>
      <c r="C98" s="745" t="s">
        <v>415</v>
      </c>
      <c r="D98" s="746"/>
      <c r="E98" s="746"/>
      <c r="F98" s="746"/>
      <c r="G98" s="747"/>
      <c r="H98" s="437" t="s">
        <v>29</v>
      </c>
      <c r="I98" s="438">
        <f>IF(AND(H8=""),"",COMPUTATION!M26)</f>
        <v>0</v>
      </c>
      <c r="J98" s="439" t="s">
        <v>29</v>
      </c>
      <c r="K98" s="748">
        <f t="shared" ref="K98" si="8">I98</f>
        <v>0</v>
      </c>
      <c r="L98" s="748"/>
      <c r="M98" s="439" t="s">
        <v>29</v>
      </c>
      <c r="N98" s="440">
        <f t="shared" si="6"/>
        <v>0</v>
      </c>
    </row>
    <row r="99" spans="1:14" ht="14.1" customHeight="1" thickTop="1" thickBot="1">
      <c r="A99" s="136"/>
      <c r="B99" s="146" t="s">
        <v>127</v>
      </c>
      <c r="C99" s="773" t="s">
        <v>287</v>
      </c>
      <c r="D99" s="773"/>
      <c r="E99" s="773"/>
      <c r="F99" s="773"/>
      <c r="G99" s="773"/>
      <c r="H99" s="137" t="s">
        <v>29</v>
      </c>
      <c r="I99" s="147">
        <f>IF(AND(H7=""),"",COMPUTATION!O32)</f>
        <v>65923</v>
      </c>
      <c r="J99" s="148" t="s">
        <v>29</v>
      </c>
      <c r="K99" s="749">
        <f t="shared" si="7"/>
        <v>65923</v>
      </c>
      <c r="L99" s="749"/>
      <c r="M99" s="148" t="s">
        <v>29</v>
      </c>
      <c r="N99" s="144">
        <f t="shared" si="6"/>
        <v>65923</v>
      </c>
    </row>
    <row r="100" spans="1:14" ht="14.1" customHeight="1" thickTop="1" thickBot="1">
      <c r="A100" s="136"/>
      <c r="B100" s="145" t="s">
        <v>322</v>
      </c>
      <c r="C100" s="773" t="s">
        <v>323</v>
      </c>
      <c r="D100" s="777"/>
      <c r="E100" s="777"/>
      <c r="F100" s="777"/>
      <c r="G100" s="777"/>
      <c r="H100" s="137" t="s">
        <v>29</v>
      </c>
      <c r="I100" s="147" t="str">
        <f>IF(AND(H8=""),"",COMPUTATION!O33)</f>
        <v/>
      </c>
      <c r="J100" s="149" t="s">
        <v>29</v>
      </c>
      <c r="K100" s="749" t="str">
        <f t="shared" si="7"/>
        <v/>
      </c>
      <c r="L100" s="749"/>
      <c r="M100" s="149" t="s">
        <v>29</v>
      </c>
      <c r="N100" s="144" t="str">
        <f t="shared" si="6"/>
        <v/>
      </c>
    </row>
    <row r="101" spans="1:14" ht="15.75" customHeight="1" thickTop="1" thickBot="1">
      <c r="A101" s="139" t="s">
        <v>54</v>
      </c>
      <c r="B101" s="150"/>
      <c r="C101" s="776" t="s">
        <v>55</v>
      </c>
      <c r="D101" s="776"/>
      <c r="E101" s="776"/>
      <c r="F101" s="776"/>
      <c r="G101" s="776"/>
      <c r="H101" s="776"/>
      <c r="I101" s="776"/>
      <c r="J101" s="776"/>
      <c r="K101" s="776"/>
      <c r="L101" s="776"/>
      <c r="M101" s="776"/>
      <c r="N101" s="776"/>
    </row>
    <row r="102" spans="1:14" ht="15" customHeight="1" thickTop="1" thickBot="1">
      <c r="A102" s="134"/>
      <c r="B102" s="134"/>
      <c r="C102" s="776" t="s">
        <v>56</v>
      </c>
      <c r="D102" s="776"/>
      <c r="E102" s="776"/>
      <c r="F102" s="776"/>
      <c r="G102" s="776"/>
      <c r="H102" s="776"/>
      <c r="I102" s="776"/>
      <c r="J102" s="776"/>
      <c r="K102" s="776"/>
      <c r="L102" s="776"/>
      <c r="M102" s="776"/>
      <c r="N102" s="776"/>
    </row>
    <row r="103" spans="1:14" ht="18" customHeight="1" thickTop="1" thickBot="1">
      <c r="A103" s="151" t="s">
        <v>127</v>
      </c>
      <c r="B103" s="778" t="s">
        <v>128</v>
      </c>
      <c r="C103" s="778"/>
      <c r="D103" s="778"/>
      <c r="E103" s="778"/>
      <c r="F103" s="778"/>
      <c r="G103" s="778"/>
      <c r="H103" s="778"/>
      <c r="I103" s="778"/>
      <c r="J103" s="778"/>
      <c r="K103" s="778"/>
      <c r="L103" s="778"/>
      <c r="M103" s="778"/>
      <c r="N103" s="778"/>
    </row>
    <row r="104" spans="1:14" ht="16.5" thickTop="1" thickBot="1">
      <c r="A104" s="138"/>
      <c r="B104" s="759"/>
      <c r="C104" s="759"/>
      <c r="D104" s="759"/>
      <c r="E104" s="759"/>
      <c r="F104" s="759"/>
      <c r="G104" s="759"/>
      <c r="H104" s="763" t="s">
        <v>44</v>
      </c>
      <c r="I104" s="763"/>
      <c r="J104" s="763" t="s">
        <v>129</v>
      </c>
      <c r="K104" s="763"/>
      <c r="L104" s="763"/>
      <c r="M104" s="763" t="s">
        <v>45</v>
      </c>
      <c r="N104" s="763"/>
    </row>
    <row r="105" spans="1:14" ht="14.1" customHeight="1" thickTop="1" thickBot="1">
      <c r="A105" s="138"/>
      <c r="B105" s="138" t="s">
        <v>130</v>
      </c>
      <c r="C105" s="761" t="s">
        <v>145</v>
      </c>
      <c r="D105" s="761"/>
      <c r="E105" s="761" t="s">
        <v>58</v>
      </c>
      <c r="F105" s="761"/>
      <c r="G105" s="761"/>
      <c r="H105" s="138" t="s">
        <v>29</v>
      </c>
      <c r="I105" s="441">
        <f>COMPUTATION!M36</f>
        <v>0</v>
      </c>
      <c r="J105" s="442" t="s">
        <v>29</v>
      </c>
      <c r="K105" s="771">
        <f>I105</f>
        <v>0</v>
      </c>
      <c r="L105" s="771"/>
      <c r="M105" s="138" t="s">
        <v>29</v>
      </c>
      <c r="N105" s="152">
        <f>I105</f>
        <v>0</v>
      </c>
    </row>
    <row r="106" spans="1:14" ht="14.1" customHeight="1" thickTop="1" thickBot="1">
      <c r="A106" s="138"/>
      <c r="B106" s="138" t="s">
        <v>131</v>
      </c>
      <c r="C106" s="761" t="s">
        <v>145</v>
      </c>
      <c r="D106" s="761"/>
      <c r="E106" s="761" t="s">
        <v>324</v>
      </c>
      <c r="F106" s="761"/>
      <c r="G106" s="761"/>
      <c r="H106" s="138" t="s">
        <v>29</v>
      </c>
      <c r="I106" s="441">
        <f>COMPUTATION!M37</f>
        <v>0</v>
      </c>
      <c r="J106" s="442" t="s">
        <v>29</v>
      </c>
      <c r="K106" s="771">
        <f t="shared" ref="K106:K111" si="9">I106</f>
        <v>0</v>
      </c>
      <c r="L106" s="771"/>
      <c r="M106" s="138" t="s">
        <v>29</v>
      </c>
      <c r="N106" s="152">
        <f t="shared" ref="N106:N111" si="10">I106</f>
        <v>0</v>
      </c>
    </row>
    <row r="107" spans="1:14" ht="14.1" customHeight="1" thickTop="1" thickBot="1">
      <c r="A107" s="138"/>
      <c r="B107" s="138" t="s">
        <v>132</v>
      </c>
      <c r="C107" s="761" t="s">
        <v>145</v>
      </c>
      <c r="D107" s="761"/>
      <c r="E107" s="761" t="s">
        <v>63</v>
      </c>
      <c r="F107" s="761"/>
      <c r="G107" s="761"/>
      <c r="H107" s="138" t="s">
        <v>29</v>
      </c>
      <c r="I107" s="441">
        <f>COMPUTATION!M38</f>
        <v>0</v>
      </c>
      <c r="J107" s="442" t="s">
        <v>29</v>
      </c>
      <c r="K107" s="771">
        <f t="shared" si="9"/>
        <v>0</v>
      </c>
      <c r="L107" s="771"/>
      <c r="M107" s="138" t="s">
        <v>29</v>
      </c>
      <c r="N107" s="443">
        <f>I107</f>
        <v>0</v>
      </c>
    </row>
    <row r="108" spans="1:14" ht="14.1" customHeight="1" thickTop="1" thickBot="1">
      <c r="A108" s="138"/>
      <c r="B108" s="138" t="s">
        <v>133</v>
      </c>
      <c r="C108" s="761" t="s">
        <v>145</v>
      </c>
      <c r="D108" s="761"/>
      <c r="E108" s="761" t="s">
        <v>325</v>
      </c>
      <c r="F108" s="761"/>
      <c r="G108" s="761"/>
      <c r="H108" s="138" t="s">
        <v>29</v>
      </c>
      <c r="I108" s="441">
        <f>COMPUTATION!M39</f>
        <v>0</v>
      </c>
      <c r="J108" s="442" t="s">
        <v>29</v>
      </c>
      <c r="K108" s="771">
        <f t="shared" si="9"/>
        <v>0</v>
      </c>
      <c r="L108" s="771"/>
      <c r="M108" s="138" t="s">
        <v>29</v>
      </c>
      <c r="N108" s="152">
        <f t="shared" si="10"/>
        <v>0</v>
      </c>
    </row>
    <row r="109" spans="1:14" ht="14.1" customHeight="1" thickTop="1" thickBot="1">
      <c r="A109" s="138"/>
      <c r="B109" s="155" t="s">
        <v>134</v>
      </c>
      <c r="C109" s="761" t="s">
        <v>145</v>
      </c>
      <c r="D109" s="761"/>
      <c r="E109" s="761" t="s">
        <v>57</v>
      </c>
      <c r="F109" s="761"/>
      <c r="G109" s="761"/>
      <c r="H109" s="138" t="s">
        <v>29</v>
      </c>
      <c r="I109" s="441">
        <f>COMPUTATION!M40</f>
        <v>0</v>
      </c>
      <c r="J109" s="442" t="s">
        <v>29</v>
      </c>
      <c r="K109" s="771">
        <f t="shared" si="9"/>
        <v>0</v>
      </c>
      <c r="L109" s="771"/>
      <c r="M109" s="138" t="s">
        <v>29</v>
      </c>
      <c r="N109" s="152">
        <f t="shared" si="10"/>
        <v>0</v>
      </c>
    </row>
    <row r="110" spans="1:14" ht="14.1" customHeight="1" thickTop="1" thickBot="1">
      <c r="A110" s="138"/>
      <c r="B110" s="155" t="s">
        <v>326</v>
      </c>
      <c r="C110" s="761" t="s">
        <v>145</v>
      </c>
      <c r="D110" s="761"/>
      <c r="E110" s="761" t="s">
        <v>328</v>
      </c>
      <c r="F110" s="761"/>
      <c r="G110" s="761"/>
      <c r="H110" s="138" t="s">
        <v>29</v>
      </c>
      <c r="I110" s="441">
        <f>COMPUTATION!M41</f>
        <v>0</v>
      </c>
      <c r="J110" s="442" t="s">
        <v>29</v>
      </c>
      <c r="K110" s="771">
        <f t="shared" si="9"/>
        <v>0</v>
      </c>
      <c r="L110" s="771"/>
      <c r="M110" s="138" t="s">
        <v>29</v>
      </c>
      <c r="N110" s="152">
        <f t="shared" si="10"/>
        <v>0</v>
      </c>
    </row>
    <row r="111" spans="1:14" ht="14.1" customHeight="1" thickTop="1" thickBot="1">
      <c r="A111" s="138"/>
      <c r="B111" s="155" t="s">
        <v>327</v>
      </c>
      <c r="C111" s="761" t="s">
        <v>145</v>
      </c>
      <c r="D111" s="761"/>
      <c r="E111" s="761" t="s">
        <v>62</v>
      </c>
      <c r="F111" s="761"/>
      <c r="G111" s="761"/>
      <c r="H111" s="138" t="s">
        <v>29</v>
      </c>
      <c r="I111" s="441">
        <f>COMPUTATION!M42</f>
        <v>0</v>
      </c>
      <c r="J111" s="442" t="s">
        <v>29</v>
      </c>
      <c r="K111" s="771">
        <f t="shared" si="9"/>
        <v>0</v>
      </c>
      <c r="L111" s="771"/>
      <c r="M111" s="138" t="s">
        <v>29</v>
      </c>
      <c r="N111" s="152">
        <f t="shared" si="10"/>
        <v>0</v>
      </c>
    </row>
    <row r="112" spans="1:14" ht="27.75" customHeight="1" thickTop="1" thickBot="1">
      <c r="A112" s="138"/>
      <c r="B112" s="757" t="s">
        <v>135</v>
      </c>
      <c r="C112" s="757"/>
      <c r="D112" s="757"/>
      <c r="E112" s="757"/>
      <c r="F112" s="757"/>
      <c r="G112" s="757"/>
      <c r="H112" s="757"/>
      <c r="I112" s="757"/>
      <c r="J112" s="757"/>
      <c r="K112" s="757"/>
      <c r="L112" s="757"/>
      <c r="M112" s="757"/>
      <c r="N112" s="757"/>
    </row>
    <row r="113" spans="1:15" ht="17.100000000000001" customHeight="1" thickTop="1" thickBot="1">
      <c r="A113" s="151">
        <v>10</v>
      </c>
      <c r="B113" s="758" t="s">
        <v>136</v>
      </c>
      <c r="C113" s="758"/>
      <c r="D113" s="758"/>
      <c r="E113" s="758"/>
      <c r="F113" s="758"/>
      <c r="G113" s="758"/>
      <c r="H113" s="758"/>
      <c r="I113" s="758"/>
      <c r="J113" s="758"/>
      <c r="K113" s="758"/>
      <c r="L113" s="758"/>
      <c r="M113" s="138" t="s">
        <v>29</v>
      </c>
      <c r="N113" s="153">
        <f>IF(AND(H7=""),"",COMPUTATION!O45)</f>
        <v>205962</v>
      </c>
    </row>
    <row r="114" spans="1:15" ht="17.100000000000001" customHeight="1" thickTop="1" thickBot="1">
      <c r="A114" s="151">
        <v>11</v>
      </c>
      <c r="B114" s="758" t="s">
        <v>137</v>
      </c>
      <c r="C114" s="758"/>
      <c r="D114" s="758"/>
      <c r="E114" s="758"/>
      <c r="F114" s="758"/>
      <c r="G114" s="758"/>
      <c r="H114" s="758"/>
      <c r="I114" s="758"/>
      <c r="J114" s="758"/>
      <c r="K114" s="758"/>
      <c r="L114" s="758"/>
      <c r="M114" s="138" t="s">
        <v>29</v>
      </c>
      <c r="N114" s="153">
        <f>ROUND(N81-N113,0)</f>
        <v>550417</v>
      </c>
    </row>
    <row r="115" spans="1:15" ht="17.100000000000001" customHeight="1" thickTop="1" thickBot="1">
      <c r="A115" s="151">
        <v>12</v>
      </c>
      <c r="B115" s="758" t="s">
        <v>138</v>
      </c>
      <c r="C115" s="758"/>
      <c r="D115" s="758"/>
      <c r="E115" s="758"/>
      <c r="F115" s="758"/>
      <c r="G115" s="758"/>
      <c r="H115" s="758"/>
      <c r="I115" s="758"/>
      <c r="J115" s="758"/>
      <c r="K115" s="758"/>
      <c r="L115" s="758"/>
      <c r="M115" s="138" t="s">
        <v>29</v>
      </c>
      <c r="N115" s="153">
        <f>IF(AND(H7=""),"",COMPUTATION!O54)</f>
        <v>22584</v>
      </c>
    </row>
    <row r="116" spans="1:15" ht="17.100000000000001" customHeight="1" thickTop="1" thickBot="1">
      <c r="A116" s="151">
        <v>13</v>
      </c>
      <c r="B116" s="758" t="s">
        <v>365</v>
      </c>
      <c r="C116" s="758"/>
      <c r="D116" s="758"/>
      <c r="E116" s="758"/>
      <c r="F116" s="758"/>
      <c r="G116" s="758"/>
      <c r="H116" s="758"/>
      <c r="I116" s="758"/>
      <c r="J116" s="758"/>
      <c r="K116" s="758"/>
      <c r="L116" s="758"/>
      <c r="M116" s="138" t="s">
        <v>29</v>
      </c>
      <c r="N116" s="272">
        <f>IF(AND(H7=""),"",COMPUTATION!O55)</f>
        <v>0</v>
      </c>
    </row>
    <row r="117" spans="1:15" ht="17.100000000000001" customHeight="1" thickTop="1" thickBot="1">
      <c r="A117" s="151">
        <v>14</v>
      </c>
      <c r="B117" s="758" t="s">
        <v>464</v>
      </c>
      <c r="C117" s="758"/>
      <c r="D117" s="758"/>
      <c r="E117" s="758"/>
      <c r="F117" s="758"/>
      <c r="G117" s="758"/>
      <c r="H117" s="758"/>
      <c r="I117" s="758"/>
      <c r="J117" s="758"/>
      <c r="K117" s="758"/>
      <c r="L117" s="758"/>
      <c r="M117" s="138" t="s">
        <v>29</v>
      </c>
      <c r="N117" s="154">
        <f>IF(AND(H7=""),"",COMPUTATION!O57)</f>
        <v>903</v>
      </c>
    </row>
    <row r="118" spans="1:15" ht="17.100000000000001" customHeight="1" thickTop="1" thickBot="1">
      <c r="A118" s="151">
        <v>15</v>
      </c>
      <c r="B118" s="758" t="s">
        <v>139</v>
      </c>
      <c r="C118" s="758"/>
      <c r="D118" s="758"/>
      <c r="E118" s="758"/>
      <c r="F118" s="758"/>
      <c r="G118" s="758"/>
      <c r="H118" s="758"/>
      <c r="I118" s="758"/>
      <c r="J118" s="758"/>
      <c r="K118" s="758"/>
      <c r="L118" s="758"/>
      <c r="M118" s="138" t="s">
        <v>29</v>
      </c>
      <c r="N118" s="154">
        <f>N115+N117</f>
        <v>23487</v>
      </c>
    </row>
    <row r="119" spans="1:15" ht="17.100000000000001" customHeight="1" thickTop="1" thickBot="1">
      <c r="A119" s="151">
        <v>16</v>
      </c>
      <c r="B119" s="758" t="s">
        <v>140</v>
      </c>
      <c r="C119" s="758"/>
      <c r="D119" s="758"/>
      <c r="E119" s="758"/>
      <c r="F119" s="758"/>
      <c r="G119" s="758"/>
      <c r="H119" s="758"/>
      <c r="I119" s="758"/>
      <c r="J119" s="758"/>
      <c r="K119" s="758"/>
      <c r="L119" s="758"/>
      <c r="M119" s="138" t="s">
        <v>29</v>
      </c>
      <c r="N119" s="153" t="str">
        <f>IF(AND(H7=""),"",COMPUTATION!O59)</f>
        <v>0</v>
      </c>
    </row>
    <row r="120" spans="1:15" ht="17.100000000000001" customHeight="1" thickTop="1" thickBot="1">
      <c r="A120" s="151">
        <v>17</v>
      </c>
      <c r="B120" s="758" t="s">
        <v>481</v>
      </c>
      <c r="C120" s="758"/>
      <c r="D120" s="758"/>
      <c r="E120" s="758"/>
      <c r="F120" s="758"/>
      <c r="G120" s="758"/>
      <c r="H120" s="758"/>
      <c r="I120" s="758"/>
      <c r="J120" s="758"/>
      <c r="K120" s="758"/>
      <c r="L120" s="758"/>
      <c r="M120" s="138" t="s">
        <v>29</v>
      </c>
      <c r="N120" s="154">
        <f>IF(AND(H7=""),"",COMPUTATION!O60)</f>
        <v>23487</v>
      </c>
    </row>
    <row r="121" spans="1:15" ht="17.100000000000001" customHeight="1" thickTop="1" thickBot="1">
      <c r="A121" s="151">
        <v>18</v>
      </c>
      <c r="B121" s="758" t="s">
        <v>290</v>
      </c>
      <c r="C121" s="758"/>
      <c r="D121" s="758"/>
      <c r="E121" s="758"/>
      <c r="F121" s="758"/>
      <c r="G121" s="758"/>
      <c r="H121" s="758"/>
      <c r="I121" s="758"/>
      <c r="J121" s="758"/>
      <c r="K121" s="758"/>
      <c r="L121" s="758"/>
      <c r="M121" s="138" t="s">
        <v>29</v>
      </c>
      <c r="N121" s="153">
        <f>IF(AND(H7=""),"",COMPUTATION!O62)</f>
        <v>6000</v>
      </c>
    </row>
    <row r="122" spans="1:15" ht="17.100000000000001" customHeight="1" thickTop="1" thickBot="1">
      <c r="A122" s="151">
        <v>19</v>
      </c>
      <c r="B122" s="764" t="str">
        <f>IF(N120&gt;N121,"Income Tax Payable",IF(N120&lt;N121,"Income Tax Refundable","Income Tax Payble/Refundable"))</f>
        <v>Income Tax Payable</v>
      </c>
      <c r="C122" s="764"/>
      <c r="D122" s="764"/>
      <c r="E122" s="764"/>
      <c r="F122" s="764"/>
      <c r="G122" s="764"/>
      <c r="H122" s="764"/>
      <c r="I122" s="764"/>
      <c r="J122" s="764"/>
      <c r="K122" s="764"/>
      <c r="L122" s="764"/>
      <c r="M122" s="138" t="s">
        <v>29</v>
      </c>
      <c r="N122" s="153">
        <f>IF(N120&gt;N121,N120-N121,N121-N120)</f>
        <v>17487</v>
      </c>
    </row>
    <row r="123" spans="1:15" ht="17.100000000000001" customHeight="1" thickTop="1">
      <c r="A123" s="121"/>
      <c r="B123" s="121"/>
      <c r="C123" s="121"/>
      <c r="D123" s="121"/>
      <c r="E123" s="121"/>
      <c r="F123" s="772" t="s">
        <v>93</v>
      </c>
      <c r="G123" s="772"/>
      <c r="H123" s="772"/>
      <c r="I123" s="772"/>
      <c r="J123" s="772"/>
      <c r="K123" s="121"/>
      <c r="L123" s="121"/>
      <c r="M123" s="121"/>
      <c r="N123" s="121"/>
      <c r="O123" s="89"/>
    </row>
    <row r="124" spans="1:15" ht="18.75" customHeight="1">
      <c r="A124" s="124" t="s">
        <v>65</v>
      </c>
      <c r="B124" s="769" t="str">
        <f>UPPER(IF(Master!D17="","",(Master!D17)))</f>
        <v>MISHRI LAL</v>
      </c>
      <c r="C124" s="769"/>
      <c r="D124" s="769"/>
      <c r="E124" s="769"/>
      <c r="F124" s="769"/>
      <c r="G124" s="770" t="s">
        <v>94</v>
      </c>
      <c r="H124" s="770"/>
      <c r="I124" s="770"/>
      <c r="J124" s="770"/>
      <c r="K124" s="769" t="str">
        <f>UPPER(IF(Master!H17="","",(Master!H17)))</f>
        <v>MAKWANA</v>
      </c>
      <c r="L124" s="769"/>
      <c r="M124" s="769"/>
      <c r="N124" s="769"/>
      <c r="O124" s="89"/>
    </row>
    <row r="125" spans="1:15" ht="18" customHeight="1">
      <c r="A125" s="770" t="s">
        <v>95</v>
      </c>
      <c r="B125" s="770"/>
      <c r="C125" s="770"/>
      <c r="D125" s="770"/>
      <c r="E125" s="770"/>
      <c r="F125" s="769" t="str">
        <f>UPPER(IF(Master!D16="","",Master!D16))</f>
        <v>GSSS INDERWARA  (PALI)</v>
      </c>
      <c r="G125" s="769"/>
      <c r="H125" s="769"/>
      <c r="I125" s="769"/>
      <c r="J125" s="768" t="s">
        <v>288</v>
      </c>
      <c r="K125" s="768"/>
      <c r="L125" s="768"/>
      <c r="M125" s="768"/>
      <c r="N125" s="768"/>
      <c r="O125" s="89"/>
    </row>
    <row r="126" spans="1:15" ht="31.5" customHeight="1" thickBot="1">
      <c r="A126" s="750" t="s">
        <v>289</v>
      </c>
      <c r="B126" s="750"/>
      <c r="C126" s="750"/>
      <c r="D126" s="750"/>
      <c r="E126" s="750"/>
      <c r="F126" s="750"/>
      <c r="G126" s="750"/>
      <c r="H126" s="750"/>
      <c r="I126" s="750"/>
      <c r="J126" s="750"/>
      <c r="K126" s="750"/>
      <c r="L126" s="750"/>
      <c r="M126" s="750"/>
      <c r="N126" s="750"/>
      <c r="O126" s="89"/>
    </row>
    <row r="127" spans="1:15" ht="28.5" customHeight="1" thickTop="1" thickBot="1">
      <c r="A127" s="751" t="s">
        <v>99</v>
      </c>
      <c r="B127" s="751"/>
      <c r="C127" s="752"/>
      <c r="D127" s="752"/>
      <c r="E127" s="752"/>
      <c r="F127" s="752"/>
      <c r="G127" s="752"/>
      <c r="H127" s="752"/>
      <c r="I127" s="753" t="s">
        <v>101</v>
      </c>
      <c r="J127" s="753"/>
      <c r="K127" s="753"/>
      <c r="L127" s="753"/>
      <c r="M127" s="753"/>
      <c r="N127" s="753"/>
    </row>
    <row r="128" spans="1:15" ht="27.75" customHeight="1" thickTop="1" thickBot="1">
      <c r="A128" s="751" t="s">
        <v>1</v>
      </c>
      <c r="B128" s="751"/>
      <c r="C128" s="754">
        <f ca="1">TODAY()</f>
        <v>43821</v>
      </c>
      <c r="D128" s="755"/>
      <c r="E128" s="755"/>
      <c r="F128" s="755"/>
      <c r="G128" s="755"/>
      <c r="H128" s="756"/>
      <c r="I128" s="753"/>
      <c r="J128" s="753"/>
      <c r="K128" s="753"/>
      <c r="L128" s="753"/>
      <c r="M128" s="753"/>
      <c r="N128" s="753"/>
    </row>
    <row r="129" spans="1:14" ht="34.5" customHeight="1" thickTop="1" thickBot="1">
      <c r="A129" s="751" t="s">
        <v>5</v>
      </c>
      <c r="B129" s="751"/>
      <c r="C129" s="751"/>
      <c r="D129" s="765" t="str">
        <f>UPPER(IF(Master!D16="","",Master!D16))</f>
        <v>GSSS INDERWARA  (PALI)</v>
      </c>
      <c r="E129" s="765"/>
      <c r="F129" s="765"/>
      <c r="G129" s="765"/>
      <c r="H129" s="765"/>
      <c r="I129" s="766" t="s">
        <v>100</v>
      </c>
      <c r="J129" s="766"/>
      <c r="K129" s="767" t="str">
        <f>IF(AND(Master!D17=""),"",CONCATENATE("( ",UPPER(Master!D17)," )"))</f>
        <v>( MISHRI LAL )</v>
      </c>
      <c r="L129" s="767"/>
      <c r="M129" s="767"/>
      <c r="N129" s="767"/>
    </row>
    <row r="130" spans="1:14" ht="15.75" thickTop="1"/>
  </sheetData>
  <sheetProtection password="C1FB" sheet="1" objects="1" scenarios="1" formatCells="0" formatColumns="0" formatRows="0" selectLockedCells="1"/>
  <customSheetViews>
    <customSheetView guid="{8E92581F-007A-4A12-99AF-FBD8FA5F0BC8}" hiddenColumns="1" topLeftCell="A22">
      <selection activeCell="D19" sqref="D19:H19"/>
      <pageMargins left="0.74" right="0.2" top="0.21" bottom="0.25" header="0.24" footer="0.3"/>
      <pageSetup paperSize="9" scale="98" orientation="portrait" horizontalDpi="120" verticalDpi="144" r:id="rId1"/>
    </customSheetView>
  </customSheetViews>
  <mergeCells count="340">
    <mergeCell ref="K91:L91"/>
    <mergeCell ref="K88:L88"/>
    <mergeCell ref="K97:L97"/>
    <mergeCell ref="C85:G85"/>
    <mergeCell ref="K87:L87"/>
    <mergeCell ref="A12:G12"/>
    <mergeCell ref="C13:G14"/>
    <mergeCell ref="A22:H22"/>
    <mergeCell ref="B61:N61"/>
    <mergeCell ref="J62:N65"/>
    <mergeCell ref="M19:N19"/>
    <mergeCell ref="A19:C19"/>
    <mergeCell ref="I27:J27"/>
    <mergeCell ref="H13:K13"/>
    <mergeCell ref="H12:K12"/>
    <mergeCell ref="J15:K15"/>
    <mergeCell ref="A16:N16"/>
    <mergeCell ref="A17:C17"/>
    <mergeCell ref="B67:N67"/>
    <mergeCell ref="C72:F72"/>
    <mergeCell ref="C73:F73"/>
    <mergeCell ref="B71:I71"/>
    <mergeCell ref="B70:K70"/>
    <mergeCell ref="B69:I69"/>
    <mergeCell ref="R54:U54"/>
    <mergeCell ref="I40:J40"/>
    <mergeCell ref="K40:L40"/>
    <mergeCell ref="M40:N40"/>
    <mergeCell ref="A60:N60"/>
    <mergeCell ref="C62:G62"/>
    <mergeCell ref="C65:G65"/>
    <mergeCell ref="K44:N44"/>
    <mergeCell ref="A36:B36"/>
    <mergeCell ref="C36:E36"/>
    <mergeCell ref="F43:J43"/>
    <mergeCell ref="I36:J36"/>
    <mergeCell ref="D51:H51"/>
    <mergeCell ref="I49:N50"/>
    <mergeCell ref="I51:J51"/>
    <mergeCell ref="K51:N51"/>
    <mergeCell ref="E45:G45"/>
    <mergeCell ref="H45:M45"/>
    <mergeCell ref="K46:N46"/>
    <mergeCell ref="A47:N47"/>
    <mergeCell ref="M37:N37"/>
    <mergeCell ref="I38:J38"/>
    <mergeCell ref="K38:L38"/>
    <mergeCell ref="M38:N38"/>
    <mergeCell ref="H68:N68"/>
    <mergeCell ref="B68:D68"/>
    <mergeCell ref="F68:G68"/>
    <mergeCell ref="M70:N70"/>
    <mergeCell ref="K69:L69"/>
    <mergeCell ref="J71:N76"/>
    <mergeCell ref="A63:A64"/>
    <mergeCell ref="B63:B64"/>
    <mergeCell ref="C63:G64"/>
    <mergeCell ref="C66:I66"/>
    <mergeCell ref="C74:F74"/>
    <mergeCell ref="H74:I74"/>
    <mergeCell ref="C75:F75"/>
    <mergeCell ref="H75:I75"/>
    <mergeCell ref="K39:L39"/>
    <mergeCell ref="M39:N39"/>
    <mergeCell ref="F41:H41"/>
    <mergeCell ref="K42:L42"/>
    <mergeCell ref="B44:F44"/>
    <mergeCell ref="G44:J44"/>
    <mergeCell ref="A11:D11"/>
    <mergeCell ref="M17:N17"/>
    <mergeCell ref="K17:L17"/>
    <mergeCell ref="K18:L18"/>
    <mergeCell ref="D19:H19"/>
    <mergeCell ref="I19:J19"/>
    <mergeCell ref="K19:L19"/>
    <mergeCell ref="M18:N18"/>
    <mergeCell ref="I17:J17"/>
    <mergeCell ref="D17:H17"/>
    <mergeCell ref="H15:I15"/>
    <mergeCell ref="L12:N14"/>
    <mergeCell ref="L15:N15"/>
    <mergeCell ref="H14:I14"/>
    <mergeCell ref="F15:G15"/>
    <mergeCell ref="A18:C18"/>
    <mergeCell ref="I18:J18"/>
    <mergeCell ref="D18:H18"/>
    <mergeCell ref="H11:K11"/>
    <mergeCell ref="L11:N11"/>
    <mergeCell ref="A13:B14"/>
    <mergeCell ref="E11:G11"/>
    <mergeCell ref="A15:B15"/>
    <mergeCell ref="J14:K14"/>
    <mergeCell ref="A1:N1"/>
    <mergeCell ref="A2:N2"/>
    <mergeCell ref="A3:N3"/>
    <mergeCell ref="A4:N4"/>
    <mergeCell ref="A5:G5"/>
    <mergeCell ref="H5:N5"/>
    <mergeCell ref="A7:G9"/>
    <mergeCell ref="E10:G10"/>
    <mergeCell ref="L10:N10"/>
    <mergeCell ref="H7:N7"/>
    <mergeCell ref="H8:N8"/>
    <mergeCell ref="H9:N9"/>
    <mergeCell ref="A6:G6"/>
    <mergeCell ref="H6:N6"/>
    <mergeCell ref="A10:D10"/>
    <mergeCell ref="H10:K10"/>
    <mergeCell ref="C15:D15"/>
    <mergeCell ref="F29:H29"/>
    <mergeCell ref="I29:J29"/>
    <mergeCell ref="I35:J35"/>
    <mergeCell ref="K35:L35"/>
    <mergeCell ref="F30:H30"/>
    <mergeCell ref="I30:J30"/>
    <mergeCell ref="F31:H31"/>
    <mergeCell ref="K31:L31"/>
    <mergeCell ref="M31:N31"/>
    <mergeCell ref="F32:H32"/>
    <mergeCell ref="I32:J32"/>
    <mergeCell ref="K32:L32"/>
    <mergeCell ref="M32:N32"/>
    <mergeCell ref="I31:J31"/>
    <mergeCell ref="K29:L29"/>
    <mergeCell ref="F34:H34"/>
    <mergeCell ref="I34:J34"/>
    <mergeCell ref="K34:L34"/>
    <mergeCell ref="M34:N34"/>
    <mergeCell ref="I20:J20"/>
    <mergeCell ref="K20:L20"/>
    <mergeCell ref="I22:J22"/>
    <mergeCell ref="A20:C20"/>
    <mergeCell ref="D20:H20"/>
    <mergeCell ref="M20:N20"/>
    <mergeCell ref="M22:N22"/>
    <mergeCell ref="F28:H28"/>
    <mergeCell ref="A26:B26"/>
    <mergeCell ref="C26:E26"/>
    <mergeCell ref="A27:B27"/>
    <mergeCell ref="C27:E27"/>
    <mergeCell ref="A28:B28"/>
    <mergeCell ref="K22:L22"/>
    <mergeCell ref="D21:H21"/>
    <mergeCell ref="A23:N23"/>
    <mergeCell ref="M25:N25"/>
    <mergeCell ref="K25:L25"/>
    <mergeCell ref="I25:J25"/>
    <mergeCell ref="F25:H25"/>
    <mergeCell ref="A24:B25"/>
    <mergeCell ref="M21:N21"/>
    <mergeCell ref="I21:J21"/>
    <mergeCell ref="K21:L21"/>
    <mergeCell ref="A21:C21"/>
    <mergeCell ref="K30:L30"/>
    <mergeCell ref="M30:N30"/>
    <mergeCell ref="A34:B34"/>
    <mergeCell ref="C34:E34"/>
    <mergeCell ref="K33:L33"/>
    <mergeCell ref="A35:B35"/>
    <mergeCell ref="C35:E35"/>
    <mergeCell ref="A31:B31"/>
    <mergeCell ref="C31:E31"/>
    <mergeCell ref="A32:B32"/>
    <mergeCell ref="C32:E32"/>
    <mergeCell ref="F35:H35"/>
    <mergeCell ref="F24:N24"/>
    <mergeCell ref="C24:E25"/>
    <mergeCell ref="A33:B33"/>
    <mergeCell ref="C33:E33"/>
    <mergeCell ref="C28:E28"/>
    <mergeCell ref="A29:B29"/>
    <mergeCell ref="C29:E29"/>
    <mergeCell ref="C30:E30"/>
    <mergeCell ref="A30:B30"/>
    <mergeCell ref="M33:N33"/>
    <mergeCell ref="M29:N29"/>
    <mergeCell ref="A45:D45"/>
    <mergeCell ref="A46:B46"/>
    <mergeCell ref="C46:J46"/>
    <mergeCell ref="A39:B39"/>
    <mergeCell ref="A40:B40"/>
    <mergeCell ref="C37:E37"/>
    <mergeCell ref="F37:H37"/>
    <mergeCell ref="C38:E38"/>
    <mergeCell ref="F38:H38"/>
    <mergeCell ref="C39:E39"/>
    <mergeCell ref="F39:H39"/>
    <mergeCell ref="C40:E40"/>
    <mergeCell ref="F40:H40"/>
    <mergeCell ref="A37:B37"/>
    <mergeCell ref="A38:B38"/>
    <mergeCell ref="A41:B41"/>
    <mergeCell ref="C41:E41"/>
    <mergeCell ref="A42:B42"/>
    <mergeCell ref="C42:E42"/>
    <mergeCell ref="I39:J39"/>
    <mergeCell ref="F36:H36"/>
    <mergeCell ref="I37:J37"/>
    <mergeCell ref="K37:L37"/>
    <mergeCell ref="F26:H26"/>
    <mergeCell ref="I26:J26"/>
    <mergeCell ref="K26:L26"/>
    <mergeCell ref="M26:N26"/>
    <mergeCell ref="F27:H27"/>
    <mergeCell ref="M42:N42"/>
    <mergeCell ref="K27:L27"/>
    <mergeCell ref="M27:N27"/>
    <mergeCell ref="K41:L41"/>
    <mergeCell ref="K36:L36"/>
    <mergeCell ref="M36:N36"/>
    <mergeCell ref="I41:J41"/>
    <mergeCell ref="M41:N41"/>
    <mergeCell ref="F42:H42"/>
    <mergeCell ref="I42:J42"/>
    <mergeCell ref="I28:J28"/>
    <mergeCell ref="K28:L28"/>
    <mergeCell ref="M28:N28"/>
    <mergeCell ref="F33:H33"/>
    <mergeCell ref="I33:J33"/>
    <mergeCell ref="M35:N35"/>
    <mergeCell ref="A48:N48"/>
    <mergeCell ref="A51:C51"/>
    <mergeCell ref="A49:B49"/>
    <mergeCell ref="A50:B50"/>
    <mergeCell ref="C49:H49"/>
    <mergeCell ref="C50:H50"/>
    <mergeCell ref="M83:N84"/>
    <mergeCell ref="B83:G83"/>
    <mergeCell ref="H83:I84"/>
    <mergeCell ref="J83:L84"/>
    <mergeCell ref="B56:N56"/>
    <mergeCell ref="G59:I59"/>
    <mergeCell ref="B57:N57"/>
    <mergeCell ref="B58:N58"/>
    <mergeCell ref="B54:N54"/>
    <mergeCell ref="B55:N55"/>
    <mergeCell ref="A52:C52"/>
    <mergeCell ref="B53:N53"/>
    <mergeCell ref="H63:H64"/>
    <mergeCell ref="I63:I64"/>
    <mergeCell ref="K66:N66"/>
    <mergeCell ref="M69:N69"/>
    <mergeCell ref="K80:L80"/>
    <mergeCell ref="B81:E81"/>
    <mergeCell ref="K96:L96"/>
    <mergeCell ref="M104:N104"/>
    <mergeCell ref="H72:I72"/>
    <mergeCell ref="H73:I73"/>
    <mergeCell ref="H76:I76"/>
    <mergeCell ref="B76:E76"/>
    <mergeCell ref="H79:I79"/>
    <mergeCell ref="H80:I80"/>
    <mergeCell ref="B79:F79"/>
    <mergeCell ref="B80:F80"/>
    <mergeCell ref="B77:L77"/>
    <mergeCell ref="B78:L78"/>
    <mergeCell ref="J79:N79"/>
    <mergeCell ref="C84:G84"/>
    <mergeCell ref="C92:G92"/>
    <mergeCell ref="C93:G93"/>
    <mergeCell ref="C94:G94"/>
    <mergeCell ref="C95:G95"/>
    <mergeCell ref="K92:L92"/>
    <mergeCell ref="K93:L93"/>
    <mergeCell ref="K94:L94"/>
    <mergeCell ref="K95:L95"/>
    <mergeCell ref="K89:L89"/>
    <mergeCell ref="K90:L90"/>
    <mergeCell ref="C99:G99"/>
    <mergeCell ref="K108:L108"/>
    <mergeCell ref="K100:L100"/>
    <mergeCell ref="C106:D106"/>
    <mergeCell ref="K99:L99"/>
    <mergeCell ref="B82:F82"/>
    <mergeCell ref="C91:G91"/>
    <mergeCell ref="K111:L111"/>
    <mergeCell ref="C105:D105"/>
    <mergeCell ref="K85:L85"/>
    <mergeCell ref="C108:D108"/>
    <mergeCell ref="K107:L107"/>
    <mergeCell ref="C101:N101"/>
    <mergeCell ref="C102:N102"/>
    <mergeCell ref="K106:L106"/>
    <mergeCell ref="K105:L105"/>
    <mergeCell ref="C100:G100"/>
    <mergeCell ref="B103:N103"/>
    <mergeCell ref="H104:I104"/>
    <mergeCell ref="C87:G87"/>
    <mergeCell ref="C88:G88"/>
    <mergeCell ref="C89:G89"/>
    <mergeCell ref="C90:G90"/>
    <mergeCell ref="C96:G96"/>
    <mergeCell ref="C107:D107"/>
    <mergeCell ref="B122:L122"/>
    <mergeCell ref="A129:C129"/>
    <mergeCell ref="D129:H129"/>
    <mergeCell ref="I129:J129"/>
    <mergeCell ref="K129:N129"/>
    <mergeCell ref="J125:N125"/>
    <mergeCell ref="F125:I125"/>
    <mergeCell ref="A125:E125"/>
    <mergeCell ref="B124:F124"/>
    <mergeCell ref="G124:J124"/>
    <mergeCell ref="K124:N124"/>
    <mergeCell ref="E108:G108"/>
    <mergeCell ref="E111:G111"/>
    <mergeCell ref="B120:L120"/>
    <mergeCell ref="B121:L121"/>
    <mergeCell ref="E109:G109"/>
    <mergeCell ref="E110:G110"/>
    <mergeCell ref="K109:L109"/>
    <mergeCell ref="K110:L110"/>
    <mergeCell ref="C109:D109"/>
    <mergeCell ref="C110:D110"/>
    <mergeCell ref="B116:L116"/>
    <mergeCell ref="F123:J123"/>
    <mergeCell ref="C98:G98"/>
    <mergeCell ref="K98:L98"/>
    <mergeCell ref="K86:L86"/>
    <mergeCell ref="A126:N126"/>
    <mergeCell ref="A127:B127"/>
    <mergeCell ref="C127:H127"/>
    <mergeCell ref="I127:N128"/>
    <mergeCell ref="A128:B128"/>
    <mergeCell ref="C128:H128"/>
    <mergeCell ref="B112:N112"/>
    <mergeCell ref="B113:L113"/>
    <mergeCell ref="B114:L114"/>
    <mergeCell ref="B115:L115"/>
    <mergeCell ref="B117:L117"/>
    <mergeCell ref="B118:L118"/>
    <mergeCell ref="B119:L119"/>
    <mergeCell ref="B104:G104"/>
    <mergeCell ref="C86:G86"/>
    <mergeCell ref="C111:D111"/>
    <mergeCell ref="E105:G105"/>
    <mergeCell ref="E106:G106"/>
    <mergeCell ref="E107:G107"/>
    <mergeCell ref="C97:G97"/>
    <mergeCell ref="J104:L104"/>
  </mergeCells>
  <conditionalFormatting sqref="B122:L122">
    <cfRule type="iconSet" priority="1">
      <iconSet>
        <cfvo type="percent" val="0"/>
        <cfvo type="formula" val="&quot;n110&quot;"/>
        <cfvo type="formula" val="&quot;n109&quot;"/>
      </iconSet>
    </cfRule>
    <cfRule type="iconSet" priority="2">
      <iconSet>
        <cfvo type="percent" val="0"/>
        <cfvo type="formula" val="&quot;n110&quot;"/>
        <cfvo type="formula" val="&quot;n109&quot;"/>
      </iconSet>
    </cfRule>
  </conditionalFormatting>
  <pageMargins left="0.74" right="0.2" top="0.21" bottom="0.25" header="0.24" footer="0.3"/>
  <pageSetup paperSize="9" scale="98" orientation="portrait" horizontalDpi="120" verticalDpi="144" r:id="rId2"/>
</worksheet>
</file>

<file path=xl/worksheets/sheet2.xml><?xml version="1.0" encoding="utf-8"?>
<worksheet xmlns="http://schemas.openxmlformats.org/spreadsheetml/2006/main" xmlns:r="http://schemas.openxmlformats.org/officeDocument/2006/relationships">
  <sheetPr codeName="Sheet1">
    <tabColor rgb="FFC00000"/>
  </sheetPr>
  <dimension ref="A1:CA100"/>
  <sheetViews>
    <sheetView zoomScale="90" zoomScaleNormal="90" workbookViewId="0">
      <selection activeCell="H11" sqref="H11:I11"/>
    </sheetView>
  </sheetViews>
  <sheetFormatPr defaultColWidth="0" defaultRowHeight="15" zeroHeight="1"/>
  <cols>
    <col min="1" max="1" width="7.28515625" style="4" customWidth="1"/>
    <col min="2" max="2" width="28.5703125" style="1" customWidth="1"/>
    <col min="3" max="3" width="19.85546875" style="4" customWidth="1"/>
    <col min="4" max="4" width="22.5703125" style="1" customWidth="1"/>
    <col min="5" max="5" width="18.140625" style="1" customWidth="1"/>
    <col min="6" max="6" width="17.5703125" style="3" customWidth="1"/>
    <col min="7" max="7" width="22.5703125" style="3" customWidth="1"/>
    <col min="8" max="8" width="27" style="3" customWidth="1"/>
    <col min="9" max="9" width="16.42578125" style="3" customWidth="1"/>
    <col min="10" max="10" width="13.5703125" style="3" customWidth="1"/>
    <col min="11" max="11" width="13.140625" style="3" customWidth="1"/>
    <col min="12" max="12" width="23" style="3" customWidth="1"/>
    <col min="13" max="13" width="31.42578125" style="3" customWidth="1"/>
    <col min="14" max="14" width="28.42578125" style="3" customWidth="1"/>
    <col min="15" max="15" width="13.42578125" style="3" customWidth="1"/>
    <col min="16" max="16" width="12.85546875" style="3" customWidth="1"/>
    <col min="17" max="18" width="35.7109375" style="3" hidden="1" customWidth="1"/>
    <col min="19" max="19" width="35.7109375" style="6" hidden="1" customWidth="1"/>
    <col min="20" max="23" width="35.7109375" style="1" hidden="1" customWidth="1"/>
    <col min="24" max="67" width="9.140625" style="1" hidden="1" customWidth="1"/>
    <col min="68" max="68" width="8.28515625" style="1" hidden="1" customWidth="1"/>
    <col min="69" max="69" width="9.140625" style="1" hidden="1" customWidth="1"/>
    <col min="70" max="70" width="9.7109375" style="1" hidden="1" customWidth="1"/>
    <col min="71" max="79" width="9.140625" style="1" hidden="1" customWidth="1"/>
    <col min="80" max="16384" width="9.140625" style="4" hidden="1"/>
  </cols>
  <sheetData>
    <row r="1" spans="1:79" s="27" customFormat="1" ht="35.25" customHeight="1" thickTop="1" thickBot="1">
      <c r="A1" s="251"/>
      <c r="B1" s="252"/>
      <c r="C1" s="502" t="s">
        <v>236</v>
      </c>
      <c r="D1" s="502"/>
      <c r="E1" s="502"/>
      <c r="F1" s="502"/>
      <c r="G1" s="502"/>
      <c r="H1" s="502"/>
      <c r="I1" s="253"/>
      <c r="J1" s="254"/>
      <c r="K1" s="255"/>
      <c r="L1" s="28"/>
      <c r="M1" s="28"/>
      <c r="N1" s="28"/>
      <c r="O1" s="28"/>
      <c r="P1" s="28"/>
      <c r="Q1" s="28"/>
      <c r="R1" s="28"/>
      <c r="S1" s="28"/>
      <c r="AB1" s="27">
        <v>600</v>
      </c>
      <c r="AC1" s="397" t="b">
        <v>1</v>
      </c>
      <c r="AD1" s="397" t="b">
        <v>0</v>
      </c>
      <c r="AE1" s="397" t="b">
        <v>1</v>
      </c>
      <c r="AF1" s="397" t="b">
        <v>0</v>
      </c>
      <c r="BJ1" s="27" t="s">
        <v>88</v>
      </c>
    </row>
    <row r="2" spans="1:79" s="27" customFormat="1" ht="21" customHeight="1" thickTop="1" thickBot="1">
      <c r="A2" s="256"/>
      <c r="B2" s="476" t="s">
        <v>457</v>
      </c>
      <c r="C2" s="476"/>
      <c r="D2" s="390"/>
      <c r="E2" s="391" t="str">
        <f>IF(AND(AC1=AG3),AB2,IF(AND(AD1=AG3),AB3,""))</f>
        <v xml:space="preserve">YES </v>
      </c>
      <c r="F2" s="503" t="s">
        <v>351</v>
      </c>
      <c r="G2" s="503"/>
      <c r="H2" s="503"/>
      <c r="I2" s="392" t="s">
        <v>244</v>
      </c>
      <c r="J2" s="51"/>
      <c r="K2" s="257"/>
      <c r="L2" s="28"/>
      <c r="M2" s="28"/>
      <c r="N2" s="28"/>
      <c r="O2" s="28"/>
      <c r="P2" s="28"/>
      <c r="Q2" s="28"/>
      <c r="R2" s="28"/>
      <c r="S2" s="28"/>
      <c r="AB2" s="27" t="s">
        <v>232</v>
      </c>
      <c r="AC2" s="27" t="s">
        <v>6</v>
      </c>
      <c r="AD2" s="27">
        <v>5</v>
      </c>
      <c r="AE2" s="27">
        <v>8</v>
      </c>
      <c r="BJ2" s="27" t="s">
        <v>92</v>
      </c>
    </row>
    <row r="3" spans="1:79" s="27" customFormat="1" ht="21" customHeight="1" thickTop="1" thickBot="1">
      <c r="A3" s="256"/>
      <c r="B3" s="477" t="s">
        <v>458</v>
      </c>
      <c r="C3" s="477"/>
      <c r="D3" s="477"/>
      <c r="E3" s="395" t="s">
        <v>250</v>
      </c>
      <c r="F3" s="476" t="s">
        <v>461</v>
      </c>
      <c r="G3" s="476"/>
      <c r="H3" s="390"/>
      <c r="I3" s="391" t="str">
        <f>IF(AND(AE1=AG3),AB2,IF(AND(AF1=AG3),AB3,""))</f>
        <v xml:space="preserve">YES </v>
      </c>
      <c r="J3" s="409">
        <v>6774</v>
      </c>
      <c r="K3" s="257"/>
      <c r="L3" s="28"/>
      <c r="M3" s="28"/>
      <c r="N3" s="28"/>
      <c r="O3" s="28"/>
      <c r="P3" s="28"/>
      <c r="Q3" s="28"/>
      <c r="R3" s="28"/>
      <c r="S3" s="28"/>
      <c r="AB3" s="27" t="s">
        <v>233</v>
      </c>
      <c r="AC3" s="27" t="s">
        <v>152</v>
      </c>
      <c r="AD3" s="27">
        <v>10</v>
      </c>
      <c r="AE3" s="27">
        <v>9</v>
      </c>
      <c r="AG3" s="397" t="b">
        <v>1</v>
      </c>
    </row>
    <row r="4" spans="1:79" s="27" customFormat="1" ht="21" customHeight="1" thickTop="1" thickBot="1">
      <c r="A4" s="256"/>
      <c r="B4" s="417" t="s">
        <v>489</v>
      </c>
      <c r="C4" s="418"/>
      <c r="D4" s="416" t="s">
        <v>490</v>
      </c>
      <c r="E4" s="445">
        <f>IF(AND(AC1=AF8),AB1,0)</f>
        <v>0</v>
      </c>
      <c r="F4" s="476" t="s">
        <v>491</v>
      </c>
      <c r="G4" s="476"/>
      <c r="H4" s="389"/>
      <c r="I4" s="393" t="s">
        <v>234</v>
      </c>
      <c r="J4" s="51"/>
      <c r="K4" s="257"/>
      <c r="L4" s="28"/>
      <c r="M4" s="28"/>
      <c r="N4" s="28"/>
      <c r="O4" s="28"/>
      <c r="P4" s="28"/>
      <c r="Q4" s="28"/>
      <c r="R4" s="28"/>
      <c r="S4" s="28"/>
      <c r="AD4" s="27">
        <v>15</v>
      </c>
      <c r="AE4" s="27">
        <v>10</v>
      </c>
    </row>
    <row r="5" spans="1:79" s="27" customFormat="1" ht="21" customHeight="1" thickTop="1" thickBot="1">
      <c r="A5" s="256"/>
      <c r="B5" s="476" t="s">
        <v>249</v>
      </c>
      <c r="C5" s="476"/>
      <c r="D5" s="476"/>
      <c r="E5" s="396">
        <v>8</v>
      </c>
      <c r="F5" s="476" t="s">
        <v>460</v>
      </c>
      <c r="G5" s="476"/>
      <c r="H5" s="390"/>
      <c r="I5" s="394" t="str">
        <f>IF(AND(AF9=AG3),AC2,IF(AND(AG9=AG3),AC3,""))</f>
        <v>NPS</v>
      </c>
      <c r="J5" s="51"/>
      <c r="K5" s="257"/>
      <c r="L5" s="28"/>
      <c r="M5" s="28"/>
      <c r="N5" s="28"/>
      <c r="O5" s="28"/>
      <c r="P5" s="28"/>
      <c r="Q5" s="28"/>
      <c r="R5" s="28"/>
      <c r="S5" s="28"/>
      <c r="AB5" s="27">
        <v>1</v>
      </c>
      <c r="AC5" s="27" t="s">
        <v>247</v>
      </c>
      <c r="AD5" s="27">
        <v>20</v>
      </c>
      <c r="AE5" s="27">
        <v>16</v>
      </c>
    </row>
    <row r="6" spans="1:79" s="27" customFormat="1" ht="21" customHeight="1" thickTop="1" thickBot="1">
      <c r="A6" s="256"/>
      <c r="B6" s="477" t="s">
        <v>459</v>
      </c>
      <c r="C6" s="477"/>
      <c r="D6" s="390"/>
      <c r="E6" s="391" t="str">
        <f>IF(AND(AF10=AG3),AB2,IF(AND(AG10=AG3),AB3,""))</f>
        <v>NO</v>
      </c>
      <c r="F6" s="476" t="s">
        <v>350</v>
      </c>
      <c r="G6" s="476"/>
      <c r="H6" s="476"/>
      <c r="I6" s="393" t="s">
        <v>346</v>
      </c>
      <c r="J6" s="51"/>
      <c r="K6" s="257"/>
      <c r="L6" s="28"/>
      <c r="M6" s="28"/>
      <c r="N6" s="28"/>
      <c r="O6" s="28"/>
      <c r="P6" s="28"/>
      <c r="Q6" s="28"/>
      <c r="R6" s="28"/>
      <c r="S6" s="28"/>
      <c r="AB6" s="49">
        <v>2</v>
      </c>
      <c r="AC6" s="49" t="s">
        <v>248</v>
      </c>
      <c r="AD6" s="27">
        <v>25</v>
      </c>
      <c r="AE6" s="27">
        <v>18</v>
      </c>
    </row>
    <row r="7" spans="1:79" s="49" customFormat="1" ht="21" customHeight="1" thickTop="1" thickBot="1">
      <c r="A7" s="256"/>
      <c r="B7" s="247"/>
      <c r="C7" s="247"/>
      <c r="D7" s="247"/>
      <c r="E7" s="50"/>
      <c r="F7" s="250"/>
      <c r="G7" s="250"/>
      <c r="H7" s="250"/>
      <c r="I7" s="50"/>
      <c r="J7" s="51"/>
      <c r="K7" s="257"/>
      <c r="L7" s="51"/>
      <c r="M7" s="51"/>
      <c r="N7" s="51"/>
      <c r="O7" s="51"/>
      <c r="P7" s="51"/>
      <c r="Q7" s="51"/>
      <c r="R7" s="51"/>
      <c r="S7" s="51"/>
      <c r="AB7" s="27">
        <v>3</v>
      </c>
      <c r="AC7" s="27" t="s">
        <v>237</v>
      </c>
      <c r="AD7" s="49">
        <v>30</v>
      </c>
      <c r="AE7" s="49">
        <v>20</v>
      </c>
    </row>
    <row r="8" spans="1:79" s="1" customFormat="1" ht="24.95" customHeight="1" thickTop="1" thickBot="1">
      <c r="A8" s="256"/>
      <c r="B8" s="478" t="s">
        <v>231</v>
      </c>
      <c r="C8" s="478"/>
      <c r="D8" s="475" t="s">
        <v>485</v>
      </c>
      <c r="E8" s="475"/>
      <c r="F8" s="475"/>
      <c r="G8" s="475"/>
      <c r="H8" s="475"/>
      <c r="I8" s="475"/>
      <c r="J8" s="51"/>
      <c r="K8" s="257"/>
      <c r="L8" s="28"/>
      <c r="M8" s="28"/>
      <c r="N8" s="28"/>
      <c r="O8" s="29"/>
      <c r="P8" s="28"/>
      <c r="Q8" s="29"/>
      <c r="R8" s="29"/>
      <c r="S8" s="28"/>
      <c r="T8" s="27"/>
      <c r="U8" s="27"/>
      <c r="V8" s="27"/>
      <c r="W8" s="27"/>
      <c r="X8" s="27"/>
      <c r="Y8" s="27"/>
      <c r="Z8" s="27"/>
      <c r="AA8" s="27"/>
      <c r="AB8" s="49">
        <v>4</v>
      </c>
      <c r="AC8" s="49" t="s">
        <v>238</v>
      </c>
      <c r="AD8" s="27">
        <v>35</v>
      </c>
      <c r="AE8" s="27"/>
      <c r="AF8" s="397" t="b">
        <v>0</v>
      </c>
      <c r="AG8" s="397" t="b">
        <v>1</v>
      </c>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row>
    <row r="9" spans="1:79" s="1" customFormat="1" ht="24.95" customHeight="1" thickTop="1" thickBot="1">
      <c r="A9" s="256"/>
      <c r="B9" s="478" t="s">
        <v>230</v>
      </c>
      <c r="C9" s="478"/>
      <c r="D9" s="505" t="s">
        <v>440</v>
      </c>
      <c r="E9" s="505"/>
      <c r="F9" s="479" t="s">
        <v>206</v>
      </c>
      <c r="G9" s="479"/>
      <c r="H9" s="505" t="s">
        <v>484</v>
      </c>
      <c r="I9" s="505"/>
      <c r="J9" s="51"/>
      <c r="K9" s="257"/>
      <c r="L9" s="28"/>
      <c r="M9" s="28"/>
      <c r="N9" s="28"/>
      <c r="O9" s="29"/>
      <c r="P9" s="28"/>
      <c r="Q9" s="29"/>
      <c r="R9" s="29"/>
      <c r="S9" s="28"/>
      <c r="T9" s="27"/>
      <c r="U9" s="27"/>
      <c r="V9" s="27"/>
      <c r="W9" s="27"/>
      <c r="X9" s="27"/>
      <c r="Y9" s="27"/>
      <c r="Z9" s="27"/>
      <c r="AA9" s="27"/>
      <c r="AB9" s="27">
        <v>5</v>
      </c>
      <c r="AC9" s="27" t="s">
        <v>239</v>
      </c>
      <c r="AD9" s="27"/>
      <c r="AE9" s="27"/>
      <c r="AF9" s="397" t="b">
        <v>0</v>
      </c>
      <c r="AG9" s="397" t="b">
        <v>1</v>
      </c>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row>
    <row r="10" spans="1:79" s="1" customFormat="1" ht="24.95" customHeight="1" thickTop="1" thickBot="1">
      <c r="A10" s="256"/>
      <c r="B10" s="258"/>
      <c r="C10" s="259" t="s">
        <v>205</v>
      </c>
      <c r="D10" s="475" t="s">
        <v>486</v>
      </c>
      <c r="E10" s="475"/>
      <c r="F10" s="478"/>
      <c r="G10" s="478"/>
      <c r="H10" s="504"/>
      <c r="I10" s="504"/>
      <c r="J10" s="51"/>
      <c r="K10" s="257"/>
      <c r="L10" s="28"/>
      <c r="M10" s="28"/>
      <c r="N10" s="28"/>
      <c r="O10" s="29"/>
      <c r="P10" s="28"/>
      <c r="Q10" s="29"/>
      <c r="R10" s="29"/>
      <c r="S10" s="28"/>
      <c r="T10" s="27"/>
      <c r="U10" s="27"/>
      <c r="V10" s="27"/>
      <c r="W10" s="27"/>
      <c r="X10" s="27"/>
      <c r="Y10" s="27"/>
      <c r="Z10" s="27"/>
      <c r="AA10" s="27"/>
      <c r="AB10" s="49">
        <v>6</v>
      </c>
      <c r="AC10" s="49" t="s">
        <v>240</v>
      </c>
      <c r="AD10" s="27" t="s">
        <v>348</v>
      </c>
      <c r="AE10" s="27"/>
      <c r="AF10" s="397" t="b">
        <v>0</v>
      </c>
      <c r="AG10" s="397" t="b">
        <v>1</v>
      </c>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row>
    <row r="11" spans="1:79" s="1" customFormat="1" ht="24.95" customHeight="1" thickTop="1" thickBot="1">
      <c r="A11" s="256"/>
      <c r="B11" s="478" t="s">
        <v>216</v>
      </c>
      <c r="C11" s="478"/>
      <c r="D11" s="475" t="s">
        <v>541</v>
      </c>
      <c r="E11" s="475"/>
      <c r="F11" s="479" t="s">
        <v>226</v>
      </c>
      <c r="G11" s="479"/>
      <c r="H11" s="493"/>
      <c r="I11" s="493"/>
      <c r="J11" s="51"/>
      <c r="K11" s="257"/>
      <c r="L11" s="501" t="s">
        <v>330</v>
      </c>
      <c r="M11" s="501"/>
      <c r="N11" s="501"/>
      <c r="O11" s="29"/>
      <c r="P11" s="28"/>
      <c r="Q11" s="29"/>
      <c r="R11" s="29"/>
      <c r="S11" s="28"/>
      <c r="T11" s="27"/>
      <c r="U11" s="27"/>
      <c r="V11" s="27"/>
      <c r="W11" s="27"/>
      <c r="X11" s="27"/>
      <c r="Y11" s="27"/>
      <c r="Z11" s="27"/>
      <c r="AA11" s="27"/>
      <c r="AB11" s="27">
        <v>7</v>
      </c>
      <c r="AC11" s="27" t="s">
        <v>241</v>
      </c>
      <c r="AD11" s="27" t="s">
        <v>344</v>
      </c>
      <c r="AE11" s="27"/>
      <c r="AF11" s="397"/>
      <c r="AG11" s="39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row>
    <row r="12" spans="1:79" s="1" customFormat="1" ht="24.95" customHeight="1" thickTop="1" thickBot="1">
      <c r="A12" s="256"/>
      <c r="B12" s="478" t="s">
        <v>217</v>
      </c>
      <c r="C12" s="478"/>
      <c r="D12" s="475" t="s">
        <v>538</v>
      </c>
      <c r="E12" s="475"/>
      <c r="F12" s="479" t="s">
        <v>227</v>
      </c>
      <c r="G12" s="479"/>
      <c r="H12" s="475" t="s">
        <v>487</v>
      </c>
      <c r="I12" s="475"/>
      <c r="J12" s="51"/>
      <c r="K12" s="257"/>
      <c r="L12" s="28"/>
      <c r="M12" s="28"/>
      <c r="N12" s="28"/>
      <c r="O12" s="29"/>
      <c r="P12" s="28"/>
      <c r="Q12" s="29"/>
      <c r="R12" s="29"/>
      <c r="S12" s="28"/>
      <c r="T12" s="27"/>
      <c r="U12" s="27"/>
      <c r="V12" s="27"/>
      <c r="W12" s="27"/>
      <c r="X12" s="27"/>
      <c r="Y12" s="27"/>
      <c r="Z12" s="27"/>
      <c r="AA12" s="27"/>
      <c r="AB12" s="49">
        <v>8</v>
      </c>
      <c r="AC12" s="49" t="s">
        <v>242</v>
      </c>
      <c r="AD12" s="27" t="s">
        <v>345</v>
      </c>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row>
    <row r="13" spans="1:79" s="1" customFormat="1" ht="24.95" customHeight="1" thickTop="1" thickBot="1">
      <c r="A13" s="256"/>
      <c r="B13" s="479" t="s">
        <v>218</v>
      </c>
      <c r="C13" s="478"/>
      <c r="D13" s="475" t="s">
        <v>539</v>
      </c>
      <c r="E13" s="475"/>
      <c r="F13" s="479" t="s">
        <v>228</v>
      </c>
      <c r="G13" s="479"/>
      <c r="H13" s="493" t="s">
        <v>540</v>
      </c>
      <c r="I13" s="493"/>
      <c r="J13" s="51"/>
      <c r="K13" s="257"/>
      <c r="L13" s="28"/>
      <c r="M13" s="28"/>
      <c r="N13" s="28"/>
      <c r="O13" s="29"/>
      <c r="P13" s="28"/>
      <c r="Q13" s="29"/>
      <c r="R13" s="29"/>
      <c r="S13" s="28"/>
      <c r="T13" s="27"/>
      <c r="U13" s="27"/>
      <c r="V13" s="27"/>
      <c r="W13" s="27"/>
      <c r="X13" s="27"/>
      <c r="Y13" s="27"/>
      <c r="Z13" s="27"/>
      <c r="AA13" s="27"/>
      <c r="AB13" s="27">
        <v>9</v>
      </c>
      <c r="AC13" s="27" t="s">
        <v>243</v>
      </c>
      <c r="AD13" s="27" t="s">
        <v>346</v>
      </c>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row>
    <row r="14" spans="1:79" s="1" customFormat="1" ht="24.95" customHeight="1" thickTop="1" thickBot="1">
      <c r="A14" s="256"/>
      <c r="B14" s="479" t="s">
        <v>209</v>
      </c>
      <c r="C14" s="478"/>
      <c r="D14" s="493"/>
      <c r="E14" s="493"/>
      <c r="F14" s="479" t="s">
        <v>229</v>
      </c>
      <c r="G14" s="479"/>
      <c r="H14" s="493"/>
      <c r="I14" s="493"/>
      <c r="J14" s="51"/>
      <c r="K14" s="257"/>
      <c r="L14" s="28"/>
      <c r="M14" s="28"/>
      <c r="N14" s="28"/>
      <c r="O14" s="29"/>
      <c r="P14" s="28"/>
      <c r="Q14" s="29"/>
      <c r="R14" s="29"/>
      <c r="S14" s="28"/>
      <c r="T14" s="27"/>
      <c r="U14" s="27"/>
      <c r="V14" s="27"/>
      <c r="W14" s="27"/>
      <c r="X14" s="27"/>
      <c r="Y14" s="27"/>
      <c r="Z14" s="27"/>
      <c r="AA14" s="27"/>
      <c r="AB14" s="49">
        <v>10</v>
      </c>
      <c r="AC14" s="49" t="s">
        <v>244</v>
      </c>
      <c r="AD14" s="27" t="s">
        <v>347</v>
      </c>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row>
    <row r="15" spans="1:79" s="1" customFormat="1" ht="24.95" customHeight="1" thickTop="1" thickBot="1">
      <c r="A15" s="256"/>
      <c r="B15" s="479" t="s">
        <v>219</v>
      </c>
      <c r="C15" s="478"/>
      <c r="D15" s="493" t="s">
        <v>542</v>
      </c>
      <c r="E15" s="493"/>
      <c r="F15" s="479" t="s">
        <v>225</v>
      </c>
      <c r="G15" s="479"/>
      <c r="H15" s="475" t="s">
        <v>563</v>
      </c>
      <c r="I15" s="475"/>
      <c r="J15" s="51"/>
      <c r="K15" s="257"/>
      <c r="L15" s="28"/>
      <c r="M15" s="28"/>
      <c r="N15" s="28"/>
      <c r="O15" s="29"/>
      <c r="P15" s="28"/>
      <c r="Q15" s="29"/>
      <c r="R15" s="29"/>
      <c r="S15" s="28"/>
      <c r="T15" s="27"/>
      <c r="U15" s="27"/>
      <c r="V15" s="27"/>
      <c r="W15" s="27"/>
      <c r="X15" s="27"/>
      <c r="Y15" s="27"/>
      <c r="Z15" s="27"/>
      <c r="AA15" s="27"/>
      <c r="AB15" s="27">
        <v>11</v>
      </c>
      <c r="AC15" s="27" t="s">
        <v>245</v>
      </c>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row>
    <row r="16" spans="1:79" s="1" customFormat="1" ht="24.95" customHeight="1" thickTop="1" thickBot="1">
      <c r="A16" s="256"/>
      <c r="B16" s="479" t="s">
        <v>214</v>
      </c>
      <c r="C16" s="479"/>
      <c r="D16" s="497" t="s">
        <v>493</v>
      </c>
      <c r="E16" s="497"/>
      <c r="F16" s="494" t="s">
        <v>211</v>
      </c>
      <c r="G16" s="494"/>
      <c r="H16" s="475" t="s">
        <v>210</v>
      </c>
      <c r="I16" s="475"/>
      <c r="J16" s="51"/>
      <c r="K16" s="257"/>
      <c r="L16" s="28"/>
      <c r="M16" s="28"/>
      <c r="N16" s="28"/>
      <c r="O16" s="29"/>
      <c r="P16" s="28"/>
      <c r="Q16" s="29"/>
      <c r="R16" s="29"/>
      <c r="S16" s="28"/>
      <c r="T16" s="27"/>
      <c r="U16" s="27"/>
      <c r="V16" s="27"/>
      <c r="W16" s="27"/>
      <c r="X16" s="27"/>
      <c r="Y16" s="27"/>
      <c r="Z16" s="27"/>
      <c r="AA16" s="27"/>
      <c r="AB16" s="49">
        <v>12</v>
      </c>
      <c r="AC16" s="49" t="s">
        <v>246</v>
      </c>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row>
    <row r="17" spans="1:79" s="1" customFormat="1" ht="24.95" customHeight="1" thickTop="1" thickBot="1">
      <c r="A17" s="256"/>
      <c r="B17" s="479" t="s">
        <v>215</v>
      </c>
      <c r="C17" s="479"/>
      <c r="D17" s="475" t="s">
        <v>488</v>
      </c>
      <c r="E17" s="475"/>
      <c r="F17" s="494" t="s">
        <v>220</v>
      </c>
      <c r="G17" s="494"/>
      <c r="H17" s="475" t="s">
        <v>543</v>
      </c>
      <c r="I17" s="475"/>
      <c r="J17" s="51"/>
      <c r="K17" s="257"/>
      <c r="L17" s="28"/>
      <c r="M17" s="28"/>
      <c r="N17" s="28"/>
      <c r="O17" s="29"/>
      <c r="P17" s="28"/>
      <c r="Q17" s="29"/>
      <c r="R17" s="29"/>
      <c r="S17" s="28"/>
      <c r="T17" s="27"/>
      <c r="U17" s="27"/>
      <c r="V17" s="27"/>
      <c r="W17" s="27"/>
      <c r="X17" s="27"/>
      <c r="Y17" s="27"/>
      <c r="Z17" s="27"/>
      <c r="AA17" s="27"/>
      <c r="AB17" s="49"/>
      <c r="AC17" s="49"/>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row>
    <row r="18" spans="1:79" s="1" customFormat="1" ht="24.95" customHeight="1" thickTop="1" thickBot="1">
      <c r="A18" s="256"/>
      <c r="B18" s="494" t="s">
        <v>223</v>
      </c>
      <c r="C18" s="494"/>
      <c r="D18" s="498">
        <v>43525</v>
      </c>
      <c r="E18" s="498"/>
      <c r="F18" s="494" t="s">
        <v>224</v>
      </c>
      <c r="G18" s="494"/>
      <c r="H18" s="495">
        <v>43921</v>
      </c>
      <c r="I18" s="495"/>
      <c r="J18" s="51"/>
      <c r="K18" s="257"/>
      <c r="L18" s="28"/>
      <c r="M18" s="28" t="s">
        <v>492</v>
      </c>
      <c r="N18" s="28"/>
      <c r="O18" s="29"/>
      <c r="P18" s="28"/>
      <c r="Q18" s="29"/>
      <c r="R18" s="29"/>
      <c r="S18" s="28"/>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row>
    <row r="19" spans="1:79" s="1" customFormat="1" ht="24.95" customHeight="1" thickTop="1" thickBot="1">
      <c r="A19" s="256"/>
      <c r="B19" s="479" t="s">
        <v>222</v>
      </c>
      <c r="C19" s="479"/>
      <c r="D19" s="496" t="s">
        <v>546</v>
      </c>
      <c r="E19" s="496"/>
      <c r="F19" s="494" t="s">
        <v>221</v>
      </c>
      <c r="G19" s="494"/>
      <c r="H19" s="496" t="s">
        <v>547</v>
      </c>
      <c r="I19" s="496"/>
      <c r="J19" s="51"/>
      <c r="K19" s="257"/>
      <c r="L19" s="28"/>
      <c r="M19" s="28"/>
      <c r="N19" s="28"/>
      <c r="O19" s="29"/>
      <c r="P19" s="28"/>
      <c r="Q19" s="29"/>
      <c r="R19" s="29"/>
      <c r="S19" s="28"/>
      <c r="T19" s="27"/>
      <c r="U19" s="27"/>
      <c r="V19" s="27"/>
      <c r="W19" s="27"/>
      <c r="X19" s="27"/>
      <c r="Y19" s="27"/>
      <c r="Z19" s="27"/>
      <c r="AA19" s="27"/>
      <c r="AB19" s="27" t="s">
        <v>234</v>
      </c>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row>
    <row r="20" spans="1:79" s="1" customFormat="1" ht="24.95" customHeight="1" thickTop="1">
      <c r="A20" s="256"/>
      <c r="B20" s="49"/>
      <c r="C20" s="49"/>
      <c r="D20" s="49"/>
      <c r="E20" s="49"/>
      <c r="F20" s="51"/>
      <c r="G20" s="51"/>
      <c r="H20" s="51"/>
      <c r="I20" s="51"/>
      <c r="J20" s="51"/>
      <c r="K20" s="257"/>
      <c r="L20" s="28"/>
      <c r="M20" s="28"/>
      <c r="N20" s="28"/>
      <c r="O20" s="29"/>
      <c r="P20" s="28"/>
      <c r="Q20" s="29"/>
      <c r="R20" s="29"/>
      <c r="S20" s="28"/>
      <c r="T20" s="27"/>
      <c r="U20" s="27"/>
      <c r="V20" s="27"/>
      <c r="W20" s="27"/>
      <c r="X20" s="27"/>
      <c r="Y20" s="27"/>
      <c r="Z20" s="27"/>
      <c r="AA20" s="27"/>
      <c r="AB20" s="27" t="s">
        <v>235</v>
      </c>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row>
    <row r="21" spans="1:79" s="1" customFormat="1" ht="24.95" customHeight="1">
      <c r="A21" s="256"/>
      <c r="B21" s="49"/>
      <c r="C21" s="49"/>
      <c r="D21" s="49"/>
      <c r="E21" s="49"/>
      <c r="F21" s="51"/>
      <c r="G21" s="51"/>
      <c r="H21" s="51"/>
      <c r="I21" s="51"/>
      <c r="J21" s="51"/>
      <c r="K21" s="257"/>
      <c r="L21" s="28"/>
      <c r="M21" s="28"/>
      <c r="N21" s="28"/>
      <c r="O21" s="29"/>
      <c r="P21" s="28"/>
      <c r="Q21" s="29"/>
      <c r="R21" s="29"/>
      <c r="S21" s="28"/>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row>
    <row r="22" spans="1:79" s="1" customFormat="1" ht="24.95" customHeight="1">
      <c r="A22" s="485" t="s">
        <v>265</v>
      </c>
      <c r="B22" s="486"/>
      <c r="C22" s="486"/>
      <c r="D22" s="486"/>
      <c r="E22" s="487" t="s">
        <v>88</v>
      </c>
      <c r="F22" s="487"/>
      <c r="G22" s="51"/>
      <c r="H22" s="51"/>
      <c r="I22" s="51"/>
      <c r="J22" s="51"/>
      <c r="K22" s="257"/>
      <c r="L22" s="28"/>
      <c r="M22" s="28"/>
      <c r="N22" s="28"/>
      <c r="O22" s="29"/>
      <c r="P22" s="28"/>
      <c r="Q22" s="29"/>
      <c r="R22" s="29"/>
      <c r="S22" s="28"/>
      <c r="T22" s="27"/>
      <c r="U22" s="27"/>
      <c r="V22" s="27"/>
      <c r="W22" s="27"/>
      <c r="X22" s="27"/>
      <c r="Y22" s="27"/>
      <c r="Z22" s="27"/>
      <c r="AA22" s="27"/>
      <c r="AB22" s="27" t="s">
        <v>250</v>
      </c>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row>
    <row r="23" spans="1:79" s="1" customFormat="1" ht="26.25" customHeight="1">
      <c r="A23" s="488" t="s">
        <v>264</v>
      </c>
      <c r="B23" s="489" t="s">
        <v>87</v>
      </c>
      <c r="C23" s="491" t="s">
        <v>88</v>
      </c>
      <c r="D23" s="492"/>
      <c r="E23" s="492"/>
      <c r="F23" s="492"/>
      <c r="G23" s="51"/>
      <c r="H23" s="51"/>
      <c r="I23" s="51"/>
      <c r="J23" s="51"/>
      <c r="K23" s="257"/>
      <c r="L23" s="28"/>
      <c r="M23" s="28"/>
      <c r="N23" s="28"/>
      <c r="O23" s="29"/>
      <c r="P23" s="28"/>
      <c r="Q23" s="29"/>
      <c r="R23" s="29"/>
      <c r="S23" s="28"/>
      <c r="T23" s="27"/>
      <c r="U23" s="27"/>
      <c r="V23" s="27"/>
      <c r="W23" s="27"/>
      <c r="X23" s="27"/>
      <c r="Y23" s="27"/>
      <c r="Z23" s="27"/>
      <c r="AA23" s="27"/>
      <c r="AB23" s="27" t="s">
        <v>251</v>
      </c>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row>
    <row r="24" spans="1:79" s="1" customFormat="1" ht="49.5" customHeight="1">
      <c r="A24" s="488"/>
      <c r="B24" s="490"/>
      <c r="C24" s="249" t="s">
        <v>89</v>
      </c>
      <c r="D24" s="249" t="s">
        <v>90</v>
      </c>
      <c r="E24" s="260" t="s">
        <v>125</v>
      </c>
      <c r="F24" s="52" t="s">
        <v>91</v>
      </c>
      <c r="G24" s="51"/>
      <c r="H24" s="51"/>
      <c r="I24" s="51"/>
      <c r="J24" s="51"/>
      <c r="K24" s="257"/>
      <c r="L24" s="28"/>
      <c r="M24" s="28"/>
      <c r="N24" s="28"/>
      <c r="O24" s="29"/>
      <c r="P24" s="28"/>
      <c r="Q24" s="29"/>
      <c r="R24" s="29"/>
      <c r="S24" s="28"/>
      <c r="T24" s="27"/>
      <c r="U24" s="27"/>
      <c r="V24" s="27"/>
      <c r="W24" s="27"/>
      <c r="X24" s="27"/>
      <c r="Y24" s="27"/>
      <c r="Z24" s="27"/>
      <c r="AA24" s="27"/>
      <c r="AB24" s="27" t="s">
        <v>252</v>
      </c>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row>
    <row r="25" spans="1:79" s="1" customFormat="1" ht="18.95" customHeight="1">
      <c r="A25" s="261">
        <v>1</v>
      </c>
      <c r="B25" s="217">
        <f>IF(AND('GA55 Entry'!W7=""),"",IF(AND($I$4=$AB$20),"",'GA55 Entry'!W7))</f>
        <v>500</v>
      </c>
      <c r="C25" s="119">
        <v>45</v>
      </c>
      <c r="D25" s="119">
        <v>45</v>
      </c>
      <c r="E25" s="165">
        <v>42877</v>
      </c>
      <c r="F25" s="93" t="str">
        <f>IF(C25&gt;0,"Yes","-")</f>
        <v>Yes</v>
      </c>
      <c r="G25" s="51"/>
      <c r="H25" s="51"/>
      <c r="I25" s="51"/>
      <c r="J25" s="51"/>
      <c r="K25" s="257"/>
      <c r="L25" s="28"/>
      <c r="M25" s="28"/>
      <c r="N25" s="28"/>
      <c r="O25" s="29"/>
      <c r="P25" s="28"/>
      <c r="Q25" s="29"/>
      <c r="R25" s="29"/>
      <c r="S25" s="28"/>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row>
    <row r="26" spans="1:79" s="1" customFormat="1" ht="18.95" customHeight="1">
      <c r="A26" s="261">
        <v>2</v>
      </c>
      <c r="B26" s="217">
        <f>IF(AND('GA55 Entry'!W8=""),"",IF(AND($I$4=$AB$20),"",'GA55 Entry'!W8))</f>
        <v>500</v>
      </c>
      <c r="C26" s="119">
        <v>25</v>
      </c>
      <c r="D26" s="119"/>
      <c r="E26" s="119"/>
      <c r="F26" s="93" t="str">
        <f t="shared" ref="F26:F40" si="0">IF(C26&gt;0,"Yes","-")</f>
        <v>Yes</v>
      </c>
      <c r="G26" s="51"/>
      <c r="H26" s="51"/>
      <c r="I26" s="51"/>
      <c r="J26" s="51"/>
      <c r="K26" s="257"/>
      <c r="L26" s="28"/>
      <c r="M26" s="28"/>
      <c r="N26" s="28"/>
      <c r="O26" s="29"/>
      <c r="P26" s="28"/>
      <c r="Q26" s="29"/>
      <c r="R26" s="29"/>
      <c r="S26" s="28"/>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row>
    <row r="27" spans="1:79" s="1" customFormat="1" ht="18.95" customHeight="1">
      <c r="A27" s="261">
        <v>3</v>
      </c>
      <c r="B27" s="217">
        <f>IF(AND('GA55 Entry'!W9=""),"",IF(AND($I$4=$AB$20),"",'GA55 Entry'!W9))</f>
        <v>500</v>
      </c>
      <c r="C27" s="119"/>
      <c r="D27" s="119"/>
      <c r="E27" s="119"/>
      <c r="F27" s="93" t="str">
        <f t="shared" si="0"/>
        <v>-</v>
      </c>
      <c r="G27" s="51"/>
      <c r="H27" s="51"/>
      <c r="I27" s="51"/>
      <c r="J27" s="51"/>
      <c r="K27" s="257"/>
      <c r="L27" s="28"/>
      <c r="M27" s="28"/>
      <c r="N27" s="28"/>
      <c r="O27" s="29"/>
      <c r="P27" s="28"/>
      <c r="Q27" s="29"/>
      <c r="R27" s="29"/>
      <c r="S27" s="28"/>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row>
    <row r="28" spans="1:79" s="1" customFormat="1" ht="18.95" customHeight="1" thickBot="1">
      <c r="A28" s="261">
        <v>4</v>
      </c>
      <c r="B28" s="217">
        <f>IF(AND('GA55 Entry'!W10=""),"",IF(AND($I$4=$AB$20),"",'GA55 Entry'!W10))</f>
        <v>500</v>
      </c>
      <c r="C28" s="119"/>
      <c r="D28" s="119"/>
      <c r="E28" s="119"/>
      <c r="F28" s="93" t="str">
        <f t="shared" si="0"/>
        <v>-</v>
      </c>
      <c r="G28" s="51"/>
      <c r="H28" s="51"/>
      <c r="I28" s="51"/>
      <c r="J28" s="51"/>
      <c r="K28" s="257"/>
      <c r="L28" s="28"/>
      <c r="M28" s="28"/>
      <c r="N28" s="28"/>
      <c r="O28" s="29"/>
      <c r="P28" s="28"/>
      <c r="Q28" s="29"/>
      <c r="R28" s="29"/>
      <c r="S28" s="28"/>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row>
    <row r="29" spans="1:79" s="1" customFormat="1" ht="18.95" customHeight="1" thickTop="1" thickBot="1">
      <c r="A29" s="261">
        <v>5</v>
      </c>
      <c r="B29" s="217">
        <f>IF(AND('GA55 Entry'!W11=""),"",IF(AND($I$4=$AB$20),"",'GA55 Entry'!W11))</f>
        <v>500</v>
      </c>
      <c r="C29" s="119"/>
      <c r="D29" s="119"/>
      <c r="E29" s="119"/>
      <c r="F29" s="93" t="str">
        <f t="shared" si="0"/>
        <v>-</v>
      </c>
      <c r="G29" s="51"/>
      <c r="H29" s="51"/>
      <c r="I29" s="51"/>
      <c r="J29" s="51"/>
      <c r="K29" s="257"/>
      <c r="L29" s="28"/>
      <c r="M29" s="499" t="s">
        <v>331</v>
      </c>
      <c r="N29" s="500"/>
      <c r="O29" s="156"/>
      <c r="P29" s="156"/>
      <c r="Q29" s="156"/>
      <c r="R29" s="29"/>
      <c r="S29" s="28"/>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row>
    <row r="30" spans="1:79" s="1" customFormat="1" ht="18.95" customHeight="1" thickTop="1" thickBot="1">
      <c r="A30" s="261">
        <v>6</v>
      </c>
      <c r="B30" s="217">
        <f>IF(AND('GA55 Entry'!W12=""),"",IF(AND($I$4=$AB$20),"",'GA55 Entry'!W12))</f>
        <v>500</v>
      </c>
      <c r="C30" s="119"/>
      <c r="D30" s="119"/>
      <c r="E30" s="119"/>
      <c r="F30" s="93" t="str">
        <f t="shared" si="0"/>
        <v>-</v>
      </c>
      <c r="G30" s="51"/>
      <c r="H30" s="51"/>
      <c r="I30" s="51"/>
      <c r="J30" s="51"/>
      <c r="K30" s="257"/>
      <c r="L30" s="28"/>
      <c r="M30" s="499"/>
      <c r="N30" s="500"/>
      <c r="O30" s="156"/>
      <c r="P30" s="156"/>
      <c r="Q30" s="156"/>
      <c r="R30" s="29"/>
      <c r="S30" s="28"/>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row>
    <row r="31" spans="1:79" s="1" customFormat="1" ht="18.95" customHeight="1" thickTop="1" thickBot="1">
      <c r="A31" s="261">
        <v>7</v>
      </c>
      <c r="B31" s="217">
        <f>IF(AND('GA55 Entry'!W13=""),"",IF(AND($I$4=$AB$20),"",'GA55 Entry'!W13))</f>
        <v>500</v>
      </c>
      <c r="C31" s="119">
        <v>8</v>
      </c>
      <c r="D31" s="119"/>
      <c r="E31" s="119"/>
      <c r="F31" s="93" t="str">
        <f t="shared" si="0"/>
        <v>Yes</v>
      </c>
      <c r="G31" s="51"/>
      <c r="H31" s="51"/>
      <c r="I31" s="51"/>
      <c r="J31" s="51"/>
      <c r="K31" s="257"/>
      <c r="L31" s="28"/>
      <c r="M31" s="506" t="s">
        <v>440</v>
      </c>
      <c r="N31" s="507"/>
      <c r="O31" s="157"/>
      <c r="P31" s="157"/>
      <c r="Q31" s="157"/>
      <c r="R31" s="29"/>
      <c r="S31" s="28"/>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row>
    <row r="32" spans="1:79" s="1" customFormat="1" ht="18.95" customHeight="1" thickTop="1" thickBot="1">
      <c r="A32" s="261">
        <v>8</v>
      </c>
      <c r="B32" s="217">
        <f>IF(AND('GA55 Entry'!W14=""),"",IF(AND($I$4=$AB$20),"",'GA55 Entry'!W14))</f>
        <v>500</v>
      </c>
      <c r="C32" s="119">
        <v>9</v>
      </c>
      <c r="D32" s="119"/>
      <c r="E32" s="119"/>
      <c r="F32" s="93" t="str">
        <f t="shared" si="0"/>
        <v>Yes</v>
      </c>
      <c r="G32" s="51"/>
      <c r="H32" s="51"/>
      <c r="I32" s="51"/>
      <c r="J32" s="51"/>
      <c r="K32" s="257"/>
      <c r="L32" s="28"/>
      <c r="M32" s="506"/>
      <c r="N32" s="507"/>
      <c r="O32" s="157"/>
      <c r="P32" s="157"/>
      <c r="Q32" s="157"/>
      <c r="R32" s="29"/>
      <c r="S32" s="28"/>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row>
    <row r="33" spans="1:79" s="1" customFormat="1" ht="18.95" customHeight="1" thickTop="1" thickBot="1">
      <c r="A33" s="261">
        <v>9</v>
      </c>
      <c r="B33" s="217">
        <f>IF(AND('GA55 Entry'!W15=""),"",IF(AND($I$4=$AB$20),"",'GA55 Entry'!W15))</f>
        <v>500</v>
      </c>
      <c r="C33" s="119">
        <v>10</v>
      </c>
      <c r="D33" s="119"/>
      <c r="E33" s="119"/>
      <c r="F33" s="93" t="str">
        <f t="shared" si="0"/>
        <v>Yes</v>
      </c>
      <c r="G33" s="51"/>
      <c r="H33" s="51"/>
      <c r="I33" s="51"/>
      <c r="J33" s="51"/>
      <c r="K33" s="257"/>
      <c r="L33" s="28"/>
      <c r="M33" s="508" t="s">
        <v>441</v>
      </c>
      <c r="N33" s="509"/>
      <c r="O33" s="158"/>
      <c r="P33" s="158"/>
      <c r="Q33" s="158"/>
      <c r="R33" s="29"/>
      <c r="S33" s="28"/>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row>
    <row r="34" spans="1:79" s="1" customFormat="1" ht="18.95" customHeight="1" thickTop="1" thickBot="1">
      <c r="A34" s="261">
        <v>10</v>
      </c>
      <c r="B34" s="217">
        <f>IF(AND('GA55 Entry'!W16=""),"",IF(AND($I$4=$AB$20),"",'GA55 Entry'!W16))</f>
        <v>500</v>
      </c>
      <c r="C34" s="119">
        <v>15</v>
      </c>
      <c r="D34" s="119"/>
      <c r="E34" s="119"/>
      <c r="F34" s="93" t="str">
        <f t="shared" si="0"/>
        <v>Yes</v>
      </c>
      <c r="G34" s="51"/>
      <c r="H34" s="51"/>
      <c r="I34" s="51"/>
      <c r="J34" s="51"/>
      <c r="K34" s="257"/>
      <c r="L34" s="28"/>
      <c r="M34" s="508"/>
      <c r="N34" s="509"/>
      <c r="O34" s="158"/>
      <c r="P34" s="158"/>
      <c r="Q34" s="158"/>
      <c r="R34" s="29"/>
      <c r="S34" s="28"/>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row>
    <row r="35" spans="1:79" s="1" customFormat="1" ht="18.95" customHeight="1" thickTop="1" thickBot="1">
      <c r="A35" s="261">
        <v>11</v>
      </c>
      <c r="B35" s="217">
        <f>IF(AND('GA55 Entry'!W17=""),"",IF(AND($I$4=$AB$20),"",'GA55 Entry'!W17))</f>
        <v>500</v>
      </c>
      <c r="C35" s="119"/>
      <c r="D35" s="119"/>
      <c r="E35" s="119"/>
      <c r="F35" s="93" t="str">
        <f t="shared" si="0"/>
        <v>-</v>
      </c>
      <c r="G35" s="51"/>
      <c r="H35" s="51"/>
      <c r="I35" s="51"/>
      <c r="J35" s="51"/>
      <c r="K35" s="257"/>
      <c r="L35" s="28"/>
      <c r="M35" s="510" t="s">
        <v>456</v>
      </c>
      <c r="N35" s="511"/>
      <c r="O35" s="159"/>
      <c r="P35" s="159"/>
      <c r="Q35" s="159"/>
      <c r="R35" s="29"/>
      <c r="S35" s="28"/>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row>
    <row r="36" spans="1:79" s="1" customFormat="1" ht="18.95" customHeight="1" thickTop="1" thickBot="1">
      <c r="A36" s="261">
        <v>12</v>
      </c>
      <c r="B36" s="217">
        <f>IF(AND('GA55 Entry'!W18=""),"",IF(AND($I$4=$AB$20),"",'GA55 Entry'!W18))</f>
        <v>500</v>
      </c>
      <c r="C36" s="119"/>
      <c r="D36" s="119"/>
      <c r="E36" s="119"/>
      <c r="F36" s="93" t="str">
        <f t="shared" si="0"/>
        <v>-</v>
      </c>
      <c r="G36" s="51"/>
      <c r="H36" s="51"/>
      <c r="I36" s="51"/>
      <c r="J36" s="51"/>
      <c r="K36" s="257"/>
      <c r="L36" s="28"/>
      <c r="M36" s="510"/>
      <c r="N36" s="511"/>
      <c r="O36" s="159"/>
      <c r="P36" s="159"/>
      <c r="Q36" s="159"/>
      <c r="R36" s="29"/>
      <c r="S36" s="28"/>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row>
    <row r="37" spans="1:79" s="1" customFormat="1" ht="18.95" customHeight="1" thickTop="1" thickBot="1">
      <c r="A37" s="261">
        <v>13</v>
      </c>
      <c r="B37" s="217" t="str">
        <f>IF(AND('GA55 Entry'!W23=""),"",IF(AND($I$4=$AB$20),"",'GA55 Entry'!W23))</f>
        <v/>
      </c>
      <c r="C37" s="119"/>
      <c r="D37" s="119"/>
      <c r="E37" s="119"/>
      <c r="F37" s="93" t="str">
        <f t="shared" si="0"/>
        <v>-</v>
      </c>
      <c r="G37" s="51"/>
      <c r="H37" s="51"/>
      <c r="I37" s="51"/>
      <c r="J37" s="51"/>
      <c r="K37" s="257"/>
      <c r="L37" s="28"/>
      <c r="M37" s="512" t="s">
        <v>455</v>
      </c>
      <c r="N37" s="513"/>
      <c r="O37" s="160"/>
      <c r="P37" s="160"/>
      <c r="Q37" s="160"/>
      <c r="R37" s="29"/>
      <c r="S37" s="28"/>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row>
    <row r="38" spans="1:79" s="1" customFormat="1" ht="18.95" customHeight="1" thickTop="1" thickBot="1">
      <c r="A38" s="261">
        <v>14</v>
      </c>
      <c r="B38" s="217" t="str">
        <f>IF(AND('GA55 Entry'!W24=""),"",IF(AND($I$4=$AB$20),"",'GA55 Entry'!W24))</f>
        <v/>
      </c>
      <c r="C38" s="119"/>
      <c r="D38" s="119"/>
      <c r="E38" s="119"/>
      <c r="F38" s="93" t="str">
        <f t="shared" si="0"/>
        <v>-</v>
      </c>
      <c r="G38" s="51"/>
      <c r="H38" s="51"/>
      <c r="I38" s="51"/>
      <c r="J38" s="51"/>
      <c r="K38" s="257"/>
      <c r="L38" s="28"/>
      <c r="M38" s="512"/>
      <c r="N38" s="513"/>
      <c r="O38" s="160"/>
      <c r="P38" s="160"/>
      <c r="Q38" s="160"/>
      <c r="R38" s="29"/>
      <c r="S38" s="28"/>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row>
    <row r="39" spans="1:79" s="1" customFormat="1" ht="18.95" customHeight="1" thickTop="1" thickBot="1">
      <c r="A39" s="261">
        <v>15</v>
      </c>
      <c r="B39" s="217" t="str">
        <f>IF(AND('GA55 Entry'!W25=""),"",IF(AND($I$4=$AB$20),"",'GA55 Entry'!W25))</f>
        <v/>
      </c>
      <c r="C39" s="119"/>
      <c r="D39" s="119"/>
      <c r="E39" s="119"/>
      <c r="F39" s="93" t="str">
        <f t="shared" si="0"/>
        <v>-</v>
      </c>
      <c r="G39" s="402">
        <f>'GA55 Entry'!W27</f>
        <v>0</v>
      </c>
      <c r="H39" s="51"/>
      <c r="I39" s="51"/>
      <c r="J39" s="51"/>
      <c r="K39" s="257"/>
      <c r="L39" s="28"/>
      <c r="M39" s="514" t="s">
        <v>332</v>
      </c>
      <c r="N39" s="515"/>
      <c r="O39" s="161"/>
      <c r="P39" s="161"/>
      <c r="Q39" s="161"/>
      <c r="R39" s="29"/>
      <c r="S39" s="28"/>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row>
    <row r="40" spans="1:79" s="1" customFormat="1" ht="18.95" customHeight="1" thickTop="1" thickBot="1">
      <c r="A40" s="261">
        <v>16</v>
      </c>
      <c r="B40" s="403" t="str">
        <f>IF(AND('GA55 Entry'!W26=""),"",IF(AND($I$4=$AB$20),"",'GA55 Entry'!W26))</f>
        <v/>
      </c>
      <c r="C40" s="166">
        <v>1</v>
      </c>
      <c r="D40" s="166"/>
      <c r="E40" s="166"/>
      <c r="F40" s="167" t="str">
        <f t="shared" si="0"/>
        <v>Yes</v>
      </c>
      <c r="G40" s="51"/>
      <c r="H40" s="51"/>
      <c r="I40" s="51"/>
      <c r="J40" s="51"/>
      <c r="K40" s="257"/>
      <c r="L40" s="28"/>
      <c r="M40" s="514"/>
      <c r="N40" s="515"/>
      <c r="O40" s="161"/>
      <c r="P40" s="161"/>
      <c r="Q40" s="161"/>
      <c r="R40" s="29"/>
      <c r="S40" s="28"/>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row>
    <row r="41" spans="1:79" s="1" customFormat="1" ht="18.95" customHeight="1" thickTop="1">
      <c r="A41" s="262" t="s">
        <v>4</v>
      </c>
      <c r="B41" s="219">
        <f>SUM(B25:B40)</f>
        <v>6000</v>
      </c>
      <c r="C41" s="168"/>
      <c r="D41" s="168"/>
      <c r="E41" s="168"/>
      <c r="F41" s="169"/>
      <c r="G41" s="51"/>
      <c r="H41" s="51"/>
      <c r="I41" s="51"/>
      <c r="J41" s="51"/>
      <c r="K41" s="257"/>
      <c r="L41" s="28"/>
      <c r="M41" s="28"/>
      <c r="N41" s="28"/>
      <c r="O41" s="29"/>
      <c r="P41" s="28"/>
      <c r="Q41" s="29"/>
      <c r="R41" s="29"/>
      <c r="S41" s="28"/>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row>
    <row r="42" spans="1:79" s="1" customFormat="1" ht="19.5" customHeight="1">
      <c r="A42" s="256"/>
      <c r="B42" s="49"/>
      <c r="C42" s="49"/>
      <c r="D42" s="49"/>
      <c r="E42" s="49"/>
      <c r="F42" s="51"/>
      <c r="G42" s="51"/>
      <c r="H42" s="51"/>
      <c r="I42" s="51"/>
      <c r="J42" s="51"/>
      <c r="K42" s="257"/>
      <c r="L42" s="28"/>
      <c r="M42" s="28"/>
      <c r="N42" s="28"/>
      <c r="O42" s="29"/>
      <c r="P42" s="28"/>
      <c r="Q42" s="29"/>
      <c r="R42" s="29"/>
      <c r="S42" s="28"/>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row>
    <row r="43" spans="1:79" s="1" customFormat="1" ht="18.75" customHeight="1">
      <c r="A43" s="480" t="s">
        <v>264</v>
      </c>
      <c r="B43" s="481" t="s">
        <v>87</v>
      </c>
      <c r="C43" s="483" t="s">
        <v>92</v>
      </c>
      <c r="D43" s="484"/>
      <c r="E43" s="484"/>
      <c r="F43" s="484"/>
      <c r="G43" s="51"/>
      <c r="H43" s="51"/>
      <c r="I43" s="51"/>
      <c r="J43" s="51"/>
      <c r="K43" s="257"/>
      <c r="L43" s="28"/>
      <c r="M43" s="28"/>
      <c r="N43" s="28"/>
      <c r="O43" s="29"/>
      <c r="P43" s="28"/>
      <c r="Q43" s="29"/>
      <c r="R43" s="29"/>
      <c r="S43" s="28"/>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row>
    <row r="44" spans="1:79" s="1" customFormat="1" ht="49.5" customHeight="1">
      <c r="A44" s="480"/>
      <c r="B44" s="482"/>
      <c r="C44" s="248" t="s">
        <v>115</v>
      </c>
      <c r="D44" s="248" t="s">
        <v>113</v>
      </c>
      <c r="E44" s="248" t="s">
        <v>114</v>
      </c>
      <c r="F44" s="53" t="s">
        <v>112</v>
      </c>
      <c r="G44" s="51"/>
      <c r="H44" s="51"/>
      <c r="I44" s="51"/>
      <c r="J44" s="51"/>
      <c r="K44" s="257"/>
      <c r="L44" s="28"/>
      <c r="M44" s="28"/>
      <c r="N44" s="28"/>
      <c r="O44" s="29"/>
      <c r="P44" s="28"/>
      <c r="Q44" s="29"/>
      <c r="R44" s="29"/>
      <c r="S44" s="28"/>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row>
    <row r="45" spans="1:79" s="1" customFormat="1" ht="18.95" customHeight="1">
      <c r="A45" s="263">
        <v>1</v>
      </c>
      <c r="B45" s="218">
        <f>IF(AND('GA55 Entry'!W7=""),"",IF(AND($I$4=$AB$20),"",'GA55 Entry'!W7))</f>
        <v>500</v>
      </c>
      <c r="C45" s="176"/>
      <c r="D45" s="165"/>
      <c r="E45" s="174"/>
      <c r="F45" s="93" t="str">
        <f>IF(C45&gt;0,"Yes","-")</f>
        <v>-</v>
      </c>
      <c r="G45" s="51"/>
      <c r="H45" s="51"/>
      <c r="I45" s="51"/>
      <c r="J45" s="51"/>
      <c r="K45" s="257"/>
      <c r="L45" s="28"/>
      <c r="M45" s="28"/>
      <c r="N45" s="28"/>
      <c r="O45" s="29"/>
      <c r="P45" s="28"/>
      <c r="Q45" s="29"/>
      <c r="R45" s="29"/>
      <c r="S45" s="28"/>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row>
    <row r="46" spans="1:79" s="1" customFormat="1" ht="18.95" customHeight="1">
      <c r="A46" s="263">
        <v>2</v>
      </c>
      <c r="B46" s="218">
        <f>IF(AND('GA55 Entry'!W8=""),"",IF(AND($I$4=$AB$20),"",'GA55 Entry'!W8))</f>
        <v>500</v>
      </c>
      <c r="C46" s="176"/>
      <c r="D46" s="165"/>
      <c r="E46" s="174"/>
      <c r="F46" s="93" t="str">
        <f t="shared" ref="F46:F60" si="1">IF(C46&gt;0,"Yes","-")</f>
        <v>-</v>
      </c>
      <c r="G46" s="51"/>
      <c r="H46" s="51"/>
      <c r="I46" s="51"/>
      <c r="J46" s="51"/>
      <c r="K46" s="257"/>
      <c r="L46" s="28"/>
      <c r="M46" s="28"/>
      <c r="N46" s="28"/>
      <c r="O46" s="29"/>
      <c r="P46" s="28"/>
      <c r="Q46" s="29"/>
      <c r="R46" s="29"/>
      <c r="S46" s="28"/>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row>
    <row r="47" spans="1:79" s="1" customFormat="1" ht="18.95" customHeight="1">
      <c r="A47" s="263">
        <v>3</v>
      </c>
      <c r="B47" s="218">
        <f>IF(AND('GA55 Entry'!W9=""),"",IF(AND($I$4=$AB$20),"",'GA55 Entry'!W9))</f>
        <v>500</v>
      </c>
      <c r="C47" s="176"/>
      <c r="D47" s="165"/>
      <c r="E47" s="174"/>
      <c r="F47" s="93" t="str">
        <f t="shared" si="1"/>
        <v>-</v>
      </c>
      <c r="G47" s="51"/>
      <c r="H47" s="51"/>
      <c r="I47" s="51"/>
      <c r="J47" s="51"/>
      <c r="K47" s="257"/>
      <c r="L47" s="28"/>
      <c r="M47" s="28"/>
      <c r="N47" s="28"/>
      <c r="O47" s="29"/>
      <c r="P47" s="28"/>
      <c r="Q47" s="29"/>
      <c r="R47" s="29"/>
      <c r="S47" s="28"/>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row>
    <row r="48" spans="1:79" s="1" customFormat="1" ht="18.95" customHeight="1">
      <c r="A48" s="263">
        <v>4</v>
      </c>
      <c r="B48" s="218">
        <f>IF(AND('GA55 Entry'!W10=""),"",IF(AND($I$4=$AB$20),"",'GA55 Entry'!W10))</f>
        <v>500</v>
      </c>
      <c r="C48" s="176"/>
      <c r="D48" s="165"/>
      <c r="E48" s="174"/>
      <c r="F48" s="93" t="str">
        <f t="shared" si="1"/>
        <v>-</v>
      </c>
      <c r="G48" s="51"/>
      <c r="H48" s="51"/>
      <c r="I48" s="51"/>
      <c r="J48" s="51"/>
      <c r="K48" s="257"/>
      <c r="L48" s="28"/>
      <c r="M48" s="28"/>
      <c r="N48" s="28"/>
      <c r="O48" s="29"/>
      <c r="P48" s="28"/>
      <c r="Q48" s="29"/>
      <c r="R48" s="29"/>
      <c r="S48" s="28"/>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row>
    <row r="49" spans="1:79" s="1" customFormat="1" ht="18.95" customHeight="1">
      <c r="A49" s="263">
        <v>5</v>
      </c>
      <c r="B49" s="218">
        <f>IF(AND('GA55 Entry'!W11=""),"",IF(AND($I$4=$AB$20),"",'GA55 Entry'!W11))</f>
        <v>500</v>
      </c>
      <c r="C49" s="176"/>
      <c r="D49" s="165"/>
      <c r="E49" s="174"/>
      <c r="F49" s="93" t="str">
        <f t="shared" si="1"/>
        <v>-</v>
      </c>
      <c r="G49" s="51"/>
      <c r="H49" s="51"/>
      <c r="I49" s="51"/>
      <c r="J49" s="51"/>
      <c r="K49" s="257"/>
      <c r="L49" s="28"/>
      <c r="M49" s="28"/>
      <c r="N49" s="28"/>
      <c r="O49" s="29"/>
      <c r="P49" s="28"/>
      <c r="Q49" s="29"/>
      <c r="R49" s="29"/>
      <c r="S49" s="28"/>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row>
    <row r="50" spans="1:79" s="1" customFormat="1" ht="18.95" customHeight="1">
      <c r="A50" s="263">
        <v>6</v>
      </c>
      <c r="B50" s="218">
        <f>IF(AND('GA55 Entry'!W12=""),"",IF(AND($I$4=$AB$20),"",'GA55 Entry'!W12))</f>
        <v>500</v>
      </c>
      <c r="C50" s="176"/>
      <c r="D50" s="165"/>
      <c r="E50" s="174"/>
      <c r="F50" s="93" t="str">
        <f t="shared" si="1"/>
        <v>-</v>
      </c>
      <c r="G50" s="51"/>
      <c r="H50" s="51"/>
      <c r="I50" s="51"/>
      <c r="J50" s="51"/>
      <c r="K50" s="257"/>
      <c r="L50" s="28"/>
      <c r="M50" s="28"/>
      <c r="N50" s="28"/>
      <c r="O50" s="29"/>
      <c r="P50" s="28"/>
      <c r="Q50" s="29"/>
      <c r="R50" s="29"/>
      <c r="S50" s="28"/>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row>
    <row r="51" spans="1:79" s="1" customFormat="1" ht="18.95" customHeight="1">
      <c r="A51" s="263">
        <v>7</v>
      </c>
      <c r="B51" s="218">
        <f>IF(AND('GA55 Entry'!W13=""),"",IF(AND($I$4=$AB$20),"",'GA55 Entry'!W13))</f>
        <v>500</v>
      </c>
      <c r="C51" s="176"/>
      <c r="D51" s="165"/>
      <c r="E51" s="174"/>
      <c r="F51" s="93" t="str">
        <f t="shared" si="1"/>
        <v>-</v>
      </c>
      <c r="G51" s="51"/>
      <c r="H51" s="51"/>
      <c r="I51" s="51"/>
      <c r="J51" s="51"/>
      <c r="K51" s="257"/>
      <c r="L51" s="28"/>
      <c r="M51" s="28"/>
      <c r="N51" s="28"/>
      <c r="O51" s="29"/>
      <c r="P51" s="28"/>
      <c r="Q51" s="29"/>
      <c r="R51" s="29"/>
      <c r="S51" s="28"/>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row>
    <row r="52" spans="1:79" s="1" customFormat="1" ht="18.95" customHeight="1">
      <c r="A52" s="263">
        <v>8</v>
      </c>
      <c r="B52" s="218">
        <f>IF(AND('GA55 Entry'!W14=""),"",IF(AND($I$4=$AB$20),"",'GA55 Entry'!W14))</f>
        <v>500</v>
      </c>
      <c r="C52" s="176"/>
      <c r="D52" s="165"/>
      <c r="E52" s="174"/>
      <c r="F52" s="93" t="str">
        <f t="shared" si="1"/>
        <v>-</v>
      </c>
      <c r="G52" s="51"/>
      <c r="H52" s="51"/>
      <c r="I52" s="51"/>
      <c r="J52" s="51"/>
      <c r="K52" s="257"/>
      <c r="L52" s="28"/>
      <c r="M52" s="28"/>
      <c r="N52" s="28"/>
      <c r="O52" s="29"/>
      <c r="P52" s="28"/>
      <c r="Q52" s="29"/>
      <c r="R52" s="29"/>
      <c r="S52" s="28"/>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row>
    <row r="53" spans="1:79" s="1" customFormat="1" ht="18.95" customHeight="1">
      <c r="A53" s="263">
        <v>9</v>
      </c>
      <c r="B53" s="218">
        <f>IF(AND('GA55 Entry'!W15=""),"",IF(AND($I$4=$AB$20),"",'GA55 Entry'!W15))</f>
        <v>500</v>
      </c>
      <c r="C53" s="176"/>
      <c r="D53" s="165"/>
      <c r="E53" s="174"/>
      <c r="F53" s="93" t="str">
        <f t="shared" si="1"/>
        <v>-</v>
      </c>
      <c r="G53" s="51"/>
      <c r="H53" s="51"/>
      <c r="I53" s="51"/>
      <c r="J53" s="51"/>
      <c r="K53" s="257"/>
      <c r="L53" s="28"/>
      <c r="M53" s="28"/>
      <c r="N53" s="28"/>
      <c r="O53" s="29"/>
      <c r="P53" s="28"/>
      <c r="Q53" s="29"/>
      <c r="R53" s="29"/>
      <c r="S53" s="28"/>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row>
    <row r="54" spans="1:79" s="1" customFormat="1" ht="18.95" customHeight="1">
      <c r="A54" s="263">
        <v>10</v>
      </c>
      <c r="B54" s="218">
        <f>IF(AND('GA55 Entry'!W16=""),"",IF(AND($I$4=$AB$20),"",'GA55 Entry'!W16))</f>
        <v>500</v>
      </c>
      <c r="C54" s="176"/>
      <c r="D54" s="165"/>
      <c r="E54" s="174"/>
      <c r="F54" s="93" t="str">
        <f t="shared" si="1"/>
        <v>-</v>
      </c>
      <c r="G54" s="51"/>
      <c r="H54" s="51"/>
      <c r="I54" s="51"/>
      <c r="J54" s="51"/>
      <c r="K54" s="257"/>
      <c r="L54" s="28"/>
      <c r="M54" s="28"/>
      <c r="N54" s="28"/>
      <c r="O54" s="29"/>
      <c r="P54" s="28"/>
      <c r="Q54" s="29"/>
      <c r="R54" s="29"/>
      <c r="S54" s="28"/>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row>
    <row r="55" spans="1:79" s="1" customFormat="1" ht="18.95" customHeight="1">
      <c r="A55" s="263">
        <v>11</v>
      </c>
      <c r="B55" s="218">
        <f>IF(AND('GA55 Entry'!W17=""),"",IF(AND($I$4=$AB$20),"",'GA55 Entry'!W17))</f>
        <v>500</v>
      </c>
      <c r="C55" s="176"/>
      <c r="D55" s="165"/>
      <c r="E55" s="174"/>
      <c r="F55" s="93" t="str">
        <f t="shared" si="1"/>
        <v>-</v>
      </c>
      <c r="G55" s="51"/>
      <c r="H55" s="51"/>
      <c r="I55" s="51"/>
      <c r="J55" s="51"/>
      <c r="K55" s="257"/>
      <c r="L55" s="28"/>
      <c r="M55" s="28"/>
      <c r="N55" s="28"/>
      <c r="O55" s="29"/>
      <c r="P55" s="28"/>
      <c r="Q55" s="29"/>
      <c r="R55" s="29"/>
      <c r="S55" s="28"/>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row>
    <row r="56" spans="1:79" s="1" customFormat="1" ht="18.95" customHeight="1">
      <c r="A56" s="263">
        <v>12</v>
      </c>
      <c r="B56" s="218">
        <f>IF(AND('GA55 Entry'!W18=""),"",IF(AND($I$4=$AB$20),"",'GA55 Entry'!W18))</f>
        <v>500</v>
      </c>
      <c r="C56" s="176"/>
      <c r="D56" s="165"/>
      <c r="E56" s="174"/>
      <c r="F56" s="93" t="str">
        <f t="shared" si="1"/>
        <v>-</v>
      </c>
      <c r="G56" s="51"/>
      <c r="H56" s="51"/>
      <c r="I56" s="51"/>
      <c r="J56" s="51"/>
      <c r="K56" s="257"/>
      <c r="L56" s="28"/>
      <c r="M56" s="28"/>
      <c r="N56" s="28"/>
      <c r="O56" s="29"/>
      <c r="P56" s="28"/>
      <c r="Q56" s="29"/>
      <c r="R56" s="29"/>
      <c r="S56" s="28"/>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row>
    <row r="57" spans="1:79" s="1" customFormat="1" ht="18.95" customHeight="1">
      <c r="A57" s="263">
        <v>13</v>
      </c>
      <c r="B57" s="218" t="str">
        <f>IF(AND('GA55 Entry'!W23=""),"",IF(AND($I$4=$AB$20),"",'GA55 Entry'!W23))</f>
        <v/>
      </c>
      <c r="C57" s="176"/>
      <c r="D57" s="165"/>
      <c r="E57" s="174"/>
      <c r="F57" s="93" t="str">
        <f t="shared" si="1"/>
        <v>-</v>
      </c>
      <c r="G57" s="51"/>
      <c r="H57" s="51"/>
      <c r="I57" s="51"/>
      <c r="J57" s="51"/>
      <c r="K57" s="257"/>
      <c r="L57" s="28"/>
      <c r="M57" s="28"/>
      <c r="N57" s="28"/>
      <c r="O57" s="29"/>
      <c r="P57" s="28"/>
      <c r="Q57" s="29"/>
      <c r="R57" s="29"/>
      <c r="S57" s="28"/>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row>
    <row r="58" spans="1:79" s="1" customFormat="1" ht="18.95" customHeight="1">
      <c r="A58" s="263">
        <v>14</v>
      </c>
      <c r="B58" s="218" t="str">
        <f>IF(AND('GA55 Entry'!W24=""),"",IF(AND($I$4=$AB$20),"",'GA55 Entry'!W24))</f>
        <v/>
      </c>
      <c r="C58" s="176"/>
      <c r="D58" s="165"/>
      <c r="E58" s="174"/>
      <c r="F58" s="93" t="str">
        <f t="shared" si="1"/>
        <v>-</v>
      </c>
      <c r="G58" s="51"/>
      <c r="H58" s="51"/>
      <c r="I58" s="51"/>
      <c r="J58" s="51"/>
      <c r="K58" s="257"/>
      <c r="L58" s="28"/>
      <c r="M58" s="28"/>
      <c r="N58" s="28"/>
      <c r="O58" s="29"/>
      <c r="P58" s="28"/>
      <c r="Q58" s="29"/>
      <c r="R58" s="29"/>
      <c r="S58" s="28"/>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row>
    <row r="59" spans="1:79" s="1" customFormat="1" ht="18.95" customHeight="1">
      <c r="A59" s="263">
        <v>15</v>
      </c>
      <c r="B59" s="218" t="str">
        <f>IF(AND('GA55 Entry'!W25=""),"",IF(AND($I$4=$AB$20),"",'GA55 Entry'!W25))</f>
        <v/>
      </c>
      <c r="C59" s="176"/>
      <c r="D59" s="165"/>
      <c r="E59" s="174"/>
      <c r="F59" s="93" t="str">
        <f t="shared" si="1"/>
        <v>-</v>
      </c>
      <c r="G59" s="51"/>
      <c r="H59" s="51"/>
      <c r="I59" s="51"/>
      <c r="J59" s="51"/>
      <c r="K59" s="257"/>
      <c r="L59" s="28"/>
      <c r="M59" s="28"/>
      <c r="N59" s="28"/>
      <c r="O59" s="29"/>
      <c r="P59" s="28"/>
      <c r="Q59" s="29"/>
      <c r="R59" s="29"/>
      <c r="S59" s="28"/>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row>
    <row r="60" spans="1:79" s="1" customFormat="1" ht="18.95" customHeight="1">
      <c r="A60" s="263">
        <v>16</v>
      </c>
      <c r="B60" s="404" t="str">
        <f>IF(AND('GA55 Entry'!W26=""),"",IF(AND($I$4=$AB$20),"",'GA55 Entry'!W26))</f>
        <v/>
      </c>
      <c r="C60" s="177"/>
      <c r="D60" s="173"/>
      <c r="E60" s="175"/>
      <c r="F60" s="167" t="str">
        <f t="shared" si="1"/>
        <v>-</v>
      </c>
      <c r="G60" s="51"/>
      <c r="H60" s="51"/>
      <c r="I60" s="51"/>
      <c r="J60" s="51"/>
      <c r="K60" s="257"/>
      <c r="L60" s="28"/>
      <c r="M60" s="28"/>
      <c r="N60" s="28"/>
      <c r="O60" s="29"/>
      <c r="P60" s="28"/>
      <c r="Q60" s="29"/>
      <c r="R60" s="29"/>
      <c r="S60" s="28"/>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row>
    <row r="61" spans="1:79" s="1" customFormat="1" ht="18.95" customHeight="1">
      <c r="A61" s="264" t="s">
        <v>4</v>
      </c>
      <c r="B61" s="220">
        <f>SUM(B45:B60)</f>
        <v>6000</v>
      </c>
      <c r="C61" s="170"/>
      <c r="D61" s="170"/>
      <c r="E61" s="170"/>
      <c r="F61" s="171"/>
      <c r="G61" s="51"/>
      <c r="H61" s="51"/>
      <c r="I61" s="51"/>
      <c r="J61" s="51"/>
      <c r="K61" s="257"/>
      <c r="L61" s="28"/>
      <c r="M61" s="28"/>
      <c r="N61" s="28"/>
      <c r="O61" s="29"/>
      <c r="P61" s="28"/>
      <c r="Q61" s="29"/>
      <c r="R61" s="29"/>
      <c r="S61" s="28"/>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row>
    <row r="62" spans="1:79" s="1" customFormat="1">
      <c r="A62" s="256"/>
      <c r="B62" s="49"/>
      <c r="C62" s="49"/>
      <c r="D62" s="49"/>
      <c r="E62" s="49"/>
      <c r="F62" s="51"/>
      <c r="G62" s="51"/>
      <c r="H62" s="51"/>
      <c r="I62" s="51"/>
      <c r="J62" s="51"/>
      <c r="K62" s="257"/>
      <c r="L62" s="28"/>
      <c r="M62" s="28"/>
      <c r="N62" s="28"/>
      <c r="O62" s="29"/>
      <c r="P62" s="28"/>
      <c r="Q62" s="29"/>
      <c r="R62" s="29"/>
      <c r="S62" s="28"/>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row>
    <row r="63" spans="1:79" s="1" customFormat="1">
      <c r="A63" s="256"/>
      <c r="B63" s="49"/>
      <c r="C63" s="49"/>
      <c r="D63" s="49"/>
      <c r="E63" s="49"/>
      <c r="F63" s="51"/>
      <c r="G63" s="51"/>
      <c r="H63" s="51"/>
      <c r="I63" s="51"/>
      <c r="J63" s="51"/>
      <c r="K63" s="257"/>
      <c r="L63" s="28"/>
      <c r="M63" s="28"/>
      <c r="N63" s="28"/>
      <c r="O63" s="29"/>
      <c r="P63" s="28"/>
      <c r="Q63" s="29"/>
      <c r="R63" s="29"/>
      <c r="S63" s="28"/>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row>
    <row r="64" spans="1:79" s="1" customFormat="1" ht="15.75" thickBot="1">
      <c r="A64" s="265"/>
      <c r="B64" s="266"/>
      <c r="C64" s="266"/>
      <c r="D64" s="266"/>
      <c r="E64" s="266"/>
      <c r="F64" s="267"/>
      <c r="G64" s="267"/>
      <c r="H64" s="267"/>
      <c r="I64" s="267"/>
      <c r="J64" s="267"/>
      <c r="K64" s="268"/>
      <c r="L64" s="28"/>
      <c r="M64" s="28"/>
      <c r="N64" s="28"/>
      <c r="O64" s="29"/>
      <c r="P64" s="28"/>
      <c r="Q64" s="29"/>
      <c r="R64" s="29"/>
      <c r="S64" s="28"/>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row>
    <row r="65" spans="1:79" s="1" customFormat="1" ht="15.75" thickTop="1">
      <c r="A65" s="27"/>
      <c r="B65" s="27"/>
      <c r="C65" s="27"/>
      <c r="D65" s="27"/>
      <c r="E65" s="27"/>
      <c r="F65" s="28"/>
      <c r="G65" s="28"/>
      <c r="H65" s="28"/>
      <c r="I65" s="28"/>
      <c r="J65" s="28"/>
      <c r="K65" s="28"/>
      <c r="L65" s="28"/>
      <c r="M65" s="28"/>
      <c r="N65" s="28"/>
      <c r="O65" s="29"/>
      <c r="P65" s="28"/>
      <c r="Q65" s="29"/>
      <c r="R65" s="29"/>
      <c r="S65" s="28"/>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row>
    <row r="66" spans="1:79" s="1" customFormat="1">
      <c r="A66" s="27"/>
      <c r="B66" s="27"/>
      <c r="C66" s="27"/>
      <c r="D66" s="27"/>
      <c r="E66" s="27"/>
      <c r="F66" s="28"/>
      <c r="G66" s="28"/>
      <c r="H66" s="28"/>
      <c r="I66" s="28"/>
      <c r="J66" s="28"/>
      <c r="K66" s="28"/>
      <c r="L66" s="28"/>
      <c r="M66" s="28"/>
      <c r="N66" s="28"/>
      <c r="O66" s="29"/>
      <c r="P66" s="28"/>
      <c r="Q66" s="29"/>
      <c r="R66" s="29"/>
      <c r="S66" s="28"/>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row>
    <row r="67" spans="1:79" s="1" customFormat="1" ht="14.25" hidden="1" customHeight="1">
      <c r="A67" s="27"/>
      <c r="B67" s="27"/>
      <c r="C67" s="27"/>
      <c r="D67" s="27"/>
      <c r="E67" s="27"/>
      <c r="F67" s="28"/>
      <c r="G67" s="28"/>
      <c r="H67" s="28"/>
      <c r="I67" s="28"/>
      <c r="J67" s="28"/>
      <c r="K67" s="28"/>
      <c r="L67" s="28"/>
      <c r="M67" s="28"/>
      <c r="N67" s="28"/>
      <c r="O67" s="29"/>
      <c r="P67" s="28"/>
      <c r="Q67" s="29"/>
      <c r="R67" s="29"/>
      <c r="S67" s="28"/>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row>
    <row r="68" spans="1:79" s="1" customFormat="1" hidden="1">
      <c r="A68" s="27"/>
      <c r="B68" s="27"/>
      <c r="C68" s="27"/>
      <c r="D68" s="27"/>
      <c r="E68" s="27"/>
      <c r="F68" s="28"/>
      <c r="G68" s="28"/>
      <c r="H68" s="28"/>
      <c r="I68" s="28"/>
      <c r="J68" s="28"/>
      <c r="K68" s="28"/>
      <c r="L68" s="28"/>
      <c r="M68" s="28"/>
      <c r="N68" s="28"/>
      <c r="O68" s="28"/>
      <c r="P68" s="28"/>
      <c r="Q68" s="28"/>
      <c r="R68" s="28"/>
      <c r="S68" s="28"/>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row>
    <row r="69" spans="1:79" s="1" customFormat="1" hidden="1">
      <c r="A69" s="27"/>
      <c r="B69" s="27"/>
      <c r="C69" s="27"/>
      <c r="D69" s="27"/>
      <c r="E69" s="27"/>
      <c r="F69" s="28"/>
      <c r="G69" s="28"/>
      <c r="H69" s="28"/>
      <c r="I69" s="28"/>
      <c r="J69" s="28"/>
      <c r="K69" s="28"/>
      <c r="L69" s="28"/>
      <c r="M69" s="28"/>
      <c r="N69" s="28"/>
      <c r="O69" s="28"/>
      <c r="P69" s="28"/>
      <c r="Q69" s="28"/>
      <c r="R69" s="28"/>
      <c r="S69" s="28"/>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row>
    <row r="70" spans="1:79" s="1" customFormat="1" hidden="1">
      <c r="A70" s="27"/>
      <c r="B70" s="27"/>
      <c r="C70" s="27"/>
      <c r="D70" s="27"/>
      <c r="E70" s="27"/>
      <c r="F70" s="28"/>
      <c r="G70" s="28"/>
      <c r="H70" s="28"/>
      <c r="I70" s="28"/>
      <c r="J70" s="28"/>
      <c r="K70" s="28"/>
      <c r="L70" s="28"/>
      <c r="M70" s="28"/>
      <c r="N70" s="28"/>
      <c r="O70" s="28"/>
      <c r="P70" s="28"/>
      <c r="Q70" s="28"/>
      <c r="R70" s="28"/>
      <c r="S70" s="28"/>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row>
    <row r="71" spans="1:79" s="1" customFormat="1" hidden="1">
      <c r="A71" s="27"/>
      <c r="B71" s="27"/>
      <c r="C71" s="27"/>
      <c r="D71" s="27"/>
      <c r="E71" s="27"/>
      <c r="F71" s="28"/>
      <c r="G71" s="28"/>
      <c r="H71" s="28"/>
      <c r="I71" s="28"/>
      <c r="J71" s="28"/>
      <c r="K71" s="28"/>
      <c r="L71" s="28"/>
      <c r="M71" s="28"/>
      <c r="N71" s="28"/>
      <c r="O71" s="28"/>
      <c r="P71" s="28"/>
      <c r="Q71" s="28"/>
      <c r="R71" s="28"/>
      <c r="S71" s="28"/>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row>
    <row r="72" spans="1:79" s="1" customFormat="1" hidden="1">
      <c r="A72" s="27"/>
      <c r="B72" s="27"/>
      <c r="C72" s="27"/>
      <c r="D72" s="27"/>
      <c r="E72" s="27"/>
      <c r="F72" s="28"/>
      <c r="G72" s="28"/>
      <c r="H72" s="28"/>
      <c r="I72" s="28"/>
      <c r="J72" s="28"/>
      <c r="K72" s="28"/>
      <c r="L72" s="28"/>
      <c r="M72" s="28"/>
      <c r="N72" s="28"/>
      <c r="O72" s="28"/>
      <c r="P72" s="28"/>
      <c r="Q72" s="28"/>
      <c r="R72" s="28"/>
      <c r="S72" s="28"/>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row>
    <row r="73" spans="1:79" s="1" customFormat="1" hidden="1">
      <c r="A73" s="27"/>
      <c r="B73" s="27"/>
      <c r="C73" s="27"/>
      <c r="D73" s="27"/>
      <c r="E73" s="27"/>
      <c r="F73" s="28"/>
      <c r="G73" s="28"/>
      <c r="H73" s="28"/>
      <c r="I73" s="28"/>
      <c r="J73" s="28"/>
      <c r="K73" s="28"/>
      <c r="L73" s="28"/>
      <c r="M73" s="28"/>
      <c r="N73" s="28"/>
      <c r="O73" s="28"/>
      <c r="P73" s="28"/>
      <c r="Q73" s="28"/>
      <c r="R73" s="28"/>
      <c r="S73" s="28"/>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row>
    <row r="74" spans="1:79" s="1" customFormat="1" hidden="1">
      <c r="A74" s="27"/>
      <c r="B74" s="27"/>
      <c r="C74" s="27"/>
      <c r="D74" s="27"/>
      <c r="E74" s="27"/>
      <c r="F74" s="28"/>
      <c r="G74" s="28"/>
      <c r="H74" s="28"/>
      <c r="I74" s="28"/>
      <c r="J74" s="28"/>
      <c r="K74" s="28"/>
      <c r="L74" s="28"/>
      <c r="M74" s="28"/>
      <c r="N74" s="28"/>
      <c r="O74" s="28"/>
      <c r="P74" s="28"/>
      <c r="Q74" s="28"/>
      <c r="R74" s="28"/>
      <c r="S74" s="28"/>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row>
    <row r="75" spans="1:79" s="1" customFormat="1" hidden="1">
      <c r="A75" s="27"/>
      <c r="B75" s="27"/>
      <c r="C75" s="27"/>
      <c r="D75" s="27" t="e">
        <f>IF(#REF!="","",#REF!)</f>
        <v>#REF!</v>
      </c>
      <c r="E75" s="27"/>
      <c r="F75" s="28" t="e">
        <f>IF(#REF!="","",#REF!)</f>
        <v>#REF!</v>
      </c>
      <c r="G75" s="28"/>
      <c r="H75" s="28" t="e">
        <f>IF(#REF!="","",#REF!)</f>
        <v>#REF!</v>
      </c>
      <c r="I75" s="28"/>
      <c r="J75" s="28" t="e">
        <f>IF(#REF!="","",#REF!)</f>
        <v>#REF!</v>
      </c>
      <c r="K75" s="28" t="e">
        <f>IF(#REF!="","",#REF!)</f>
        <v>#REF!</v>
      </c>
      <c r="L75" s="28" t="e">
        <f>IF(#REF!="","",#REF!)</f>
        <v>#REF!</v>
      </c>
      <c r="M75" s="28" t="e">
        <f>IF(#REF!="","",#REF!)</f>
        <v>#REF!</v>
      </c>
      <c r="N75" s="28" t="e">
        <f>IF(#REF!="","",#REF!)</f>
        <v>#REF!</v>
      </c>
      <c r="O75" s="28" t="e">
        <f>IF(#REF!="","",#REF!)</f>
        <v>#REF!</v>
      </c>
      <c r="P75" s="28" t="e">
        <f>IF(#REF!="","",#REF!)</f>
        <v>#REF!</v>
      </c>
      <c r="Q75" s="28" t="e">
        <f>IF(#REF!="","",#REF!)</f>
        <v>#REF!</v>
      </c>
      <c r="R75" s="28"/>
      <c r="S75" s="28"/>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row>
    <row r="76" spans="1:79" s="1" customFormat="1" hidden="1">
      <c r="A76" s="27"/>
      <c r="B76" s="27"/>
      <c r="C76" s="27"/>
      <c r="D76" s="27" t="e">
        <f>IF(#REF!="","",#REF!)</f>
        <v>#REF!</v>
      </c>
      <c r="E76" s="27"/>
      <c r="F76" s="28" t="e">
        <f>IF(#REF!="","",#REF!)</f>
        <v>#REF!</v>
      </c>
      <c r="G76" s="28"/>
      <c r="H76" s="28" t="e">
        <f>IF(#REF!="","",#REF!)</f>
        <v>#REF!</v>
      </c>
      <c r="I76" s="28"/>
      <c r="J76" s="28" t="e">
        <f>IF(#REF!="","",#REF!)</f>
        <v>#REF!</v>
      </c>
      <c r="K76" s="28" t="e">
        <f>IF(#REF!="","",#REF!)</f>
        <v>#REF!</v>
      </c>
      <c r="L76" s="28" t="e">
        <f>IF(#REF!="","",#REF!)</f>
        <v>#REF!</v>
      </c>
      <c r="M76" s="28" t="e">
        <f>IF(#REF!="","",#REF!)</f>
        <v>#REF!</v>
      </c>
      <c r="N76" s="28" t="e">
        <f>IF(#REF!="","",#REF!)</f>
        <v>#REF!</v>
      </c>
      <c r="O76" s="28" t="e">
        <f>IF(#REF!="","",#REF!)</f>
        <v>#REF!</v>
      </c>
      <c r="P76" s="28" t="e">
        <f>IF(#REF!="","",#REF!)</f>
        <v>#REF!</v>
      </c>
      <c r="Q76" s="28" t="e">
        <f>IF(#REF!="","",#REF!)</f>
        <v>#REF!</v>
      </c>
      <c r="R76" s="28" t="e">
        <f>IF(#REF!="","",#REF!)</f>
        <v>#REF!</v>
      </c>
      <c r="S76" s="28" t="e">
        <f>IF(#REF!="","",#REF!)</f>
        <v>#REF!</v>
      </c>
      <c r="T76" s="27" t="e">
        <f>IF(#REF!="","",#REF!)</f>
        <v>#REF!</v>
      </c>
      <c r="U76" s="27" t="e">
        <f>IF(#REF!="","",#REF!)</f>
        <v>#REF!</v>
      </c>
      <c r="V76" s="27" t="e">
        <f>IF(#REF!="","",#REF!)</f>
        <v>#REF!</v>
      </c>
      <c r="W76" s="27" t="e">
        <f>IF(#REF!="","",#REF!)</f>
        <v>#REF!</v>
      </c>
      <c r="X76" s="27" t="e">
        <f>IF(#REF!="","",#REF!)</f>
        <v>#REF!</v>
      </c>
      <c r="Y76" s="27" t="e">
        <f>IF(#REF!="","",#REF!)</f>
        <v>#REF!</v>
      </c>
      <c r="Z76" s="27" t="e">
        <f>IF(#REF!="","",#REF!)</f>
        <v>#REF!</v>
      </c>
      <c r="AA76" s="27" t="e">
        <f>IF(#REF!="","",#REF!)</f>
        <v>#REF!</v>
      </c>
      <c r="AB76" s="27" t="e">
        <f>IF(#REF!="","",#REF!)</f>
        <v>#REF!</v>
      </c>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row>
    <row r="77" spans="1:79" s="1" customFormat="1" hidden="1">
      <c r="A77" s="27"/>
      <c r="B77" s="27"/>
      <c r="C77" s="27"/>
      <c r="D77" s="27"/>
      <c r="E77" s="27"/>
      <c r="F77" s="28"/>
      <c r="G77" s="28"/>
      <c r="H77" s="28"/>
      <c r="I77" s="28"/>
      <c r="J77" s="28"/>
      <c r="K77" s="28"/>
      <c r="L77" s="28"/>
      <c r="M77" s="28"/>
      <c r="N77" s="28"/>
      <c r="O77" s="28"/>
      <c r="P77" s="28"/>
      <c r="Q77" s="28"/>
      <c r="R77" s="28"/>
      <c r="S77" s="28"/>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row>
    <row r="78" spans="1:79" s="1" customFormat="1" hidden="1">
      <c r="A78" s="27"/>
      <c r="B78" s="27"/>
      <c r="C78" s="27"/>
      <c r="D78" s="27"/>
      <c r="E78" s="27"/>
      <c r="F78" s="28"/>
      <c r="G78" s="28"/>
      <c r="H78" s="28"/>
      <c r="I78" s="28"/>
      <c r="J78" s="28"/>
      <c r="K78" s="28"/>
      <c r="L78" s="28"/>
      <c r="M78" s="28"/>
      <c r="N78" s="28"/>
      <c r="O78" s="28"/>
      <c r="P78" s="28"/>
      <c r="Q78" s="28"/>
      <c r="R78" s="28"/>
      <c r="S78" s="28"/>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row>
    <row r="79" spans="1:79" s="1" customFormat="1" hidden="1">
      <c r="A79" s="27"/>
      <c r="B79" s="27"/>
      <c r="C79" s="27"/>
      <c r="D79" s="27"/>
      <c r="E79" s="27"/>
      <c r="F79" s="28"/>
      <c r="G79" s="28"/>
      <c r="H79" s="28"/>
      <c r="I79" s="28"/>
      <c r="J79" s="28"/>
      <c r="K79" s="28"/>
      <c r="L79" s="28"/>
      <c r="M79" s="28"/>
      <c r="N79" s="28"/>
      <c r="O79" s="28"/>
      <c r="P79" s="28"/>
      <c r="Q79" s="28"/>
      <c r="R79" s="28"/>
      <c r="S79" s="28"/>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row>
    <row r="80" spans="1:79" s="1" customFormat="1" hidden="1">
      <c r="A80" s="27"/>
      <c r="B80" s="27"/>
      <c r="C80" s="27"/>
      <c r="D80" s="27"/>
      <c r="E80" s="27"/>
      <c r="F80" s="28"/>
      <c r="G80" s="28"/>
      <c r="H80" s="28"/>
      <c r="I80" s="28"/>
      <c r="J80" s="28"/>
      <c r="K80" s="28"/>
      <c r="L80" s="28"/>
      <c r="M80" s="28"/>
      <c r="N80" s="28"/>
      <c r="O80" s="28"/>
      <c r="P80" s="28"/>
      <c r="Q80" s="28"/>
      <c r="R80" s="28"/>
      <c r="S80" s="28"/>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row>
    <row r="81" spans="1:79" s="1" customFormat="1" hidden="1">
      <c r="A81" s="27"/>
      <c r="B81" s="27"/>
      <c r="C81" s="27"/>
      <c r="D81" s="27"/>
      <c r="E81" s="27"/>
      <c r="F81" s="28"/>
      <c r="G81" s="28"/>
      <c r="H81" s="28"/>
      <c r="I81" s="28"/>
      <c r="J81" s="28"/>
      <c r="K81" s="28"/>
      <c r="L81" s="28"/>
      <c r="M81" s="28"/>
      <c r="N81" s="28"/>
      <c r="O81" s="28"/>
      <c r="P81" s="28"/>
      <c r="Q81" s="28"/>
      <c r="R81" s="28"/>
      <c r="S81" s="28"/>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row>
    <row r="82" spans="1:79" s="1" customFormat="1" hidden="1">
      <c r="A82" s="27"/>
      <c r="B82" s="27"/>
      <c r="C82" s="27"/>
      <c r="D82" s="27"/>
      <c r="E82" s="27"/>
      <c r="F82" s="28"/>
      <c r="G82" s="28"/>
      <c r="H82" s="28"/>
      <c r="I82" s="28"/>
      <c r="J82" s="28"/>
      <c r="K82" s="28"/>
      <c r="L82" s="28"/>
      <c r="M82" s="28"/>
      <c r="N82" s="28"/>
      <c r="O82" s="28"/>
      <c r="P82" s="28"/>
      <c r="Q82" s="28"/>
      <c r="R82" s="28"/>
      <c r="S82" s="28"/>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row>
    <row r="83" spans="1:79" s="1" customFormat="1" hidden="1">
      <c r="A83" s="27"/>
      <c r="B83" s="27"/>
      <c r="C83" s="27"/>
      <c r="D83" s="27"/>
      <c r="E83" s="27"/>
      <c r="F83" s="28"/>
      <c r="G83" s="28"/>
      <c r="H83" s="28"/>
      <c r="I83" s="28"/>
      <c r="J83" s="28"/>
      <c r="K83" s="28"/>
      <c r="L83" s="28"/>
      <c r="M83" s="28"/>
      <c r="N83" s="28"/>
      <c r="O83" s="28"/>
      <c r="P83" s="28"/>
      <c r="Q83" s="28"/>
      <c r="R83" s="28"/>
      <c r="S83" s="28"/>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row>
    <row r="84" spans="1:79" s="1" customFormat="1" hidden="1">
      <c r="A84" s="27"/>
      <c r="B84" s="27"/>
      <c r="C84" s="27"/>
      <c r="D84" s="27"/>
      <c r="E84" s="27"/>
      <c r="F84" s="28"/>
      <c r="G84" s="28"/>
      <c r="H84" s="28"/>
      <c r="I84" s="28"/>
      <c r="J84" s="28"/>
      <c r="K84" s="28"/>
      <c r="L84" s="28"/>
      <c r="M84" s="28"/>
      <c r="N84" s="28"/>
      <c r="O84" s="28"/>
      <c r="P84" s="28"/>
      <c r="Q84" s="28"/>
      <c r="R84" s="28"/>
      <c r="S84" s="28"/>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row>
    <row r="85" spans="1:79" s="1" customFormat="1" hidden="1">
      <c r="A85" s="27"/>
      <c r="B85" s="27"/>
      <c r="C85" s="27"/>
      <c r="D85" s="27"/>
      <c r="E85" s="27"/>
      <c r="F85" s="28"/>
      <c r="G85" s="28"/>
      <c r="H85" s="28"/>
      <c r="I85" s="28"/>
      <c r="J85" s="28"/>
      <c r="K85" s="28"/>
      <c r="L85" s="28"/>
      <c r="M85" s="28"/>
      <c r="N85" s="28"/>
      <c r="O85" s="28"/>
      <c r="P85" s="28"/>
      <c r="Q85" s="28"/>
      <c r="R85" s="28"/>
      <c r="S85" s="28"/>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row>
    <row r="86" spans="1:79" s="1" customFormat="1" hidden="1">
      <c r="A86" s="27"/>
      <c r="B86" s="27"/>
      <c r="C86" s="27"/>
      <c r="D86" s="27"/>
      <c r="E86" s="27"/>
      <c r="F86" s="28"/>
      <c r="G86" s="28"/>
      <c r="H86" s="28"/>
      <c r="I86" s="28"/>
      <c r="J86" s="28"/>
      <c r="K86" s="28"/>
      <c r="L86" s="28"/>
      <c r="M86" s="28"/>
      <c r="N86" s="28"/>
      <c r="O86" s="28"/>
      <c r="P86" s="28"/>
      <c r="Q86" s="28"/>
      <c r="R86" s="28"/>
      <c r="S86" s="28"/>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row>
    <row r="87" spans="1:79" s="1" customFormat="1" hidden="1">
      <c r="A87" s="27"/>
      <c r="B87" s="27"/>
      <c r="C87" s="27"/>
      <c r="D87" s="27"/>
      <c r="E87" s="27"/>
      <c r="F87" s="28"/>
      <c r="G87" s="28"/>
      <c r="H87" s="28"/>
      <c r="I87" s="28"/>
      <c r="J87" s="28"/>
      <c r="K87" s="28"/>
      <c r="L87" s="28"/>
      <c r="M87" s="28"/>
      <c r="N87" s="28"/>
      <c r="O87" s="28"/>
      <c r="P87" s="28"/>
      <c r="Q87" s="28"/>
      <c r="R87" s="28"/>
      <c r="S87" s="28"/>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row>
    <row r="88" spans="1:79" s="1" customFormat="1" hidden="1">
      <c r="A88" s="27"/>
      <c r="B88" s="27"/>
      <c r="C88" s="27"/>
      <c r="D88" s="27"/>
      <c r="E88" s="27"/>
      <c r="F88" s="28"/>
      <c r="G88" s="28"/>
      <c r="H88" s="28"/>
      <c r="I88" s="28"/>
      <c r="J88" s="28"/>
      <c r="K88" s="28"/>
      <c r="L88" s="28"/>
      <c r="M88" s="28"/>
      <c r="N88" s="28"/>
      <c r="O88" s="28"/>
      <c r="P88" s="28"/>
      <c r="Q88" s="28"/>
      <c r="R88" s="28"/>
      <c r="S88" s="28"/>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row>
    <row r="89" spans="1:79" s="1" customFormat="1" hidden="1">
      <c r="A89" s="27"/>
      <c r="B89" s="27"/>
      <c r="C89" s="27"/>
      <c r="D89" s="27"/>
      <c r="E89" s="27"/>
      <c r="F89" s="28"/>
      <c r="G89" s="28"/>
      <c r="H89" s="28"/>
      <c r="I89" s="28"/>
      <c r="J89" s="28"/>
      <c r="K89" s="28"/>
      <c r="L89" s="28"/>
      <c r="M89" s="28"/>
      <c r="N89" s="28"/>
      <c r="O89" s="28"/>
      <c r="P89" s="28"/>
      <c r="Q89" s="28"/>
      <c r="R89" s="28"/>
      <c r="S89" s="28"/>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row>
    <row r="90" spans="1:79" s="1" customFormat="1" hidden="1">
      <c r="A90" s="27"/>
      <c r="B90" s="27"/>
      <c r="C90" s="27"/>
      <c r="D90" s="27"/>
      <c r="E90" s="27"/>
      <c r="F90" s="28"/>
      <c r="G90" s="28"/>
      <c r="H90" s="28"/>
      <c r="I90" s="28"/>
      <c r="J90" s="28"/>
      <c r="K90" s="28"/>
      <c r="L90" s="28"/>
      <c r="M90" s="28"/>
      <c r="N90" s="28"/>
      <c r="O90" s="28"/>
      <c r="P90" s="28"/>
      <c r="Q90" s="28"/>
      <c r="R90" s="28"/>
      <c r="S90" s="28"/>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row>
    <row r="91" spans="1:79" s="1" customFormat="1" hidden="1">
      <c r="A91" s="27"/>
      <c r="B91" s="27"/>
      <c r="C91" s="27"/>
      <c r="D91" s="27"/>
      <c r="E91" s="27"/>
      <c r="F91" s="28"/>
      <c r="G91" s="28"/>
      <c r="H91" s="28"/>
      <c r="I91" s="28"/>
      <c r="J91" s="28"/>
      <c r="K91" s="28"/>
      <c r="L91" s="28"/>
      <c r="M91" s="28"/>
      <c r="N91" s="28"/>
      <c r="O91" s="28"/>
      <c r="P91" s="28"/>
      <c r="Q91" s="28"/>
      <c r="R91" s="28"/>
      <c r="S91" s="28"/>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row>
    <row r="92" spans="1:79" s="1" customFormat="1" hidden="1">
      <c r="A92" s="27"/>
      <c r="B92" s="27"/>
      <c r="C92" s="27"/>
      <c r="D92" s="27"/>
      <c r="E92" s="27"/>
      <c r="F92" s="28"/>
      <c r="G92" s="28"/>
      <c r="H92" s="28"/>
      <c r="I92" s="28"/>
      <c r="J92" s="28"/>
      <c r="K92" s="28"/>
      <c r="L92" s="28"/>
      <c r="M92" s="28"/>
      <c r="N92" s="28"/>
      <c r="O92" s="28"/>
      <c r="P92" s="28"/>
      <c r="Q92" s="28"/>
      <c r="R92" s="28"/>
      <c r="S92" s="28"/>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row>
    <row r="93" spans="1:79" s="1" customFormat="1" hidden="1">
      <c r="A93" s="27"/>
      <c r="B93" s="27"/>
      <c r="C93" s="27"/>
      <c r="D93" s="27"/>
      <c r="E93" s="27"/>
      <c r="F93" s="28"/>
      <c r="G93" s="28"/>
      <c r="H93" s="28"/>
      <c r="I93" s="28"/>
      <c r="J93" s="28"/>
      <c r="K93" s="28"/>
      <c r="L93" s="28"/>
      <c r="M93" s="28"/>
      <c r="N93" s="28"/>
      <c r="O93" s="28"/>
      <c r="P93" s="28"/>
      <c r="Q93" s="28"/>
      <c r="R93" s="28"/>
      <c r="S93" s="28"/>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row>
    <row r="94" spans="1:79" s="1" customFormat="1" hidden="1">
      <c r="A94" s="27"/>
      <c r="B94" s="27"/>
      <c r="C94" s="27"/>
      <c r="D94" s="27"/>
      <c r="E94" s="27"/>
      <c r="F94" s="28"/>
      <c r="G94" s="28"/>
      <c r="H94" s="28"/>
      <c r="I94" s="28"/>
      <c r="J94" s="28"/>
      <c r="K94" s="28"/>
      <c r="L94" s="28"/>
      <c r="M94" s="28"/>
      <c r="N94" s="28"/>
      <c r="O94" s="28"/>
      <c r="P94" s="28"/>
      <c r="Q94" s="28"/>
      <c r="R94" s="28"/>
      <c r="S94" s="28"/>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row>
    <row r="95" spans="1:79" s="1" customFormat="1" hidden="1">
      <c r="A95" s="27"/>
      <c r="B95" s="27"/>
      <c r="C95" s="27"/>
      <c r="D95" s="27"/>
      <c r="E95" s="27"/>
      <c r="F95" s="28"/>
      <c r="G95" s="28"/>
      <c r="H95" s="28"/>
      <c r="I95" s="28"/>
      <c r="J95" s="28"/>
      <c r="K95" s="28"/>
      <c r="L95" s="28"/>
      <c r="M95" s="28"/>
      <c r="N95" s="28"/>
      <c r="O95" s="28"/>
      <c r="P95" s="28"/>
      <c r="Q95" s="28"/>
      <c r="R95" s="28"/>
      <c r="S95" s="28"/>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row>
    <row r="96" spans="1:79" s="1" customFormat="1" hidden="1">
      <c r="A96" s="27"/>
      <c r="B96" s="27"/>
      <c r="C96" s="27"/>
      <c r="D96" s="27"/>
      <c r="E96" s="27"/>
      <c r="F96" s="28"/>
      <c r="G96" s="28"/>
      <c r="H96" s="28"/>
      <c r="I96" s="28"/>
      <c r="J96" s="28"/>
      <c r="K96" s="28"/>
      <c r="L96" s="28"/>
      <c r="M96" s="28"/>
      <c r="N96" s="28"/>
      <c r="O96" s="28"/>
      <c r="P96" s="28"/>
      <c r="Q96" s="28"/>
      <c r="R96" s="28"/>
      <c r="S96" s="28"/>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row>
    <row r="97" spans="1:79" s="1" customFormat="1" hidden="1">
      <c r="A97" s="27"/>
      <c r="B97" s="27"/>
      <c r="C97" s="27"/>
      <c r="D97" s="27"/>
      <c r="E97" s="27"/>
      <c r="F97" s="28"/>
      <c r="G97" s="28"/>
      <c r="H97" s="28"/>
      <c r="I97" s="28"/>
      <c r="J97" s="28"/>
      <c r="K97" s="28"/>
      <c r="L97" s="28"/>
      <c r="M97" s="28"/>
      <c r="N97" s="28"/>
      <c r="O97" s="28"/>
      <c r="P97" s="28"/>
      <c r="Q97" s="28"/>
      <c r="R97" s="28"/>
      <c r="S97" s="28"/>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row>
    <row r="98" spans="1:79" s="1" customFormat="1" hidden="1">
      <c r="A98" s="27"/>
      <c r="B98" s="27"/>
      <c r="C98" s="27"/>
      <c r="D98" s="27"/>
      <c r="E98" s="27"/>
      <c r="F98" s="28"/>
      <c r="G98" s="28"/>
      <c r="H98" s="28"/>
      <c r="I98" s="28"/>
      <c r="J98" s="28"/>
      <c r="K98" s="28"/>
      <c r="L98" s="28"/>
      <c r="M98" s="28"/>
      <c r="N98" s="28"/>
      <c r="O98" s="28"/>
      <c r="P98" s="28"/>
      <c r="Q98" s="28"/>
      <c r="R98" s="28"/>
      <c r="S98" s="28"/>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row>
    <row r="99" spans="1:79" s="1" customFormat="1" hidden="1">
      <c r="A99" s="27"/>
      <c r="B99" s="27"/>
      <c r="C99" s="27"/>
      <c r="D99" s="27"/>
      <c r="E99" s="27"/>
      <c r="F99" s="28"/>
      <c r="G99" s="28"/>
      <c r="H99" s="28"/>
      <c r="I99" s="28"/>
      <c r="J99" s="28"/>
      <c r="K99" s="28"/>
      <c r="L99" s="28"/>
      <c r="M99" s="28"/>
      <c r="N99" s="28"/>
      <c r="O99" s="28"/>
      <c r="P99" s="28"/>
      <c r="Q99" s="28"/>
      <c r="R99" s="28"/>
      <c r="S99" s="28"/>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row>
    <row r="100" spans="1:79" s="1" customFormat="1" hidden="1">
      <c r="A100" s="27"/>
      <c r="B100" s="27"/>
      <c r="C100" s="27"/>
      <c r="D100" s="27"/>
      <c r="E100" s="27"/>
      <c r="F100" s="28"/>
      <c r="G100" s="28"/>
      <c r="H100" s="28"/>
      <c r="I100" s="28"/>
      <c r="J100" s="28"/>
      <c r="K100" s="28"/>
      <c r="L100" s="28"/>
      <c r="M100" s="28"/>
      <c r="N100" s="28"/>
      <c r="O100" s="28"/>
      <c r="P100" s="28"/>
      <c r="Q100" s="28"/>
      <c r="R100" s="28"/>
      <c r="S100" s="28"/>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row>
  </sheetData>
  <sheetProtection password="C1FB" sheet="1" objects="1" scenarios="1" formatCells="0" formatColumns="0" formatRows="0" selectLockedCells="1" autoFilter="0" pivotTables="0"/>
  <customSheetViews>
    <customSheetView guid="{8E92581F-007A-4A12-99AF-FBD8FA5F0BC8}" scale="90" printArea="1" hiddenRows="1" hiddenColumns="1">
      <selection activeCell="K13" sqref="K13"/>
      <pageMargins left="0.7" right="0.7" top="0.75" bottom="0.75" header="0.3" footer="0.3"/>
      <pageSetup paperSize="5" scale="80" orientation="landscape" verticalDpi="300" r:id="rId1"/>
    </customSheetView>
  </customSheetViews>
  <mergeCells count="70">
    <mergeCell ref="M31:N32"/>
    <mergeCell ref="M33:N34"/>
    <mergeCell ref="M35:N36"/>
    <mergeCell ref="M37:N38"/>
    <mergeCell ref="M39:N40"/>
    <mergeCell ref="H10:I10"/>
    <mergeCell ref="D8:I8"/>
    <mergeCell ref="H9:I9"/>
    <mergeCell ref="F9:G9"/>
    <mergeCell ref="F10:G10"/>
    <mergeCell ref="D9:E9"/>
    <mergeCell ref="D10:E10"/>
    <mergeCell ref="C1:H1"/>
    <mergeCell ref="F2:H2"/>
    <mergeCell ref="B3:D3"/>
    <mergeCell ref="B8:C8"/>
    <mergeCell ref="B9:C9"/>
    <mergeCell ref="F6:H6"/>
    <mergeCell ref="M29:N30"/>
    <mergeCell ref="F19:G19"/>
    <mergeCell ref="F11:G11"/>
    <mergeCell ref="F12:G12"/>
    <mergeCell ref="F13:G13"/>
    <mergeCell ref="H15:I15"/>
    <mergeCell ref="H16:I16"/>
    <mergeCell ref="H17:I17"/>
    <mergeCell ref="H11:I11"/>
    <mergeCell ref="L11:N11"/>
    <mergeCell ref="H19:I19"/>
    <mergeCell ref="F17:G17"/>
    <mergeCell ref="F18:G18"/>
    <mergeCell ref="F14:G14"/>
    <mergeCell ref="F15:G15"/>
    <mergeCell ref="H12:I12"/>
    <mergeCell ref="H13:I13"/>
    <mergeCell ref="H14:I14"/>
    <mergeCell ref="B19:C19"/>
    <mergeCell ref="B18:C18"/>
    <mergeCell ref="B16:C16"/>
    <mergeCell ref="B14:C14"/>
    <mergeCell ref="B15:C15"/>
    <mergeCell ref="B17:C17"/>
    <mergeCell ref="H18:I18"/>
    <mergeCell ref="D19:E19"/>
    <mergeCell ref="F16:G16"/>
    <mergeCell ref="D14:E14"/>
    <mergeCell ref="D15:E15"/>
    <mergeCell ref="D16:E16"/>
    <mergeCell ref="D17:E17"/>
    <mergeCell ref="D18:E18"/>
    <mergeCell ref="A43:A44"/>
    <mergeCell ref="B43:B44"/>
    <mergeCell ref="C43:F43"/>
    <mergeCell ref="A22:D22"/>
    <mergeCell ref="E22:F22"/>
    <mergeCell ref="A23:A24"/>
    <mergeCell ref="B23:B24"/>
    <mergeCell ref="C23:F23"/>
    <mergeCell ref="D12:E12"/>
    <mergeCell ref="D13:E13"/>
    <mergeCell ref="B2:C2"/>
    <mergeCell ref="F3:G3"/>
    <mergeCell ref="F4:G4"/>
    <mergeCell ref="F5:G5"/>
    <mergeCell ref="B6:C6"/>
    <mergeCell ref="B5:D5"/>
    <mergeCell ref="B12:C12"/>
    <mergeCell ref="B13:C13"/>
    <mergeCell ref="B11:C11"/>
    <mergeCell ref="D11:E11"/>
  </mergeCells>
  <dataValidations count="6">
    <dataValidation type="list" allowBlank="1" showInputMessage="1" showErrorMessage="1" sqref="E22:F22">
      <formula1>$BJ$1:$BJ$2</formula1>
    </dataValidation>
    <dataValidation type="list" allowBlank="1" showInputMessage="1" showErrorMessage="1" sqref="I4">
      <formula1>$AB$19:$AB$21</formula1>
    </dataValidation>
    <dataValidation type="list" allowBlank="1" showInputMessage="1" showErrorMessage="1" sqref="E5">
      <formula1>$AE$2:$AE$8</formula1>
    </dataValidation>
    <dataValidation type="list" allowBlank="1" showInputMessage="1" showErrorMessage="1" sqref="I2">
      <formula1>$AC$5:$AC$18</formula1>
    </dataValidation>
    <dataValidation type="list" allowBlank="1" showInputMessage="1" showErrorMessage="1" sqref="E3">
      <formula1>$AB$22:$AB$25</formula1>
    </dataValidation>
    <dataValidation type="list" allowBlank="1" showInputMessage="1" showErrorMessage="1" sqref="I6">
      <formula1>$AD$10:$AD$15</formula1>
    </dataValidation>
  </dataValidations>
  <hyperlinks>
    <hyperlink ref="M39" r:id="rId2"/>
  </hyperlinks>
  <pageMargins left="0.7" right="0.7" top="0.75" bottom="0.75" header="0.3" footer="0.3"/>
  <pageSetup paperSize="5" scale="80" orientation="landscape" verticalDpi="300" r:id="rId3"/>
  <customProperties>
    <customPr name="DVSECTIONID" r:id="rId4"/>
  </customProperties>
  <drawing r:id="rId5"/>
  <legacyDrawing r:id="rId6"/>
</worksheet>
</file>

<file path=xl/worksheets/sheet3.xml><?xml version="1.0" encoding="utf-8"?>
<worksheet xmlns="http://schemas.openxmlformats.org/spreadsheetml/2006/main" xmlns:r="http://schemas.openxmlformats.org/officeDocument/2006/relationships">
  <sheetPr codeName="Sheet21">
    <tabColor rgb="FF00B050"/>
  </sheetPr>
  <dimension ref="A1:XFA1066"/>
  <sheetViews>
    <sheetView topLeftCell="B1" zoomScaleSheetLayoutView="88" workbookViewId="0">
      <pane xSplit="12" ySplit="6" topLeftCell="N7" activePane="bottomRight" state="frozen"/>
      <selection activeCell="B1" sqref="B1"/>
      <selection pane="topRight" activeCell="N1" sqref="N1"/>
      <selection pane="bottomLeft" activeCell="B7" sqref="B7"/>
      <selection pane="bottomRight" activeCell="S25" sqref="S25"/>
    </sheetView>
  </sheetViews>
  <sheetFormatPr defaultColWidth="0" defaultRowHeight="15" zeroHeight="1"/>
  <cols>
    <col min="1" max="1" width="6.42578125" style="4" hidden="1" customWidth="1"/>
    <col min="2" max="2" width="4.85546875" style="39" customWidth="1"/>
    <col min="3" max="3" width="20.42578125" style="41" customWidth="1"/>
    <col min="4" max="4" width="10.7109375" style="3" customWidth="1"/>
    <col min="5" max="5" width="8.42578125" style="3" customWidth="1"/>
    <col min="6" max="6" width="8" style="3" customWidth="1"/>
    <col min="7" max="12" width="7.5703125" style="3" customWidth="1"/>
    <col min="13" max="13" width="13" style="3" customWidth="1"/>
    <col min="14" max="19" width="7.7109375" style="3" customWidth="1"/>
    <col min="20" max="20" width="7.5703125" style="3" customWidth="1"/>
    <col min="21" max="21" width="8.28515625" style="3" customWidth="1"/>
    <col min="22" max="23" width="7.85546875" style="3" customWidth="1"/>
    <col min="24" max="24" width="7" style="3" customWidth="1"/>
    <col min="25" max="25" width="7.42578125" style="3" customWidth="1"/>
    <col min="26" max="26" width="11.140625" style="3" customWidth="1"/>
    <col min="27" max="27" width="13" style="3" customWidth="1"/>
    <col min="28" max="28" width="9.140625" style="3" customWidth="1"/>
    <col min="29" max="29" width="11.5703125" style="3" customWidth="1"/>
    <col min="30" max="30" width="13.140625" style="1" customWidth="1"/>
    <col min="31" max="68" width="6.7109375" style="1" hidden="1"/>
    <col min="69" max="118" width="0.85546875" style="1" hidden="1"/>
    <col min="119" max="125" width="0.140625" style="1" hidden="1"/>
    <col min="126" max="126" width="5.42578125" style="1" hidden="1"/>
    <col min="127" max="186" width="0.140625" style="1" hidden="1"/>
    <col min="187" max="5379" width="0.140625" style="4" hidden="1"/>
    <col min="5380" max="16381" width="9.140625" style="4" hidden="1"/>
    <col min="16382" max="16384" width="0.140625" style="4" hidden="1"/>
  </cols>
  <sheetData>
    <row r="1" spans="1:186" s="18" customFormat="1" ht="33.75" customHeight="1">
      <c r="B1" s="525" t="s">
        <v>361</v>
      </c>
      <c r="C1" s="525"/>
      <c r="D1" s="525"/>
      <c r="E1" s="530" t="str">
        <f>UPPER(IF(Master!D9="","",Master!D9))</f>
        <v>HEERA LAL JAT</v>
      </c>
      <c r="F1" s="530"/>
      <c r="G1" s="530"/>
      <c r="H1" s="530"/>
      <c r="I1" s="360"/>
      <c r="J1" s="21"/>
      <c r="K1" s="21"/>
      <c r="L1" s="360"/>
      <c r="M1" s="21"/>
      <c r="N1" s="21"/>
      <c r="O1" s="21"/>
      <c r="P1" s="21"/>
      <c r="Q1" s="21"/>
      <c r="R1" s="21"/>
      <c r="S1" s="21"/>
      <c r="T1" s="21"/>
      <c r="U1" s="21"/>
      <c r="V1" s="21"/>
      <c r="W1" s="21"/>
      <c r="X1" s="21"/>
      <c r="Y1" s="21"/>
      <c r="Z1" s="21"/>
      <c r="AA1" s="21"/>
      <c r="AB1" s="21"/>
      <c r="AC1" s="21"/>
    </row>
    <row r="2" spans="1:186" ht="31.5" customHeight="1">
      <c r="B2" s="526" t="s">
        <v>494</v>
      </c>
      <c r="C2" s="526"/>
      <c r="D2" s="527"/>
      <c r="E2" s="531">
        <v>47900</v>
      </c>
      <c r="F2" s="531"/>
      <c r="G2" s="421"/>
      <c r="H2" s="355"/>
      <c r="I2" s="355"/>
      <c r="J2" s="21"/>
      <c r="K2" s="21"/>
      <c r="L2" s="21"/>
      <c r="M2" s="21"/>
      <c r="N2" s="21"/>
      <c r="O2" s="21"/>
      <c r="P2" s="21"/>
      <c r="Q2" s="21"/>
      <c r="R2" s="21"/>
      <c r="S2" s="21"/>
      <c r="T2" s="21"/>
      <c r="U2" s="21"/>
      <c r="V2" s="21"/>
      <c r="W2" s="21"/>
      <c r="X2" s="21"/>
      <c r="Y2" s="21"/>
      <c r="Z2" s="21"/>
      <c r="AA2" s="21"/>
      <c r="AB2" s="21"/>
      <c r="AC2" s="21"/>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row>
    <row r="3" spans="1:186" s="18" customFormat="1" ht="33" customHeight="1">
      <c r="B3" s="528" t="s">
        <v>502</v>
      </c>
      <c r="C3" s="528"/>
      <c r="D3" s="529"/>
      <c r="E3" s="518">
        <v>43525</v>
      </c>
      <c r="F3" s="518"/>
      <c r="G3" s="528" t="s">
        <v>501</v>
      </c>
      <c r="H3" s="528"/>
      <c r="I3" s="529"/>
      <c r="J3" s="518">
        <v>43862</v>
      </c>
      <c r="K3" s="518"/>
      <c r="L3" s="519" t="s">
        <v>495</v>
      </c>
      <c r="M3" s="519"/>
      <c r="N3" s="519"/>
      <c r="O3" s="519"/>
      <c r="P3" s="519"/>
      <c r="Q3" s="519"/>
      <c r="R3" s="519"/>
      <c r="S3" s="519"/>
      <c r="T3" s="519"/>
      <c r="U3" s="519"/>
      <c r="V3" s="21"/>
      <c r="W3" s="21"/>
      <c r="X3" s="21"/>
      <c r="Y3" s="21"/>
      <c r="Z3" s="21"/>
      <c r="AA3" s="21"/>
      <c r="AB3" s="21"/>
      <c r="AC3" s="21"/>
    </row>
    <row r="4" spans="1:186" s="14" customFormat="1" ht="17.25" customHeight="1" thickBot="1">
      <c r="A4" s="16"/>
      <c r="B4" s="37"/>
      <c r="C4" s="25">
        <v>2</v>
      </c>
      <c r="D4" s="25">
        <v>3</v>
      </c>
      <c r="E4" s="25">
        <v>4</v>
      </c>
      <c r="F4" s="25">
        <v>5</v>
      </c>
      <c r="G4" s="25">
        <v>6</v>
      </c>
      <c r="H4" s="25">
        <v>7</v>
      </c>
      <c r="I4" s="25">
        <v>8</v>
      </c>
      <c r="J4" s="25">
        <v>9</v>
      </c>
      <c r="K4" s="25">
        <v>10</v>
      </c>
      <c r="L4" s="25">
        <v>11</v>
      </c>
      <c r="M4" s="25">
        <v>12</v>
      </c>
      <c r="N4" s="25">
        <v>13</v>
      </c>
      <c r="O4" s="25">
        <v>14</v>
      </c>
      <c r="P4" s="25">
        <v>15</v>
      </c>
      <c r="Q4" s="25">
        <v>16</v>
      </c>
      <c r="R4" s="25">
        <v>17</v>
      </c>
      <c r="S4" s="25">
        <v>18</v>
      </c>
      <c r="T4" s="25">
        <v>19</v>
      </c>
      <c r="U4" s="25">
        <v>20</v>
      </c>
      <c r="V4" s="25">
        <v>21</v>
      </c>
      <c r="W4" s="25">
        <v>22</v>
      </c>
      <c r="X4" s="25">
        <v>23</v>
      </c>
      <c r="Y4" s="25">
        <v>24</v>
      </c>
      <c r="Z4" s="25">
        <v>25</v>
      </c>
      <c r="AA4" s="25">
        <v>26</v>
      </c>
      <c r="AB4" s="25">
        <v>27</v>
      </c>
      <c r="AC4" s="25">
        <v>28</v>
      </c>
      <c r="AD4" s="16"/>
      <c r="AE4" s="520"/>
      <c r="AF4" s="520"/>
      <c r="AG4" s="520"/>
      <c r="AH4" s="520"/>
      <c r="AI4" s="520"/>
      <c r="AJ4" s="520"/>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row>
    <row r="5" spans="1:186" s="11" customFormat="1" ht="58.5" customHeight="1">
      <c r="A5" s="17"/>
      <c r="B5" s="532" t="s">
        <v>148</v>
      </c>
      <c r="C5" s="516" t="s">
        <v>0</v>
      </c>
      <c r="D5" s="523" t="s">
        <v>147</v>
      </c>
      <c r="E5" s="516" t="s">
        <v>2</v>
      </c>
      <c r="F5" s="516" t="s">
        <v>3</v>
      </c>
      <c r="G5" s="422" t="s">
        <v>149</v>
      </c>
      <c r="H5" s="422" t="s">
        <v>150</v>
      </c>
      <c r="I5" s="516" t="s">
        <v>11</v>
      </c>
      <c r="J5" s="422" t="s">
        <v>202</v>
      </c>
      <c r="K5" s="516" t="s">
        <v>360</v>
      </c>
      <c r="L5" s="207" t="s">
        <v>451</v>
      </c>
      <c r="M5" s="516" t="s">
        <v>4</v>
      </c>
      <c r="N5" s="206" t="s">
        <v>7</v>
      </c>
      <c r="O5" s="206" t="s">
        <v>6</v>
      </c>
      <c r="P5" s="523" t="s">
        <v>8</v>
      </c>
      <c r="Q5" s="516" t="s">
        <v>61</v>
      </c>
      <c r="R5" s="516" t="s">
        <v>360</v>
      </c>
      <c r="S5" s="206" t="s">
        <v>14</v>
      </c>
      <c r="T5" s="208" t="s">
        <v>67</v>
      </c>
      <c r="U5" s="208" t="s">
        <v>66</v>
      </c>
      <c r="V5" s="208" t="s">
        <v>497</v>
      </c>
      <c r="W5" s="206" t="s">
        <v>15</v>
      </c>
      <c r="X5" s="209" t="s">
        <v>204</v>
      </c>
      <c r="Y5" s="208" t="s">
        <v>203</v>
      </c>
      <c r="Z5" s="516" t="s">
        <v>59</v>
      </c>
      <c r="AA5" s="516" t="s">
        <v>12</v>
      </c>
      <c r="AB5" s="516" t="s">
        <v>9</v>
      </c>
      <c r="AC5" s="521" t="s">
        <v>69</v>
      </c>
      <c r="AD5" s="17"/>
      <c r="AE5" s="520"/>
      <c r="AF5" s="520"/>
      <c r="AG5" s="520"/>
      <c r="AH5" s="520"/>
      <c r="AI5" s="520"/>
      <c r="AJ5" s="520"/>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row>
    <row r="6" spans="1:186" ht="20.25" customHeight="1">
      <c r="A6" s="27"/>
      <c r="B6" s="533"/>
      <c r="C6" s="517"/>
      <c r="D6" s="524"/>
      <c r="E6" s="517"/>
      <c r="F6" s="517"/>
      <c r="G6" s="56"/>
      <c r="H6" s="444" t="str">
        <f>IF(AND(Master!E4=0),"",IF(AND(Master!I$4=Master!AB$20),"",Master!E4))</f>
        <v/>
      </c>
      <c r="I6" s="517"/>
      <c r="J6" s="444" t="str">
        <f>IF(AND(E2=""),"",IF(AND(Master!E6=Master!AB3),"",IF(AND(Master!E6=""),"",IF(AND(Master!I6=Master!AD10),AW10,IF(AND(Master!I6=Master!AD11),AX10,IF(AND(Master!I6=Master!AD12),AX10,IF(AND(Master!I6=Master!AD13),AX10,IF(AND(Master!I6=Master!AD14),AX10,""))))))))</f>
        <v/>
      </c>
      <c r="K6" s="517"/>
      <c r="L6" s="56"/>
      <c r="M6" s="517"/>
      <c r="N6" s="66">
        <v>4000</v>
      </c>
      <c r="O6" s="66">
        <v>3575</v>
      </c>
      <c r="P6" s="524"/>
      <c r="Q6" s="517"/>
      <c r="R6" s="517"/>
      <c r="S6" s="398">
        <v>2158</v>
      </c>
      <c r="T6" s="398"/>
      <c r="U6" s="398"/>
      <c r="V6" s="398"/>
      <c r="W6" s="216">
        <v>500</v>
      </c>
      <c r="X6" s="399">
        <v>220</v>
      </c>
      <c r="Y6" s="398"/>
      <c r="Z6" s="517"/>
      <c r="AA6" s="517"/>
      <c r="AB6" s="517"/>
      <c r="AC6" s="522"/>
      <c r="AD6" s="18"/>
      <c r="AE6" s="520"/>
      <c r="AF6" s="520"/>
      <c r="AG6" s="520"/>
      <c r="AH6" s="520"/>
      <c r="AI6" s="520"/>
      <c r="AJ6" s="520"/>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row>
    <row r="7" spans="1:186" ht="16.5" customHeight="1">
      <c r="A7" s="27" t="s">
        <v>237</v>
      </c>
      <c r="B7" s="210">
        <v>1</v>
      </c>
      <c r="C7" s="433">
        <f>IF(AND(AP12=""),"",AL12)</f>
        <v>43525</v>
      </c>
      <c r="D7" s="234">
        <f>IF(AND(C7=""),"",AP12)</f>
        <v>47900</v>
      </c>
      <c r="E7" s="64">
        <f>IF(AND(Master!I$4=Master!AB$20),"",IF(AND(D7=""),"",ROUND(12%*D7,0)))</f>
        <v>5748</v>
      </c>
      <c r="F7" s="58">
        <f>IF(AND(Master!I$4=Master!AB$20),"",IF(AND(D7=""),"",ROUND(Master!$E$5%*D7,0)))</f>
        <v>3832</v>
      </c>
      <c r="G7" s="64" t="str">
        <f>IF(AND(C7=""),"",IF(AND($G$6=""),"",$G$6))</f>
        <v/>
      </c>
      <c r="H7" s="64" t="str">
        <f>IF(AND(C7=""),"",IF(AND($H$6=""),"",$H$6))</f>
        <v/>
      </c>
      <c r="I7" s="197"/>
      <c r="J7" s="64" t="str">
        <f>IF(AND(C7=""),"",IF(AND($J$6=""),"",IF(AND(Master!$I$4=Master!$AB$20),"",$J$6)))</f>
        <v/>
      </c>
      <c r="K7" s="224">
        <f>IF(AND(Master!I$4=Master!AB$20),ROUND((D7)*0.1,0),IF(AND(Master!I$5=Master!AC$3),ROUND((D7+E7)*0.1,0),""))</f>
        <v>5365</v>
      </c>
      <c r="L7" s="64" t="str">
        <f>IF(AND(C7=""),"",IF(AND($L$6=""),"",IF(AND(Master!$I$4=Master!$AB$20),"",$L$6)))</f>
        <v/>
      </c>
      <c r="M7" s="60">
        <f>IF(AND(C7=""),"",SUM(D7,E7,F7,G7,H7,J7,K7,L7))</f>
        <v>62845</v>
      </c>
      <c r="N7" s="64">
        <f>IF(AND(C7=""),"",IF(AND(Master!I$4=Master!AB$20),"",$N$6))</f>
        <v>4000</v>
      </c>
      <c r="O7" s="64" t="str">
        <f>IF(AND(C7=""),"",IF(AND(Master!I$4=Master!AB$20),"",IF(AND(Master!I$5=Master!AC$2),$O$6,"")))</f>
        <v/>
      </c>
      <c r="P7" s="224" t="str">
        <f>IF(AND(C7=""),"",IF(AND(Master!I$4=Master!AB$20),"",IF(AND(Master!I$5=Master!AC$3),"",IF(D7&lt;18001,228,IF(D7&lt;33501,379,IF(D7&lt;54001,568,755))))))</f>
        <v/>
      </c>
      <c r="Q7" s="224">
        <f>IF(AND(Master!I$4=Master!AB$20),ROUND((D7)*0.1,0),IF(AND(Master!I$5=Master!AC$3),ROUND((D7+E7)*0.1,0),""))</f>
        <v>5365</v>
      </c>
      <c r="R7" s="224">
        <f>IF(AND(Master!I$4=Master!AB$20),ROUND((D7)*0.1,0),IF(AND(Master!I$5=Master!AC$3),ROUND((D7+E7)*0.1,0),""))</f>
        <v>5365</v>
      </c>
      <c r="S7" s="64">
        <f>IF(AND(C7=""),"",IF(AND($S$6=""),"",IF(AND(Master!$I$4=Master!$AB$20),"",$S$6)))</f>
        <v>2158</v>
      </c>
      <c r="T7" s="64" t="str">
        <f>IF(AND(C7=""),"",IF(AND($T$6=""),"",IF(AND(Master!$I$4=Master!$AB$20),"",$T$6)))</f>
        <v/>
      </c>
      <c r="U7" s="64" t="str">
        <f>IF(AND(C7=""),"",IF(AND($U$6=""),"",IF(AND(Master!$I$4=Master!$AB$20),"",$U$6)))</f>
        <v/>
      </c>
      <c r="V7" s="64" t="str">
        <f>IF(AND(C7=""),"",IF(AND($V$6=""),"",IF(AND(Master!$I$4=Master!$AB$20),"",$V$6)))</f>
        <v/>
      </c>
      <c r="W7" s="64">
        <f>IF(AND(C7=""),"",IF(AND($W$6=""),"",$W$6))</f>
        <v>500</v>
      </c>
      <c r="X7" s="361"/>
      <c r="Y7" s="64" t="str">
        <f>IF(AND(C7=""),"",IF(AND($Y$6=""),"",$Y$6))</f>
        <v/>
      </c>
      <c r="Z7" s="31">
        <f>IF(AND($E$2=""),"",IF(AND(C7=""),"",SUM(N7:Y7)))</f>
        <v>17388</v>
      </c>
      <c r="AA7" s="30">
        <f>IF(AND($E$2=""),"",IF(AND(C7=""),"",IF(AND(M7="",Z7=""),"",SUM(M7-Z7))))</f>
        <v>45457</v>
      </c>
      <c r="AB7" s="8"/>
      <c r="AC7" s="211"/>
      <c r="AD7" s="18"/>
      <c r="AE7" s="231"/>
      <c r="AF7" s="231"/>
      <c r="AG7" s="231"/>
      <c r="AH7" s="231"/>
      <c r="AI7" s="231"/>
      <c r="AJ7" s="231"/>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row>
    <row r="8" spans="1:186" ht="16.5" customHeight="1">
      <c r="A8" s="49" t="s">
        <v>238</v>
      </c>
      <c r="B8" s="210">
        <v>2</v>
      </c>
      <c r="C8" s="433">
        <f t="shared" ref="C8:C18" si="0">IF(AND(AP13=""),"",AL13)</f>
        <v>43556</v>
      </c>
      <c r="D8" s="234">
        <f t="shared" ref="D8:D18" si="1">IF(AND(C8=""),"",AP13)</f>
        <v>47900</v>
      </c>
      <c r="E8" s="64">
        <f>IF(AND(Master!I$4=Master!AB$20),"",IF(AND(D8=""),"",ROUND(12%*D8,0)))</f>
        <v>5748</v>
      </c>
      <c r="F8" s="58">
        <f>IF(AND(Master!I$4=Master!AB$20),"",IF(AND(D8=""),"",ROUND(Master!$E$5%*D8,0)))</f>
        <v>3832</v>
      </c>
      <c r="G8" s="64" t="str">
        <f t="shared" ref="G8:G18" si="2">IF(AND(C8=""),"",IF(AND($G$6=""),"",$G$6))</f>
        <v/>
      </c>
      <c r="H8" s="64" t="str">
        <f t="shared" ref="H8:H18" si="3">IF(AND(C8=""),"",IF(AND($H$6=""),"",$H$6))</f>
        <v/>
      </c>
      <c r="I8" s="197"/>
      <c r="J8" s="64" t="str">
        <f>IF(AND(C8=""),"",IF(AND($J$6=""),"",IF(AND(Master!$I$4=Master!$AB$20),"",$J$6)))</f>
        <v/>
      </c>
      <c r="K8" s="224">
        <f>IF(AND(Master!I$4=Master!AB$20),ROUND((D8)*0.1,0),IF(AND(Master!I$5=Master!AC$3),ROUND((D8+E8)*0.1,0),""))</f>
        <v>5365</v>
      </c>
      <c r="L8" s="64" t="str">
        <f>IF(AND(C8=""),"",IF(AND($L$6=""),"",IF(AND(Master!$I$4=Master!$AB$20),"",$L$6)))</f>
        <v/>
      </c>
      <c r="M8" s="60">
        <f t="shared" ref="M8:M26" si="4">IF(AND(C8=""),"",SUM(D8,E8,F8,G8,H8,J8,K8,L8))</f>
        <v>62845</v>
      </c>
      <c r="N8" s="64">
        <f>IF(AND(C8=""),"",IF(AND(Master!I$4=Master!AB$20),"",$N$6))</f>
        <v>4000</v>
      </c>
      <c r="O8" s="64" t="str">
        <f>IF(AND(C8=""),"",IF(AND(Master!I$4=Master!AB$20),"",IF(AND(Master!I$5=Master!AC$2),$O$6,"")))</f>
        <v/>
      </c>
      <c r="P8" s="224" t="str">
        <f>IF(AND(C8=""),"",IF(AND(Master!I$4=Master!AB$20),"",IF(AND(Master!I$5=Master!AC$3),"",IF(D8&lt;18001,242,IF(D8&lt;33501,402,IF(D8&lt;54001,602,800))))))</f>
        <v/>
      </c>
      <c r="Q8" s="224">
        <f>IF(AND(Master!I$4=Master!AB$20),ROUND((D8)*0.1,0),IF(AND(Master!I$5=Master!AC$3),ROUND((D8+E8)*0.1,0),""))</f>
        <v>5365</v>
      </c>
      <c r="R8" s="224">
        <f>IF(AND(Master!I$4=Master!AB$20),ROUND((D8)*0.1,0),IF(AND(Master!I$5=Master!AC$3),ROUND((D8+E8)*0.1,0),""))</f>
        <v>5365</v>
      </c>
      <c r="S8" s="64">
        <f>IF(AND(C8=""),"",IF(AND($S$6=""),"",IF(AND(Master!$I$4=Master!$AB$20),"",$S$6)))</f>
        <v>2158</v>
      </c>
      <c r="T8" s="64" t="str">
        <f>IF(AND(C8=""),"",IF(AND($T$6=""),"",IF(AND(Master!$I$4=Master!$AB$20),"",$T$6)))</f>
        <v/>
      </c>
      <c r="U8" s="64" t="str">
        <f>IF(AND(C8=""),"",IF(AND($U$6=""),"",IF(AND(Master!$I$4=Master!$AB$20),"",$U$6)))</f>
        <v/>
      </c>
      <c r="V8" s="64" t="str">
        <f>IF(AND(C8=""),"",IF(AND($V$6=""),"",IF(AND(Master!$I$4=Master!$AB$20),"",$V$6)))</f>
        <v/>
      </c>
      <c r="W8" s="64">
        <f t="shared" ref="W8:W18" si="5">IF(AND(C8=""),"",IF(AND($W$6=""),"",$W$6))</f>
        <v>500</v>
      </c>
      <c r="X8" s="64">
        <f>IF(AND(C8=""),"",IF(AND(X6=""),"",X6))</f>
        <v>220</v>
      </c>
      <c r="Y8" s="64" t="str">
        <f t="shared" ref="Y8:Y17" si="6">IF(AND(C8=""),"",IF(AND($Y$6=""),"",$Y$6))</f>
        <v/>
      </c>
      <c r="Z8" s="31">
        <f t="shared" ref="Z8:Z26" si="7">IF(AND($E$2=""),"",IF(AND(C8=""),"",SUM(N8:Y8)))</f>
        <v>17608</v>
      </c>
      <c r="AA8" s="30">
        <f t="shared" ref="AA8:AA26" si="8">IF(AND($E$2=""),"",IF(AND(C8=""),"",IF(AND(M8="",Z8=""),"",SUM(M8-Z8))))</f>
        <v>45237</v>
      </c>
      <c r="AB8" s="8"/>
      <c r="AC8" s="211"/>
      <c r="AD8" s="18"/>
      <c r="AE8" s="18"/>
      <c r="AF8" s="18"/>
      <c r="AG8" s="18"/>
      <c r="AH8" s="18"/>
      <c r="AI8" s="18"/>
      <c r="AJ8" s="18"/>
      <c r="AK8" s="18"/>
      <c r="AL8" s="18"/>
      <c r="AM8" s="18"/>
      <c r="AN8" s="18"/>
      <c r="AO8" s="18"/>
      <c r="AP8" s="18"/>
      <c r="AQ8" s="18"/>
      <c r="AR8" s="18"/>
      <c r="AS8" s="18"/>
      <c r="AT8" s="18"/>
      <c r="AU8" s="18"/>
      <c r="AV8" s="18"/>
      <c r="AW8" s="195">
        <f>IF(AND(Master!I$4=Master!AB$20),"",IF(AND(Master!E6=Master!AC2),"",IF(D6&lt;7001,190,IF(D6&lt;9001,300,IF(D6&gt;9000,480)))))</f>
        <v>190</v>
      </c>
      <c r="AX8" s="196">
        <f>IF(AND(Master!I$4=Master!AB$20),"",IF(AND(Master!E6=Master!AC2),"",IF(D6&lt;7001,70,IF(D6&lt;9001,130,IF(D6&gt;9000,240)))))</f>
        <v>70</v>
      </c>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row>
    <row r="9" spans="1:186" ht="16.5" customHeight="1">
      <c r="A9" s="27" t="s">
        <v>239</v>
      </c>
      <c r="B9" s="210">
        <v>3</v>
      </c>
      <c r="C9" s="433">
        <f t="shared" si="0"/>
        <v>43586</v>
      </c>
      <c r="D9" s="234">
        <f t="shared" si="1"/>
        <v>47900</v>
      </c>
      <c r="E9" s="64">
        <f>IF(AND(Master!I$4=Master!AB$20),"",IF(AND(D9=""),"",ROUND(12%*D9,0)))</f>
        <v>5748</v>
      </c>
      <c r="F9" s="58">
        <f>IF(AND(Master!I$4=Master!AB$20),"",IF(AND(D9=""),"",ROUND(Master!$E$5%*D9,0)))</f>
        <v>3832</v>
      </c>
      <c r="G9" s="64" t="str">
        <f t="shared" si="2"/>
        <v/>
      </c>
      <c r="H9" s="64" t="str">
        <f t="shared" si="3"/>
        <v/>
      </c>
      <c r="I9" s="197"/>
      <c r="J9" s="64" t="str">
        <f>IF(AND(C9=""),"",IF(AND($J$6=""),"",IF(AND(Master!$I$4=Master!$AB$20),"",$J$6)))</f>
        <v/>
      </c>
      <c r="K9" s="224">
        <f>IF(AND(Master!I$4=Master!AB$20),ROUND((D9)*0.1,0),IF(AND(Master!I$5=Master!AC$3),ROUND((D9+E9)*0.1,0),""))</f>
        <v>5365</v>
      </c>
      <c r="L9" s="64" t="str">
        <f>IF(AND(C9=""),"",IF(AND($L$6=""),"",IF(AND(Master!$I$4=Master!$AB$20),"",$L$6)))</f>
        <v/>
      </c>
      <c r="M9" s="60">
        <f t="shared" si="4"/>
        <v>62845</v>
      </c>
      <c r="N9" s="64">
        <f>IF(AND(C9=""),"",IF(AND(Master!I$4=Master!AB$20),"",$N$6))</f>
        <v>4000</v>
      </c>
      <c r="O9" s="64" t="str">
        <f>IF(AND(C9=""),"",IF(AND(Master!I$4=Master!AB$20),"",IF(AND(Master!I$5=Master!AC$2),$O$6,"")))</f>
        <v/>
      </c>
      <c r="P9" s="224" t="str">
        <f>IF(AND(C9=""),"",IF(AND(Master!I$4=Master!AB$20),"",IF(AND(Master!I$5=Master!AC$3),"",IF(D9&lt;18001,242,IF(D9&lt;33501,402,IF(D9&lt;54001,602,800))))))</f>
        <v/>
      </c>
      <c r="Q9" s="224">
        <f>IF(AND(Master!I$4=Master!AB$20),ROUND((D9)*0.1,0),IF(AND(Master!I$5=Master!AC$3),ROUND((D9+E9)*0.1,0),""))</f>
        <v>5365</v>
      </c>
      <c r="R9" s="224">
        <f>IF(AND(Master!I$4=Master!AB$20),ROUND((D9)*0.1,0),IF(AND(Master!I$5=Master!AC$3),ROUND((D9+E9)*0.1,0),""))</f>
        <v>5365</v>
      </c>
      <c r="S9" s="64">
        <f>IF(AND(C9=""),"",IF(AND($S$6=""),"",IF(AND(Master!$I$4=Master!$AB$20),"",$S$6)))</f>
        <v>2158</v>
      </c>
      <c r="T9" s="64" t="str">
        <f>IF(AND(C9=""),"",IF(AND($T$6=""),"",IF(AND(Master!$I$4=Master!$AB$20),"",$T$6)))</f>
        <v/>
      </c>
      <c r="U9" s="64" t="str">
        <f>IF(AND(C9=""),"",IF(AND($U$6=""),"",IF(AND(Master!$I$4=Master!$AB$20),"",$U$6)))</f>
        <v/>
      </c>
      <c r="V9" s="64" t="str">
        <f>IF(AND(C9=""),"",IF(AND($V$6=""),"",IF(AND(Master!$I$4=Master!$AB$20),"",$V$6)))</f>
        <v/>
      </c>
      <c r="W9" s="64">
        <f t="shared" si="5"/>
        <v>500</v>
      </c>
      <c r="X9" s="64"/>
      <c r="Y9" s="64" t="str">
        <f t="shared" si="6"/>
        <v/>
      </c>
      <c r="Z9" s="31">
        <f t="shared" si="7"/>
        <v>17388</v>
      </c>
      <c r="AA9" s="30">
        <f t="shared" si="8"/>
        <v>45457</v>
      </c>
      <c r="AB9" s="8"/>
      <c r="AC9" s="211"/>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row>
    <row r="10" spans="1:186" ht="16.5" customHeight="1">
      <c r="A10" s="49" t="s">
        <v>240</v>
      </c>
      <c r="B10" s="210">
        <v>4</v>
      </c>
      <c r="C10" s="433">
        <f t="shared" si="0"/>
        <v>43617</v>
      </c>
      <c r="D10" s="234">
        <f t="shared" si="1"/>
        <v>47900</v>
      </c>
      <c r="E10" s="64">
        <f>IF(AND(Master!I$4=Master!AB$20),"",IF(AND(D10=""),"",ROUND(12%*D10,0)))</f>
        <v>5748</v>
      </c>
      <c r="F10" s="58">
        <f>IF(AND(Master!I$4=Master!AB$20),"",IF(AND(D10=""),"",ROUND(Master!$E$5%*D10,0)))</f>
        <v>3832</v>
      </c>
      <c r="G10" s="64" t="str">
        <f t="shared" si="2"/>
        <v/>
      </c>
      <c r="H10" s="64" t="str">
        <f t="shared" si="3"/>
        <v/>
      </c>
      <c r="I10" s="197"/>
      <c r="J10" s="64" t="str">
        <f>IF(AND(C10=""),"",IF(AND($J$6=""),"",IF(AND(Master!$I$4=Master!$AB$20),"",$J$6)))</f>
        <v/>
      </c>
      <c r="K10" s="224">
        <f>IF(AND(Master!I$4=Master!AB$20),ROUND((D10)*0.1,0),IF(AND(Master!I$5=Master!AC$3),ROUND((D10+E10)*0.1,0),""))</f>
        <v>5365</v>
      </c>
      <c r="L10" s="64" t="str">
        <f>IF(AND(C10=""),"",IF(AND($L$6=""),"",IF(AND(Master!$I$4=Master!$AB$20),"",$L$6)))</f>
        <v/>
      </c>
      <c r="M10" s="60">
        <f t="shared" si="4"/>
        <v>62845</v>
      </c>
      <c r="N10" s="64">
        <f>IF(AND(C10=""),"",IF(AND(Master!I$4=Master!AB$20),"",$N$6))</f>
        <v>4000</v>
      </c>
      <c r="O10" s="64" t="str">
        <f>IF(AND(C10=""),"",IF(AND(Master!I$4=Master!AB$20),"",IF(AND(Master!I$5=Master!AC$2),$O$6,"")))</f>
        <v/>
      </c>
      <c r="P10" s="224" t="str">
        <f>IF(AND(C10=""),"",IF(AND(Master!I$4=Master!AB$20),"",IF(AND(Master!I$5=Master!AC$3),"",IF(D10&lt;18001,242,IF(D10&lt;33501,402,IF(D10&lt;54001,602,800))))))</f>
        <v/>
      </c>
      <c r="Q10" s="224">
        <f>IF(AND(Master!I$4=Master!AB$20),ROUND((D10)*0.1,0),IF(AND(Master!I$5=Master!AC$3),ROUND((D10+E10)*0.1,0),""))</f>
        <v>5365</v>
      </c>
      <c r="R10" s="224">
        <f>IF(AND(Master!I$4=Master!AB$20),ROUND((D10)*0.1,0),IF(AND(Master!I$5=Master!AC$3),ROUND((D10+E10)*0.1,0),""))</f>
        <v>5365</v>
      </c>
      <c r="S10" s="64">
        <f>IF(AND(C10=""),"",IF(AND($S$6=""),"",IF(AND(Master!$I$4=Master!$AB$20),"",$S$6)))</f>
        <v>2158</v>
      </c>
      <c r="T10" s="64" t="str">
        <f>IF(AND(C10=""),"",IF(AND($T$6=""),"",IF(AND(Master!$I$4=Master!$AB$20),"",$T$6)))</f>
        <v/>
      </c>
      <c r="U10" s="64" t="str">
        <f>IF(AND(C10=""),"",IF(AND($U$6=""),"",IF(AND(Master!$I$4=Master!$AB$20),"",$U$6)))</f>
        <v/>
      </c>
      <c r="V10" s="64" t="str">
        <f>IF(AND(C10=""),"",IF(AND($V$6=""),"",IF(AND(Master!$I$4=Master!$AB$20),"",$V$6)))</f>
        <v/>
      </c>
      <c r="W10" s="64">
        <f t="shared" si="5"/>
        <v>500</v>
      </c>
      <c r="X10" s="64"/>
      <c r="Y10" s="64" t="str">
        <f t="shared" si="6"/>
        <v/>
      </c>
      <c r="Z10" s="31">
        <f t="shared" si="7"/>
        <v>17388</v>
      </c>
      <c r="AA10" s="30">
        <f t="shared" si="8"/>
        <v>45457</v>
      </c>
      <c r="AB10" s="8"/>
      <c r="AC10" s="211"/>
      <c r="AD10" s="18"/>
      <c r="AE10" s="18"/>
      <c r="AF10" s="18"/>
      <c r="AG10" s="18"/>
      <c r="AH10" s="18"/>
      <c r="AI10" s="18"/>
      <c r="AJ10" s="18"/>
      <c r="AK10" s="18"/>
      <c r="AL10" s="18"/>
      <c r="AM10" s="18"/>
      <c r="AN10" s="18"/>
      <c r="AO10" s="18"/>
      <c r="AP10" s="18"/>
      <c r="AQ10" s="18"/>
      <c r="AR10" s="18"/>
      <c r="AS10" s="18"/>
      <c r="AT10" s="18"/>
      <c r="AU10" s="18"/>
      <c r="AV10" s="18"/>
      <c r="AW10" s="195">
        <f>IF(AND(Master!I$4=Master!AB$20),"",IF(AND(Master!E6=Master!AC2),"",IF(D15&lt;23101,620,IF(D15&gt;23100,1000))))</f>
        <v>1000</v>
      </c>
      <c r="AX10" s="196">
        <f>IF(AND(Master!I$4=Master!AB$20),"",IF(AND(Master!E6=Master!AC2),"",IF(D15&lt;23101,320,IF(D15&gt;23100,620))))</f>
        <v>620</v>
      </c>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row>
    <row r="11" spans="1:186" ht="16.5" customHeight="1">
      <c r="A11" s="27" t="s">
        <v>241</v>
      </c>
      <c r="B11" s="210">
        <v>5</v>
      </c>
      <c r="C11" s="433">
        <f t="shared" si="0"/>
        <v>43647</v>
      </c>
      <c r="D11" s="234">
        <f t="shared" si="1"/>
        <v>49300</v>
      </c>
      <c r="E11" s="64">
        <f>IF(AND(Master!I$4=Master!AB$20),"",IF(AND(D11=""),"",ROUND(12%*D11,0)))</f>
        <v>5916</v>
      </c>
      <c r="F11" s="58">
        <f>IF(AND(Master!I$4=Master!AB$20),"",IF(AND(D11=""),"",ROUND(Master!$E$5%*D11,0)))</f>
        <v>3944</v>
      </c>
      <c r="G11" s="64" t="str">
        <f t="shared" si="2"/>
        <v/>
      </c>
      <c r="H11" s="64" t="str">
        <f t="shared" si="3"/>
        <v/>
      </c>
      <c r="I11" s="197"/>
      <c r="J11" s="64" t="str">
        <f>IF(AND(C11=""),"",IF(AND($J$6=""),"",IF(AND(Master!$I$4=Master!$AB$20),"",$J$6)))</f>
        <v/>
      </c>
      <c r="K11" s="224">
        <f>IF(AND(Master!I$4=Master!AB$20),ROUND((D11)*0.1,0),IF(AND(Master!I$5=Master!AC$3),ROUND((D11+E11)*0.1,0),""))</f>
        <v>5522</v>
      </c>
      <c r="L11" s="64" t="str">
        <f>IF(AND(C11=""),"",IF(AND($L$6=""),"",IF(AND(Master!$I$4=Master!$AB$20),"",$L$6)))</f>
        <v/>
      </c>
      <c r="M11" s="60">
        <f t="shared" si="4"/>
        <v>64682</v>
      </c>
      <c r="N11" s="64">
        <f>IF(AND(C11=""),"",IF(AND(Master!I$4=Master!AB$20),"",$N$6))</f>
        <v>4000</v>
      </c>
      <c r="O11" s="64" t="str">
        <f>IF(AND(C11=""),"",IF(AND(Master!I$4=Master!AB$20),"",IF(AND(Master!I$5=Master!AC$2),$O$6,"")))</f>
        <v/>
      </c>
      <c r="P11" s="224" t="str">
        <f>IF(AND(C11=""),"",IF(AND(Master!I$4=Master!AB$20),"",IF(AND(Master!I$5=Master!AC$3),"",IF(D11&lt;18001,242,IF(D11&lt;33501,402,IF(D11&lt;54001,602,800))))))</f>
        <v/>
      </c>
      <c r="Q11" s="224">
        <f>IF(AND(Master!I$4=Master!AB$20),ROUND((D11)*0.1,0),IF(AND(Master!I$5=Master!AC$3),ROUND((D11+E11)*0.1,0),""))</f>
        <v>5522</v>
      </c>
      <c r="R11" s="224">
        <f>IF(AND(Master!I$4=Master!AB$20),ROUND((D11)*0.1,0),IF(AND(Master!I$5=Master!AC$3),ROUND((D11+E11)*0.1,0),""))</f>
        <v>5522</v>
      </c>
      <c r="S11" s="64">
        <f>IF(AND(C11=""),"",IF(AND($S$6=""),"",IF(AND(Master!$I$4=Master!$AB$20),"",$S$6)))</f>
        <v>2158</v>
      </c>
      <c r="T11" s="64" t="str">
        <f>IF(AND(C11=""),"",IF(AND($T$6=""),"",IF(AND(Master!$I$4=Master!$AB$20),"",$T$6)))</f>
        <v/>
      </c>
      <c r="U11" s="64" t="str">
        <f>IF(AND(C11=""),"",IF(AND($U$6=""),"",IF(AND(Master!$I$4=Master!$AB$20),"",$U$6)))</f>
        <v/>
      </c>
      <c r="V11" s="64" t="str">
        <f>IF(AND(C11=""),"",IF(AND($V$6=""),"",IF(AND(Master!$I$4=Master!$AB$20),"",$V$6)))</f>
        <v/>
      </c>
      <c r="W11" s="64">
        <f t="shared" si="5"/>
        <v>500</v>
      </c>
      <c r="X11" s="64"/>
      <c r="Y11" s="64" t="str">
        <f t="shared" si="6"/>
        <v/>
      </c>
      <c r="Z11" s="31">
        <f t="shared" si="7"/>
        <v>17702</v>
      </c>
      <c r="AA11" s="30">
        <f t="shared" si="8"/>
        <v>46980</v>
      </c>
      <c r="AB11" s="8"/>
      <c r="AC11" s="211"/>
      <c r="AD11" s="18"/>
      <c r="AE11" s="18"/>
      <c r="AF11" s="18"/>
      <c r="AG11" s="18"/>
      <c r="AH11" s="18"/>
      <c r="AI11" s="18"/>
      <c r="AJ11" s="18"/>
      <c r="AK11" s="18"/>
      <c r="AL11" s="18"/>
      <c r="AM11" s="18"/>
      <c r="AN11" s="356"/>
      <c r="AO11" s="18"/>
      <c r="AP11" s="18"/>
      <c r="AQ11" s="18"/>
      <c r="AR11" s="18"/>
      <c r="AS11" s="18"/>
      <c r="AT11" s="18"/>
      <c r="AU11" s="18"/>
      <c r="AV11" s="18"/>
      <c r="AW11" s="18">
        <f>IF(AND(Master!I$4=Master!AB$20),"",IF(AND(Master!E6=Master!AC2),"",IF(D16&lt;23101,620,IF(D16&gt;23100,1000))))</f>
        <v>1000</v>
      </c>
      <c r="AX11" s="18">
        <f>IF(AND(Master!I$4=Master!AB$20),"",IF(AND(Master!E6=Master!AC2),"",IF(D16&lt;23101,320,IF(D16&gt;23100,620))))</f>
        <v>620</v>
      </c>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row>
    <row r="12" spans="1:186" ht="16.5" customHeight="1">
      <c r="A12" s="49" t="s">
        <v>242</v>
      </c>
      <c r="B12" s="210">
        <v>6</v>
      </c>
      <c r="C12" s="433">
        <f t="shared" si="0"/>
        <v>43678</v>
      </c>
      <c r="D12" s="234">
        <f t="shared" si="1"/>
        <v>49300</v>
      </c>
      <c r="E12" s="64">
        <f>IF(AND(Master!I$4=Master!AB$20),"",IF(AND(D12=""),"",ROUND(12%*D12,0)))</f>
        <v>5916</v>
      </c>
      <c r="F12" s="58">
        <f>IF(AND(Master!I$4=Master!AB$20),"",IF(AND(D12=""),"",ROUND(Master!$E$5%*D12,0)))</f>
        <v>3944</v>
      </c>
      <c r="G12" s="64" t="str">
        <f t="shared" si="2"/>
        <v/>
      </c>
      <c r="H12" s="64" t="str">
        <f t="shared" si="3"/>
        <v/>
      </c>
      <c r="I12" s="197"/>
      <c r="J12" s="64" t="str">
        <f>IF(AND(C12=""),"",IF(AND($J$6=""),"",IF(AND(Master!$I$4=Master!$AB$20),"",$J$6)))</f>
        <v/>
      </c>
      <c r="K12" s="224">
        <f>IF(AND(Master!I$4=Master!AB$20),ROUND((D12)*0.1,0),IF(AND(Master!I$5=Master!AC$3),ROUND((D12+E12)*0.1,0),""))</f>
        <v>5522</v>
      </c>
      <c r="L12" s="64" t="str">
        <f>IF(AND(C12=""),"",IF(AND($L$6=""),"",IF(AND(Master!$I$4=Master!$AB$20),"",$L$6)))</f>
        <v/>
      </c>
      <c r="M12" s="60">
        <f t="shared" si="4"/>
        <v>64682</v>
      </c>
      <c r="N12" s="64">
        <f>IF(AND(C12=""),"",IF(AND(Master!I$4=Master!AB$20),"",$N$6))</f>
        <v>4000</v>
      </c>
      <c r="O12" s="64" t="str">
        <f>IF(AND(C12=""),"",IF(AND(Master!I$4=Master!AB$20),"",IF(AND(Master!I$5=Master!AC$2),$O$6,"")))</f>
        <v/>
      </c>
      <c r="P12" s="224" t="str">
        <f>IF(AND(C12=""),"",IF(AND(Master!I$4=Master!AB$20),"",IF(AND(Master!I$5=Master!AC$3),"",IF(D12&lt;18001,242,IF(D12&lt;33501,402,IF(D12&lt;54001,602,800))))))</f>
        <v/>
      </c>
      <c r="Q12" s="224">
        <f>IF(AND(Master!I$4=Master!AB$20),ROUND((D12)*0.1,0),IF(AND(Master!I$5=Master!AC$3),ROUND((D12+E12)*0.1,0),""))</f>
        <v>5522</v>
      </c>
      <c r="R12" s="224">
        <f>IF(AND(Master!I$4=Master!AB$20),ROUND((D12)*0.1,0),IF(AND(Master!I$5=Master!AC$3),ROUND((D12+E12)*0.1,0),""))</f>
        <v>5522</v>
      </c>
      <c r="S12" s="64">
        <f>IF(AND(C12=""),"",IF(AND($S$6=""),"",IF(AND(Master!$I$4=Master!$AB$20),"",$S$6)))</f>
        <v>2158</v>
      </c>
      <c r="T12" s="64" t="str">
        <f>IF(AND(C12=""),"",IF(AND($T$6=""),"",IF(AND(Master!$I$4=Master!$AB$20),"",$T$6)))</f>
        <v/>
      </c>
      <c r="U12" s="64" t="str">
        <f>IF(AND(C12=""),"",IF(AND($U$6=""),"",IF(AND(Master!$I$4=Master!$AB$20),"",$U$6)))</f>
        <v/>
      </c>
      <c r="V12" s="64" t="str">
        <f>IF(AND(C12=""),"",IF(AND($V$6=""),"",IF(AND(Master!$I$4=Master!$AB$20),"",$V$6)))</f>
        <v/>
      </c>
      <c r="W12" s="64">
        <f t="shared" si="5"/>
        <v>500</v>
      </c>
      <c r="X12" s="64"/>
      <c r="Y12" s="64" t="str">
        <f t="shared" si="6"/>
        <v/>
      </c>
      <c r="Z12" s="31">
        <f t="shared" si="7"/>
        <v>17702</v>
      </c>
      <c r="AA12" s="30">
        <f t="shared" si="8"/>
        <v>46980</v>
      </c>
      <c r="AB12" s="8"/>
      <c r="AC12" s="211"/>
      <c r="AD12" s="18"/>
      <c r="AE12" s="18"/>
      <c r="AF12" s="18"/>
      <c r="AG12" s="18"/>
      <c r="AH12" s="18"/>
      <c r="AI12" s="18"/>
      <c r="AJ12" s="18"/>
      <c r="AK12" s="18" t="s">
        <v>237</v>
      </c>
      <c r="AL12" s="232">
        <v>43525</v>
      </c>
      <c r="AM12" s="4">
        <v>3</v>
      </c>
      <c r="AN12" s="4"/>
      <c r="AO12" s="428">
        <f>IF(AND($E$2=""),"",$E$2)</f>
        <v>47900</v>
      </c>
      <c r="AP12" s="429">
        <f>IF(AND(AL12&lt;$AN$16),"",IF(AND(AL12&gt;$AN$17),"",AO12))</f>
        <v>47900</v>
      </c>
      <c r="AQ12" s="18">
        <f>IF(AND($E$2=""),"",ROUND(12%*AO12,0))</f>
        <v>5748</v>
      </c>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row>
    <row r="13" spans="1:186" ht="16.5" customHeight="1">
      <c r="A13" s="27" t="s">
        <v>243</v>
      </c>
      <c r="B13" s="210">
        <v>7</v>
      </c>
      <c r="C13" s="433">
        <f t="shared" si="0"/>
        <v>43709</v>
      </c>
      <c r="D13" s="234">
        <f t="shared" si="1"/>
        <v>49300</v>
      </c>
      <c r="E13" s="64">
        <f>IF(AND(Master!I$4=Master!AB$20),"",IF(AND(D13=""),"",ROUND(12%*D13,0)))</f>
        <v>5916</v>
      </c>
      <c r="F13" s="58">
        <f>IF(AND(Master!I$4=Master!AB$20),"",IF(AND(D13=""),"",ROUND(Master!$E$5%*D13,0)))</f>
        <v>3944</v>
      </c>
      <c r="G13" s="64" t="str">
        <f t="shared" si="2"/>
        <v/>
      </c>
      <c r="H13" s="64" t="str">
        <f t="shared" si="3"/>
        <v/>
      </c>
      <c r="I13" s="197"/>
      <c r="J13" s="64" t="str">
        <f>IF(AND(C13=""),"",IF(AND($J$6=""),"",IF(AND(Master!$I$4=Master!$AB$20),"",$J$6)))</f>
        <v/>
      </c>
      <c r="K13" s="224">
        <f>IF(AND(Master!I$4=Master!AB$20),ROUND((D13)*0.1,0),IF(AND(Master!I$5=Master!AC$3),ROUND((D13+E13)*0.1,0),""))</f>
        <v>5522</v>
      </c>
      <c r="L13" s="64" t="str">
        <f>IF(AND(C13=""),"",IF(AND($L$6=""),"",IF(AND(Master!$I$4=Master!$AB$20),"",$L$6)))</f>
        <v/>
      </c>
      <c r="M13" s="60">
        <f t="shared" si="4"/>
        <v>64682</v>
      </c>
      <c r="N13" s="64">
        <f>IF(AND(C13=""),"",IF(AND(Master!I$4=Master!AB$20),"",$N$6))</f>
        <v>4000</v>
      </c>
      <c r="O13" s="64" t="str">
        <f>IF(AND(C13=""),"",IF(AND(Master!I$4=Master!AB$20),"",IF(AND(Master!I$5=Master!AC$2),$O$6,"")))</f>
        <v/>
      </c>
      <c r="P13" s="224" t="str">
        <f>IF(AND(C13=""),"",IF(AND(Master!I$4=Master!AB$20),"",IF(AND(Master!I$5=Master!AC$3),"",IF(D13&lt;18001,242,IF(D13&lt;33501,402,IF(D13&lt;54001,602,800))))))</f>
        <v/>
      </c>
      <c r="Q13" s="224">
        <f>IF(AND(Master!I$4=Master!AB$20),ROUND((D13)*0.1,0),IF(AND(Master!I$5=Master!AC$3),ROUND((D13+E13)*0.1,0),""))</f>
        <v>5522</v>
      </c>
      <c r="R13" s="224">
        <f>IF(AND(Master!I$4=Master!AB$20),ROUND((D13)*0.1,0),IF(AND(Master!I$5=Master!AC$3),ROUND((D13+E13)*0.1,0),""))</f>
        <v>5522</v>
      </c>
      <c r="S13" s="64">
        <f>IF(AND(C13=""),"",IF(AND($S$6=""),"",IF(AND(Master!$I$4=Master!$AB$20),"",$S$6)))</f>
        <v>2158</v>
      </c>
      <c r="T13" s="64" t="str">
        <f>IF(AND(C13=""),"",IF(AND($T$6=""),"",IF(AND(Master!$I$4=Master!$AB$20),"",$T$6)))</f>
        <v/>
      </c>
      <c r="U13" s="64" t="str">
        <f>IF(AND(C13=""),"",IF(AND($U$6=""),"",IF(AND(Master!$I$4=Master!$AB$20),"",$U$6)))</f>
        <v/>
      </c>
      <c r="V13" s="64" t="str">
        <f>IF(AND(C13=""),"",IF(AND($V$6=""),"",IF(AND(Master!$I$4=Master!$AB$20),"",$V$6)))</f>
        <v/>
      </c>
      <c r="W13" s="64">
        <f t="shared" si="5"/>
        <v>500</v>
      </c>
      <c r="X13" s="64"/>
      <c r="Y13" s="64" t="str">
        <f t="shared" si="6"/>
        <v/>
      </c>
      <c r="Z13" s="31">
        <f t="shared" si="7"/>
        <v>17702</v>
      </c>
      <c r="AA13" s="30">
        <f t="shared" si="8"/>
        <v>46980</v>
      </c>
      <c r="AB13" s="8"/>
      <c r="AC13" s="211"/>
      <c r="AD13" s="18"/>
      <c r="AE13" s="18"/>
      <c r="AF13" s="18"/>
      <c r="AG13" s="18"/>
      <c r="AH13" s="18"/>
      <c r="AI13" s="18"/>
      <c r="AJ13" s="18"/>
      <c r="AK13" s="18" t="s">
        <v>238</v>
      </c>
      <c r="AL13" s="232">
        <v>43556</v>
      </c>
      <c r="AM13" s="4">
        <v>4</v>
      </c>
      <c r="AN13" s="4"/>
      <c r="AO13" s="428">
        <f t="shared" ref="AO13:AO15" si="9">IF(AND($E$2=""),"",$E$2)</f>
        <v>47900</v>
      </c>
      <c r="AP13" s="429">
        <f t="shared" ref="AP13:AP24" si="10">IF(AND(AL13&lt;$AN$16),"",IF(AND(AL13&gt;$AN$17),"",AO13))</f>
        <v>47900</v>
      </c>
      <c r="AQ13" s="18">
        <f t="shared" ref="AQ13:AQ22" si="11">IF(AND($E$2=""),"",ROUND(12%*AO13,0))</f>
        <v>5748</v>
      </c>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row>
    <row r="14" spans="1:186" ht="16.5" customHeight="1">
      <c r="A14" s="49" t="s">
        <v>244</v>
      </c>
      <c r="B14" s="210">
        <v>8</v>
      </c>
      <c r="C14" s="433">
        <f t="shared" si="0"/>
        <v>43739</v>
      </c>
      <c r="D14" s="234">
        <f t="shared" si="1"/>
        <v>49300</v>
      </c>
      <c r="E14" s="64">
        <f>IF(AND(Master!I$4=Master!AB$20),"",IF(AND(D14=""),"",ROUND(12%*D14,0)))</f>
        <v>5916</v>
      </c>
      <c r="F14" s="58">
        <f>IF(AND(Master!I$4=Master!AB$20),"",IF(AND(D14=""),"",ROUND(Master!$E$5%*D14,0)))</f>
        <v>3944</v>
      </c>
      <c r="G14" s="64" t="str">
        <f t="shared" si="2"/>
        <v/>
      </c>
      <c r="H14" s="64" t="str">
        <f t="shared" si="3"/>
        <v/>
      </c>
      <c r="I14" s="197"/>
      <c r="J14" s="64" t="str">
        <f>IF(AND(C14=""),"",IF(AND($J$6=""),"",IF(AND(Master!$I$4=Master!$AB$20),"",$J$6)))</f>
        <v/>
      </c>
      <c r="K14" s="224">
        <f>IF(AND(Master!I$4=Master!AB$20),ROUND((D14)*0.1,0),IF(AND(Master!I$5=Master!AC$3),ROUND((D14+E14)*0.1,0),""))</f>
        <v>5522</v>
      </c>
      <c r="L14" s="64" t="str">
        <f>IF(AND(C14=""),"",IF(AND($L$6=""),"",IF(AND(Master!$I$4=Master!$AB$20),"",$L$6)))</f>
        <v/>
      </c>
      <c r="M14" s="60">
        <f t="shared" si="4"/>
        <v>64682</v>
      </c>
      <c r="N14" s="64">
        <f>IF(AND(C14=""),"",IF(AND(Master!I$4=Master!AB$20),"",$N$6))</f>
        <v>4000</v>
      </c>
      <c r="O14" s="64" t="str">
        <f>IF(AND(C14=""),"",IF(AND(Master!I$4=Master!AB$20),"",IF(AND(Master!I$5=Master!AC$2),$O$6,"")))</f>
        <v/>
      </c>
      <c r="P14" s="224" t="str">
        <f>IF(AND(C14=""),"",IF(AND(Master!I$4=Master!AB$20),"",IF(AND(Master!I$5=Master!AC$3),"",IF(D14&lt;18001,242,IF(D14&lt;33501,402,IF(D14&lt;54001,602,800))))))</f>
        <v/>
      </c>
      <c r="Q14" s="224">
        <f>IF(AND(Master!I$4=Master!AB$20),ROUND((D14)*0.1,0),IF(AND(Master!I$5=Master!AC$3),ROUND((D14+E14)*0.1,0),""))</f>
        <v>5522</v>
      </c>
      <c r="R14" s="224">
        <f>IF(AND(Master!I$4=Master!AB$20),ROUND((D14)*0.1,0),IF(AND(Master!I$5=Master!AC$3),ROUND((D14+E14)*0.1,0),""))</f>
        <v>5522</v>
      </c>
      <c r="S14" s="64">
        <f>IF(AND(C14=""),"",IF(AND($S$6=""),"",IF(AND(Master!$I$4=Master!$AB$20),"",$S$6)))</f>
        <v>2158</v>
      </c>
      <c r="T14" s="64" t="str">
        <f>IF(AND(C14=""),"",IF(AND($T$6=""),"",IF(AND(Master!$I$4=Master!$AB$20),"",$T$6)))</f>
        <v/>
      </c>
      <c r="U14" s="64" t="str">
        <f>IF(AND(C14=""),"",IF(AND($U$6=""),"",IF(AND(Master!$I$4=Master!$AB$20),"",$U$6)))</f>
        <v/>
      </c>
      <c r="V14" s="64" t="str">
        <f>IF(AND(C14=""),"",IF(AND($V$6=""),"",IF(AND(Master!$I$4=Master!$AB$20),"",$V$6)))</f>
        <v/>
      </c>
      <c r="W14" s="64">
        <f t="shared" si="5"/>
        <v>500</v>
      </c>
      <c r="X14" s="64"/>
      <c r="Y14" s="64" t="str">
        <f t="shared" si="6"/>
        <v/>
      </c>
      <c r="Z14" s="31">
        <f t="shared" si="7"/>
        <v>17702</v>
      </c>
      <c r="AA14" s="30">
        <f t="shared" si="8"/>
        <v>46980</v>
      </c>
      <c r="AB14" s="8"/>
      <c r="AC14" s="211"/>
      <c r="AD14" s="18"/>
      <c r="AE14" s="18"/>
      <c r="AF14" s="18"/>
      <c r="AG14" s="18"/>
      <c r="AH14" s="18"/>
      <c r="AI14" s="18"/>
      <c r="AJ14" s="18"/>
      <c r="AK14" s="18" t="s">
        <v>239</v>
      </c>
      <c r="AL14" s="232">
        <v>43586</v>
      </c>
      <c r="AM14" s="4">
        <v>5</v>
      </c>
      <c r="AN14" s="4"/>
      <c r="AO14" s="428">
        <f>IF(AND($E$2=""),"",$E$2)</f>
        <v>47900</v>
      </c>
      <c r="AP14" s="429">
        <f t="shared" si="10"/>
        <v>47900</v>
      </c>
      <c r="AQ14" s="18">
        <f t="shared" si="11"/>
        <v>5748</v>
      </c>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row>
    <row r="15" spans="1:186" ht="16.5" customHeight="1">
      <c r="A15" s="27" t="s">
        <v>245</v>
      </c>
      <c r="B15" s="210">
        <v>9</v>
      </c>
      <c r="C15" s="433">
        <f t="shared" si="0"/>
        <v>43770</v>
      </c>
      <c r="D15" s="234">
        <f t="shared" si="1"/>
        <v>49300</v>
      </c>
      <c r="E15" s="64">
        <f>IF(AND(Master!I$4=Master!AB$20),"",IF(AND(D15=""),"",ROUND(12%*D15,0)))</f>
        <v>5916</v>
      </c>
      <c r="F15" s="58">
        <f>IF(AND(Master!I$4=Master!AB$20),"",IF(AND(D15=""),"",ROUND(Master!$E$5%*D15,0)))</f>
        <v>3944</v>
      </c>
      <c r="G15" s="64" t="str">
        <f t="shared" si="2"/>
        <v/>
      </c>
      <c r="H15" s="64" t="str">
        <f t="shared" si="3"/>
        <v/>
      </c>
      <c r="I15" s="197"/>
      <c r="J15" s="64" t="str">
        <f>IF(AND(C15=""),"",IF(AND($J$6=""),"",IF(AND(Master!$I$4=Master!$AB$20),"",$J$6)))</f>
        <v/>
      </c>
      <c r="K15" s="224">
        <f>IF(AND(Master!I$4=Master!AB$20),ROUND((D15)*0.1,0),IF(AND(Master!I$5=Master!AC$3),ROUND((D15+E15)*0.1,0),""))</f>
        <v>5522</v>
      </c>
      <c r="L15" s="64" t="str">
        <f>IF(AND(C15=""),"",IF(AND($L$6=""),"",IF(AND(Master!$I$4=Master!$AB$20),"",$L$6)))</f>
        <v/>
      </c>
      <c r="M15" s="60">
        <f t="shared" si="4"/>
        <v>64682</v>
      </c>
      <c r="N15" s="64">
        <f>IF(AND(C15=""),"",IF(AND(Master!I$4=Master!AB$20),"",$N$6))</f>
        <v>4000</v>
      </c>
      <c r="O15" s="64" t="str">
        <f>IF(AND(C15=""),"",IF(AND(Master!I$4=Master!AB$20),"",IF(AND(Master!I$5=Master!AC$2),$O$6,"")))</f>
        <v/>
      </c>
      <c r="P15" s="224" t="str">
        <f>IF(AND(C15=""),"",IF(AND(Master!I$4=Master!AB$20),"",IF(AND(Master!I$5=Master!AC$3),"",IF(D15&lt;18001,242,IF(D15&lt;33501,402,IF(D15&lt;54001,602,800))))))</f>
        <v/>
      </c>
      <c r="Q15" s="224">
        <f>IF(AND(Master!I$4=Master!AB$20),ROUND((D15)*0.1,0),IF(AND(Master!I$5=Master!AC$3),ROUND((D15+E15)*0.1,0),""))</f>
        <v>5522</v>
      </c>
      <c r="R15" s="224">
        <f>IF(AND(Master!I$4=Master!AB$20),ROUND((D15)*0.1,0),IF(AND(Master!I$5=Master!AC$3),ROUND((D15+E15)*0.1,0),""))</f>
        <v>5522</v>
      </c>
      <c r="S15" s="64">
        <f>IF(AND(C15=""),"",IF(AND($S$6=""),"",IF(AND(Master!$I$4=Master!$AB$20),"",$S$6)))</f>
        <v>2158</v>
      </c>
      <c r="T15" s="64" t="str">
        <f>IF(AND(C15=""),"",IF(AND($T$6=""),"",IF(AND(Master!$I$4=Master!$AB$20),"",$T$6)))</f>
        <v/>
      </c>
      <c r="U15" s="64" t="str">
        <f>IF(AND(C15=""),"",IF(AND($U$6=""),"",IF(AND(Master!$I$4=Master!$AB$20),"",$U$6)))</f>
        <v/>
      </c>
      <c r="V15" s="64" t="str">
        <f>IF(AND(C15=""),"",IF(AND($V$6=""),"",IF(AND(Master!$I$4=Master!$AB$20),"",$V$6)))</f>
        <v/>
      </c>
      <c r="W15" s="64">
        <f t="shared" si="5"/>
        <v>500</v>
      </c>
      <c r="X15" s="64"/>
      <c r="Y15" s="64" t="str">
        <f t="shared" si="6"/>
        <v/>
      </c>
      <c r="Z15" s="31">
        <f t="shared" si="7"/>
        <v>17702</v>
      </c>
      <c r="AA15" s="30">
        <f t="shared" si="8"/>
        <v>46980</v>
      </c>
      <c r="AB15" s="8"/>
      <c r="AC15" s="211"/>
      <c r="AD15" s="18"/>
      <c r="AE15" s="18"/>
      <c r="AF15" s="18"/>
      <c r="AG15" s="18"/>
      <c r="AH15" s="18"/>
      <c r="AI15" s="18"/>
      <c r="AJ15" s="18"/>
      <c r="AK15" s="18" t="s">
        <v>240</v>
      </c>
      <c r="AL15" s="232">
        <v>43617</v>
      </c>
      <c r="AM15" s="4">
        <v>6</v>
      </c>
      <c r="AN15" s="419">
        <f>IF(AND(E2=""),"",E2)</f>
        <v>47900</v>
      </c>
      <c r="AO15" s="428">
        <f t="shared" si="9"/>
        <v>47900</v>
      </c>
      <c r="AP15" s="429">
        <f t="shared" si="10"/>
        <v>47900</v>
      </c>
      <c r="AQ15" s="18">
        <f t="shared" si="11"/>
        <v>5748</v>
      </c>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row>
    <row r="16" spans="1:186" ht="16.5" customHeight="1">
      <c r="A16" s="49" t="s">
        <v>246</v>
      </c>
      <c r="B16" s="210">
        <v>10</v>
      </c>
      <c r="C16" s="433">
        <f t="shared" si="0"/>
        <v>43800</v>
      </c>
      <c r="D16" s="234">
        <f t="shared" si="1"/>
        <v>49300</v>
      </c>
      <c r="E16" s="64">
        <f>IF(AND(Master!I$4=Master!AB$20),"",IF(AND(D16=""),"",ROUND(12%*D16,0)))</f>
        <v>5916</v>
      </c>
      <c r="F16" s="58">
        <f>IF(AND(Master!I$4=Master!AB$20),"",IF(AND(D16=""),"",ROUND(Master!$E$5%*D16,0)))</f>
        <v>3944</v>
      </c>
      <c r="G16" s="64" t="str">
        <f t="shared" si="2"/>
        <v/>
      </c>
      <c r="H16" s="64" t="str">
        <f t="shared" si="3"/>
        <v/>
      </c>
      <c r="I16" s="197"/>
      <c r="J16" s="64" t="str">
        <f>IF(AND(C16=""),"",IF(AND($J$6=""),"",IF(AND(Master!$I$4=Master!$AB$20),"",$J$6)))</f>
        <v/>
      </c>
      <c r="K16" s="224">
        <f>IF(AND(Master!I$4=Master!AB$20),ROUND((D16)*0.1,0),IF(AND(Master!I$5=Master!AC$3),ROUND((D16+E16)*0.1,0),""))</f>
        <v>5522</v>
      </c>
      <c r="L16" s="64" t="str">
        <f>IF(AND(C16=""),"",IF(AND($L$6=""),"",IF(AND(Master!$I$4=Master!$AB$20),"",$L$6)))</f>
        <v/>
      </c>
      <c r="M16" s="60">
        <f t="shared" si="4"/>
        <v>64682</v>
      </c>
      <c r="N16" s="64">
        <f>IF(AND(C16=""),"",IF(AND(Master!I$4=Master!AB$20),"",$N$6))</f>
        <v>4000</v>
      </c>
      <c r="O16" s="64" t="str">
        <f>IF(AND(C16=""),"",IF(AND(Master!I$4=Master!AB$20),"",IF(AND(Master!I$5=Master!AC$2),$O$6,"")))</f>
        <v/>
      </c>
      <c r="P16" s="224" t="str">
        <f>IF(AND(C16=""),"",IF(AND(Master!I$4=Master!AB$20),"",IF(AND(Master!I$5=Master!AC$3),"",IF(D16&lt;18001,242,IF(D16&lt;33501,402,IF(D16&lt;54001,602,800))))))</f>
        <v/>
      </c>
      <c r="Q16" s="224">
        <f>IF(AND(Master!I$4=Master!AB$20),ROUND((D16)*0.1,0),IF(AND(Master!I$5=Master!AC$3),ROUND((D16+E16)*0.1,0),""))</f>
        <v>5522</v>
      </c>
      <c r="R16" s="224">
        <f>IF(AND(Master!I$4=Master!AB$20),ROUND((D16)*0.1,0),IF(AND(Master!I$5=Master!AC$3),ROUND((D16+E16)*0.1,0),""))</f>
        <v>5522</v>
      </c>
      <c r="S16" s="64">
        <f>IF(AND(C16=""),"",IF(AND($S$6=""),"",IF(AND(Master!$I$4=Master!$AB$20),"",$S$6)))</f>
        <v>2158</v>
      </c>
      <c r="T16" s="64" t="str">
        <f>IF(AND(C16=""),"",IF(AND($T$6=""),"",IF(AND(Master!$I$4=Master!$AB$20),"",$T$6)))</f>
        <v/>
      </c>
      <c r="U16" s="64" t="str">
        <f>IF(AND(C16=""),"",IF(AND($U$6=""),"",IF(AND(Master!$I$4=Master!$AB$20),"",$U$6)))</f>
        <v/>
      </c>
      <c r="V16" s="64" t="str">
        <f>IF(AND(C16=""),"",IF(AND($V$6=""),"",IF(AND(Master!$I$4=Master!$AB$20),"",$V$6)))</f>
        <v/>
      </c>
      <c r="W16" s="64">
        <f t="shared" si="5"/>
        <v>500</v>
      </c>
      <c r="X16" s="64"/>
      <c r="Y16" s="64" t="str">
        <f t="shared" si="6"/>
        <v/>
      </c>
      <c r="Z16" s="31">
        <f t="shared" si="7"/>
        <v>17702</v>
      </c>
      <c r="AA16" s="30">
        <f t="shared" si="8"/>
        <v>46980</v>
      </c>
      <c r="AB16" s="8"/>
      <c r="AC16" s="211"/>
      <c r="AD16" s="18"/>
      <c r="AE16" s="18"/>
      <c r="AF16" s="18"/>
      <c r="AG16" s="18"/>
      <c r="AH16" s="18"/>
      <c r="AI16" s="18"/>
      <c r="AJ16" s="18"/>
      <c r="AK16" s="18" t="s">
        <v>241</v>
      </c>
      <c r="AL16" s="232">
        <v>43647</v>
      </c>
      <c r="AM16" s="4">
        <v>7</v>
      </c>
      <c r="AN16" s="233">
        <f>E3</f>
        <v>43525</v>
      </c>
      <c r="AO16" s="357">
        <f>IF(AND($E$2=""),"",IF(AND(Master!I$4=Master!AB$20),$E$2,AN18))</f>
        <v>49300</v>
      </c>
      <c r="AP16" s="429">
        <f t="shared" si="10"/>
        <v>49300</v>
      </c>
      <c r="AQ16" s="18">
        <f t="shared" si="11"/>
        <v>5916</v>
      </c>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row>
    <row r="17" spans="1:186" ht="16.5" customHeight="1">
      <c r="A17" s="27" t="s">
        <v>247</v>
      </c>
      <c r="B17" s="210">
        <v>11</v>
      </c>
      <c r="C17" s="433">
        <f t="shared" si="0"/>
        <v>43831</v>
      </c>
      <c r="D17" s="234">
        <f t="shared" si="1"/>
        <v>49300</v>
      </c>
      <c r="E17" s="64">
        <f>IF(AND(Master!I$4=Master!AB$20),"",IF(AND(D17=""),"",ROUND(12%*D17,0)))</f>
        <v>5916</v>
      </c>
      <c r="F17" s="58">
        <f>IF(AND(Master!I$4=Master!AB$20),"",IF(AND(D17=""),"",ROUND(Master!$E$5%*D17,0)))</f>
        <v>3944</v>
      </c>
      <c r="G17" s="64" t="str">
        <f t="shared" si="2"/>
        <v/>
      </c>
      <c r="H17" s="64" t="str">
        <f t="shared" si="3"/>
        <v/>
      </c>
      <c r="I17" s="197"/>
      <c r="J17" s="64" t="str">
        <f>IF(AND(C17=""),"",IF(AND($J$6=""),"",IF(AND(Master!$I$4=Master!$AB$20),"",$J$6)))</f>
        <v/>
      </c>
      <c r="K17" s="224">
        <f>IF(AND(Master!I$4=Master!AB$20),ROUND((D17)*0.1,0),IF(AND(Master!I$5=Master!AC$3),ROUND((D17+E17)*0.1,0),""))</f>
        <v>5522</v>
      </c>
      <c r="L17" s="64" t="str">
        <f>IF(AND(C17=""),"",IF(AND($L$6=""),"",IF(AND(Master!$I$4=Master!$AB$20),"",$L$6)))</f>
        <v/>
      </c>
      <c r="M17" s="60">
        <f t="shared" si="4"/>
        <v>64682</v>
      </c>
      <c r="N17" s="64">
        <f>IF(AND(C17=""),"",IF(AND(Master!I$4=Master!AB$20),"",$N$6))</f>
        <v>4000</v>
      </c>
      <c r="O17" s="64" t="str">
        <f>IF(AND(C17=""),"",IF(AND(Master!I$4=Master!AB$20),"",IF(AND(Master!I$5=Master!AC$2),$O$6,"")))</f>
        <v/>
      </c>
      <c r="P17" s="224" t="str">
        <f>IF(AND(C17=""),"",IF(AND(Master!I$4=Master!AB$20),"",IF(AND(Master!I$5=Master!AC$3),"",IF(D17&lt;18001,242,IF(D17&lt;33501,402,IF(D17&lt;54001,602,800))))))</f>
        <v/>
      </c>
      <c r="Q17" s="224">
        <f>IF(AND(Master!I$4=Master!AB$20),ROUND((D17)*0.1,0),IF(AND(Master!I$5=Master!AC$3),ROUND((D17+E17)*0.1,0),""))</f>
        <v>5522</v>
      </c>
      <c r="R17" s="224">
        <f>IF(AND(Master!I$4=Master!AB$20),ROUND((D17)*0.1,0),IF(AND(Master!I$5=Master!AC$3),ROUND((D17+E17)*0.1,0),""))</f>
        <v>5522</v>
      </c>
      <c r="S17" s="64">
        <f>IF(AND(C17=""),"",IF(AND($S$6=""),"",IF(AND(Master!$I$4=Master!$AB$20),"",$S$6)))</f>
        <v>2158</v>
      </c>
      <c r="T17" s="64" t="str">
        <f>IF(AND(C17=""),"",IF(AND($T$6=""),"",IF(AND(Master!$I$4=Master!$AB$20),"",$T$6)))</f>
        <v/>
      </c>
      <c r="U17" s="64" t="str">
        <f>IF(AND(C17=""),"",IF(AND($U$6=""),"",IF(AND(Master!$I$4=Master!$AB$20),"",$U$6)))</f>
        <v/>
      </c>
      <c r="V17" s="64" t="str">
        <f>IF(AND(C17=""),"",IF(AND($V$6=""),"",IF(AND(Master!$I$4=Master!$AB$20),"",$V$6)))</f>
        <v/>
      </c>
      <c r="W17" s="64">
        <f t="shared" si="5"/>
        <v>500</v>
      </c>
      <c r="X17" s="64"/>
      <c r="Y17" s="64" t="str">
        <f t="shared" si="6"/>
        <v/>
      </c>
      <c r="Z17" s="31">
        <f t="shared" si="7"/>
        <v>17702</v>
      </c>
      <c r="AA17" s="30">
        <f t="shared" si="8"/>
        <v>46980</v>
      </c>
      <c r="AB17" s="8"/>
      <c r="AC17" s="211"/>
      <c r="AD17" s="18"/>
      <c r="AE17" s="18"/>
      <c r="AF17" s="18"/>
      <c r="AG17" s="18"/>
      <c r="AH17" s="18"/>
      <c r="AI17" s="18"/>
      <c r="AJ17" s="18"/>
      <c r="AK17" s="18" t="s">
        <v>242</v>
      </c>
      <c r="AL17" s="232">
        <v>43678</v>
      </c>
      <c r="AM17" s="4">
        <v>8</v>
      </c>
      <c r="AN17" s="233">
        <f>J3</f>
        <v>43862</v>
      </c>
      <c r="AO17" s="357">
        <f>IF(AND($E$2=""),"",$AN$18)</f>
        <v>49300</v>
      </c>
      <c r="AP17" s="429">
        <f t="shared" si="10"/>
        <v>49300</v>
      </c>
      <c r="AQ17" s="18">
        <f t="shared" si="11"/>
        <v>5916</v>
      </c>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row>
    <row r="18" spans="1:186" ht="16.5" customHeight="1">
      <c r="A18" s="49" t="s">
        <v>248</v>
      </c>
      <c r="B18" s="210">
        <v>12</v>
      </c>
      <c r="C18" s="433">
        <f t="shared" si="0"/>
        <v>43862</v>
      </c>
      <c r="D18" s="234">
        <f t="shared" si="1"/>
        <v>49300</v>
      </c>
      <c r="E18" s="64">
        <f>IF(AND(Master!I$4=Master!AB$20),"",IF(AND(D18=""),"",ROUND(12%*D18,0)))</f>
        <v>5916</v>
      </c>
      <c r="F18" s="58">
        <f>IF(AND(Master!I$4=Master!AB$20),"",IF(AND(D18=""),"",ROUND(Master!$E$5%*D18,0)))</f>
        <v>3944</v>
      </c>
      <c r="G18" s="64" t="str">
        <f t="shared" si="2"/>
        <v/>
      </c>
      <c r="H18" s="64" t="str">
        <f t="shared" si="3"/>
        <v/>
      </c>
      <c r="I18" s="197"/>
      <c r="J18" s="64" t="str">
        <f>IF(AND(C18=""),"",IF(AND($J$6=""),"",IF(AND(Master!$I$4=Master!$AB$20),"",$J$6)))</f>
        <v/>
      </c>
      <c r="K18" s="224">
        <f>IF(AND(Master!I$4=Master!AB$20),ROUND((D18)*0.1,0),IF(AND(Master!I$5=Master!AC$3),ROUND((D18+E18)*0.1,0),""))</f>
        <v>5522</v>
      </c>
      <c r="L18" s="64" t="str">
        <f>IF(AND(C18=""),"",IF(AND(L17=""),"",IF(AND(Master!$I$4=Master!$AB$20),"",L17)))</f>
        <v/>
      </c>
      <c r="M18" s="60">
        <f t="shared" si="4"/>
        <v>64682</v>
      </c>
      <c r="N18" s="64">
        <f>IF(AND(C18=""),"",IF(AND(Master!I$4=Master!AB$20),"",$N$6))</f>
        <v>4000</v>
      </c>
      <c r="O18" s="64" t="str">
        <f>IF(AND(C18=""),"",IF(AND(Master!I$4=Master!AB$20),"",IF(AND(Master!I$5=Master!AC$2),$O$6,"")))</f>
        <v/>
      </c>
      <c r="P18" s="224" t="str">
        <f>IF(AND(C18=""),"",IF(AND(Master!I$4=Master!AB$20),"",IF(AND(Master!I$5=Master!AC$3),"",IF(D18&lt;18001,242,IF(D18&lt;33501,402,IF(D18&lt;54001,602,800))))))</f>
        <v/>
      </c>
      <c r="Q18" s="224">
        <f>IF(AND(Master!I$4=Master!AB$20),ROUND((D18)*0.1,0),IF(AND(Master!I$5=Master!AC$3),ROUND((D18+E18)*0.1,0),""))</f>
        <v>5522</v>
      </c>
      <c r="R18" s="224">
        <f>IF(AND(Master!I$4=Master!AB$20),ROUND((D18)*0.1,0),IF(AND(Master!I$5=Master!AC$3),ROUND((D18+E18)*0.1,0),""))</f>
        <v>5522</v>
      </c>
      <c r="S18" s="64">
        <f>IF(AND(C18=""),"",IF(AND($S$6=""),"",IF(AND(Master!$I$4=Master!$AB$20),"",$S$6)))</f>
        <v>2158</v>
      </c>
      <c r="T18" s="64" t="str">
        <f>IF(AND(C18=""),"",IF(AND($T$6=""),"",IF(AND(Master!$I$4=Master!$AB$20),"",$T$6)))</f>
        <v/>
      </c>
      <c r="U18" s="64" t="str">
        <f>IF(AND(C18=""),"",IF(AND($U$6=""),"",IF(AND(Master!$I$4=Master!$AB$20),"",$U$6)))</f>
        <v/>
      </c>
      <c r="V18" s="64" t="str">
        <f>IF(AND(C18=""),"",IF(AND($V$6=""),"",IF(AND(Master!$I$4=Master!$AB$20),"",$V$6)))</f>
        <v/>
      </c>
      <c r="W18" s="64">
        <f t="shared" si="5"/>
        <v>500</v>
      </c>
      <c r="X18" s="64"/>
      <c r="Y18" s="64" t="str">
        <f>IF(AND(C18=""),"",IF(AND($Y$6=""),"",$Y$6))</f>
        <v/>
      </c>
      <c r="Z18" s="31">
        <f t="shared" si="7"/>
        <v>17702</v>
      </c>
      <c r="AA18" s="30">
        <f t="shared" si="8"/>
        <v>46980</v>
      </c>
      <c r="AB18" s="8"/>
      <c r="AC18" s="211"/>
      <c r="AD18" s="57"/>
      <c r="AE18" s="18"/>
      <c r="AF18" s="18"/>
      <c r="AG18" s="18"/>
      <c r="AH18" s="18"/>
      <c r="AI18" s="18"/>
      <c r="AJ18" s="18"/>
      <c r="AK18" s="18" t="s">
        <v>243</v>
      </c>
      <c r="AL18" s="232">
        <v>43709</v>
      </c>
      <c r="AM18" s="4">
        <v>9</v>
      </c>
      <c r="AN18" s="4">
        <f>IF(AND(AN15=""),"",MROUND(AN15*1.03,100))</f>
        <v>49300</v>
      </c>
      <c r="AO18" s="357">
        <f t="shared" ref="AO18:AO22" si="12">IF(AND($E$2=""),"",$AN$18)</f>
        <v>49300</v>
      </c>
      <c r="AP18" s="429">
        <f t="shared" si="10"/>
        <v>49300</v>
      </c>
      <c r="AQ18" s="18">
        <f t="shared" si="11"/>
        <v>5916</v>
      </c>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row>
    <row r="19" spans="1:186" s="38" customFormat="1" ht="16.5" customHeight="1">
      <c r="B19" s="210">
        <v>13</v>
      </c>
      <c r="C19" s="434" t="s">
        <v>11</v>
      </c>
      <c r="D19" s="225"/>
      <c r="E19" s="236"/>
      <c r="F19" s="235"/>
      <c r="G19" s="225"/>
      <c r="H19" s="225"/>
      <c r="I19" s="400">
        <f>IF(AND($E$2=""),"",IF(AND(Master!I3=""),"",IF(AND(Master!I3=Master!AB2),Master!J3,IF(AND(Master!I3=Master!AB2),"0",""))))</f>
        <v>6774</v>
      </c>
      <c r="J19" s="225"/>
      <c r="K19" s="224"/>
      <c r="L19" s="225"/>
      <c r="M19" s="60">
        <f>IF(AND(C19=""),"",SUM(D19,E19,F19,G19,H19,I19,J19,K19,L19))</f>
        <v>6774</v>
      </c>
      <c r="N19" s="225"/>
      <c r="O19" s="225"/>
      <c r="P19" s="224"/>
      <c r="Q19" s="224"/>
      <c r="R19" s="224">
        <f>IF(AND(Master!I$4=Master!AB$20),ROUND((D19)*0.1,0),IF(AND(Master!I$5=Master!AC$3),ROUND((D19+E19)*0.1,0),""))</f>
        <v>0</v>
      </c>
      <c r="S19" s="225"/>
      <c r="T19" s="225"/>
      <c r="U19" s="225"/>
      <c r="V19" s="225"/>
      <c r="W19" s="226"/>
      <c r="X19" s="225"/>
      <c r="Y19" s="237"/>
      <c r="Z19" s="31">
        <f t="shared" si="7"/>
        <v>0</v>
      </c>
      <c r="AA19" s="30">
        <f t="shared" si="8"/>
        <v>6774</v>
      </c>
      <c r="AB19" s="36"/>
      <c r="AC19" s="415"/>
      <c r="AD19" s="19"/>
      <c r="AE19" s="19"/>
      <c r="AF19" s="19"/>
      <c r="AG19" s="19"/>
      <c r="AH19" s="19"/>
      <c r="AI19" s="19"/>
      <c r="AJ19" s="19"/>
      <c r="AK19" s="18" t="s">
        <v>244</v>
      </c>
      <c r="AL19" s="232">
        <v>43739</v>
      </c>
      <c r="AM19" s="4">
        <v>10</v>
      </c>
      <c r="AN19" s="4"/>
      <c r="AO19" s="357">
        <f t="shared" si="12"/>
        <v>49300</v>
      </c>
      <c r="AP19" s="429">
        <f t="shared" si="10"/>
        <v>49300</v>
      </c>
      <c r="AQ19" s="18">
        <f t="shared" si="11"/>
        <v>5916</v>
      </c>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row>
    <row r="20" spans="1:186" s="34" customFormat="1" ht="16.5" customHeight="1">
      <c r="B20" s="210">
        <v>14</v>
      </c>
      <c r="C20" s="433" t="s">
        <v>496</v>
      </c>
      <c r="D20" s="423">
        <f>IF(AND($E$2=""),"",IF(AND(Master!I4=Master!AB20),"",IF(Master!E2="NO",0,VLOOKUP(Master!I2,'GA55 Entry'!AK12:AQ24,5,0))/2))</f>
        <v>24650</v>
      </c>
      <c r="E20" s="58">
        <f>IF(AND($E$2=""),"",IF(AND(Master!I4=Master!AB20),"",IF(Master!E2="NO",0,VLOOKUP(Master!I2,'GA55 Entry'!AK12:AQ24,7,0))/2))</f>
        <v>2958</v>
      </c>
      <c r="F20" s="235"/>
      <c r="G20" s="225"/>
      <c r="H20" s="225"/>
      <c r="I20" s="225"/>
      <c r="J20" s="225"/>
      <c r="K20" s="224"/>
      <c r="L20" s="225"/>
      <c r="M20" s="60">
        <f t="shared" si="4"/>
        <v>27608</v>
      </c>
      <c r="N20" s="225"/>
      <c r="O20" s="224"/>
      <c r="P20" s="224"/>
      <c r="Q20" s="224"/>
      <c r="R20" s="224">
        <f>IF(AND(Master!I$4=Master!AB$20),ROUND((D20)*0.1,0),IF(AND(Master!I$5=Master!AC$3),ROUND((D20+E20)*0.1,0),""))</f>
        <v>2761</v>
      </c>
      <c r="S20" s="225"/>
      <c r="T20" s="225"/>
      <c r="U20" s="225"/>
      <c r="V20" s="225"/>
      <c r="W20" s="226"/>
      <c r="X20" s="225"/>
      <c r="Y20" s="237"/>
      <c r="Z20" s="31">
        <f t="shared" si="7"/>
        <v>2761</v>
      </c>
      <c r="AA20" s="30">
        <f t="shared" si="8"/>
        <v>24847</v>
      </c>
      <c r="AB20" s="5"/>
      <c r="AC20" s="213"/>
      <c r="AD20" s="20"/>
      <c r="AE20" s="20"/>
      <c r="AF20" s="20"/>
      <c r="AG20" s="20"/>
      <c r="AH20" s="20"/>
      <c r="AI20" s="20"/>
      <c r="AJ20" s="20"/>
      <c r="AK20" s="18" t="s">
        <v>245</v>
      </c>
      <c r="AL20" s="232">
        <v>43770</v>
      </c>
      <c r="AM20" s="4">
        <v>11</v>
      </c>
      <c r="AN20" s="4"/>
      <c r="AO20" s="357">
        <f t="shared" si="12"/>
        <v>49300</v>
      </c>
      <c r="AP20" s="429">
        <f t="shared" si="10"/>
        <v>49300</v>
      </c>
      <c r="AQ20" s="18">
        <f t="shared" si="11"/>
        <v>5916</v>
      </c>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row>
    <row r="21" spans="1:186" s="34" customFormat="1" ht="16.5" customHeight="1">
      <c r="B21" s="210">
        <v>15</v>
      </c>
      <c r="C21" s="420" t="s">
        <v>499</v>
      </c>
      <c r="D21" s="55"/>
      <c r="E21" s="64">
        <f>IF(AND($E$2=""),"",IF(AND(Master!I4=Master!AB20),"",(ROUND(12%*AO12,0)-ROUND(9%*AO12,0))*2))</f>
        <v>2874</v>
      </c>
      <c r="F21" s="235"/>
      <c r="G21" s="225"/>
      <c r="H21" s="225"/>
      <c r="I21" s="225"/>
      <c r="J21" s="225"/>
      <c r="K21" s="224">
        <f>IF(AND(C21=""),"",IF(AND(Master!I$4=Master!AB$20),"",IF(AND(Master!I$5=Master!AC$3),ROUND((D21+E21)*0.1,0),"")))</f>
        <v>287</v>
      </c>
      <c r="L21" s="225"/>
      <c r="M21" s="60">
        <f t="shared" si="4"/>
        <v>3161</v>
      </c>
      <c r="N21" s="225"/>
      <c r="O21" s="224" t="str">
        <f>IF(AND(Master!I5=Master!AC$2),'GA55 Entry'!E21,"")</f>
        <v/>
      </c>
      <c r="P21" s="224"/>
      <c r="Q21" s="224">
        <f>IF(AND(C21=""),"",IF(AND(Master!I$4=Master!AB$20),"",IF(AND(Master!I$5=Master!AC$3),ROUND((D21+E21)*0.1,0),"")))</f>
        <v>287</v>
      </c>
      <c r="R21" s="224">
        <f>IF(AND(Master!I$4=Master!AB$20),ROUND((D21)*0.1,0),IF(AND(Master!I$5=Master!AC$3),ROUND((D21+E21)*0.1,0),""))</f>
        <v>287</v>
      </c>
      <c r="S21" s="225"/>
      <c r="T21" s="225"/>
      <c r="U21" s="225"/>
      <c r="V21" s="225"/>
      <c r="W21" s="226"/>
      <c r="X21" s="225"/>
      <c r="Y21" s="237"/>
      <c r="Z21" s="31">
        <f t="shared" si="7"/>
        <v>574</v>
      </c>
      <c r="AA21" s="30">
        <f t="shared" si="8"/>
        <v>2587</v>
      </c>
      <c r="AB21" s="5"/>
      <c r="AC21" s="414"/>
      <c r="AD21" s="20"/>
      <c r="AE21" s="20"/>
      <c r="AF21" s="20"/>
      <c r="AG21" s="20"/>
      <c r="AH21" s="20"/>
      <c r="AI21" s="20"/>
      <c r="AJ21" s="20"/>
      <c r="AK21" s="18" t="s">
        <v>246</v>
      </c>
      <c r="AL21" s="232">
        <v>43800</v>
      </c>
      <c r="AM21" s="4">
        <v>12</v>
      </c>
      <c r="AN21" s="4"/>
      <c r="AO21" s="357">
        <f t="shared" si="12"/>
        <v>49300</v>
      </c>
      <c r="AP21" s="429">
        <f t="shared" si="10"/>
        <v>49300</v>
      </c>
      <c r="AQ21" s="18">
        <f t="shared" si="11"/>
        <v>5916</v>
      </c>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row>
    <row r="22" spans="1:186" ht="16.5" customHeight="1">
      <c r="B22" s="210">
        <v>16</v>
      </c>
      <c r="C22" s="420" t="s">
        <v>500</v>
      </c>
      <c r="D22" s="64"/>
      <c r="E22" s="64"/>
      <c r="F22" s="235"/>
      <c r="G22" s="236"/>
      <c r="H22" s="236"/>
      <c r="I22" s="236"/>
      <c r="J22" s="370"/>
      <c r="K22" s="224">
        <f>IF(AND(C22=""),"",IF(AND(Master!I$4=Master!AB$20),"",IF(AND(Master!I$5=Master!AC$3),ROUND((D22+E22)*0.1,0),"")))</f>
        <v>0</v>
      </c>
      <c r="L22" s="370"/>
      <c r="M22" s="60">
        <f t="shared" si="4"/>
        <v>0</v>
      </c>
      <c r="N22" s="370"/>
      <c r="O22" s="224" t="str">
        <f>IF(AND($E$2=""),"",IF(AND(Master!I5=Master!AC$2),'GA55 Entry'!E22,""))</f>
        <v/>
      </c>
      <c r="P22" s="369"/>
      <c r="Q22" s="224">
        <f>IF(AND(C22=""),"",IF(AND(Master!I$4=Master!AB$20),"",IF(AND(Master!I$5=Master!AC$3),ROUND((D22+E22)*0.1,0),"")))</f>
        <v>0</v>
      </c>
      <c r="R22" s="224">
        <f>IF(AND(Master!I$4=Master!AB$20),ROUND((D22)*0.1,0),IF(AND(Master!I$5=Master!AC$3),ROUND((D22+E22)*0.1,0),""))</f>
        <v>0</v>
      </c>
      <c r="S22" s="370"/>
      <c r="T22" s="370"/>
      <c r="U22" s="370"/>
      <c r="V22" s="370"/>
      <c r="W22" s="371"/>
      <c r="X22" s="370"/>
      <c r="Y22" s="238"/>
      <c r="Z22" s="31">
        <f t="shared" si="7"/>
        <v>0</v>
      </c>
      <c r="AA22" s="30">
        <f t="shared" si="8"/>
        <v>0</v>
      </c>
      <c r="AB22" s="8"/>
      <c r="AC22" s="212"/>
      <c r="AD22" s="18"/>
      <c r="AE22" s="18"/>
      <c r="AF22" s="18"/>
      <c r="AG22" s="18"/>
      <c r="AH22" s="18"/>
      <c r="AI22" s="18"/>
      <c r="AJ22" s="18"/>
      <c r="AK22" s="18" t="s">
        <v>247</v>
      </c>
      <c r="AL22" s="232">
        <v>43831</v>
      </c>
      <c r="AM22" s="4">
        <v>1</v>
      </c>
      <c r="AN22" s="4"/>
      <c r="AO22" s="357">
        <f t="shared" si="12"/>
        <v>49300</v>
      </c>
      <c r="AP22" s="429">
        <f t="shared" si="10"/>
        <v>49300</v>
      </c>
      <c r="AQ22" s="18">
        <f t="shared" si="11"/>
        <v>5916</v>
      </c>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row>
    <row r="23" spans="1:186" ht="16.5" customHeight="1">
      <c r="B23" s="210">
        <v>17</v>
      </c>
      <c r="C23" s="401" t="s">
        <v>498</v>
      </c>
      <c r="D23" s="65"/>
      <c r="E23" s="65"/>
      <c r="F23" s="63"/>
      <c r="G23" s="63"/>
      <c r="H23" s="63"/>
      <c r="I23" s="63"/>
      <c r="J23" s="63"/>
      <c r="K23" s="234">
        <f>IF(AND(C23=""),"",IF(AND(Master!I$4=Master!AB$20),"",IF(AND(Master!I$5=Master!AC$3),ROUND((D23+E23)*0.1,0),"")))</f>
        <v>0</v>
      </c>
      <c r="L23" s="58"/>
      <c r="M23" s="60">
        <f t="shared" si="4"/>
        <v>0</v>
      </c>
      <c r="N23" s="274"/>
      <c r="O23" s="65"/>
      <c r="P23" s="64"/>
      <c r="Q23" s="234">
        <f>IF(AND(C23=""),"",IF(AND(Master!I$4=Master!AB$20),"",IF(AND(Master!I$5=Master!AC$3),ROUND((D23+E23)*0.1,0),"")))</f>
        <v>0</v>
      </c>
      <c r="R23" s="58">
        <f>IF(AND(Master!I$4=Master!AB$20),ROUND((D23)*0.1,0),IF(AND(Master!I$5=Master!AC$3),ROUND((D23+E23)*0.1,0),""))</f>
        <v>0</v>
      </c>
      <c r="S23" s="236"/>
      <c r="T23" s="236"/>
      <c r="U23" s="236"/>
      <c r="V23" s="236"/>
      <c r="W23" s="58"/>
      <c r="X23" s="236"/>
      <c r="Y23" s="227"/>
      <c r="Z23" s="31">
        <f t="shared" si="7"/>
        <v>0</v>
      </c>
      <c r="AA23" s="30">
        <f t="shared" si="8"/>
        <v>0</v>
      </c>
      <c r="AB23" s="8"/>
      <c r="AC23" s="211"/>
      <c r="AD23" s="18"/>
      <c r="AE23" s="18"/>
      <c r="AF23" s="18"/>
      <c r="AG23" s="18"/>
      <c r="AH23" s="18"/>
      <c r="AI23" s="18"/>
      <c r="AJ23" s="18"/>
      <c r="AK23" s="18" t="s">
        <v>248</v>
      </c>
      <c r="AL23" s="232">
        <v>43862</v>
      </c>
      <c r="AM23" s="4">
        <v>2</v>
      </c>
      <c r="AN23" s="4"/>
      <c r="AO23" s="357">
        <f>IF(AND($E$2=""),"",$AN$18)</f>
        <v>49300</v>
      </c>
      <c r="AP23" s="429">
        <f t="shared" si="10"/>
        <v>49300</v>
      </c>
      <c r="AQ23" s="18">
        <f>IF(AND($E$2=""),"",ROUND(12%*AO23,0))</f>
        <v>5916</v>
      </c>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row>
    <row r="24" spans="1:186" ht="16.5" customHeight="1">
      <c r="B24" s="210">
        <v>18</v>
      </c>
      <c r="C24" s="401" t="s">
        <v>497</v>
      </c>
      <c r="D24" s="65"/>
      <c r="E24" s="65"/>
      <c r="F24" s="63"/>
      <c r="G24" s="65"/>
      <c r="H24" s="65"/>
      <c r="I24" s="65"/>
      <c r="J24" s="65"/>
      <c r="K24" s="234">
        <f>IF(AND(C24=""),"",IF(AND(Master!I$4=Master!AB$20),"",IF(AND(Master!I$5=Master!AC$3),ROUND((D24+E24)*0.1,0),"")))</f>
        <v>0</v>
      </c>
      <c r="L24" s="65"/>
      <c r="M24" s="60">
        <f t="shared" si="4"/>
        <v>0</v>
      </c>
      <c r="N24" s="274"/>
      <c r="O24" s="65"/>
      <c r="P24" s="64"/>
      <c r="Q24" s="234">
        <f>IF(AND(C24=""),"",IF(AND(Master!I$4=Master!AB$20),"",IF(AND(Master!I$5=Master!AC$3),ROUND((D24+E24)*0.1,0),"")))</f>
        <v>0</v>
      </c>
      <c r="R24" s="58">
        <f>IF(AND(Master!I$4=Master!AB$20),ROUND((D24)*0.1,0),IF(AND(Master!I$5=Master!AC$3),ROUND((D24+E24)*0.1,0),""))</f>
        <v>0</v>
      </c>
      <c r="S24" s="236"/>
      <c r="T24" s="236"/>
      <c r="U24" s="236"/>
      <c r="V24" s="236"/>
      <c r="W24" s="58"/>
      <c r="X24" s="236"/>
      <c r="Y24" s="227"/>
      <c r="Z24" s="31">
        <f t="shared" si="7"/>
        <v>0</v>
      </c>
      <c r="AA24" s="30">
        <f t="shared" si="8"/>
        <v>0</v>
      </c>
      <c r="AB24" s="8"/>
      <c r="AC24" s="211"/>
      <c r="AD24" s="18"/>
      <c r="AE24" s="18"/>
      <c r="AF24" s="18"/>
      <c r="AG24" s="18"/>
      <c r="AH24" s="18"/>
      <c r="AI24" s="18"/>
      <c r="AJ24" s="18"/>
      <c r="AK24" s="18"/>
      <c r="AL24" s="232"/>
      <c r="AM24" s="4"/>
      <c r="AN24" s="4"/>
      <c r="AO24" s="357"/>
      <c r="AP24" s="429" t="str">
        <f t="shared" si="10"/>
        <v/>
      </c>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row>
    <row r="25" spans="1:186" ht="16.5" customHeight="1">
      <c r="B25" s="210">
        <v>19</v>
      </c>
      <c r="C25" s="401"/>
      <c r="D25" s="424"/>
      <c r="E25" s="363"/>
      <c r="F25" s="365"/>
      <c r="G25" s="363"/>
      <c r="H25" s="363"/>
      <c r="I25" s="363"/>
      <c r="J25" s="363"/>
      <c r="K25" s="234" t="str">
        <f>IF(AND(C25=""),"",IF(AND(Master!I$4=Master!AB$20),"",IF(AND(Master!I$5=Master!AC$3),ROUND((D25+E25)*0.1,0),"")))</f>
        <v/>
      </c>
      <c r="L25" s="363"/>
      <c r="M25" s="60" t="str">
        <f t="shared" si="4"/>
        <v/>
      </c>
      <c r="N25" s="366"/>
      <c r="O25" s="65"/>
      <c r="P25" s="364"/>
      <c r="Q25" s="234" t="str">
        <f>IF(AND(C25=""),"",IF(AND(Master!I$4=Master!AB$20),"",IF(AND(Master!I$5=Master!AC$3),ROUND((D25+E25)*0.1,0),"")))</f>
        <v/>
      </c>
      <c r="R25" s="58">
        <f>IF(AND(Master!I$4=Master!AB$20),ROUND((D25)*0.1,0),IF(AND(Master!I$5=Master!AC$3),ROUND((D25+E25)*0.1,0),""))</f>
        <v>0</v>
      </c>
      <c r="S25" s="367"/>
      <c r="T25" s="367"/>
      <c r="U25" s="367"/>
      <c r="V25" s="367"/>
      <c r="W25" s="58"/>
      <c r="X25" s="367"/>
      <c r="Y25" s="227"/>
      <c r="Z25" s="31" t="str">
        <f t="shared" si="7"/>
        <v/>
      </c>
      <c r="AA25" s="30" t="str">
        <f t="shared" si="8"/>
        <v/>
      </c>
      <c r="AB25" s="368"/>
      <c r="AC25" s="211"/>
      <c r="AD25" s="18"/>
      <c r="AE25" s="18"/>
      <c r="AF25" s="18"/>
      <c r="AG25" s="18"/>
      <c r="AH25" s="18"/>
      <c r="AI25" s="18"/>
      <c r="AJ25" s="18"/>
      <c r="AK25" s="18"/>
      <c r="AL25" s="232"/>
      <c r="AM25" s="4"/>
      <c r="AN25" s="4"/>
      <c r="AO25" s="359"/>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row>
    <row r="26" spans="1:186" ht="16.5" customHeight="1">
      <c r="B26" s="210">
        <v>20</v>
      </c>
      <c r="C26" s="401"/>
      <c r="D26" s="65"/>
      <c r="E26" s="65"/>
      <c r="F26" s="63"/>
      <c r="G26" s="65"/>
      <c r="H26" s="65"/>
      <c r="I26" s="65"/>
      <c r="J26" s="65"/>
      <c r="K26" s="234" t="str">
        <f>IF(AND(C26=""),"",IF(AND(Master!I$4=Master!AB$20),"",IF(AND(Master!I$5=Master!AC$3),ROUND((D26+E26)*0.1,0),"")))</f>
        <v/>
      </c>
      <c r="L26" s="65"/>
      <c r="M26" s="60" t="str">
        <f t="shared" si="4"/>
        <v/>
      </c>
      <c r="N26" s="274"/>
      <c r="O26" s="65"/>
      <c r="P26" s="64"/>
      <c r="Q26" s="234" t="str">
        <f>IF(AND(C26=""),"",IF(AND(Master!I$4=Master!AB$20),"",IF(AND(Master!I$5=Master!AC$3),ROUND((D26+E26)*0.1,0),"")))</f>
        <v/>
      </c>
      <c r="R26" s="58">
        <f>IF(AND(Master!I$4=Master!AB$20),ROUND((D26)*0.1,0),IF(AND(Master!I$5=Master!AC$3),ROUND((D26+E26)*0.1,0),""))</f>
        <v>0</v>
      </c>
      <c r="S26" s="236"/>
      <c r="T26" s="236"/>
      <c r="U26" s="236"/>
      <c r="V26" s="236"/>
      <c r="W26" s="58"/>
      <c r="X26" s="236"/>
      <c r="Y26" s="227"/>
      <c r="Z26" s="31" t="str">
        <f t="shared" si="7"/>
        <v/>
      </c>
      <c r="AA26" s="30" t="str">
        <f t="shared" si="8"/>
        <v/>
      </c>
      <c r="AB26" s="8"/>
      <c r="AC26" s="211"/>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row>
    <row r="27" spans="1:186" s="13" customFormat="1" ht="16.5" hidden="1" customHeight="1" thickBot="1">
      <c r="A27" s="198"/>
      <c r="B27" s="210">
        <v>21</v>
      </c>
      <c r="C27" s="59"/>
      <c r="D27" s="214"/>
      <c r="E27" s="214"/>
      <c r="F27" s="215"/>
      <c r="G27" s="214"/>
      <c r="H27" s="214"/>
      <c r="I27" s="214"/>
      <c r="J27" s="214"/>
      <c r="K27" s="234" t="str">
        <f>IF(AND(C27=""),"",IF(AND(Master!I$4=Master!AB$20),"",IF(AND(Master!I$5=Master!AC$3),ROUND((D27+E27)*0.1,0),"")))</f>
        <v/>
      </c>
      <c r="L27" s="214"/>
      <c r="M27" s="60" t="str">
        <f t="shared" ref="M8:M27" si="13">IF(AND(C27=""),"",SUM(D27,E27,F27,G27,H27,I27,J27,L27))</f>
        <v/>
      </c>
      <c r="N27" s="275"/>
      <c r="O27" s="214"/>
      <c r="P27" s="321"/>
      <c r="Q27" s="234" t="str">
        <f>IF(AND(C27=""),"",IF(AND(Master!I$4=Master!AB$20),"",IF(AND(Master!I$5=Master!AC$3),ROUND((D27+E27)*0.1,0),"")))</f>
        <v/>
      </c>
      <c r="R27" s="870"/>
      <c r="S27" s="320"/>
      <c r="T27" s="320"/>
      <c r="U27" s="320"/>
      <c r="V27" s="320"/>
      <c r="W27" s="58"/>
      <c r="X27" s="320"/>
      <c r="Y27" s="228"/>
      <c r="Z27" s="31" t="str">
        <f t="shared" ref="Z27" si="14">IF(AND(C27=""),"",SUM(N27:Y27))</f>
        <v/>
      </c>
      <c r="AA27" s="30" t="str">
        <f t="shared" ref="AA27" si="15">IF(AND(C27=""),"",IF(AND(M27="",Z27=""),"",SUM(M27-Z27)))</f>
        <v/>
      </c>
      <c r="AB27" s="8"/>
      <c r="AC27" s="211"/>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57"/>
      <c r="EB27" s="57"/>
      <c r="EC27" s="57"/>
      <c r="ED27" s="57"/>
      <c r="EE27" s="57"/>
      <c r="EF27" s="57"/>
      <c r="EG27" s="57"/>
      <c r="EH27" s="57"/>
      <c r="EI27" s="57"/>
      <c r="EJ27" s="57"/>
      <c r="EK27" s="57"/>
      <c r="EL27" s="57"/>
      <c r="EM27" s="57"/>
      <c r="EN27" s="57"/>
      <c r="EO27" s="57"/>
      <c r="EP27" s="57"/>
      <c r="EQ27" s="57"/>
      <c r="ER27" s="57"/>
      <c r="ES27" s="57"/>
      <c r="ET27" s="57"/>
      <c r="EU27" s="57"/>
      <c r="EV27" s="57"/>
      <c r="EW27" s="57"/>
      <c r="EX27" s="57"/>
      <c r="EY27" s="57"/>
      <c r="EZ27" s="57"/>
      <c r="FA27" s="57"/>
      <c r="FB27" s="57"/>
      <c r="FC27" s="57"/>
      <c r="FD27" s="57"/>
      <c r="FE27" s="57"/>
      <c r="FF27" s="57"/>
      <c r="FG27" s="57"/>
      <c r="FH27" s="57"/>
      <c r="FI27" s="57"/>
      <c r="FJ27" s="57"/>
      <c r="FK27" s="57"/>
      <c r="FL27" s="57"/>
      <c r="FM27" s="57"/>
      <c r="FN27" s="57"/>
      <c r="FO27" s="57"/>
      <c r="FP27" s="57"/>
      <c r="FQ27" s="57"/>
      <c r="FR27" s="57"/>
      <c r="FS27" s="57"/>
      <c r="FT27" s="57"/>
      <c r="FU27" s="57"/>
      <c r="FV27" s="57"/>
      <c r="FW27" s="57"/>
      <c r="FX27" s="57"/>
      <c r="FY27" s="57"/>
      <c r="FZ27" s="57"/>
      <c r="GA27" s="57"/>
      <c r="GB27" s="57"/>
      <c r="GC27" s="57"/>
      <c r="GD27" s="57"/>
    </row>
    <row r="28" spans="1:186" s="2" customFormat="1">
      <c r="B28" s="199"/>
      <c r="C28" s="200"/>
      <c r="D28" s="202"/>
      <c r="E28" s="201"/>
      <c r="F28" s="201"/>
      <c r="G28" s="201"/>
      <c r="H28" s="201"/>
      <c r="I28" s="201"/>
      <c r="J28" s="201"/>
      <c r="K28" s="201"/>
      <c r="L28" s="201"/>
      <c r="M28" s="203"/>
      <c r="N28" s="201"/>
      <c r="O28" s="201"/>
      <c r="P28" s="201"/>
      <c r="Q28" s="201"/>
      <c r="R28" s="201"/>
      <c r="S28" s="201"/>
      <c r="T28" s="201"/>
      <c r="U28" s="201"/>
      <c r="V28" s="201"/>
      <c r="W28" s="201"/>
      <c r="X28" s="201"/>
      <c r="Y28" s="202"/>
      <c r="Z28" s="203"/>
      <c r="AA28" s="203"/>
      <c r="AB28" s="204"/>
      <c r="AC28" s="204"/>
      <c r="AD28" s="16"/>
      <c r="AE28" s="16"/>
      <c r="AF28" s="16"/>
      <c r="AG28" s="16"/>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row>
    <row r="29" spans="1:186" s="2" customFormat="1">
      <c r="B29" s="205"/>
      <c r="C29" s="200"/>
      <c r="D29" s="202"/>
      <c r="E29" s="201"/>
      <c r="F29" s="201"/>
      <c r="G29" s="201"/>
      <c r="H29" s="201"/>
      <c r="I29" s="201"/>
      <c r="J29" s="201"/>
      <c r="K29" s="201"/>
      <c r="L29" s="201"/>
      <c r="M29" s="203"/>
      <c r="N29" s="201"/>
      <c r="O29" s="201"/>
      <c r="P29" s="201"/>
      <c r="Q29" s="201"/>
      <c r="R29" s="201"/>
      <c r="S29" s="201"/>
      <c r="T29" s="201"/>
      <c r="U29" s="201"/>
      <c r="V29" s="201"/>
      <c r="W29" s="201"/>
      <c r="X29" s="201"/>
      <c r="Y29" s="202"/>
      <c r="Z29" s="203"/>
      <c r="AA29" s="203"/>
      <c r="AB29" s="204"/>
      <c r="AC29" s="204"/>
      <c r="AD29" s="16"/>
      <c r="AE29" s="16"/>
      <c r="AF29" s="16"/>
      <c r="AG29" s="16"/>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row>
    <row r="30" spans="1:186" s="2" customFormat="1" hidden="1">
      <c r="B30" s="205"/>
      <c r="C30" s="200"/>
      <c r="D30" s="202"/>
      <c r="E30" s="201"/>
      <c r="F30" s="201"/>
      <c r="G30" s="201"/>
      <c r="H30" s="201"/>
      <c r="I30" s="201"/>
      <c r="J30" s="201"/>
      <c r="K30" s="201"/>
      <c r="L30" s="201"/>
      <c r="M30" s="203"/>
      <c r="N30" s="201"/>
      <c r="O30" s="201"/>
      <c r="P30" s="201"/>
      <c r="Q30" s="201"/>
      <c r="R30" s="201"/>
      <c r="S30" s="201"/>
      <c r="T30" s="201"/>
      <c r="U30" s="201"/>
      <c r="V30" s="201"/>
      <c r="W30" s="201"/>
      <c r="X30" s="201"/>
      <c r="Y30" s="202"/>
      <c r="Z30" s="203"/>
      <c r="AA30" s="203"/>
      <c r="AB30" s="204"/>
      <c r="AC30" s="204"/>
      <c r="AD30" s="16"/>
      <c r="AE30" s="16"/>
      <c r="AF30" s="16"/>
      <c r="AG30" s="16"/>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row>
    <row r="31" spans="1:186" s="2" customFormat="1" hidden="1">
      <c r="B31" s="205"/>
      <c r="C31" s="200"/>
      <c r="D31" s="202"/>
      <c r="E31" s="201"/>
      <c r="F31" s="201"/>
      <c r="G31" s="201"/>
      <c r="H31" s="201"/>
      <c r="I31" s="201"/>
      <c r="J31" s="201"/>
      <c r="K31" s="201"/>
      <c r="L31" s="201"/>
      <c r="M31" s="203"/>
      <c r="N31" s="201"/>
      <c r="O31" s="201"/>
      <c r="P31" s="201"/>
      <c r="Q31" s="201"/>
      <c r="R31" s="201"/>
      <c r="S31" s="201"/>
      <c r="T31" s="201"/>
      <c r="U31" s="201"/>
      <c r="V31" s="201"/>
      <c r="W31" s="201"/>
      <c r="X31" s="201"/>
      <c r="Y31" s="202"/>
      <c r="Z31" s="203"/>
      <c r="AA31" s="203"/>
      <c r="AB31" s="204"/>
      <c r="AC31" s="204"/>
      <c r="AD31" s="16"/>
      <c r="AE31" s="16"/>
      <c r="AF31" s="16"/>
      <c r="AG31" s="16"/>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row>
    <row r="32" spans="1:186" s="2" customFormat="1" hidden="1">
      <c r="B32" s="21"/>
      <c r="C32" s="22"/>
      <c r="D32" s="24"/>
      <c r="E32" s="23"/>
      <c r="F32" s="23"/>
      <c r="G32" s="23"/>
      <c r="H32" s="23"/>
      <c r="I32" s="23"/>
      <c r="J32" s="23"/>
      <c r="K32" s="23"/>
      <c r="L32" s="23"/>
      <c r="M32" s="26"/>
      <c r="N32" s="23"/>
      <c r="O32" s="23"/>
      <c r="P32" s="23"/>
      <c r="Q32" s="23"/>
      <c r="R32" s="23"/>
      <c r="S32" s="23"/>
      <c r="T32" s="23"/>
      <c r="U32" s="23"/>
      <c r="V32" s="23"/>
      <c r="W32" s="23"/>
      <c r="X32" s="23"/>
      <c r="Y32" s="24"/>
      <c r="Z32" s="26"/>
      <c r="AA32" s="26"/>
      <c r="AB32" s="15"/>
      <c r="AC32" s="15"/>
      <c r="AD32" s="16"/>
      <c r="AE32" s="16"/>
      <c r="AF32" s="16"/>
      <c r="AG32" s="16"/>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row>
    <row r="33" spans="2:186" s="2" customFormat="1" hidden="1">
      <c r="B33" s="21"/>
      <c r="C33" s="22"/>
      <c r="D33" s="24"/>
      <c r="E33" s="23"/>
      <c r="F33" s="23"/>
      <c r="G33" s="23"/>
      <c r="H33" s="23"/>
      <c r="I33" s="23"/>
      <c r="J33" s="23"/>
      <c r="K33" s="23"/>
      <c r="L33" s="23"/>
      <c r="M33" s="26"/>
      <c r="N33" s="23"/>
      <c r="O33" s="23"/>
      <c r="P33" s="23"/>
      <c r="Q33" s="23"/>
      <c r="R33" s="23"/>
      <c r="S33" s="23"/>
      <c r="T33" s="23"/>
      <c r="U33" s="23"/>
      <c r="V33" s="23"/>
      <c r="W33" s="23"/>
      <c r="X33" s="23"/>
      <c r="Y33" s="24"/>
      <c r="Z33" s="26"/>
      <c r="AA33" s="26"/>
      <c r="AB33" s="15"/>
      <c r="AC33" s="15"/>
      <c r="AD33" s="16"/>
      <c r="AE33" s="16"/>
      <c r="AF33" s="16"/>
      <c r="AG33" s="16"/>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row>
    <row r="34" spans="2:186" s="2" customFormat="1" hidden="1">
      <c r="B34" s="21"/>
      <c r="C34" s="22"/>
      <c r="D34" s="24"/>
      <c r="E34" s="23"/>
      <c r="F34" s="23"/>
      <c r="G34" s="23"/>
      <c r="H34" s="23"/>
      <c r="I34" s="23"/>
      <c r="J34" s="23"/>
      <c r="K34" s="23"/>
      <c r="L34" s="23"/>
      <c r="M34" s="26"/>
      <c r="N34" s="23"/>
      <c r="O34" s="23"/>
      <c r="P34" s="23"/>
      <c r="Q34" s="23"/>
      <c r="R34" s="23"/>
      <c r="S34" s="23"/>
      <c r="T34" s="23"/>
      <c r="U34" s="23"/>
      <c r="V34" s="23"/>
      <c r="W34" s="23"/>
      <c r="X34" s="23"/>
      <c r="Y34" s="24"/>
      <c r="Z34" s="26"/>
      <c r="AA34" s="26"/>
      <c r="AB34" s="15"/>
      <c r="AC34" s="15"/>
      <c r="AD34" s="16"/>
      <c r="AE34" s="16"/>
      <c r="AF34" s="16"/>
      <c r="AG34" s="16"/>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row>
    <row r="35" spans="2:186" s="2" customFormat="1" hidden="1">
      <c r="B35" s="21"/>
      <c r="C35" s="22"/>
      <c r="D35" s="24"/>
      <c r="E35" s="23"/>
      <c r="F35" s="23"/>
      <c r="G35" s="23"/>
      <c r="H35" s="23"/>
      <c r="I35" s="23"/>
      <c r="J35" s="23"/>
      <c r="K35" s="23"/>
      <c r="L35" s="23"/>
      <c r="M35" s="26"/>
      <c r="N35" s="23"/>
      <c r="O35" s="23"/>
      <c r="P35" s="23"/>
      <c r="Q35" s="23"/>
      <c r="R35" s="23"/>
      <c r="S35" s="23"/>
      <c r="T35" s="23"/>
      <c r="U35" s="23"/>
      <c r="V35" s="23"/>
      <c r="W35" s="23"/>
      <c r="X35" s="23"/>
      <c r="Y35" s="24"/>
      <c r="Z35" s="26"/>
      <c r="AA35" s="26"/>
      <c r="AB35" s="15"/>
      <c r="AC35" s="15"/>
      <c r="AD35" s="16"/>
      <c r="AE35" s="16"/>
      <c r="AF35" s="16"/>
      <c r="AG35" s="16"/>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row>
    <row r="36" spans="2:186" s="2" customFormat="1" hidden="1">
      <c r="B36" s="21"/>
      <c r="C36" s="22"/>
      <c r="D36" s="24"/>
      <c r="E36" s="23"/>
      <c r="F36" s="23"/>
      <c r="G36" s="23"/>
      <c r="H36" s="23"/>
      <c r="I36" s="23"/>
      <c r="J36" s="23"/>
      <c r="K36" s="23"/>
      <c r="L36" s="23"/>
      <c r="M36" s="26"/>
      <c r="N36" s="23"/>
      <c r="O36" s="23"/>
      <c r="P36" s="23"/>
      <c r="Q36" s="23"/>
      <c r="R36" s="23"/>
      <c r="S36" s="23"/>
      <c r="T36" s="23"/>
      <c r="U36" s="23"/>
      <c r="V36" s="23"/>
      <c r="W36" s="23"/>
      <c r="X36" s="23"/>
      <c r="Y36" s="24"/>
      <c r="Z36" s="26"/>
      <c r="AA36" s="26"/>
      <c r="AB36" s="15"/>
      <c r="AC36" s="15"/>
      <c r="AD36" s="16"/>
      <c r="AE36" s="16"/>
      <c r="AF36" s="16"/>
      <c r="AG36" s="16"/>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row>
    <row r="37" spans="2:186" s="2" customFormat="1" hidden="1">
      <c r="B37" s="21"/>
      <c r="C37" s="22"/>
      <c r="D37" s="24"/>
      <c r="E37" s="23"/>
      <c r="F37" s="23"/>
      <c r="G37" s="23"/>
      <c r="H37" s="23"/>
      <c r="I37" s="23"/>
      <c r="J37" s="23"/>
      <c r="K37" s="23"/>
      <c r="L37" s="23"/>
      <c r="M37" s="26"/>
      <c r="N37" s="23"/>
      <c r="O37" s="23"/>
      <c r="P37" s="23"/>
      <c r="Q37" s="23"/>
      <c r="R37" s="23"/>
      <c r="S37" s="23"/>
      <c r="T37" s="23"/>
      <c r="U37" s="23"/>
      <c r="V37" s="23"/>
      <c r="W37" s="23"/>
      <c r="X37" s="23"/>
      <c r="Y37" s="24"/>
      <c r="Z37" s="26"/>
      <c r="AA37" s="26"/>
      <c r="AB37" s="15"/>
      <c r="AC37" s="15"/>
      <c r="AD37" s="16"/>
      <c r="AE37" s="16"/>
      <c r="AF37" s="16"/>
      <c r="AG37" s="16"/>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row>
    <row r="38" spans="2:186" s="2" customFormat="1" hidden="1">
      <c r="B38" s="21"/>
      <c r="C38" s="22"/>
      <c r="D38" s="24"/>
      <c r="E38" s="23"/>
      <c r="F38" s="23"/>
      <c r="G38" s="23"/>
      <c r="H38" s="23"/>
      <c r="I38" s="23"/>
      <c r="J38" s="23"/>
      <c r="K38" s="23"/>
      <c r="L38" s="23"/>
      <c r="M38" s="26"/>
      <c r="N38" s="23"/>
      <c r="O38" s="23"/>
      <c r="P38" s="23"/>
      <c r="Q38" s="23"/>
      <c r="R38" s="23"/>
      <c r="S38" s="23"/>
      <c r="T38" s="23"/>
      <c r="U38" s="23"/>
      <c r="V38" s="23"/>
      <c r="W38" s="23"/>
      <c r="X38" s="23"/>
      <c r="Y38" s="24"/>
      <c r="Z38" s="26"/>
      <c r="AA38" s="26"/>
      <c r="AB38" s="15"/>
      <c r="AC38" s="15"/>
      <c r="AD38" s="16"/>
      <c r="AE38" s="16"/>
      <c r="AF38" s="16"/>
      <c r="AG38" s="16"/>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row>
    <row r="39" spans="2:186" s="2" customFormat="1" hidden="1">
      <c r="B39" s="21"/>
      <c r="C39" s="22"/>
      <c r="D39" s="24"/>
      <c r="E39" s="23"/>
      <c r="F39" s="23"/>
      <c r="G39" s="23"/>
      <c r="H39" s="23"/>
      <c r="I39" s="23"/>
      <c r="J39" s="23"/>
      <c r="K39" s="23"/>
      <c r="L39" s="23"/>
      <c r="M39" s="26"/>
      <c r="N39" s="23"/>
      <c r="O39" s="23"/>
      <c r="P39" s="23"/>
      <c r="Q39" s="23"/>
      <c r="R39" s="23"/>
      <c r="S39" s="23"/>
      <c r="T39" s="23"/>
      <c r="U39" s="23"/>
      <c r="V39" s="23"/>
      <c r="W39" s="23"/>
      <c r="X39" s="23"/>
      <c r="Y39" s="24"/>
      <c r="Z39" s="26"/>
      <c r="AA39" s="26"/>
      <c r="AB39" s="15"/>
      <c r="AC39" s="15"/>
      <c r="AD39" s="16"/>
      <c r="AE39" s="16"/>
      <c r="AF39" s="16"/>
      <c r="AG39" s="16"/>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row>
    <row r="40" spans="2:186" s="2" customFormat="1" hidden="1">
      <c r="B40" s="21"/>
      <c r="C40" s="22"/>
      <c r="D40" s="24"/>
      <c r="E40" s="23"/>
      <c r="F40" s="23"/>
      <c r="G40" s="23"/>
      <c r="H40" s="23"/>
      <c r="I40" s="23"/>
      <c r="J40" s="23"/>
      <c r="K40" s="23"/>
      <c r="L40" s="23"/>
      <c r="M40" s="26"/>
      <c r="N40" s="23"/>
      <c r="O40" s="23"/>
      <c r="P40" s="23"/>
      <c r="Q40" s="23"/>
      <c r="R40" s="23"/>
      <c r="S40" s="23"/>
      <c r="T40" s="23"/>
      <c r="U40" s="23"/>
      <c r="V40" s="23"/>
      <c r="W40" s="23"/>
      <c r="X40" s="23"/>
      <c r="Y40" s="24"/>
      <c r="Z40" s="26"/>
      <c r="AA40" s="26"/>
      <c r="AB40" s="15"/>
      <c r="AC40" s="15"/>
      <c r="AD40" s="16"/>
      <c r="AE40" s="16"/>
      <c r="AF40" s="16"/>
      <c r="AG40" s="16"/>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row>
    <row r="41" spans="2:186" s="2" customFormat="1" hidden="1">
      <c r="B41" s="21"/>
      <c r="C41" s="22"/>
      <c r="D41" s="24"/>
      <c r="E41" s="23"/>
      <c r="F41" s="23"/>
      <c r="G41" s="23"/>
      <c r="H41" s="23"/>
      <c r="I41" s="23"/>
      <c r="J41" s="23"/>
      <c r="K41" s="23"/>
      <c r="L41" s="23"/>
      <c r="M41" s="26"/>
      <c r="N41" s="23"/>
      <c r="O41" s="23"/>
      <c r="P41" s="23"/>
      <c r="Q41" s="23"/>
      <c r="R41" s="23"/>
      <c r="S41" s="23"/>
      <c r="T41" s="23"/>
      <c r="U41" s="23"/>
      <c r="V41" s="23"/>
      <c r="W41" s="23"/>
      <c r="X41" s="23"/>
      <c r="Y41" s="24"/>
      <c r="Z41" s="26"/>
      <c r="AA41" s="26"/>
      <c r="AB41" s="15"/>
      <c r="AC41" s="15"/>
      <c r="AD41" s="16"/>
      <c r="AE41" s="16"/>
      <c r="AF41" s="16"/>
      <c r="AG41" s="16"/>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row>
    <row r="42" spans="2:186" s="2" customFormat="1" hidden="1">
      <c r="B42" s="21"/>
      <c r="C42" s="22"/>
      <c r="D42" s="24"/>
      <c r="E42" s="23"/>
      <c r="F42" s="23"/>
      <c r="G42" s="23"/>
      <c r="H42" s="23"/>
      <c r="I42" s="23"/>
      <c r="J42" s="23"/>
      <c r="K42" s="23"/>
      <c r="L42" s="23"/>
      <c r="M42" s="26"/>
      <c r="N42" s="23"/>
      <c r="O42" s="23"/>
      <c r="P42" s="23"/>
      <c r="Q42" s="23"/>
      <c r="R42" s="23"/>
      <c r="S42" s="23"/>
      <c r="T42" s="23"/>
      <c r="U42" s="23"/>
      <c r="V42" s="23"/>
      <c r="W42" s="23"/>
      <c r="X42" s="23"/>
      <c r="Y42" s="24"/>
      <c r="Z42" s="26"/>
      <c r="AA42" s="26"/>
      <c r="AB42" s="15"/>
      <c r="AC42" s="15"/>
      <c r="AD42" s="16"/>
      <c r="AE42" s="16"/>
      <c r="AF42" s="16"/>
      <c r="AG42" s="16"/>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row>
    <row r="43" spans="2:186" s="2" customFormat="1" hidden="1">
      <c r="B43" s="21"/>
      <c r="C43" s="22"/>
      <c r="D43" s="24"/>
      <c r="E43" s="23"/>
      <c r="F43" s="23"/>
      <c r="G43" s="23"/>
      <c r="H43" s="23"/>
      <c r="I43" s="23"/>
      <c r="J43" s="23"/>
      <c r="K43" s="23"/>
      <c r="L43" s="23"/>
      <c r="M43" s="26"/>
      <c r="N43" s="23"/>
      <c r="O43" s="23"/>
      <c r="P43" s="23"/>
      <c r="Q43" s="23"/>
      <c r="R43" s="23"/>
      <c r="S43" s="23"/>
      <c r="T43" s="23"/>
      <c r="U43" s="23"/>
      <c r="V43" s="23"/>
      <c r="W43" s="23"/>
      <c r="X43" s="23"/>
      <c r="Y43" s="24"/>
      <c r="Z43" s="26"/>
      <c r="AA43" s="26"/>
      <c r="AB43" s="15"/>
      <c r="AC43" s="15"/>
      <c r="AD43" s="16"/>
      <c r="AE43" s="16"/>
      <c r="AF43" s="16"/>
      <c r="AG43" s="16"/>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row>
    <row r="44" spans="2:186" s="2" customFormat="1" hidden="1">
      <c r="B44" s="21"/>
      <c r="C44" s="22"/>
      <c r="D44" s="24"/>
      <c r="E44" s="24"/>
      <c r="F44" s="24"/>
      <c r="G44" s="24"/>
      <c r="H44" s="24"/>
      <c r="I44" s="24"/>
      <c r="J44" s="24"/>
      <c r="K44" s="24"/>
      <c r="L44" s="24"/>
      <c r="M44" s="26"/>
      <c r="N44" s="24"/>
      <c r="O44" s="24"/>
      <c r="P44" s="24"/>
      <c r="Q44" s="24"/>
      <c r="R44" s="24"/>
      <c r="S44" s="24"/>
      <c r="T44" s="24"/>
      <c r="U44" s="24"/>
      <c r="V44" s="24"/>
      <c r="W44" s="24"/>
      <c r="X44" s="24"/>
      <c r="Y44" s="24"/>
      <c r="Z44" s="26"/>
      <c r="AA44" s="26"/>
      <c r="AB44" s="15"/>
      <c r="AC44" s="15"/>
      <c r="AD44" s="16"/>
      <c r="AE44" s="16"/>
      <c r="AF44" s="16"/>
      <c r="AG44" s="16"/>
      <c r="AH44" s="18"/>
      <c r="AI44" s="18"/>
      <c r="AJ44" s="18"/>
      <c r="AK44" s="18"/>
      <c r="AL44" s="18"/>
      <c r="AM44" s="18"/>
      <c r="AN44" s="18"/>
      <c r="AO44" s="18"/>
      <c r="AP44" s="18"/>
      <c r="AQ44" s="18"/>
    </row>
    <row r="45" spans="2:186" s="2" customFormat="1" hidden="1">
      <c r="B45" s="21"/>
      <c r="C45" s="22"/>
      <c r="D45" s="24"/>
      <c r="E45" s="24"/>
      <c r="F45" s="24"/>
      <c r="G45" s="24"/>
      <c r="H45" s="24"/>
      <c r="I45" s="24"/>
      <c r="J45" s="24"/>
      <c r="K45" s="24"/>
      <c r="L45" s="24"/>
      <c r="M45" s="26"/>
      <c r="N45" s="24"/>
      <c r="O45" s="24"/>
      <c r="P45" s="24"/>
      <c r="Q45" s="24"/>
      <c r="R45" s="24"/>
      <c r="S45" s="24"/>
      <c r="T45" s="24"/>
      <c r="U45" s="24"/>
      <c r="V45" s="24"/>
      <c r="W45" s="24"/>
      <c r="X45" s="24"/>
      <c r="Y45" s="24"/>
      <c r="Z45" s="26"/>
      <c r="AA45" s="26"/>
      <c r="AB45" s="15"/>
      <c r="AC45" s="15"/>
      <c r="AD45" s="16"/>
      <c r="AE45" s="16"/>
      <c r="AF45" s="16"/>
      <c r="AG45" s="16"/>
      <c r="AH45" s="18"/>
      <c r="AI45" s="18"/>
      <c r="AJ45" s="18"/>
      <c r="AK45" s="18"/>
      <c r="AL45" s="18"/>
      <c r="AM45" s="18"/>
      <c r="AN45" s="18"/>
      <c r="AO45" s="18"/>
      <c r="AP45" s="18"/>
      <c r="AQ45" s="18"/>
    </row>
    <row r="46" spans="2:186" s="2" customFormat="1" hidden="1">
      <c r="B46" s="21"/>
      <c r="C46" s="22"/>
      <c r="D46" s="24"/>
      <c r="E46" s="24"/>
      <c r="F46" s="24"/>
      <c r="G46" s="24"/>
      <c r="H46" s="24"/>
      <c r="I46" s="24"/>
      <c r="J46" s="24"/>
      <c r="K46" s="24"/>
      <c r="L46" s="24"/>
      <c r="M46" s="26"/>
      <c r="N46" s="24"/>
      <c r="O46" s="24"/>
      <c r="P46" s="24"/>
      <c r="Q46" s="24"/>
      <c r="R46" s="24"/>
      <c r="S46" s="24"/>
      <c r="T46" s="24"/>
      <c r="U46" s="24"/>
      <c r="V46" s="24"/>
      <c r="W46" s="24"/>
      <c r="X46" s="24"/>
      <c r="Y46" s="24"/>
      <c r="Z46" s="26"/>
      <c r="AA46" s="26"/>
      <c r="AB46" s="15"/>
      <c r="AC46" s="15"/>
      <c r="AD46" s="16"/>
      <c r="AE46" s="16"/>
      <c r="AF46" s="16"/>
      <c r="AG46" s="16"/>
      <c r="AH46" s="18"/>
      <c r="AI46" s="18"/>
      <c r="AJ46" s="18"/>
      <c r="AK46" s="18"/>
      <c r="AL46" s="18"/>
      <c r="AM46" s="18"/>
      <c r="AN46" s="18"/>
      <c r="AO46" s="18"/>
      <c r="AP46" s="18"/>
      <c r="AQ46" s="18"/>
    </row>
    <row r="47" spans="2:186" s="2" customFormat="1" hidden="1">
      <c r="B47" s="21"/>
      <c r="C47" s="22"/>
      <c r="D47" s="24"/>
      <c r="E47" s="24"/>
      <c r="F47" s="24"/>
      <c r="G47" s="24"/>
      <c r="H47" s="24"/>
      <c r="I47" s="24"/>
      <c r="J47" s="24"/>
      <c r="K47" s="24"/>
      <c r="L47" s="24"/>
      <c r="M47" s="26"/>
      <c r="N47" s="24"/>
      <c r="O47" s="24"/>
      <c r="P47" s="24"/>
      <c r="Q47" s="24"/>
      <c r="R47" s="24"/>
      <c r="S47" s="24"/>
      <c r="T47" s="24"/>
      <c r="U47" s="24"/>
      <c r="V47" s="24"/>
      <c r="W47" s="24"/>
      <c r="X47" s="24"/>
      <c r="Y47" s="24"/>
      <c r="Z47" s="26"/>
      <c r="AA47" s="26"/>
      <c r="AB47" s="15"/>
      <c r="AC47" s="15"/>
      <c r="AD47" s="16"/>
      <c r="AE47" s="16"/>
      <c r="AF47" s="16"/>
      <c r="AG47" s="16"/>
      <c r="AH47" s="18"/>
      <c r="AI47" s="18"/>
      <c r="AJ47" s="18"/>
      <c r="AK47" s="18"/>
      <c r="AL47" s="18"/>
      <c r="AM47" s="18"/>
      <c r="AN47" s="18"/>
      <c r="AO47" s="18"/>
      <c r="AP47" s="18"/>
      <c r="AQ47" s="18"/>
    </row>
    <row r="48" spans="2:186" s="2" customFormat="1" hidden="1">
      <c r="B48" s="21"/>
      <c r="C48" s="22"/>
      <c r="D48" s="24"/>
      <c r="E48" s="24"/>
      <c r="F48" s="24"/>
      <c r="G48" s="24"/>
      <c r="H48" s="24"/>
      <c r="I48" s="24"/>
      <c r="J48" s="24"/>
      <c r="K48" s="24"/>
      <c r="L48" s="24"/>
      <c r="M48" s="26"/>
      <c r="N48" s="24"/>
      <c r="O48" s="24"/>
      <c r="P48" s="24"/>
      <c r="Q48" s="24"/>
      <c r="R48" s="24"/>
      <c r="S48" s="24"/>
      <c r="T48" s="24"/>
      <c r="U48" s="24"/>
      <c r="V48" s="24"/>
      <c r="W48" s="24"/>
      <c r="X48" s="24"/>
      <c r="Y48" s="24"/>
      <c r="Z48" s="26"/>
      <c r="AA48" s="26"/>
      <c r="AB48" s="15"/>
      <c r="AC48" s="15"/>
      <c r="AD48" s="16"/>
      <c r="AE48" s="16"/>
      <c r="AF48" s="16"/>
      <c r="AG48" s="16"/>
      <c r="AH48" s="18"/>
      <c r="AI48" s="18"/>
      <c r="AJ48" s="18"/>
      <c r="AK48" s="18"/>
      <c r="AL48" s="18"/>
      <c r="AM48" s="18"/>
      <c r="AN48" s="18"/>
      <c r="AO48" s="18"/>
      <c r="AP48" s="18"/>
      <c r="AQ48" s="18"/>
    </row>
    <row r="49" spans="2:43" s="2" customFormat="1" hidden="1">
      <c r="B49" s="21"/>
      <c r="C49" s="22"/>
      <c r="D49" s="24"/>
      <c r="E49" s="24"/>
      <c r="F49" s="24"/>
      <c r="G49" s="24"/>
      <c r="H49" s="24"/>
      <c r="I49" s="24"/>
      <c r="J49" s="24"/>
      <c r="K49" s="24"/>
      <c r="L49" s="24"/>
      <c r="M49" s="26"/>
      <c r="N49" s="24"/>
      <c r="O49" s="24"/>
      <c r="P49" s="24"/>
      <c r="Q49" s="24"/>
      <c r="R49" s="24"/>
      <c r="S49" s="24"/>
      <c r="T49" s="24"/>
      <c r="U49" s="24"/>
      <c r="V49" s="24"/>
      <c r="W49" s="24"/>
      <c r="X49" s="24"/>
      <c r="Y49" s="24"/>
      <c r="Z49" s="26"/>
      <c r="AA49" s="26"/>
      <c r="AB49" s="15"/>
      <c r="AC49" s="15"/>
      <c r="AD49" s="16"/>
      <c r="AE49" s="16"/>
      <c r="AF49" s="16"/>
      <c r="AG49" s="16"/>
      <c r="AH49" s="18"/>
      <c r="AI49" s="18"/>
      <c r="AJ49" s="18"/>
      <c r="AK49" s="18"/>
      <c r="AL49" s="18"/>
      <c r="AM49" s="18"/>
      <c r="AN49" s="18"/>
      <c r="AO49" s="18"/>
      <c r="AP49" s="18"/>
      <c r="AQ49" s="18"/>
    </row>
    <row r="50" spans="2:43" s="2" customFormat="1" hidden="1">
      <c r="B50" s="21"/>
      <c r="C50" s="22"/>
      <c r="D50" s="24"/>
      <c r="E50" s="24"/>
      <c r="F50" s="24"/>
      <c r="G50" s="24"/>
      <c r="H50" s="24"/>
      <c r="I50" s="24"/>
      <c r="J50" s="24"/>
      <c r="K50" s="24"/>
      <c r="L50" s="24"/>
      <c r="M50" s="26"/>
      <c r="N50" s="24"/>
      <c r="O50" s="24"/>
      <c r="P50" s="24"/>
      <c r="Q50" s="24"/>
      <c r="R50" s="24"/>
      <c r="S50" s="24"/>
      <c r="T50" s="24"/>
      <c r="U50" s="24"/>
      <c r="V50" s="24"/>
      <c r="W50" s="24"/>
      <c r="X50" s="24"/>
      <c r="Y50" s="24"/>
      <c r="Z50" s="26"/>
      <c r="AA50" s="26"/>
      <c r="AB50" s="15"/>
      <c r="AC50" s="15"/>
      <c r="AD50" s="16"/>
      <c r="AE50" s="16"/>
      <c r="AF50" s="16"/>
      <c r="AG50" s="16"/>
      <c r="AH50" s="18"/>
      <c r="AI50" s="18"/>
      <c r="AJ50" s="18"/>
      <c r="AK50" s="18"/>
      <c r="AL50" s="18"/>
      <c r="AM50" s="18"/>
      <c r="AN50" s="18"/>
      <c r="AO50" s="18"/>
      <c r="AP50" s="18"/>
      <c r="AQ50" s="18"/>
    </row>
    <row r="51" spans="2:43" s="2" customFormat="1" hidden="1">
      <c r="B51" s="21"/>
      <c r="C51" s="22"/>
      <c r="D51" s="24"/>
      <c r="E51" s="24"/>
      <c r="F51" s="24"/>
      <c r="G51" s="24"/>
      <c r="H51" s="24"/>
      <c r="I51" s="24"/>
      <c r="J51" s="24"/>
      <c r="K51" s="24"/>
      <c r="L51" s="24"/>
      <c r="M51" s="26"/>
      <c r="N51" s="24"/>
      <c r="O51" s="24"/>
      <c r="P51" s="24"/>
      <c r="Q51" s="24"/>
      <c r="R51" s="24"/>
      <c r="S51" s="24"/>
      <c r="T51" s="24"/>
      <c r="U51" s="24"/>
      <c r="V51" s="24"/>
      <c r="W51" s="24"/>
      <c r="X51" s="24"/>
      <c r="Y51" s="24"/>
      <c r="Z51" s="26"/>
      <c r="AA51" s="26"/>
      <c r="AB51" s="15"/>
      <c r="AC51" s="15"/>
      <c r="AD51" s="16"/>
      <c r="AE51" s="16"/>
      <c r="AF51" s="16"/>
      <c r="AG51" s="16"/>
      <c r="AH51" s="18"/>
      <c r="AI51" s="18"/>
      <c r="AJ51" s="18"/>
      <c r="AK51" s="18"/>
      <c r="AL51" s="18"/>
      <c r="AM51" s="18"/>
      <c r="AN51" s="18"/>
      <c r="AO51" s="18"/>
      <c r="AP51" s="18"/>
      <c r="AQ51" s="18"/>
    </row>
    <row r="52" spans="2:43" s="2" customFormat="1" hidden="1">
      <c r="B52" s="21"/>
      <c r="C52" s="22"/>
      <c r="D52" s="24"/>
      <c r="E52" s="24"/>
      <c r="F52" s="24"/>
      <c r="G52" s="24"/>
      <c r="H52" s="24"/>
      <c r="I52" s="24"/>
      <c r="J52" s="24"/>
      <c r="K52" s="24"/>
      <c r="L52" s="24"/>
      <c r="M52" s="26"/>
      <c r="N52" s="24"/>
      <c r="O52" s="24"/>
      <c r="P52" s="24"/>
      <c r="Q52" s="24"/>
      <c r="R52" s="24"/>
      <c r="S52" s="24"/>
      <c r="T52" s="24"/>
      <c r="U52" s="24"/>
      <c r="V52" s="24"/>
      <c r="W52" s="24"/>
      <c r="X52" s="24"/>
      <c r="Y52" s="24"/>
      <c r="Z52" s="26"/>
      <c r="AA52" s="26"/>
      <c r="AB52" s="15"/>
      <c r="AC52" s="15"/>
      <c r="AD52" s="16"/>
      <c r="AE52" s="16"/>
      <c r="AF52" s="16"/>
      <c r="AG52" s="16"/>
      <c r="AH52" s="18"/>
      <c r="AI52" s="18"/>
      <c r="AJ52" s="18"/>
      <c r="AK52" s="18"/>
      <c r="AL52" s="18"/>
      <c r="AM52" s="18"/>
      <c r="AN52" s="18"/>
      <c r="AO52" s="18"/>
      <c r="AP52" s="18"/>
      <c r="AQ52" s="18"/>
    </row>
    <row r="53" spans="2:43" s="2" customFormat="1" hidden="1">
      <c r="B53" s="21"/>
      <c r="C53" s="22"/>
      <c r="D53" s="24"/>
      <c r="E53" s="24"/>
      <c r="F53" s="24"/>
      <c r="G53" s="24"/>
      <c r="H53" s="24"/>
      <c r="I53" s="24"/>
      <c r="J53" s="24"/>
      <c r="K53" s="24"/>
      <c r="L53" s="24"/>
      <c r="M53" s="26"/>
      <c r="N53" s="24"/>
      <c r="O53" s="24"/>
      <c r="P53" s="24"/>
      <c r="Q53" s="24"/>
      <c r="R53" s="24"/>
      <c r="S53" s="24"/>
      <c r="T53" s="24"/>
      <c r="U53" s="24"/>
      <c r="V53" s="24"/>
      <c r="W53" s="24"/>
      <c r="X53" s="24"/>
      <c r="Y53" s="24"/>
      <c r="Z53" s="26"/>
      <c r="AA53" s="26"/>
      <c r="AB53" s="15"/>
      <c r="AC53" s="15"/>
      <c r="AD53" s="16"/>
      <c r="AE53" s="16"/>
      <c r="AF53" s="16"/>
      <c r="AG53" s="16"/>
      <c r="AH53" s="18"/>
      <c r="AI53" s="18"/>
      <c r="AJ53" s="18"/>
      <c r="AK53" s="18"/>
      <c r="AL53" s="18"/>
      <c r="AM53" s="18"/>
      <c r="AN53" s="18"/>
      <c r="AO53" s="18"/>
      <c r="AP53" s="18"/>
      <c r="AQ53" s="18"/>
    </row>
    <row r="54" spans="2:43" s="2" customFormat="1" hidden="1">
      <c r="B54" s="21"/>
      <c r="C54" s="22"/>
      <c r="D54" s="24"/>
      <c r="E54" s="24"/>
      <c r="F54" s="24"/>
      <c r="G54" s="24"/>
      <c r="H54" s="24"/>
      <c r="I54" s="24"/>
      <c r="J54" s="24"/>
      <c r="K54" s="24"/>
      <c r="L54" s="24"/>
      <c r="M54" s="26"/>
      <c r="N54" s="24"/>
      <c r="O54" s="24"/>
      <c r="P54" s="24"/>
      <c r="Q54" s="24"/>
      <c r="R54" s="24"/>
      <c r="S54" s="24"/>
      <c r="T54" s="24"/>
      <c r="U54" s="24"/>
      <c r="V54" s="24"/>
      <c r="W54" s="24"/>
      <c r="X54" s="24"/>
      <c r="Y54" s="24"/>
      <c r="Z54" s="26"/>
      <c r="AA54" s="26"/>
      <c r="AB54" s="15"/>
      <c r="AC54" s="15"/>
      <c r="AD54" s="16"/>
      <c r="AE54" s="16"/>
      <c r="AF54" s="16"/>
      <c r="AG54" s="16"/>
      <c r="AH54" s="18"/>
      <c r="AI54" s="18"/>
      <c r="AJ54" s="18"/>
      <c r="AK54" s="18"/>
      <c r="AL54" s="18"/>
      <c r="AM54" s="18"/>
      <c r="AN54" s="18"/>
      <c r="AO54" s="18"/>
      <c r="AP54" s="18"/>
      <c r="AQ54" s="18"/>
    </row>
    <row r="55" spans="2:43" s="2" customFormat="1" hidden="1">
      <c r="B55" s="21"/>
      <c r="C55" s="22"/>
      <c r="D55" s="24"/>
      <c r="E55" s="24"/>
      <c r="F55" s="24"/>
      <c r="G55" s="24"/>
      <c r="H55" s="24"/>
      <c r="I55" s="24"/>
      <c r="J55" s="24"/>
      <c r="K55" s="24"/>
      <c r="L55" s="24"/>
      <c r="M55" s="26"/>
      <c r="N55" s="24"/>
      <c r="O55" s="24"/>
      <c r="P55" s="24"/>
      <c r="Q55" s="24"/>
      <c r="R55" s="24"/>
      <c r="S55" s="24"/>
      <c r="T55" s="24"/>
      <c r="U55" s="24"/>
      <c r="V55" s="24"/>
      <c r="W55" s="24"/>
      <c r="X55" s="24"/>
      <c r="Y55" s="24"/>
      <c r="Z55" s="26"/>
      <c r="AA55" s="26"/>
      <c r="AB55" s="15"/>
      <c r="AC55" s="15"/>
      <c r="AD55" s="16"/>
      <c r="AE55" s="16"/>
      <c r="AF55" s="16"/>
      <c r="AG55" s="16"/>
      <c r="AH55" s="18"/>
      <c r="AI55" s="18"/>
      <c r="AJ55" s="18"/>
      <c r="AK55" s="18"/>
      <c r="AL55" s="18"/>
      <c r="AM55" s="18"/>
      <c r="AN55" s="18"/>
      <c r="AO55" s="18"/>
      <c r="AP55" s="18"/>
      <c r="AQ55" s="18"/>
    </row>
    <row r="56" spans="2:43" s="2" customFormat="1" hidden="1">
      <c r="B56" s="21"/>
      <c r="C56" s="22"/>
      <c r="D56" s="24"/>
      <c r="E56" s="24"/>
      <c r="F56" s="24"/>
      <c r="G56" s="24"/>
      <c r="H56" s="24"/>
      <c r="I56" s="24"/>
      <c r="J56" s="24"/>
      <c r="K56" s="24"/>
      <c r="L56" s="24"/>
      <c r="M56" s="26"/>
      <c r="N56" s="24"/>
      <c r="O56" s="24"/>
      <c r="P56" s="24"/>
      <c r="Q56" s="24"/>
      <c r="R56" s="24"/>
      <c r="S56" s="24"/>
      <c r="T56" s="24"/>
      <c r="U56" s="24"/>
      <c r="V56" s="24"/>
      <c r="W56" s="24"/>
      <c r="X56" s="24"/>
      <c r="Y56" s="24"/>
      <c r="Z56" s="26"/>
      <c r="AA56" s="26"/>
      <c r="AB56" s="15"/>
      <c r="AC56" s="15"/>
      <c r="AD56" s="16"/>
      <c r="AE56" s="16"/>
      <c r="AF56" s="16"/>
      <c r="AG56" s="16"/>
      <c r="AH56" s="18"/>
      <c r="AI56" s="18"/>
      <c r="AJ56" s="18"/>
      <c r="AK56" s="18"/>
      <c r="AL56" s="18"/>
      <c r="AM56" s="18"/>
      <c r="AN56" s="18"/>
      <c r="AO56" s="18"/>
      <c r="AP56" s="18"/>
      <c r="AQ56" s="18"/>
    </row>
    <row r="57" spans="2:43" s="2" customFormat="1" hidden="1">
      <c r="B57" s="21"/>
      <c r="C57" s="22"/>
      <c r="D57" s="24"/>
      <c r="E57" s="24"/>
      <c r="F57" s="24"/>
      <c r="G57" s="24"/>
      <c r="H57" s="24"/>
      <c r="I57" s="24"/>
      <c r="J57" s="24"/>
      <c r="K57" s="24"/>
      <c r="L57" s="24"/>
      <c r="M57" s="26"/>
      <c r="N57" s="24"/>
      <c r="O57" s="24"/>
      <c r="P57" s="24"/>
      <c r="Q57" s="24"/>
      <c r="R57" s="24"/>
      <c r="S57" s="24"/>
      <c r="T57" s="24"/>
      <c r="U57" s="24"/>
      <c r="V57" s="24"/>
      <c r="W57" s="24"/>
      <c r="X57" s="24"/>
      <c r="Y57" s="24"/>
      <c r="Z57" s="26"/>
      <c r="AA57" s="26"/>
      <c r="AB57" s="15"/>
      <c r="AC57" s="15"/>
      <c r="AD57" s="16"/>
      <c r="AE57" s="16"/>
      <c r="AF57" s="16"/>
      <c r="AG57" s="16"/>
      <c r="AH57" s="18"/>
      <c r="AI57" s="18"/>
      <c r="AJ57" s="18"/>
      <c r="AK57" s="18"/>
      <c r="AL57" s="18"/>
      <c r="AM57" s="18"/>
      <c r="AN57" s="18"/>
      <c r="AO57" s="18"/>
      <c r="AP57" s="18"/>
      <c r="AQ57" s="18"/>
    </row>
    <row r="58" spans="2:43" s="2" customFormat="1" hidden="1">
      <c r="B58" s="21"/>
      <c r="C58" s="22"/>
      <c r="D58" s="24"/>
      <c r="E58" s="24"/>
      <c r="F58" s="24"/>
      <c r="G58" s="24"/>
      <c r="H58" s="24"/>
      <c r="I58" s="24"/>
      <c r="J58" s="24"/>
      <c r="K58" s="24"/>
      <c r="L58" s="24"/>
      <c r="M58" s="26"/>
      <c r="N58" s="24"/>
      <c r="O58" s="24"/>
      <c r="P58" s="24"/>
      <c r="Q58" s="24"/>
      <c r="R58" s="24"/>
      <c r="S58" s="24"/>
      <c r="T58" s="24"/>
      <c r="U58" s="24"/>
      <c r="V58" s="24"/>
      <c r="W58" s="24"/>
      <c r="X58" s="24"/>
      <c r="Y58" s="24"/>
      <c r="Z58" s="26"/>
      <c r="AA58" s="26"/>
      <c r="AB58" s="15"/>
      <c r="AC58" s="15"/>
      <c r="AD58" s="16"/>
      <c r="AE58" s="16"/>
      <c r="AF58" s="16"/>
      <c r="AG58" s="16"/>
      <c r="AH58" s="18"/>
      <c r="AI58" s="18"/>
      <c r="AJ58" s="18"/>
      <c r="AK58" s="18"/>
      <c r="AL58" s="18"/>
      <c r="AM58" s="18"/>
      <c r="AN58" s="18"/>
      <c r="AO58" s="18"/>
      <c r="AP58" s="18"/>
      <c r="AQ58" s="18"/>
    </row>
    <row r="59" spans="2:43" s="2" customFormat="1" hidden="1">
      <c r="B59" s="21"/>
      <c r="C59" s="22"/>
      <c r="D59" s="24"/>
      <c r="E59" s="24"/>
      <c r="F59" s="24"/>
      <c r="G59" s="24"/>
      <c r="H59" s="24"/>
      <c r="I59" s="24"/>
      <c r="J59" s="24"/>
      <c r="K59" s="24"/>
      <c r="L59" s="24"/>
      <c r="M59" s="26"/>
      <c r="N59" s="24"/>
      <c r="O59" s="24"/>
      <c r="P59" s="24"/>
      <c r="Q59" s="24"/>
      <c r="R59" s="24"/>
      <c r="S59" s="24"/>
      <c r="T59" s="24"/>
      <c r="U59" s="24"/>
      <c r="V59" s="24"/>
      <c r="W59" s="24"/>
      <c r="X59" s="24"/>
      <c r="Y59" s="24"/>
      <c r="Z59" s="26"/>
      <c r="AA59" s="26"/>
      <c r="AB59" s="15"/>
      <c r="AC59" s="15"/>
      <c r="AD59" s="16"/>
      <c r="AE59" s="16"/>
      <c r="AF59" s="16"/>
      <c r="AG59" s="16"/>
      <c r="AH59" s="18"/>
      <c r="AI59" s="18"/>
      <c r="AJ59" s="18"/>
      <c r="AK59" s="18"/>
      <c r="AL59" s="18"/>
      <c r="AM59" s="18"/>
      <c r="AN59" s="18"/>
      <c r="AO59" s="18"/>
      <c r="AP59" s="18"/>
      <c r="AQ59" s="18"/>
    </row>
    <row r="60" spans="2:43" s="2" customFormat="1" hidden="1">
      <c r="B60" s="21"/>
      <c r="C60" s="22"/>
      <c r="D60" s="24"/>
      <c r="E60" s="24"/>
      <c r="F60" s="24"/>
      <c r="G60" s="24"/>
      <c r="H60" s="24"/>
      <c r="I60" s="24"/>
      <c r="J60" s="24"/>
      <c r="K60" s="24"/>
      <c r="L60" s="24"/>
      <c r="M60" s="26"/>
      <c r="N60" s="24"/>
      <c r="O60" s="24"/>
      <c r="P60" s="24"/>
      <c r="Q60" s="24"/>
      <c r="R60" s="24"/>
      <c r="S60" s="24"/>
      <c r="T60" s="24"/>
      <c r="U60" s="24"/>
      <c r="V60" s="24"/>
      <c r="W60" s="24"/>
      <c r="X60" s="24"/>
      <c r="Y60" s="24"/>
      <c r="Z60" s="26"/>
      <c r="AA60" s="26"/>
      <c r="AB60" s="15"/>
      <c r="AC60" s="15"/>
      <c r="AD60" s="16"/>
      <c r="AE60" s="16"/>
      <c r="AF60" s="16"/>
      <c r="AG60" s="16"/>
      <c r="AH60" s="18"/>
      <c r="AI60" s="18"/>
      <c r="AJ60" s="18"/>
      <c r="AK60" s="18"/>
      <c r="AL60" s="18"/>
      <c r="AM60" s="18"/>
      <c r="AN60" s="18"/>
      <c r="AO60" s="18"/>
      <c r="AP60" s="18"/>
      <c r="AQ60" s="18"/>
    </row>
    <row r="61" spans="2:43" s="2" customFormat="1" hidden="1">
      <c r="B61" s="21"/>
      <c r="C61" s="22"/>
      <c r="D61" s="24"/>
      <c r="E61" s="24"/>
      <c r="F61" s="24"/>
      <c r="G61" s="24"/>
      <c r="H61" s="24"/>
      <c r="I61" s="24"/>
      <c r="J61" s="24"/>
      <c r="K61" s="24"/>
      <c r="L61" s="24"/>
      <c r="M61" s="26"/>
      <c r="N61" s="24"/>
      <c r="O61" s="24"/>
      <c r="P61" s="24"/>
      <c r="Q61" s="24"/>
      <c r="R61" s="24"/>
      <c r="S61" s="24"/>
      <c r="T61" s="24"/>
      <c r="U61" s="24"/>
      <c r="V61" s="24"/>
      <c r="W61" s="24"/>
      <c r="X61" s="24"/>
      <c r="Y61" s="24"/>
      <c r="Z61" s="26"/>
      <c r="AA61" s="26"/>
      <c r="AB61" s="15"/>
      <c r="AC61" s="15"/>
      <c r="AD61" s="16"/>
      <c r="AE61" s="16"/>
      <c r="AF61" s="16"/>
      <c r="AG61" s="16"/>
      <c r="AH61" s="18"/>
      <c r="AI61" s="18"/>
      <c r="AJ61" s="18"/>
      <c r="AK61" s="18"/>
      <c r="AL61" s="18"/>
      <c r="AM61" s="18"/>
      <c r="AN61" s="18"/>
      <c r="AO61" s="18"/>
      <c r="AP61" s="18"/>
      <c r="AQ61" s="18"/>
    </row>
    <row r="62" spans="2:43" s="2" customFormat="1" hidden="1">
      <c r="B62" s="21"/>
      <c r="C62" s="22"/>
      <c r="D62" s="24"/>
      <c r="E62" s="24"/>
      <c r="F62" s="24"/>
      <c r="G62" s="24"/>
      <c r="H62" s="24"/>
      <c r="I62" s="24"/>
      <c r="J62" s="24"/>
      <c r="K62" s="24"/>
      <c r="L62" s="24"/>
      <c r="M62" s="26"/>
      <c r="N62" s="24"/>
      <c r="O62" s="24"/>
      <c r="P62" s="24"/>
      <c r="Q62" s="24"/>
      <c r="R62" s="24"/>
      <c r="S62" s="24"/>
      <c r="T62" s="24"/>
      <c r="U62" s="24"/>
      <c r="V62" s="24"/>
      <c r="W62" s="24"/>
      <c r="X62" s="24"/>
      <c r="Y62" s="24"/>
      <c r="Z62" s="26"/>
      <c r="AA62" s="26"/>
      <c r="AB62" s="15"/>
      <c r="AC62" s="15"/>
      <c r="AD62" s="16"/>
      <c r="AE62" s="16"/>
      <c r="AF62" s="16"/>
      <c r="AG62" s="16"/>
      <c r="AH62" s="18"/>
      <c r="AI62" s="18"/>
      <c r="AJ62" s="18"/>
      <c r="AK62" s="18"/>
      <c r="AL62" s="18"/>
      <c r="AM62" s="18"/>
      <c r="AN62" s="18"/>
      <c r="AO62" s="18"/>
      <c r="AP62" s="18"/>
      <c r="AQ62" s="18"/>
    </row>
    <row r="63" spans="2:43" s="2" customFormat="1" hidden="1">
      <c r="B63" s="21"/>
      <c r="C63" s="22"/>
      <c r="D63" s="24"/>
      <c r="E63" s="24"/>
      <c r="F63" s="24"/>
      <c r="G63" s="24"/>
      <c r="H63" s="24"/>
      <c r="I63" s="24"/>
      <c r="J63" s="24"/>
      <c r="K63" s="24"/>
      <c r="L63" s="24"/>
      <c r="M63" s="26"/>
      <c r="N63" s="24"/>
      <c r="O63" s="24"/>
      <c r="P63" s="24"/>
      <c r="Q63" s="24"/>
      <c r="R63" s="24"/>
      <c r="S63" s="24"/>
      <c r="T63" s="24"/>
      <c r="U63" s="24"/>
      <c r="V63" s="24"/>
      <c r="W63" s="24"/>
      <c r="X63" s="24"/>
      <c r="Y63" s="24"/>
      <c r="Z63" s="26"/>
      <c r="AA63" s="26"/>
      <c r="AB63" s="15"/>
      <c r="AC63" s="15"/>
      <c r="AD63" s="16"/>
      <c r="AE63" s="16"/>
      <c r="AF63" s="16"/>
      <c r="AG63" s="16"/>
      <c r="AH63" s="18"/>
      <c r="AI63" s="18"/>
      <c r="AJ63" s="18"/>
      <c r="AK63" s="18"/>
      <c r="AL63" s="18"/>
      <c r="AM63" s="18"/>
      <c r="AN63" s="18"/>
      <c r="AO63" s="18"/>
      <c r="AP63" s="18"/>
      <c r="AQ63" s="18"/>
    </row>
    <row r="64" spans="2:43" s="2" customFormat="1" hidden="1">
      <c r="B64" s="21"/>
      <c r="C64" s="22"/>
      <c r="D64" s="24"/>
      <c r="E64" s="24"/>
      <c r="F64" s="24"/>
      <c r="G64" s="24"/>
      <c r="H64" s="24"/>
      <c r="I64" s="24"/>
      <c r="J64" s="24"/>
      <c r="K64" s="24"/>
      <c r="L64" s="24"/>
      <c r="M64" s="26"/>
      <c r="N64" s="24"/>
      <c r="O64" s="24"/>
      <c r="P64" s="24"/>
      <c r="Q64" s="24"/>
      <c r="R64" s="24"/>
      <c r="S64" s="24"/>
      <c r="T64" s="24"/>
      <c r="U64" s="24"/>
      <c r="V64" s="24"/>
      <c r="W64" s="24"/>
      <c r="X64" s="24"/>
      <c r="Y64" s="24"/>
      <c r="Z64" s="26"/>
      <c r="AA64" s="26"/>
      <c r="AB64" s="15"/>
      <c r="AC64" s="15"/>
      <c r="AD64" s="16"/>
      <c r="AE64" s="16"/>
      <c r="AF64" s="16"/>
      <c r="AG64" s="16"/>
      <c r="AH64" s="18"/>
      <c r="AI64" s="18"/>
      <c r="AJ64" s="18"/>
      <c r="AK64" s="18"/>
      <c r="AL64" s="18"/>
      <c r="AM64" s="18"/>
      <c r="AN64" s="18"/>
      <c r="AO64" s="18"/>
      <c r="AP64" s="18"/>
      <c r="AQ64" s="18"/>
    </row>
    <row r="65" spans="2:43" s="2" customFormat="1" hidden="1">
      <c r="B65" s="21"/>
      <c r="C65" s="22"/>
      <c r="D65" s="24"/>
      <c r="E65" s="24"/>
      <c r="F65" s="24"/>
      <c r="G65" s="24"/>
      <c r="H65" s="24"/>
      <c r="I65" s="24"/>
      <c r="J65" s="24"/>
      <c r="K65" s="24"/>
      <c r="L65" s="24"/>
      <c r="M65" s="26"/>
      <c r="N65" s="24"/>
      <c r="O65" s="24"/>
      <c r="P65" s="24"/>
      <c r="Q65" s="24"/>
      <c r="R65" s="24"/>
      <c r="S65" s="24"/>
      <c r="T65" s="24"/>
      <c r="U65" s="24"/>
      <c r="V65" s="24"/>
      <c r="W65" s="24"/>
      <c r="X65" s="24"/>
      <c r="Y65" s="24"/>
      <c r="Z65" s="26"/>
      <c r="AA65" s="26"/>
      <c r="AB65" s="15"/>
      <c r="AC65" s="15"/>
      <c r="AD65" s="16"/>
      <c r="AE65" s="16"/>
      <c r="AF65" s="16"/>
      <c r="AG65" s="16"/>
      <c r="AH65" s="18"/>
      <c r="AI65" s="18"/>
      <c r="AJ65" s="18"/>
      <c r="AK65" s="18"/>
      <c r="AL65" s="18"/>
      <c r="AM65" s="18"/>
      <c r="AN65" s="18"/>
      <c r="AO65" s="18"/>
      <c r="AP65" s="18"/>
      <c r="AQ65" s="18"/>
    </row>
    <row r="66" spans="2:43" s="2" customFormat="1" hidden="1">
      <c r="B66" s="21"/>
      <c r="C66" s="22"/>
      <c r="D66" s="24"/>
      <c r="E66" s="24"/>
      <c r="F66" s="24"/>
      <c r="G66" s="24"/>
      <c r="H66" s="24"/>
      <c r="I66" s="24"/>
      <c r="J66" s="24"/>
      <c r="K66" s="24"/>
      <c r="L66" s="24"/>
      <c r="M66" s="26"/>
      <c r="N66" s="24"/>
      <c r="O66" s="24"/>
      <c r="P66" s="24"/>
      <c r="Q66" s="24"/>
      <c r="R66" s="24"/>
      <c r="S66" s="24"/>
      <c r="T66" s="24"/>
      <c r="U66" s="24"/>
      <c r="V66" s="24"/>
      <c r="W66" s="24"/>
      <c r="X66" s="24"/>
      <c r="Y66" s="24"/>
      <c r="Z66" s="26"/>
      <c r="AA66" s="26"/>
      <c r="AB66" s="15"/>
      <c r="AC66" s="15"/>
      <c r="AD66" s="16"/>
      <c r="AE66" s="16"/>
      <c r="AF66" s="16"/>
      <c r="AG66" s="16"/>
      <c r="AH66" s="18"/>
      <c r="AI66" s="18"/>
      <c r="AJ66" s="18"/>
      <c r="AK66" s="18"/>
      <c r="AL66" s="18"/>
      <c r="AM66" s="18"/>
      <c r="AN66" s="18"/>
      <c r="AO66" s="18"/>
      <c r="AP66" s="18"/>
      <c r="AQ66" s="18"/>
    </row>
    <row r="67" spans="2:43" s="2" customFormat="1" hidden="1">
      <c r="B67" s="21"/>
      <c r="C67" s="22"/>
      <c r="D67" s="24"/>
      <c r="E67" s="24"/>
      <c r="F67" s="24"/>
      <c r="G67" s="24"/>
      <c r="H67" s="24"/>
      <c r="I67" s="24"/>
      <c r="J67" s="24"/>
      <c r="K67" s="24"/>
      <c r="L67" s="24"/>
      <c r="M67" s="26"/>
      <c r="N67" s="24"/>
      <c r="O67" s="24"/>
      <c r="P67" s="24"/>
      <c r="Q67" s="24"/>
      <c r="R67" s="24"/>
      <c r="S67" s="24"/>
      <c r="T67" s="24"/>
      <c r="U67" s="24"/>
      <c r="V67" s="24"/>
      <c r="W67" s="24"/>
      <c r="X67" s="24"/>
      <c r="Y67" s="24"/>
      <c r="Z67" s="26"/>
      <c r="AA67" s="26"/>
      <c r="AB67" s="15"/>
      <c r="AC67" s="15"/>
      <c r="AD67" s="16"/>
      <c r="AE67" s="16"/>
      <c r="AF67" s="16"/>
      <c r="AG67" s="16"/>
      <c r="AH67" s="18"/>
      <c r="AI67" s="18"/>
      <c r="AJ67" s="18"/>
      <c r="AK67" s="18"/>
      <c r="AL67" s="18"/>
      <c r="AM67" s="18"/>
      <c r="AN67" s="18"/>
      <c r="AO67" s="18"/>
      <c r="AP67" s="18"/>
      <c r="AQ67" s="18"/>
    </row>
    <row r="68" spans="2:43" s="2" customFormat="1" hidden="1">
      <c r="B68" s="21"/>
      <c r="C68" s="22"/>
      <c r="D68" s="24"/>
      <c r="E68" s="24"/>
      <c r="F68" s="24"/>
      <c r="G68" s="24"/>
      <c r="H68" s="24"/>
      <c r="I68" s="24"/>
      <c r="J68" s="24"/>
      <c r="K68" s="24"/>
      <c r="L68" s="24"/>
      <c r="M68" s="26"/>
      <c r="N68" s="24"/>
      <c r="O68" s="24"/>
      <c r="P68" s="24"/>
      <c r="Q68" s="24"/>
      <c r="R68" s="24"/>
      <c r="S68" s="24"/>
      <c r="T68" s="24"/>
      <c r="U68" s="24"/>
      <c r="V68" s="24"/>
      <c r="W68" s="24"/>
      <c r="X68" s="24"/>
      <c r="Y68" s="24"/>
      <c r="Z68" s="26"/>
      <c r="AA68" s="26"/>
      <c r="AB68" s="15"/>
      <c r="AC68" s="15"/>
      <c r="AD68" s="16"/>
      <c r="AE68" s="16"/>
      <c r="AF68" s="16"/>
      <c r="AG68" s="16"/>
      <c r="AH68" s="18"/>
      <c r="AI68" s="18"/>
      <c r="AJ68" s="18"/>
      <c r="AK68" s="18"/>
      <c r="AL68" s="18"/>
      <c r="AM68" s="18"/>
      <c r="AN68" s="18"/>
      <c r="AO68" s="18"/>
      <c r="AP68" s="18"/>
      <c r="AQ68" s="18"/>
    </row>
    <row r="69" spans="2:43" s="2" customFormat="1" hidden="1">
      <c r="B69" s="21"/>
      <c r="C69" s="22"/>
      <c r="D69" s="24"/>
      <c r="E69" s="24"/>
      <c r="F69" s="24"/>
      <c r="G69" s="24"/>
      <c r="H69" s="24"/>
      <c r="I69" s="24"/>
      <c r="J69" s="24"/>
      <c r="K69" s="24"/>
      <c r="L69" s="24"/>
      <c r="M69" s="26"/>
      <c r="N69" s="24"/>
      <c r="O69" s="24"/>
      <c r="P69" s="24"/>
      <c r="Q69" s="24"/>
      <c r="R69" s="24"/>
      <c r="S69" s="24"/>
      <c r="T69" s="24"/>
      <c r="U69" s="24"/>
      <c r="V69" s="24"/>
      <c r="W69" s="24"/>
      <c r="X69" s="24"/>
      <c r="Y69" s="24"/>
      <c r="Z69" s="26"/>
      <c r="AA69" s="26"/>
      <c r="AB69" s="15"/>
      <c r="AC69" s="15"/>
      <c r="AD69" s="16"/>
      <c r="AE69" s="16"/>
      <c r="AF69" s="16"/>
      <c r="AG69" s="16"/>
      <c r="AH69" s="18"/>
      <c r="AI69" s="18"/>
      <c r="AJ69" s="18"/>
      <c r="AK69" s="18"/>
      <c r="AL69" s="18"/>
      <c r="AM69" s="18"/>
      <c r="AN69" s="18"/>
      <c r="AO69" s="18"/>
      <c r="AP69" s="18"/>
      <c r="AQ69" s="18"/>
    </row>
    <row r="70" spans="2:43" s="2" customFormat="1" hidden="1">
      <c r="B70" s="21"/>
      <c r="C70" s="22"/>
      <c r="D70" s="24"/>
      <c r="E70" s="24"/>
      <c r="F70" s="24"/>
      <c r="G70" s="24"/>
      <c r="H70" s="24"/>
      <c r="I70" s="24"/>
      <c r="J70" s="24"/>
      <c r="K70" s="24"/>
      <c r="L70" s="24"/>
      <c r="M70" s="26"/>
      <c r="N70" s="24"/>
      <c r="O70" s="24"/>
      <c r="P70" s="24"/>
      <c r="Q70" s="24"/>
      <c r="R70" s="24"/>
      <c r="S70" s="24"/>
      <c r="T70" s="24"/>
      <c r="U70" s="24"/>
      <c r="V70" s="24"/>
      <c r="W70" s="24"/>
      <c r="X70" s="24"/>
      <c r="Y70" s="24"/>
      <c r="Z70" s="26"/>
      <c r="AA70" s="26"/>
      <c r="AB70" s="15"/>
      <c r="AC70" s="15"/>
      <c r="AD70" s="16"/>
      <c r="AE70" s="16"/>
      <c r="AF70" s="16"/>
      <c r="AG70" s="16"/>
      <c r="AH70" s="18"/>
      <c r="AI70" s="18"/>
      <c r="AJ70" s="18"/>
      <c r="AK70" s="18"/>
      <c r="AL70" s="18"/>
      <c r="AM70" s="18"/>
      <c r="AN70" s="18"/>
      <c r="AO70" s="18"/>
      <c r="AP70" s="18"/>
      <c r="AQ70" s="18"/>
    </row>
    <row r="71" spans="2:43" s="2" customFormat="1" hidden="1">
      <c r="B71" s="21"/>
      <c r="C71" s="22"/>
      <c r="D71" s="24"/>
      <c r="E71" s="24"/>
      <c r="F71" s="24"/>
      <c r="G71" s="24"/>
      <c r="H71" s="24"/>
      <c r="I71" s="24"/>
      <c r="J71" s="24"/>
      <c r="K71" s="24"/>
      <c r="L71" s="24"/>
      <c r="M71" s="26"/>
      <c r="N71" s="24"/>
      <c r="O71" s="24"/>
      <c r="P71" s="24"/>
      <c r="Q71" s="24"/>
      <c r="R71" s="24"/>
      <c r="S71" s="24"/>
      <c r="T71" s="24"/>
      <c r="U71" s="24"/>
      <c r="V71" s="24"/>
      <c r="W71" s="24"/>
      <c r="X71" s="24"/>
      <c r="Y71" s="24"/>
      <c r="Z71" s="26"/>
      <c r="AA71" s="26"/>
      <c r="AB71" s="15"/>
      <c r="AC71" s="15"/>
      <c r="AD71" s="16"/>
      <c r="AE71" s="16"/>
      <c r="AF71" s="16"/>
      <c r="AG71" s="16"/>
      <c r="AH71" s="18"/>
      <c r="AI71" s="18"/>
      <c r="AJ71" s="18"/>
      <c r="AK71" s="18"/>
      <c r="AL71" s="18"/>
      <c r="AM71" s="18"/>
      <c r="AN71" s="18"/>
      <c r="AO71" s="18"/>
      <c r="AP71" s="18"/>
      <c r="AQ71" s="18"/>
    </row>
    <row r="72" spans="2:43" s="2" customFormat="1" hidden="1">
      <c r="B72" s="21"/>
      <c r="C72" s="22"/>
      <c r="D72" s="24"/>
      <c r="E72" s="24"/>
      <c r="F72" s="24"/>
      <c r="G72" s="24"/>
      <c r="H72" s="24"/>
      <c r="I72" s="24"/>
      <c r="J72" s="24"/>
      <c r="K72" s="24"/>
      <c r="L72" s="24"/>
      <c r="M72" s="26"/>
      <c r="N72" s="24"/>
      <c r="O72" s="24"/>
      <c r="P72" s="24"/>
      <c r="Q72" s="24"/>
      <c r="R72" s="24"/>
      <c r="S72" s="24"/>
      <c r="T72" s="24"/>
      <c r="U72" s="24"/>
      <c r="V72" s="24"/>
      <c r="W72" s="24"/>
      <c r="X72" s="24"/>
      <c r="Y72" s="24"/>
      <c r="Z72" s="26"/>
      <c r="AA72" s="26"/>
      <c r="AB72" s="15"/>
      <c r="AC72" s="15"/>
      <c r="AD72" s="16"/>
      <c r="AE72" s="16"/>
      <c r="AF72" s="16"/>
      <c r="AG72" s="16"/>
      <c r="AH72" s="18"/>
      <c r="AI72" s="18"/>
      <c r="AJ72" s="18"/>
      <c r="AK72" s="18"/>
      <c r="AL72" s="18"/>
      <c r="AM72" s="18"/>
      <c r="AN72" s="18"/>
      <c r="AO72" s="18"/>
      <c r="AP72" s="18"/>
      <c r="AQ72" s="18"/>
    </row>
    <row r="73" spans="2:43" s="2" customFormat="1" hidden="1">
      <c r="B73" s="21"/>
      <c r="C73" s="22"/>
      <c r="D73" s="24"/>
      <c r="E73" s="24"/>
      <c r="F73" s="24"/>
      <c r="G73" s="24"/>
      <c r="H73" s="24"/>
      <c r="I73" s="24"/>
      <c r="J73" s="24"/>
      <c r="K73" s="24"/>
      <c r="L73" s="24"/>
      <c r="M73" s="26"/>
      <c r="N73" s="24"/>
      <c r="O73" s="24"/>
      <c r="P73" s="24"/>
      <c r="Q73" s="24"/>
      <c r="R73" s="24"/>
      <c r="S73" s="24"/>
      <c r="T73" s="24"/>
      <c r="U73" s="24"/>
      <c r="V73" s="24"/>
      <c r="W73" s="24"/>
      <c r="X73" s="24"/>
      <c r="Y73" s="24"/>
      <c r="Z73" s="26"/>
      <c r="AA73" s="26"/>
      <c r="AB73" s="15"/>
      <c r="AC73" s="15"/>
      <c r="AD73" s="16"/>
      <c r="AE73" s="16"/>
      <c r="AF73" s="16"/>
      <c r="AG73" s="16"/>
      <c r="AH73" s="18"/>
      <c r="AI73" s="18"/>
      <c r="AJ73" s="18"/>
      <c r="AK73" s="18"/>
      <c r="AL73" s="18"/>
      <c r="AM73" s="18"/>
      <c r="AN73" s="18"/>
      <c r="AO73" s="18"/>
      <c r="AP73" s="18"/>
      <c r="AQ73" s="18"/>
    </row>
    <row r="74" spans="2:43" s="2" customFormat="1" hidden="1">
      <c r="B74" s="21"/>
      <c r="C74" s="22"/>
      <c r="D74" s="24"/>
      <c r="E74" s="24"/>
      <c r="F74" s="24"/>
      <c r="G74" s="24"/>
      <c r="H74" s="24"/>
      <c r="I74" s="24"/>
      <c r="J74" s="24"/>
      <c r="K74" s="24"/>
      <c r="L74" s="24"/>
      <c r="M74" s="26"/>
      <c r="N74" s="24"/>
      <c r="O74" s="24"/>
      <c r="P74" s="24"/>
      <c r="Q74" s="24"/>
      <c r="R74" s="24"/>
      <c r="S74" s="24"/>
      <c r="T74" s="24"/>
      <c r="U74" s="24"/>
      <c r="V74" s="24"/>
      <c r="W74" s="24"/>
      <c r="X74" s="24"/>
      <c r="Y74" s="24"/>
      <c r="Z74" s="26"/>
      <c r="AA74" s="26"/>
      <c r="AB74" s="15"/>
      <c r="AC74" s="15"/>
      <c r="AD74" s="16"/>
      <c r="AE74" s="16"/>
      <c r="AF74" s="16"/>
      <c r="AG74" s="16"/>
      <c r="AH74" s="18"/>
      <c r="AI74" s="18"/>
      <c r="AJ74" s="18"/>
      <c r="AK74" s="18"/>
      <c r="AL74" s="18"/>
      <c r="AM74" s="18"/>
      <c r="AN74" s="18"/>
      <c r="AO74" s="18"/>
      <c r="AP74" s="18"/>
      <c r="AQ74" s="18"/>
    </row>
    <row r="75" spans="2:43" s="2" customFormat="1" hidden="1">
      <c r="B75" s="21"/>
      <c r="C75" s="22"/>
      <c r="D75" s="24"/>
      <c r="E75" s="24"/>
      <c r="F75" s="24"/>
      <c r="G75" s="24"/>
      <c r="H75" s="24"/>
      <c r="I75" s="24"/>
      <c r="J75" s="24"/>
      <c r="K75" s="24"/>
      <c r="L75" s="24"/>
      <c r="M75" s="26"/>
      <c r="N75" s="24"/>
      <c r="O75" s="24"/>
      <c r="P75" s="24"/>
      <c r="Q75" s="24"/>
      <c r="R75" s="24"/>
      <c r="S75" s="24"/>
      <c r="T75" s="24"/>
      <c r="U75" s="24"/>
      <c r="V75" s="24"/>
      <c r="W75" s="24"/>
      <c r="X75" s="24"/>
      <c r="Y75" s="24"/>
      <c r="Z75" s="26"/>
      <c r="AA75" s="26"/>
      <c r="AB75" s="15"/>
      <c r="AC75" s="15"/>
      <c r="AD75" s="16"/>
      <c r="AE75" s="16"/>
      <c r="AF75" s="16"/>
      <c r="AG75" s="16"/>
      <c r="AH75" s="18"/>
      <c r="AI75" s="18"/>
      <c r="AJ75" s="18"/>
      <c r="AK75" s="18"/>
      <c r="AL75" s="18"/>
      <c r="AM75" s="18"/>
      <c r="AN75" s="18"/>
      <c r="AO75" s="18"/>
      <c r="AP75" s="18"/>
      <c r="AQ75" s="18"/>
    </row>
    <row r="76" spans="2:43" s="2" customFormat="1" hidden="1">
      <c r="B76" s="21"/>
      <c r="C76" s="22"/>
      <c r="D76" s="24"/>
      <c r="E76" s="24"/>
      <c r="F76" s="24"/>
      <c r="G76" s="24"/>
      <c r="H76" s="24"/>
      <c r="I76" s="24"/>
      <c r="J76" s="24"/>
      <c r="K76" s="24"/>
      <c r="L76" s="24"/>
      <c r="M76" s="26"/>
      <c r="N76" s="24"/>
      <c r="O76" s="24"/>
      <c r="P76" s="24"/>
      <c r="Q76" s="24"/>
      <c r="R76" s="24"/>
      <c r="S76" s="24"/>
      <c r="T76" s="24"/>
      <c r="U76" s="24"/>
      <c r="V76" s="24"/>
      <c r="W76" s="24"/>
      <c r="X76" s="24"/>
      <c r="Y76" s="24"/>
      <c r="Z76" s="26"/>
      <c r="AA76" s="26"/>
      <c r="AB76" s="15"/>
      <c r="AC76" s="15"/>
      <c r="AD76" s="16"/>
      <c r="AE76" s="16"/>
      <c r="AF76" s="16"/>
      <c r="AG76" s="16"/>
      <c r="AH76" s="18"/>
      <c r="AI76" s="18"/>
      <c r="AJ76" s="18"/>
      <c r="AK76" s="18"/>
      <c r="AL76" s="18"/>
      <c r="AM76" s="18"/>
      <c r="AN76" s="18"/>
      <c r="AO76" s="18"/>
      <c r="AP76" s="18"/>
      <c r="AQ76" s="18"/>
    </row>
    <row r="77" spans="2:43" s="2" customFormat="1" hidden="1">
      <c r="B77" s="21"/>
      <c r="C77" s="22"/>
      <c r="D77" s="24"/>
      <c r="E77" s="24"/>
      <c r="F77" s="24"/>
      <c r="G77" s="24"/>
      <c r="H77" s="24"/>
      <c r="I77" s="24"/>
      <c r="J77" s="24"/>
      <c r="K77" s="24"/>
      <c r="L77" s="24"/>
      <c r="M77" s="26"/>
      <c r="N77" s="24"/>
      <c r="O77" s="24"/>
      <c r="P77" s="24"/>
      <c r="Q77" s="24"/>
      <c r="R77" s="24"/>
      <c r="S77" s="24"/>
      <c r="T77" s="24"/>
      <c r="U77" s="24"/>
      <c r="V77" s="24"/>
      <c r="W77" s="24"/>
      <c r="X77" s="24"/>
      <c r="Y77" s="24"/>
      <c r="Z77" s="26"/>
      <c r="AA77" s="26"/>
      <c r="AB77" s="15"/>
      <c r="AC77" s="15"/>
      <c r="AD77" s="16"/>
      <c r="AE77" s="16"/>
      <c r="AF77" s="16"/>
      <c r="AG77" s="16"/>
      <c r="AH77" s="18"/>
      <c r="AI77" s="18"/>
      <c r="AJ77" s="18"/>
      <c r="AK77" s="18"/>
      <c r="AL77" s="18"/>
      <c r="AM77" s="18"/>
      <c r="AN77" s="18"/>
      <c r="AO77" s="18"/>
      <c r="AP77" s="18"/>
      <c r="AQ77" s="18"/>
    </row>
    <row r="78" spans="2:43" s="2" customFormat="1" hidden="1">
      <c r="B78" s="21"/>
      <c r="C78" s="22"/>
      <c r="D78" s="24"/>
      <c r="E78" s="24"/>
      <c r="F78" s="24"/>
      <c r="G78" s="24"/>
      <c r="H78" s="24"/>
      <c r="I78" s="24"/>
      <c r="J78" s="24"/>
      <c r="K78" s="24"/>
      <c r="L78" s="24"/>
      <c r="M78" s="26"/>
      <c r="N78" s="24"/>
      <c r="O78" s="24"/>
      <c r="P78" s="24"/>
      <c r="Q78" s="24"/>
      <c r="R78" s="24"/>
      <c r="S78" s="24"/>
      <c r="T78" s="24"/>
      <c r="U78" s="24"/>
      <c r="V78" s="24"/>
      <c r="W78" s="24"/>
      <c r="X78" s="24"/>
      <c r="Y78" s="24"/>
      <c r="Z78" s="26"/>
      <c r="AA78" s="26"/>
      <c r="AB78" s="15"/>
      <c r="AC78" s="15"/>
      <c r="AD78" s="16"/>
      <c r="AE78" s="16"/>
      <c r="AF78" s="16"/>
      <c r="AG78" s="16"/>
      <c r="AH78" s="18"/>
      <c r="AI78" s="18"/>
      <c r="AJ78" s="18"/>
      <c r="AK78" s="18"/>
      <c r="AL78" s="18"/>
      <c r="AM78" s="18"/>
      <c r="AN78" s="18"/>
      <c r="AO78" s="18"/>
      <c r="AP78" s="18"/>
      <c r="AQ78" s="18"/>
    </row>
    <row r="79" spans="2:43" s="2" customFormat="1" hidden="1">
      <c r="B79" s="21"/>
      <c r="C79" s="22"/>
      <c r="D79" s="24"/>
      <c r="E79" s="24"/>
      <c r="F79" s="24"/>
      <c r="G79" s="24"/>
      <c r="H79" s="24"/>
      <c r="I79" s="24"/>
      <c r="J79" s="24"/>
      <c r="K79" s="24"/>
      <c r="L79" s="24"/>
      <c r="M79" s="26"/>
      <c r="N79" s="24"/>
      <c r="O79" s="24"/>
      <c r="P79" s="24"/>
      <c r="Q79" s="24"/>
      <c r="R79" s="24"/>
      <c r="S79" s="24"/>
      <c r="T79" s="24"/>
      <c r="U79" s="24"/>
      <c r="V79" s="24"/>
      <c r="W79" s="24"/>
      <c r="X79" s="24"/>
      <c r="Y79" s="24"/>
      <c r="Z79" s="26"/>
      <c r="AA79" s="26"/>
      <c r="AB79" s="15"/>
      <c r="AC79" s="15"/>
      <c r="AD79" s="16"/>
      <c r="AE79" s="16"/>
      <c r="AF79" s="16"/>
      <c r="AG79" s="16"/>
      <c r="AH79" s="18"/>
      <c r="AI79" s="18"/>
      <c r="AJ79" s="18"/>
      <c r="AK79" s="18"/>
      <c r="AL79" s="18"/>
      <c r="AM79" s="18"/>
      <c r="AN79" s="18"/>
      <c r="AO79" s="18"/>
      <c r="AP79" s="18"/>
      <c r="AQ79" s="18"/>
    </row>
    <row r="80" spans="2:43" s="2" customFormat="1" hidden="1">
      <c r="B80" s="21"/>
      <c r="C80" s="22"/>
      <c r="D80" s="24"/>
      <c r="E80" s="24"/>
      <c r="F80" s="24"/>
      <c r="G80" s="24"/>
      <c r="H80" s="24"/>
      <c r="I80" s="24"/>
      <c r="J80" s="24"/>
      <c r="K80" s="24"/>
      <c r="L80" s="24"/>
      <c r="M80" s="26"/>
      <c r="N80" s="24"/>
      <c r="O80" s="24"/>
      <c r="P80" s="24"/>
      <c r="Q80" s="24"/>
      <c r="R80" s="24"/>
      <c r="S80" s="24"/>
      <c r="T80" s="24"/>
      <c r="U80" s="24"/>
      <c r="V80" s="24"/>
      <c r="W80" s="24"/>
      <c r="X80" s="24"/>
      <c r="Y80" s="24"/>
      <c r="Z80" s="26"/>
      <c r="AA80" s="26"/>
      <c r="AB80" s="15"/>
      <c r="AC80" s="15"/>
      <c r="AD80" s="16"/>
      <c r="AE80" s="16"/>
      <c r="AF80" s="16"/>
      <c r="AG80" s="16"/>
      <c r="AH80" s="18"/>
      <c r="AI80" s="18"/>
      <c r="AJ80" s="18"/>
      <c r="AK80" s="18"/>
      <c r="AL80" s="18"/>
      <c r="AM80" s="18"/>
      <c r="AN80" s="18"/>
      <c r="AO80" s="18"/>
      <c r="AP80" s="18"/>
      <c r="AQ80" s="18"/>
    </row>
    <row r="81" spans="2:43" s="2" customFormat="1" hidden="1">
      <c r="B81" s="21"/>
      <c r="C81" s="22"/>
      <c r="D81" s="24"/>
      <c r="E81" s="24"/>
      <c r="F81" s="24"/>
      <c r="G81" s="24"/>
      <c r="H81" s="24"/>
      <c r="I81" s="24"/>
      <c r="J81" s="24"/>
      <c r="K81" s="24"/>
      <c r="L81" s="24"/>
      <c r="M81" s="26"/>
      <c r="N81" s="24"/>
      <c r="O81" s="24"/>
      <c r="P81" s="24"/>
      <c r="Q81" s="24"/>
      <c r="R81" s="24"/>
      <c r="S81" s="24"/>
      <c r="T81" s="24"/>
      <c r="U81" s="24"/>
      <c r="V81" s="24"/>
      <c r="W81" s="24"/>
      <c r="X81" s="24"/>
      <c r="Y81" s="24"/>
      <c r="Z81" s="26"/>
      <c r="AA81" s="26"/>
      <c r="AB81" s="15"/>
      <c r="AC81" s="15"/>
      <c r="AD81" s="16"/>
      <c r="AE81" s="16"/>
      <c r="AF81" s="16"/>
      <c r="AG81" s="16"/>
      <c r="AH81" s="18"/>
      <c r="AI81" s="18"/>
      <c r="AJ81" s="18"/>
      <c r="AK81" s="18"/>
      <c r="AL81" s="18"/>
      <c r="AM81" s="18"/>
      <c r="AN81" s="18"/>
      <c r="AO81" s="18"/>
      <c r="AP81" s="18"/>
      <c r="AQ81" s="18"/>
    </row>
    <row r="82" spans="2:43" s="2" customFormat="1" hidden="1">
      <c r="B82" s="21"/>
      <c r="C82" s="22"/>
      <c r="D82" s="24"/>
      <c r="E82" s="24"/>
      <c r="F82" s="24"/>
      <c r="G82" s="24"/>
      <c r="H82" s="24"/>
      <c r="I82" s="24"/>
      <c r="J82" s="24"/>
      <c r="K82" s="24"/>
      <c r="L82" s="24"/>
      <c r="M82" s="26"/>
      <c r="N82" s="24"/>
      <c r="O82" s="24"/>
      <c r="P82" s="24"/>
      <c r="Q82" s="24"/>
      <c r="R82" s="24"/>
      <c r="S82" s="24"/>
      <c r="T82" s="24"/>
      <c r="U82" s="24"/>
      <c r="V82" s="24"/>
      <c r="W82" s="24"/>
      <c r="X82" s="24"/>
      <c r="Y82" s="24"/>
      <c r="Z82" s="26"/>
      <c r="AA82" s="26"/>
      <c r="AB82" s="15"/>
      <c r="AC82" s="15"/>
      <c r="AD82" s="16"/>
      <c r="AE82" s="16"/>
      <c r="AF82" s="16"/>
      <c r="AG82" s="16"/>
      <c r="AH82" s="18"/>
      <c r="AI82" s="18"/>
      <c r="AJ82" s="18"/>
      <c r="AK82" s="18"/>
      <c r="AL82" s="18"/>
      <c r="AM82" s="18"/>
      <c r="AN82" s="18"/>
      <c r="AO82" s="18"/>
      <c r="AP82" s="18"/>
      <c r="AQ82" s="18"/>
    </row>
    <row r="83" spans="2:43" s="2" customFormat="1" hidden="1">
      <c r="B83" s="21"/>
      <c r="C83" s="22"/>
      <c r="D83" s="24"/>
      <c r="E83" s="24"/>
      <c r="F83" s="24"/>
      <c r="G83" s="24"/>
      <c r="H83" s="24"/>
      <c r="I83" s="24"/>
      <c r="J83" s="24"/>
      <c r="K83" s="24"/>
      <c r="L83" s="24"/>
      <c r="M83" s="26"/>
      <c r="N83" s="24"/>
      <c r="O83" s="24"/>
      <c r="P83" s="24"/>
      <c r="Q83" s="24"/>
      <c r="R83" s="24"/>
      <c r="S83" s="24"/>
      <c r="T83" s="24"/>
      <c r="U83" s="24"/>
      <c r="V83" s="24"/>
      <c r="W83" s="24"/>
      <c r="X83" s="24"/>
      <c r="Y83" s="24"/>
      <c r="Z83" s="26"/>
      <c r="AA83" s="26"/>
      <c r="AB83" s="15"/>
      <c r="AC83" s="15"/>
      <c r="AD83" s="16"/>
      <c r="AE83" s="16"/>
      <c r="AF83" s="16"/>
      <c r="AG83" s="16"/>
      <c r="AH83" s="18"/>
      <c r="AI83" s="18"/>
      <c r="AJ83" s="18"/>
      <c r="AK83" s="18"/>
      <c r="AL83" s="18"/>
      <c r="AM83" s="18"/>
      <c r="AN83" s="18"/>
      <c r="AO83" s="18"/>
      <c r="AP83" s="18"/>
      <c r="AQ83" s="18"/>
    </row>
    <row r="84" spans="2:43" s="2" customFormat="1" hidden="1">
      <c r="B84" s="21"/>
      <c r="C84" s="22"/>
      <c r="D84" s="24"/>
      <c r="E84" s="24"/>
      <c r="F84" s="24"/>
      <c r="G84" s="24"/>
      <c r="H84" s="24"/>
      <c r="I84" s="24"/>
      <c r="J84" s="24"/>
      <c r="K84" s="24"/>
      <c r="L84" s="24"/>
      <c r="M84" s="26"/>
      <c r="N84" s="24"/>
      <c r="O84" s="24"/>
      <c r="P84" s="24"/>
      <c r="Q84" s="24"/>
      <c r="R84" s="24"/>
      <c r="S84" s="24"/>
      <c r="T84" s="24"/>
      <c r="U84" s="24"/>
      <c r="V84" s="24"/>
      <c r="W84" s="24"/>
      <c r="X84" s="24"/>
      <c r="Y84" s="24"/>
      <c r="Z84" s="26"/>
      <c r="AA84" s="26"/>
      <c r="AB84" s="15"/>
      <c r="AC84" s="15"/>
      <c r="AD84" s="16"/>
      <c r="AE84" s="16"/>
      <c r="AF84" s="16"/>
      <c r="AG84" s="16"/>
      <c r="AH84" s="18"/>
      <c r="AI84" s="18"/>
      <c r="AJ84" s="18"/>
      <c r="AK84" s="18"/>
      <c r="AL84" s="18"/>
      <c r="AM84" s="18"/>
      <c r="AN84" s="18"/>
      <c r="AO84" s="18"/>
      <c r="AP84" s="18"/>
      <c r="AQ84" s="18"/>
    </row>
    <row r="85" spans="2:43" s="2" customFormat="1" hidden="1">
      <c r="B85" s="21"/>
      <c r="C85" s="22"/>
      <c r="D85" s="24"/>
      <c r="E85" s="24"/>
      <c r="F85" s="24"/>
      <c r="G85" s="24"/>
      <c r="H85" s="24"/>
      <c r="I85" s="24"/>
      <c r="J85" s="24"/>
      <c r="K85" s="24"/>
      <c r="L85" s="24"/>
      <c r="M85" s="26"/>
      <c r="N85" s="24"/>
      <c r="O85" s="24"/>
      <c r="P85" s="24"/>
      <c r="Q85" s="24"/>
      <c r="R85" s="24"/>
      <c r="S85" s="24"/>
      <c r="T85" s="24"/>
      <c r="U85" s="24"/>
      <c r="V85" s="24"/>
      <c r="W85" s="24"/>
      <c r="X85" s="24"/>
      <c r="Y85" s="24"/>
      <c r="Z85" s="26"/>
      <c r="AA85" s="26"/>
      <c r="AB85" s="15"/>
      <c r="AC85" s="15"/>
      <c r="AD85" s="16"/>
      <c r="AE85" s="16"/>
      <c r="AF85" s="16"/>
      <c r="AG85" s="16"/>
      <c r="AH85" s="18"/>
      <c r="AI85" s="18"/>
      <c r="AJ85" s="18"/>
      <c r="AK85" s="18"/>
      <c r="AL85" s="18"/>
      <c r="AM85" s="18"/>
      <c r="AN85" s="18"/>
      <c r="AO85" s="18"/>
      <c r="AP85" s="18"/>
      <c r="AQ85" s="18"/>
    </row>
    <row r="86" spans="2:43" s="2" customFormat="1" hidden="1">
      <c r="B86" s="21"/>
      <c r="C86" s="22"/>
      <c r="D86" s="24"/>
      <c r="E86" s="24"/>
      <c r="F86" s="24"/>
      <c r="G86" s="24"/>
      <c r="H86" s="24"/>
      <c r="I86" s="24"/>
      <c r="J86" s="24"/>
      <c r="K86" s="24"/>
      <c r="L86" s="24"/>
      <c r="M86" s="26"/>
      <c r="N86" s="24"/>
      <c r="O86" s="24"/>
      <c r="P86" s="24"/>
      <c r="Q86" s="24"/>
      <c r="R86" s="24"/>
      <c r="S86" s="24"/>
      <c r="T86" s="24"/>
      <c r="U86" s="24"/>
      <c r="V86" s="24"/>
      <c r="W86" s="24"/>
      <c r="X86" s="24"/>
      <c r="Y86" s="24"/>
      <c r="Z86" s="26"/>
      <c r="AA86" s="26"/>
      <c r="AB86" s="15"/>
      <c r="AC86" s="15"/>
      <c r="AD86" s="16"/>
      <c r="AE86" s="16"/>
      <c r="AF86" s="16"/>
      <c r="AG86" s="16"/>
      <c r="AH86" s="18"/>
      <c r="AI86" s="18"/>
      <c r="AJ86" s="18"/>
      <c r="AK86" s="18"/>
      <c r="AL86" s="18"/>
      <c r="AM86" s="18"/>
      <c r="AN86" s="18"/>
      <c r="AO86" s="18"/>
      <c r="AP86" s="18"/>
      <c r="AQ86" s="18"/>
    </row>
    <row r="87" spans="2:43" s="2" customFormat="1" hidden="1">
      <c r="B87" s="21"/>
      <c r="C87" s="22"/>
      <c r="D87" s="24"/>
      <c r="E87" s="24"/>
      <c r="F87" s="24"/>
      <c r="G87" s="24"/>
      <c r="H87" s="24"/>
      <c r="I87" s="24"/>
      <c r="J87" s="24"/>
      <c r="K87" s="24"/>
      <c r="L87" s="24"/>
      <c r="M87" s="26"/>
      <c r="N87" s="24"/>
      <c r="O87" s="24"/>
      <c r="P87" s="24"/>
      <c r="Q87" s="24"/>
      <c r="R87" s="24"/>
      <c r="S87" s="24"/>
      <c r="T87" s="24"/>
      <c r="U87" s="24"/>
      <c r="V87" s="24"/>
      <c r="W87" s="24"/>
      <c r="X87" s="24"/>
      <c r="Y87" s="24"/>
      <c r="Z87" s="26"/>
      <c r="AA87" s="26"/>
      <c r="AB87" s="15"/>
      <c r="AC87" s="15"/>
      <c r="AD87" s="16"/>
      <c r="AE87" s="16"/>
      <c r="AF87" s="16"/>
      <c r="AG87" s="16"/>
      <c r="AH87" s="18"/>
      <c r="AI87" s="18"/>
      <c r="AJ87" s="18"/>
      <c r="AK87" s="18"/>
      <c r="AL87" s="18"/>
      <c r="AM87" s="18"/>
      <c r="AN87" s="18"/>
      <c r="AO87" s="18"/>
      <c r="AP87" s="18"/>
      <c r="AQ87" s="18"/>
    </row>
    <row r="88" spans="2:43" s="2" customFormat="1" hidden="1">
      <c r="B88" s="21"/>
      <c r="C88" s="22"/>
      <c r="D88" s="24"/>
      <c r="E88" s="24"/>
      <c r="F88" s="24"/>
      <c r="G88" s="24"/>
      <c r="H88" s="24"/>
      <c r="I88" s="24"/>
      <c r="J88" s="24"/>
      <c r="K88" s="24"/>
      <c r="L88" s="24"/>
      <c r="M88" s="26"/>
      <c r="N88" s="24"/>
      <c r="O88" s="24"/>
      <c r="P88" s="24"/>
      <c r="Q88" s="24"/>
      <c r="R88" s="24"/>
      <c r="S88" s="24"/>
      <c r="T88" s="24"/>
      <c r="U88" s="24"/>
      <c r="V88" s="24"/>
      <c r="W88" s="24"/>
      <c r="X88" s="24"/>
      <c r="Y88" s="24"/>
      <c r="Z88" s="26"/>
      <c r="AA88" s="26"/>
      <c r="AB88" s="15"/>
      <c r="AC88" s="15"/>
      <c r="AD88" s="16"/>
      <c r="AE88" s="16"/>
      <c r="AF88" s="16"/>
      <c r="AG88" s="16"/>
      <c r="AH88" s="18"/>
      <c r="AI88" s="18"/>
      <c r="AJ88" s="18"/>
      <c r="AK88" s="18"/>
      <c r="AL88" s="18"/>
      <c r="AM88" s="18"/>
      <c r="AN88" s="18"/>
      <c r="AO88" s="18"/>
      <c r="AP88" s="18"/>
      <c r="AQ88" s="18"/>
    </row>
    <row r="89" spans="2:43" s="2" customFormat="1" hidden="1">
      <c r="B89" s="21"/>
      <c r="C89" s="22"/>
      <c r="D89" s="24"/>
      <c r="E89" s="24"/>
      <c r="F89" s="24"/>
      <c r="G89" s="24"/>
      <c r="H89" s="24"/>
      <c r="I89" s="24"/>
      <c r="J89" s="24"/>
      <c r="K89" s="24"/>
      <c r="L89" s="24"/>
      <c r="M89" s="26"/>
      <c r="N89" s="24"/>
      <c r="O89" s="24"/>
      <c r="P89" s="24"/>
      <c r="Q89" s="24"/>
      <c r="R89" s="24"/>
      <c r="S89" s="24"/>
      <c r="T89" s="24"/>
      <c r="U89" s="24"/>
      <c r="V89" s="24"/>
      <c r="W89" s="24"/>
      <c r="X89" s="24"/>
      <c r="Y89" s="24"/>
      <c r="Z89" s="26"/>
      <c r="AA89" s="26"/>
      <c r="AB89" s="15"/>
      <c r="AC89" s="15"/>
      <c r="AD89" s="16"/>
      <c r="AE89" s="16"/>
      <c r="AF89" s="16"/>
      <c r="AG89" s="16"/>
      <c r="AH89" s="18"/>
      <c r="AI89" s="18"/>
      <c r="AJ89" s="18"/>
      <c r="AK89" s="18"/>
      <c r="AL89" s="18"/>
      <c r="AM89" s="18"/>
      <c r="AN89" s="18"/>
      <c r="AO89" s="18"/>
      <c r="AP89" s="18"/>
      <c r="AQ89" s="18"/>
    </row>
    <row r="90" spans="2:43" s="2" customFormat="1" hidden="1">
      <c r="B90" s="21"/>
      <c r="C90" s="22"/>
      <c r="D90" s="24"/>
      <c r="E90" s="24"/>
      <c r="F90" s="24"/>
      <c r="G90" s="24"/>
      <c r="H90" s="24"/>
      <c r="I90" s="24"/>
      <c r="J90" s="24"/>
      <c r="K90" s="24"/>
      <c r="L90" s="24"/>
      <c r="M90" s="26"/>
      <c r="N90" s="24"/>
      <c r="O90" s="24"/>
      <c r="P90" s="24"/>
      <c r="Q90" s="24"/>
      <c r="R90" s="24"/>
      <c r="S90" s="24"/>
      <c r="T90" s="24"/>
      <c r="U90" s="24"/>
      <c r="V90" s="24"/>
      <c r="W90" s="24"/>
      <c r="X90" s="24"/>
      <c r="Y90" s="24"/>
      <c r="Z90" s="26"/>
      <c r="AA90" s="26"/>
      <c r="AB90" s="15"/>
      <c r="AC90" s="15"/>
      <c r="AD90" s="16"/>
      <c r="AE90" s="16"/>
      <c r="AF90" s="16"/>
      <c r="AG90" s="16"/>
      <c r="AH90" s="18"/>
      <c r="AI90" s="18"/>
      <c r="AJ90" s="18"/>
      <c r="AK90" s="18"/>
      <c r="AL90" s="18"/>
      <c r="AM90" s="18"/>
      <c r="AN90" s="18"/>
      <c r="AO90" s="18"/>
      <c r="AP90" s="18"/>
      <c r="AQ90" s="18"/>
    </row>
    <row r="91" spans="2:43" s="2" customFormat="1" hidden="1">
      <c r="B91" s="21"/>
      <c r="C91" s="22"/>
      <c r="D91" s="24"/>
      <c r="E91" s="24"/>
      <c r="F91" s="24"/>
      <c r="G91" s="24"/>
      <c r="H91" s="24"/>
      <c r="I91" s="24"/>
      <c r="J91" s="24"/>
      <c r="K91" s="24"/>
      <c r="L91" s="24"/>
      <c r="M91" s="26"/>
      <c r="N91" s="24"/>
      <c r="O91" s="24"/>
      <c r="P91" s="24"/>
      <c r="Q91" s="24"/>
      <c r="R91" s="24"/>
      <c r="S91" s="24"/>
      <c r="T91" s="24"/>
      <c r="U91" s="24"/>
      <c r="V91" s="24"/>
      <c r="W91" s="24"/>
      <c r="X91" s="24"/>
      <c r="Y91" s="24"/>
      <c r="Z91" s="26"/>
      <c r="AA91" s="26"/>
      <c r="AB91" s="15"/>
      <c r="AC91" s="15"/>
      <c r="AD91" s="16"/>
      <c r="AE91" s="16"/>
      <c r="AF91" s="16"/>
      <c r="AG91" s="16"/>
      <c r="AH91" s="18"/>
      <c r="AI91" s="18"/>
      <c r="AJ91" s="18"/>
      <c r="AK91" s="18"/>
      <c r="AL91" s="18"/>
      <c r="AM91" s="18"/>
      <c r="AN91" s="18"/>
      <c r="AO91" s="18"/>
      <c r="AP91" s="18"/>
      <c r="AQ91" s="18"/>
    </row>
    <row r="92" spans="2:43" s="2" customFormat="1" hidden="1">
      <c r="B92" s="21"/>
      <c r="C92" s="22"/>
      <c r="D92" s="24"/>
      <c r="E92" s="24"/>
      <c r="F92" s="24"/>
      <c r="G92" s="24"/>
      <c r="H92" s="24"/>
      <c r="I92" s="24"/>
      <c r="J92" s="24"/>
      <c r="K92" s="24"/>
      <c r="L92" s="24"/>
      <c r="M92" s="26"/>
      <c r="N92" s="24"/>
      <c r="O92" s="24"/>
      <c r="P92" s="24"/>
      <c r="Q92" s="24"/>
      <c r="R92" s="24"/>
      <c r="S92" s="24"/>
      <c r="T92" s="24"/>
      <c r="U92" s="24"/>
      <c r="V92" s="24"/>
      <c r="W92" s="24"/>
      <c r="X92" s="24"/>
      <c r="Y92" s="24"/>
      <c r="Z92" s="26"/>
      <c r="AA92" s="26"/>
      <c r="AB92" s="15"/>
      <c r="AC92" s="15"/>
      <c r="AD92" s="16"/>
      <c r="AE92" s="16"/>
      <c r="AF92" s="16"/>
      <c r="AG92" s="16"/>
      <c r="AH92" s="18"/>
      <c r="AI92" s="18"/>
      <c r="AJ92" s="18"/>
      <c r="AK92" s="18"/>
      <c r="AL92" s="18"/>
      <c r="AM92" s="18"/>
      <c r="AN92" s="18"/>
      <c r="AO92" s="18"/>
      <c r="AP92" s="18"/>
      <c r="AQ92" s="18"/>
    </row>
    <row r="93" spans="2:43" s="2" customFormat="1" hidden="1">
      <c r="B93" s="21"/>
      <c r="C93" s="22"/>
      <c r="D93" s="24"/>
      <c r="E93" s="24"/>
      <c r="F93" s="24"/>
      <c r="G93" s="24"/>
      <c r="H93" s="24"/>
      <c r="I93" s="24"/>
      <c r="J93" s="24"/>
      <c r="K93" s="24"/>
      <c r="L93" s="24"/>
      <c r="M93" s="26"/>
      <c r="N93" s="24"/>
      <c r="O93" s="24"/>
      <c r="P93" s="24"/>
      <c r="Q93" s="24"/>
      <c r="R93" s="24"/>
      <c r="S93" s="24"/>
      <c r="T93" s="24"/>
      <c r="U93" s="24"/>
      <c r="V93" s="24"/>
      <c r="W93" s="24"/>
      <c r="X93" s="24"/>
      <c r="Y93" s="24"/>
      <c r="Z93" s="26"/>
      <c r="AA93" s="26"/>
      <c r="AB93" s="15"/>
      <c r="AC93" s="15"/>
      <c r="AD93" s="16"/>
      <c r="AE93" s="16"/>
      <c r="AF93" s="16"/>
      <c r="AG93" s="16"/>
      <c r="AH93" s="18"/>
      <c r="AI93" s="18"/>
      <c r="AJ93" s="18"/>
      <c r="AK93" s="18"/>
      <c r="AL93" s="18"/>
      <c r="AM93" s="18"/>
      <c r="AN93" s="18"/>
      <c r="AO93" s="18"/>
      <c r="AP93" s="18"/>
      <c r="AQ93" s="18"/>
    </row>
    <row r="94" spans="2:43" s="2" customFormat="1" hidden="1">
      <c r="B94" s="21"/>
      <c r="C94" s="22"/>
      <c r="D94" s="24"/>
      <c r="E94" s="24"/>
      <c r="F94" s="24"/>
      <c r="G94" s="24"/>
      <c r="H94" s="24"/>
      <c r="I94" s="24"/>
      <c r="J94" s="24"/>
      <c r="K94" s="24"/>
      <c r="L94" s="24"/>
      <c r="M94" s="26"/>
      <c r="N94" s="24"/>
      <c r="O94" s="24"/>
      <c r="P94" s="24"/>
      <c r="Q94" s="24"/>
      <c r="R94" s="24"/>
      <c r="S94" s="24"/>
      <c r="T94" s="24"/>
      <c r="U94" s="24"/>
      <c r="V94" s="24"/>
      <c r="W94" s="24"/>
      <c r="X94" s="24"/>
      <c r="Y94" s="24"/>
      <c r="Z94" s="26"/>
      <c r="AA94" s="26"/>
      <c r="AB94" s="15"/>
      <c r="AC94" s="15"/>
      <c r="AD94" s="16"/>
      <c r="AE94" s="16"/>
      <c r="AF94" s="16"/>
      <c r="AG94" s="16"/>
      <c r="AH94" s="18"/>
      <c r="AI94" s="18"/>
      <c r="AJ94" s="18"/>
      <c r="AK94" s="18"/>
      <c r="AL94" s="18"/>
      <c r="AM94" s="18"/>
      <c r="AN94" s="18"/>
      <c r="AO94" s="18"/>
      <c r="AP94" s="18"/>
      <c r="AQ94" s="18"/>
    </row>
    <row r="95" spans="2:43" s="2" customFormat="1" hidden="1">
      <c r="B95" s="21"/>
      <c r="C95" s="22"/>
      <c r="D95" s="24"/>
      <c r="E95" s="24"/>
      <c r="F95" s="24"/>
      <c r="G95" s="24"/>
      <c r="H95" s="24"/>
      <c r="I95" s="24"/>
      <c r="J95" s="24"/>
      <c r="K95" s="24"/>
      <c r="L95" s="24"/>
      <c r="M95" s="26"/>
      <c r="N95" s="24"/>
      <c r="O95" s="24"/>
      <c r="P95" s="24"/>
      <c r="Q95" s="24"/>
      <c r="R95" s="24"/>
      <c r="S95" s="24"/>
      <c r="T95" s="24"/>
      <c r="U95" s="24"/>
      <c r="V95" s="24"/>
      <c r="W95" s="24"/>
      <c r="X95" s="24"/>
      <c r="Y95" s="24"/>
      <c r="Z95" s="26"/>
      <c r="AA95" s="26"/>
      <c r="AB95" s="15"/>
      <c r="AC95" s="15"/>
      <c r="AD95" s="16"/>
      <c r="AE95" s="16"/>
      <c r="AF95" s="16"/>
      <c r="AG95" s="16"/>
      <c r="AH95" s="18"/>
      <c r="AI95" s="18"/>
      <c r="AJ95" s="18"/>
      <c r="AK95" s="18"/>
      <c r="AL95" s="18"/>
      <c r="AM95" s="18"/>
      <c r="AN95" s="18"/>
      <c r="AO95" s="18"/>
      <c r="AP95" s="18"/>
      <c r="AQ95" s="18"/>
    </row>
    <row r="96" spans="2:43" s="2" customFormat="1" hidden="1">
      <c r="B96" s="21"/>
      <c r="C96" s="22"/>
      <c r="D96" s="24"/>
      <c r="E96" s="24"/>
      <c r="F96" s="24"/>
      <c r="G96" s="24"/>
      <c r="H96" s="24"/>
      <c r="I96" s="24"/>
      <c r="J96" s="24"/>
      <c r="K96" s="24"/>
      <c r="L96" s="24"/>
      <c r="M96" s="26"/>
      <c r="N96" s="24"/>
      <c r="O96" s="24"/>
      <c r="P96" s="24"/>
      <c r="Q96" s="24"/>
      <c r="R96" s="24"/>
      <c r="S96" s="24"/>
      <c r="T96" s="24"/>
      <c r="U96" s="24"/>
      <c r="V96" s="24"/>
      <c r="W96" s="24"/>
      <c r="X96" s="24"/>
      <c r="Y96" s="24"/>
      <c r="Z96" s="26"/>
      <c r="AA96" s="26"/>
      <c r="AB96" s="15"/>
      <c r="AC96" s="15"/>
      <c r="AD96" s="16"/>
      <c r="AE96" s="16"/>
      <c r="AF96" s="16"/>
      <c r="AG96" s="16"/>
      <c r="AH96" s="18"/>
      <c r="AI96" s="18"/>
      <c r="AJ96" s="18"/>
      <c r="AK96" s="18"/>
      <c r="AL96" s="18"/>
      <c r="AM96" s="18"/>
      <c r="AN96" s="18"/>
      <c r="AO96" s="18"/>
      <c r="AP96" s="18"/>
      <c r="AQ96" s="18"/>
    </row>
    <row r="97" spans="2:43" s="2" customFormat="1" hidden="1">
      <c r="B97" s="21"/>
      <c r="C97" s="22"/>
      <c r="D97" s="24"/>
      <c r="E97" s="24"/>
      <c r="F97" s="24"/>
      <c r="G97" s="24"/>
      <c r="H97" s="24"/>
      <c r="I97" s="24"/>
      <c r="J97" s="24"/>
      <c r="K97" s="24"/>
      <c r="L97" s="24"/>
      <c r="M97" s="26"/>
      <c r="N97" s="24"/>
      <c r="O97" s="24"/>
      <c r="P97" s="24"/>
      <c r="Q97" s="24"/>
      <c r="R97" s="24"/>
      <c r="S97" s="24"/>
      <c r="T97" s="24"/>
      <c r="U97" s="24"/>
      <c r="V97" s="24"/>
      <c r="W97" s="24"/>
      <c r="X97" s="24"/>
      <c r="Y97" s="24"/>
      <c r="Z97" s="26"/>
      <c r="AA97" s="26"/>
      <c r="AB97" s="15"/>
      <c r="AC97" s="15"/>
      <c r="AD97" s="16"/>
      <c r="AE97" s="16"/>
      <c r="AF97" s="16"/>
      <c r="AG97" s="16"/>
      <c r="AH97" s="18"/>
      <c r="AI97" s="18"/>
      <c r="AJ97" s="18"/>
      <c r="AK97" s="18"/>
      <c r="AL97" s="18"/>
      <c r="AM97" s="18"/>
      <c r="AN97" s="18"/>
      <c r="AO97" s="18"/>
      <c r="AP97" s="18"/>
      <c r="AQ97" s="18"/>
    </row>
    <row r="98" spans="2:43" s="2" customFormat="1" hidden="1">
      <c r="B98" s="21"/>
      <c r="C98" s="22"/>
      <c r="D98" s="24"/>
      <c r="E98" s="24"/>
      <c r="F98" s="24"/>
      <c r="G98" s="24"/>
      <c r="H98" s="24"/>
      <c r="I98" s="24"/>
      <c r="J98" s="24"/>
      <c r="K98" s="24"/>
      <c r="L98" s="24"/>
      <c r="M98" s="26"/>
      <c r="N98" s="24"/>
      <c r="O98" s="24"/>
      <c r="P98" s="24"/>
      <c r="Q98" s="24"/>
      <c r="R98" s="24"/>
      <c r="S98" s="24"/>
      <c r="T98" s="24"/>
      <c r="U98" s="24"/>
      <c r="V98" s="24"/>
      <c r="W98" s="24"/>
      <c r="X98" s="24"/>
      <c r="Y98" s="24"/>
      <c r="Z98" s="26"/>
      <c r="AA98" s="26"/>
      <c r="AB98" s="15"/>
      <c r="AC98" s="15"/>
      <c r="AD98" s="16"/>
      <c r="AE98" s="16"/>
      <c r="AF98" s="16"/>
      <c r="AG98" s="16"/>
      <c r="AH98" s="18"/>
      <c r="AI98" s="18"/>
      <c r="AJ98" s="18"/>
      <c r="AK98" s="18"/>
      <c r="AL98" s="18"/>
      <c r="AM98" s="18"/>
      <c r="AN98" s="18"/>
      <c r="AO98" s="18"/>
      <c r="AP98" s="18"/>
      <c r="AQ98" s="18"/>
    </row>
    <row r="99" spans="2:43" s="2" customFormat="1" hidden="1">
      <c r="B99" s="21"/>
      <c r="C99" s="22"/>
      <c r="D99" s="24"/>
      <c r="E99" s="24"/>
      <c r="F99" s="24"/>
      <c r="G99" s="24"/>
      <c r="H99" s="24"/>
      <c r="I99" s="24"/>
      <c r="J99" s="24"/>
      <c r="K99" s="24"/>
      <c r="L99" s="24"/>
      <c r="M99" s="26"/>
      <c r="N99" s="24"/>
      <c r="O99" s="24"/>
      <c r="P99" s="24"/>
      <c r="Q99" s="24"/>
      <c r="R99" s="24"/>
      <c r="S99" s="24"/>
      <c r="T99" s="24"/>
      <c r="U99" s="24"/>
      <c r="V99" s="24"/>
      <c r="W99" s="24"/>
      <c r="X99" s="24"/>
      <c r="Y99" s="24"/>
      <c r="Z99" s="26"/>
      <c r="AA99" s="26"/>
      <c r="AB99" s="15"/>
      <c r="AC99" s="15"/>
      <c r="AD99" s="16"/>
      <c r="AE99" s="16"/>
      <c r="AF99" s="16"/>
      <c r="AG99" s="16"/>
      <c r="AH99" s="18"/>
      <c r="AI99" s="18"/>
      <c r="AJ99" s="18"/>
      <c r="AK99" s="18"/>
      <c r="AL99" s="18"/>
      <c r="AM99" s="18"/>
      <c r="AN99" s="18"/>
      <c r="AO99" s="18"/>
      <c r="AP99" s="18"/>
      <c r="AQ99" s="18"/>
    </row>
    <row r="100" spans="2:43" s="2" customFormat="1" hidden="1">
      <c r="B100" s="21"/>
      <c r="C100" s="22"/>
      <c r="D100" s="24"/>
      <c r="E100" s="24"/>
      <c r="F100" s="24"/>
      <c r="G100" s="24"/>
      <c r="H100" s="24"/>
      <c r="I100" s="24"/>
      <c r="J100" s="24"/>
      <c r="K100" s="24"/>
      <c r="L100" s="24"/>
      <c r="M100" s="26"/>
      <c r="N100" s="24"/>
      <c r="O100" s="24"/>
      <c r="P100" s="24"/>
      <c r="Q100" s="24"/>
      <c r="R100" s="24"/>
      <c r="S100" s="24"/>
      <c r="T100" s="24"/>
      <c r="U100" s="24"/>
      <c r="V100" s="24"/>
      <c r="W100" s="24"/>
      <c r="X100" s="24"/>
      <c r="Y100" s="24"/>
      <c r="Z100" s="26"/>
      <c r="AA100" s="26"/>
      <c r="AB100" s="15"/>
      <c r="AC100" s="15"/>
      <c r="AD100" s="16"/>
      <c r="AE100" s="16"/>
      <c r="AF100" s="16"/>
      <c r="AG100" s="16"/>
      <c r="AH100" s="18"/>
      <c r="AI100" s="18"/>
      <c r="AJ100" s="18"/>
      <c r="AK100" s="18"/>
      <c r="AL100" s="18"/>
      <c r="AM100" s="18"/>
      <c r="AN100" s="18"/>
      <c r="AO100" s="18"/>
      <c r="AP100" s="18"/>
      <c r="AQ100" s="18"/>
    </row>
    <row r="101" spans="2:43" s="2" customFormat="1" hidden="1">
      <c r="B101" s="21"/>
      <c r="C101" s="22"/>
      <c r="D101" s="24"/>
      <c r="E101" s="24"/>
      <c r="F101" s="24"/>
      <c r="G101" s="24"/>
      <c r="H101" s="24"/>
      <c r="I101" s="24"/>
      <c r="J101" s="24"/>
      <c r="K101" s="24"/>
      <c r="L101" s="24"/>
      <c r="M101" s="26"/>
      <c r="N101" s="24"/>
      <c r="O101" s="24"/>
      <c r="P101" s="24"/>
      <c r="Q101" s="24"/>
      <c r="R101" s="24"/>
      <c r="S101" s="24"/>
      <c r="T101" s="24"/>
      <c r="U101" s="24"/>
      <c r="V101" s="24"/>
      <c r="W101" s="24"/>
      <c r="X101" s="24"/>
      <c r="Y101" s="24"/>
      <c r="Z101" s="26"/>
      <c r="AA101" s="26"/>
      <c r="AB101" s="15"/>
      <c r="AC101" s="15"/>
      <c r="AD101" s="16"/>
      <c r="AE101" s="16"/>
      <c r="AF101" s="16"/>
      <c r="AG101" s="16"/>
      <c r="AH101" s="18"/>
      <c r="AI101" s="18"/>
      <c r="AJ101" s="18"/>
      <c r="AK101" s="18"/>
      <c r="AL101" s="18"/>
      <c r="AM101" s="18"/>
      <c r="AN101" s="18"/>
      <c r="AO101" s="18"/>
      <c r="AP101" s="18"/>
      <c r="AQ101" s="18"/>
    </row>
    <row r="102" spans="2:43" s="2" customFormat="1" hidden="1">
      <c r="B102" s="21"/>
      <c r="C102" s="22"/>
      <c r="D102" s="24"/>
      <c r="E102" s="24"/>
      <c r="F102" s="24"/>
      <c r="G102" s="24"/>
      <c r="H102" s="24"/>
      <c r="I102" s="24"/>
      <c r="J102" s="24"/>
      <c r="K102" s="24"/>
      <c r="L102" s="24"/>
      <c r="M102" s="26"/>
      <c r="N102" s="24"/>
      <c r="O102" s="24"/>
      <c r="P102" s="24"/>
      <c r="Q102" s="24"/>
      <c r="R102" s="24"/>
      <c r="S102" s="24"/>
      <c r="T102" s="24"/>
      <c r="U102" s="24"/>
      <c r="V102" s="24"/>
      <c r="W102" s="24"/>
      <c r="X102" s="24"/>
      <c r="Y102" s="24"/>
      <c r="Z102" s="26"/>
      <c r="AA102" s="26"/>
      <c r="AB102" s="15"/>
      <c r="AC102" s="15"/>
      <c r="AD102" s="16"/>
      <c r="AE102" s="16"/>
      <c r="AF102" s="16"/>
      <c r="AG102" s="16"/>
      <c r="AH102" s="18"/>
      <c r="AI102" s="18"/>
      <c r="AJ102" s="18"/>
      <c r="AK102" s="18"/>
      <c r="AL102" s="18"/>
      <c r="AM102" s="18"/>
      <c r="AN102" s="18"/>
      <c r="AO102" s="18"/>
      <c r="AP102" s="18"/>
      <c r="AQ102" s="18"/>
    </row>
    <row r="103" spans="2:43" s="2" customFormat="1" hidden="1">
      <c r="B103" s="21"/>
      <c r="C103" s="22"/>
      <c r="D103" s="24"/>
      <c r="E103" s="24"/>
      <c r="F103" s="24"/>
      <c r="G103" s="24"/>
      <c r="H103" s="24"/>
      <c r="I103" s="24"/>
      <c r="J103" s="24"/>
      <c r="K103" s="24"/>
      <c r="L103" s="24"/>
      <c r="M103" s="26"/>
      <c r="N103" s="24"/>
      <c r="O103" s="24"/>
      <c r="P103" s="24"/>
      <c r="Q103" s="24"/>
      <c r="R103" s="24"/>
      <c r="S103" s="24"/>
      <c r="T103" s="24"/>
      <c r="U103" s="24"/>
      <c r="V103" s="24"/>
      <c r="W103" s="24"/>
      <c r="X103" s="24"/>
      <c r="Y103" s="24"/>
      <c r="Z103" s="26"/>
      <c r="AA103" s="26"/>
      <c r="AB103" s="15"/>
      <c r="AC103" s="15"/>
      <c r="AD103" s="16"/>
      <c r="AE103" s="16"/>
      <c r="AF103" s="16"/>
      <c r="AG103" s="16"/>
      <c r="AH103" s="18"/>
      <c r="AI103" s="18"/>
      <c r="AJ103" s="18"/>
      <c r="AK103" s="18"/>
      <c r="AL103" s="18"/>
      <c r="AM103" s="18"/>
      <c r="AN103" s="18"/>
      <c r="AO103" s="18"/>
      <c r="AP103" s="18"/>
      <c r="AQ103" s="18"/>
    </row>
    <row r="104" spans="2:43" s="2" customFormat="1" hidden="1">
      <c r="B104" s="21"/>
      <c r="C104" s="22"/>
      <c r="D104" s="24"/>
      <c r="E104" s="24"/>
      <c r="F104" s="24"/>
      <c r="G104" s="24"/>
      <c r="H104" s="24"/>
      <c r="I104" s="24"/>
      <c r="J104" s="24"/>
      <c r="K104" s="24"/>
      <c r="L104" s="24"/>
      <c r="M104" s="26"/>
      <c r="N104" s="24"/>
      <c r="O104" s="24"/>
      <c r="P104" s="24"/>
      <c r="Q104" s="24"/>
      <c r="R104" s="24"/>
      <c r="S104" s="24"/>
      <c r="T104" s="24"/>
      <c r="U104" s="24"/>
      <c r="V104" s="24"/>
      <c r="W104" s="24"/>
      <c r="X104" s="24"/>
      <c r="Y104" s="24"/>
      <c r="Z104" s="26"/>
      <c r="AA104" s="26"/>
      <c r="AB104" s="15"/>
      <c r="AC104" s="15"/>
      <c r="AD104" s="16"/>
      <c r="AE104" s="16"/>
      <c r="AF104" s="16"/>
      <c r="AG104" s="16"/>
      <c r="AH104" s="18"/>
      <c r="AI104" s="18"/>
      <c r="AJ104" s="18"/>
      <c r="AK104" s="18"/>
      <c r="AL104" s="18"/>
      <c r="AM104" s="18"/>
      <c r="AN104" s="18"/>
      <c r="AO104" s="18"/>
      <c r="AP104" s="18"/>
      <c r="AQ104" s="18"/>
    </row>
    <row r="105" spans="2:43" s="2" customFormat="1" hidden="1">
      <c r="B105" s="21"/>
      <c r="C105" s="22"/>
      <c r="D105" s="24"/>
      <c r="E105" s="24"/>
      <c r="F105" s="24"/>
      <c r="G105" s="24"/>
      <c r="H105" s="24"/>
      <c r="I105" s="24"/>
      <c r="J105" s="24"/>
      <c r="K105" s="24"/>
      <c r="L105" s="24"/>
      <c r="M105" s="26"/>
      <c r="N105" s="24"/>
      <c r="O105" s="24"/>
      <c r="P105" s="24"/>
      <c r="Q105" s="24"/>
      <c r="R105" s="24"/>
      <c r="S105" s="24"/>
      <c r="T105" s="24"/>
      <c r="U105" s="24"/>
      <c r="V105" s="24"/>
      <c r="W105" s="24"/>
      <c r="X105" s="24"/>
      <c r="Y105" s="24"/>
      <c r="Z105" s="26"/>
      <c r="AA105" s="26"/>
      <c r="AB105" s="15"/>
      <c r="AC105" s="15"/>
      <c r="AD105" s="16"/>
      <c r="AE105" s="16"/>
      <c r="AF105" s="16"/>
      <c r="AG105" s="16"/>
      <c r="AH105" s="18"/>
      <c r="AI105" s="18"/>
      <c r="AJ105" s="18"/>
      <c r="AK105" s="18"/>
      <c r="AL105" s="18"/>
      <c r="AM105" s="18"/>
      <c r="AN105" s="18"/>
      <c r="AO105" s="18"/>
      <c r="AP105" s="18"/>
      <c r="AQ105" s="18"/>
    </row>
    <row r="106" spans="2:43" s="2" customFormat="1" hidden="1">
      <c r="B106" s="21"/>
      <c r="C106" s="22"/>
      <c r="D106" s="24"/>
      <c r="E106" s="24"/>
      <c r="F106" s="24"/>
      <c r="G106" s="24"/>
      <c r="H106" s="24"/>
      <c r="I106" s="24"/>
      <c r="J106" s="24"/>
      <c r="K106" s="24"/>
      <c r="L106" s="24"/>
      <c r="M106" s="26"/>
      <c r="N106" s="24"/>
      <c r="O106" s="24"/>
      <c r="P106" s="24"/>
      <c r="Q106" s="24"/>
      <c r="R106" s="24"/>
      <c r="S106" s="24"/>
      <c r="T106" s="24"/>
      <c r="U106" s="24"/>
      <c r="V106" s="24"/>
      <c r="W106" s="24"/>
      <c r="X106" s="24"/>
      <c r="Y106" s="24"/>
      <c r="Z106" s="26"/>
      <c r="AA106" s="26"/>
      <c r="AB106" s="15"/>
      <c r="AC106" s="15"/>
      <c r="AD106" s="16"/>
      <c r="AE106" s="16"/>
      <c r="AF106" s="16"/>
      <c r="AG106" s="16"/>
      <c r="AH106" s="18"/>
      <c r="AI106" s="18"/>
      <c r="AJ106" s="18"/>
      <c r="AK106" s="18"/>
      <c r="AL106" s="18"/>
      <c r="AM106" s="18"/>
      <c r="AN106" s="18"/>
      <c r="AO106" s="18"/>
      <c r="AP106" s="18"/>
      <c r="AQ106" s="18"/>
    </row>
    <row r="107" spans="2:43" s="2" customFormat="1" hidden="1">
      <c r="B107" s="21"/>
      <c r="C107" s="22"/>
      <c r="D107" s="24"/>
      <c r="E107" s="24"/>
      <c r="F107" s="24"/>
      <c r="G107" s="24"/>
      <c r="H107" s="24"/>
      <c r="I107" s="24"/>
      <c r="J107" s="24"/>
      <c r="K107" s="24"/>
      <c r="L107" s="24"/>
      <c r="M107" s="26"/>
      <c r="N107" s="24"/>
      <c r="O107" s="24"/>
      <c r="P107" s="24"/>
      <c r="Q107" s="24"/>
      <c r="R107" s="24"/>
      <c r="S107" s="24"/>
      <c r="T107" s="24"/>
      <c r="U107" s="24"/>
      <c r="V107" s="24"/>
      <c r="W107" s="24"/>
      <c r="X107" s="24"/>
      <c r="Y107" s="24"/>
      <c r="Z107" s="26"/>
      <c r="AA107" s="26"/>
      <c r="AB107" s="15"/>
      <c r="AC107" s="15"/>
      <c r="AD107" s="16"/>
      <c r="AE107" s="16"/>
      <c r="AF107" s="16"/>
      <c r="AG107" s="16"/>
      <c r="AH107" s="18"/>
      <c r="AI107" s="18"/>
      <c r="AJ107" s="18"/>
      <c r="AK107" s="18"/>
      <c r="AL107" s="18"/>
      <c r="AM107" s="18"/>
      <c r="AN107" s="18"/>
      <c r="AO107" s="18"/>
      <c r="AP107" s="18"/>
      <c r="AQ107" s="18"/>
    </row>
    <row r="108" spans="2:43" s="2" customFormat="1" hidden="1">
      <c r="B108" s="21"/>
      <c r="C108" s="22"/>
      <c r="D108" s="24"/>
      <c r="E108" s="24"/>
      <c r="F108" s="24"/>
      <c r="G108" s="24"/>
      <c r="H108" s="24"/>
      <c r="I108" s="24"/>
      <c r="J108" s="24"/>
      <c r="K108" s="24"/>
      <c r="L108" s="24"/>
      <c r="M108" s="26"/>
      <c r="N108" s="24"/>
      <c r="O108" s="24"/>
      <c r="P108" s="24"/>
      <c r="Q108" s="24"/>
      <c r="R108" s="24"/>
      <c r="S108" s="24"/>
      <c r="T108" s="24"/>
      <c r="U108" s="24"/>
      <c r="V108" s="24"/>
      <c r="W108" s="24"/>
      <c r="X108" s="24"/>
      <c r="Y108" s="24"/>
      <c r="Z108" s="26"/>
      <c r="AA108" s="26"/>
      <c r="AB108" s="15"/>
      <c r="AC108" s="15"/>
      <c r="AD108" s="16"/>
      <c r="AE108" s="16"/>
      <c r="AF108" s="16"/>
      <c r="AG108" s="16"/>
      <c r="AH108" s="18"/>
      <c r="AI108" s="18"/>
      <c r="AJ108" s="18"/>
      <c r="AK108" s="18"/>
      <c r="AL108" s="18"/>
      <c r="AM108" s="18"/>
      <c r="AN108" s="18"/>
      <c r="AO108" s="18"/>
      <c r="AP108" s="18"/>
      <c r="AQ108" s="18"/>
    </row>
    <row r="109" spans="2:43" s="2" customFormat="1" hidden="1">
      <c r="B109" s="21"/>
      <c r="C109" s="22"/>
      <c r="D109" s="24"/>
      <c r="E109" s="24"/>
      <c r="F109" s="24"/>
      <c r="G109" s="24"/>
      <c r="H109" s="24"/>
      <c r="I109" s="24"/>
      <c r="J109" s="24"/>
      <c r="K109" s="24"/>
      <c r="L109" s="24"/>
      <c r="M109" s="26"/>
      <c r="N109" s="24"/>
      <c r="O109" s="24"/>
      <c r="P109" s="24"/>
      <c r="Q109" s="24"/>
      <c r="R109" s="24"/>
      <c r="S109" s="24"/>
      <c r="T109" s="24"/>
      <c r="U109" s="24"/>
      <c r="V109" s="24"/>
      <c r="W109" s="24"/>
      <c r="X109" s="24"/>
      <c r="Y109" s="24"/>
      <c r="Z109" s="26"/>
      <c r="AA109" s="26"/>
      <c r="AB109" s="15"/>
      <c r="AC109" s="15"/>
      <c r="AD109" s="16"/>
      <c r="AE109" s="16"/>
      <c r="AF109" s="16"/>
      <c r="AG109" s="16"/>
      <c r="AH109" s="18"/>
      <c r="AI109" s="18"/>
      <c r="AJ109" s="18"/>
      <c r="AK109" s="18"/>
      <c r="AL109" s="18"/>
      <c r="AM109" s="18"/>
      <c r="AN109" s="18"/>
      <c r="AO109" s="18"/>
      <c r="AP109" s="18"/>
      <c r="AQ109" s="18"/>
    </row>
    <row r="110" spans="2:43" s="2" customFormat="1" hidden="1">
      <c r="B110" s="21"/>
      <c r="C110" s="22"/>
      <c r="D110" s="24"/>
      <c r="E110" s="24"/>
      <c r="F110" s="24"/>
      <c r="G110" s="24"/>
      <c r="H110" s="24"/>
      <c r="I110" s="24"/>
      <c r="J110" s="24"/>
      <c r="K110" s="24"/>
      <c r="L110" s="24"/>
      <c r="M110" s="26"/>
      <c r="N110" s="24"/>
      <c r="O110" s="24"/>
      <c r="P110" s="24"/>
      <c r="Q110" s="24"/>
      <c r="R110" s="24"/>
      <c r="S110" s="24"/>
      <c r="T110" s="24"/>
      <c r="U110" s="24"/>
      <c r="V110" s="24"/>
      <c r="W110" s="24"/>
      <c r="X110" s="24"/>
      <c r="Y110" s="24"/>
      <c r="Z110" s="26"/>
      <c r="AA110" s="26"/>
      <c r="AB110" s="15"/>
      <c r="AC110" s="15"/>
      <c r="AD110" s="16"/>
      <c r="AE110" s="16"/>
      <c r="AF110" s="16"/>
      <c r="AG110" s="16"/>
      <c r="AH110" s="18"/>
      <c r="AI110" s="18"/>
      <c r="AJ110" s="18"/>
      <c r="AK110" s="18"/>
      <c r="AL110" s="18"/>
      <c r="AM110" s="18"/>
      <c r="AN110" s="18"/>
      <c r="AO110" s="18"/>
      <c r="AP110" s="18"/>
      <c r="AQ110" s="18"/>
    </row>
    <row r="111" spans="2:43" s="2" customFormat="1" hidden="1">
      <c r="B111" s="21"/>
      <c r="C111" s="22"/>
      <c r="D111" s="24"/>
      <c r="E111" s="24"/>
      <c r="F111" s="24"/>
      <c r="G111" s="24"/>
      <c r="H111" s="24"/>
      <c r="I111" s="24"/>
      <c r="J111" s="24"/>
      <c r="K111" s="24"/>
      <c r="L111" s="24"/>
      <c r="M111" s="26"/>
      <c r="N111" s="24"/>
      <c r="O111" s="24"/>
      <c r="P111" s="24"/>
      <c r="Q111" s="24"/>
      <c r="R111" s="24"/>
      <c r="S111" s="24"/>
      <c r="T111" s="24"/>
      <c r="U111" s="24"/>
      <c r="V111" s="24"/>
      <c r="W111" s="24"/>
      <c r="X111" s="24"/>
      <c r="Y111" s="24"/>
      <c r="Z111" s="26"/>
      <c r="AA111" s="26"/>
      <c r="AB111" s="15"/>
      <c r="AC111" s="15"/>
      <c r="AD111" s="16"/>
      <c r="AE111" s="16"/>
      <c r="AF111" s="16"/>
      <c r="AG111" s="16"/>
      <c r="AH111" s="18"/>
      <c r="AI111" s="18"/>
      <c r="AJ111" s="18"/>
      <c r="AK111" s="18"/>
      <c r="AL111" s="18"/>
      <c r="AM111" s="18"/>
      <c r="AN111" s="18"/>
      <c r="AO111" s="18"/>
      <c r="AP111" s="18"/>
      <c r="AQ111" s="18"/>
    </row>
    <row r="112" spans="2:43" s="2" customFormat="1" hidden="1">
      <c r="B112" s="21"/>
      <c r="C112" s="22"/>
      <c r="D112" s="24"/>
      <c r="E112" s="24"/>
      <c r="F112" s="24"/>
      <c r="G112" s="24"/>
      <c r="H112" s="24"/>
      <c r="I112" s="24"/>
      <c r="J112" s="24"/>
      <c r="K112" s="24"/>
      <c r="L112" s="24"/>
      <c r="M112" s="26"/>
      <c r="N112" s="24"/>
      <c r="O112" s="24"/>
      <c r="P112" s="24"/>
      <c r="Q112" s="24"/>
      <c r="R112" s="24"/>
      <c r="S112" s="24"/>
      <c r="T112" s="24"/>
      <c r="U112" s="24"/>
      <c r="V112" s="24"/>
      <c r="W112" s="24"/>
      <c r="X112" s="24"/>
      <c r="Y112" s="24"/>
      <c r="Z112" s="26"/>
      <c r="AA112" s="26"/>
      <c r="AB112" s="15"/>
      <c r="AC112" s="15"/>
      <c r="AD112" s="16"/>
      <c r="AE112" s="16"/>
      <c r="AF112" s="16"/>
      <c r="AG112" s="16"/>
      <c r="AH112" s="18"/>
      <c r="AI112" s="18"/>
      <c r="AJ112" s="18"/>
      <c r="AK112" s="18"/>
      <c r="AL112" s="18"/>
      <c r="AM112" s="18"/>
      <c r="AN112" s="18"/>
      <c r="AO112" s="18"/>
      <c r="AP112" s="18"/>
      <c r="AQ112" s="18"/>
    </row>
    <row r="113" spans="2:43" s="2" customFormat="1" hidden="1">
      <c r="B113" s="21"/>
      <c r="C113" s="22"/>
      <c r="D113" s="24"/>
      <c r="E113" s="24"/>
      <c r="F113" s="24"/>
      <c r="G113" s="24"/>
      <c r="H113" s="24"/>
      <c r="I113" s="24"/>
      <c r="J113" s="24"/>
      <c r="K113" s="24"/>
      <c r="L113" s="24"/>
      <c r="M113" s="26"/>
      <c r="N113" s="24"/>
      <c r="O113" s="24"/>
      <c r="P113" s="24"/>
      <c r="Q113" s="24"/>
      <c r="R113" s="24"/>
      <c r="S113" s="24"/>
      <c r="T113" s="24"/>
      <c r="U113" s="24"/>
      <c r="V113" s="24"/>
      <c r="W113" s="24"/>
      <c r="X113" s="24"/>
      <c r="Y113" s="24"/>
      <c r="Z113" s="26"/>
      <c r="AA113" s="26"/>
      <c r="AB113" s="15"/>
      <c r="AC113" s="15"/>
      <c r="AD113" s="16"/>
      <c r="AE113" s="16"/>
      <c r="AF113" s="16"/>
      <c r="AG113" s="16"/>
      <c r="AH113" s="18"/>
      <c r="AI113" s="18"/>
      <c r="AJ113" s="18"/>
      <c r="AK113" s="18"/>
      <c r="AL113" s="18"/>
      <c r="AM113" s="18"/>
      <c r="AN113" s="18"/>
      <c r="AO113" s="18"/>
      <c r="AP113" s="18"/>
      <c r="AQ113" s="18"/>
    </row>
    <row r="114" spans="2:43" s="2" customFormat="1" hidden="1">
      <c r="B114" s="21"/>
      <c r="C114" s="22"/>
      <c r="D114" s="24"/>
      <c r="E114" s="24"/>
      <c r="F114" s="24"/>
      <c r="G114" s="24"/>
      <c r="H114" s="24"/>
      <c r="I114" s="24"/>
      <c r="J114" s="24"/>
      <c r="K114" s="24"/>
      <c r="L114" s="24"/>
      <c r="M114" s="26"/>
      <c r="N114" s="24"/>
      <c r="O114" s="24"/>
      <c r="P114" s="24"/>
      <c r="Q114" s="24"/>
      <c r="R114" s="24"/>
      <c r="S114" s="24"/>
      <c r="T114" s="24"/>
      <c r="U114" s="24"/>
      <c r="V114" s="24"/>
      <c r="W114" s="24"/>
      <c r="X114" s="24"/>
      <c r="Y114" s="24"/>
      <c r="Z114" s="26"/>
      <c r="AA114" s="26"/>
      <c r="AB114" s="15"/>
      <c r="AC114" s="15"/>
      <c r="AD114" s="16"/>
      <c r="AE114" s="16"/>
      <c r="AF114" s="16"/>
      <c r="AG114" s="16"/>
      <c r="AH114" s="18"/>
      <c r="AI114" s="18"/>
      <c r="AJ114" s="18"/>
      <c r="AK114" s="18"/>
      <c r="AL114" s="18"/>
      <c r="AM114" s="18"/>
      <c r="AN114" s="18"/>
      <c r="AO114" s="18"/>
      <c r="AP114" s="18"/>
      <c r="AQ114" s="18"/>
    </row>
    <row r="115" spans="2:43" s="2" customFormat="1" hidden="1">
      <c r="B115" s="21"/>
      <c r="C115" s="22"/>
      <c r="D115" s="24"/>
      <c r="E115" s="24"/>
      <c r="F115" s="24"/>
      <c r="G115" s="24"/>
      <c r="H115" s="24"/>
      <c r="I115" s="24"/>
      <c r="J115" s="24"/>
      <c r="K115" s="24"/>
      <c r="L115" s="24"/>
      <c r="M115" s="26"/>
      <c r="N115" s="24"/>
      <c r="O115" s="24"/>
      <c r="P115" s="24"/>
      <c r="Q115" s="24"/>
      <c r="R115" s="24"/>
      <c r="S115" s="24"/>
      <c r="T115" s="24"/>
      <c r="U115" s="24"/>
      <c r="V115" s="24"/>
      <c r="W115" s="24"/>
      <c r="X115" s="24"/>
      <c r="Y115" s="24"/>
      <c r="Z115" s="26"/>
      <c r="AA115" s="26"/>
      <c r="AB115" s="15"/>
      <c r="AC115" s="15"/>
      <c r="AD115" s="16"/>
      <c r="AE115" s="16"/>
      <c r="AF115" s="16"/>
      <c r="AG115" s="16"/>
      <c r="AH115" s="18"/>
      <c r="AI115" s="18"/>
      <c r="AJ115" s="18"/>
      <c r="AK115" s="18"/>
      <c r="AL115" s="18"/>
      <c r="AM115" s="18"/>
      <c r="AN115" s="18"/>
      <c r="AO115" s="18"/>
      <c r="AP115" s="18"/>
      <c r="AQ115" s="18"/>
    </row>
    <row r="116" spans="2:43" s="2" customFormat="1" hidden="1">
      <c r="B116" s="21"/>
      <c r="C116" s="22"/>
      <c r="D116" s="24"/>
      <c r="E116" s="24"/>
      <c r="F116" s="24"/>
      <c r="G116" s="24"/>
      <c r="H116" s="24"/>
      <c r="I116" s="24"/>
      <c r="J116" s="24"/>
      <c r="K116" s="24"/>
      <c r="L116" s="24"/>
      <c r="M116" s="26"/>
      <c r="N116" s="24"/>
      <c r="O116" s="24"/>
      <c r="P116" s="24"/>
      <c r="Q116" s="24"/>
      <c r="R116" s="24"/>
      <c r="S116" s="24"/>
      <c r="T116" s="24"/>
      <c r="U116" s="24"/>
      <c r="V116" s="24"/>
      <c r="W116" s="24"/>
      <c r="X116" s="24"/>
      <c r="Y116" s="24"/>
      <c r="Z116" s="26"/>
      <c r="AA116" s="26"/>
      <c r="AB116" s="15"/>
      <c r="AC116" s="15"/>
      <c r="AD116" s="16"/>
      <c r="AE116" s="16"/>
      <c r="AF116" s="16"/>
      <c r="AG116" s="16"/>
      <c r="AH116" s="18"/>
      <c r="AI116" s="18"/>
      <c r="AJ116" s="18"/>
      <c r="AK116" s="18"/>
      <c r="AL116" s="18"/>
      <c r="AM116" s="18"/>
      <c r="AN116" s="18"/>
      <c r="AO116" s="18"/>
      <c r="AP116" s="18"/>
      <c r="AQ116" s="18"/>
    </row>
    <row r="117" spans="2:43" s="2" customFormat="1" hidden="1">
      <c r="B117" s="21"/>
      <c r="C117" s="22"/>
      <c r="D117" s="24"/>
      <c r="E117" s="24"/>
      <c r="F117" s="24"/>
      <c r="G117" s="24"/>
      <c r="H117" s="24"/>
      <c r="I117" s="24"/>
      <c r="J117" s="24"/>
      <c r="K117" s="24"/>
      <c r="L117" s="24"/>
      <c r="M117" s="26"/>
      <c r="N117" s="24"/>
      <c r="O117" s="24"/>
      <c r="P117" s="24"/>
      <c r="Q117" s="24"/>
      <c r="R117" s="24"/>
      <c r="S117" s="24"/>
      <c r="T117" s="24"/>
      <c r="U117" s="24"/>
      <c r="V117" s="24"/>
      <c r="W117" s="24"/>
      <c r="X117" s="24"/>
      <c r="Y117" s="24"/>
      <c r="Z117" s="26"/>
      <c r="AA117" s="26"/>
      <c r="AB117" s="15"/>
      <c r="AC117" s="15"/>
      <c r="AD117" s="16"/>
      <c r="AE117" s="16"/>
      <c r="AF117" s="16"/>
      <c r="AG117" s="16"/>
      <c r="AH117" s="18"/>
      <c r="AI117" s="18"/>
      <c r="AJ117" s="18"/>
      <c r="AK117" s="18"/>
      <c r="AL117" s="18"/>
      <c r="AM117" s="18"/>
      <c r="AN117" s="18"/>
      <c r="AO117" s="18"/>
      <c r="AP117" s="18"/>
      <c r="AQ117" s="18"/>
    </row>
    <row r="118" spans="2:43" s="2" customFormat="1" hidden="1">
      <c r="B118" s="21"/>
      <c r="C118" s="22"/>
      <c r="D118" s="24"/>
      <c r="E118" s="24"/>
      <c r="F118" s="24"/>
      <c r="G118" s="24"/>
      <c r="H118" s="24"/>
      <c r="I118" s="24"/>
      <c r="J118" s="24"/>
      <c r="K118" s="24"/>
      <c r="L118" s="24"/>
      <c r="M118" s="26"/>
      <c r="N118" s="24"/>
      <c r="O118" s="24"/>
      <c r="P118" s="24"/>
      <c r="Q118" s="24"/>
      <c r="R118" s="24"/>
      <c r="S118" s="24"/>
      <c r="T118" s="24"/>
      <c r="U118" s="24"/>
      <c r="V118" s="24"/>
      <c r="W118" s="24"/>
      <c r="X118" s="24"/>
      <c r="Y118" s="24"/>
      <c r="Z118" s="26"/>
      <c r="AA118" s="26"/>
      <c r="AB118" s="15"/>
      <c r="AC118" s="15"/>
      <c r="AD118" s="16"/>
      <c r="AE118" s="16"/>
      <c r="AF118" s="16"/>
      <c r="AG118" s="16"/>
      <c r="AH118" s="18"/>
      <c r="AI118" s="18"/>
      <c r="AJ118" s="18"/>
      <c r="AK118" s="18"/>
      <c r="AL118" s="18"/>
      <c r="AM118" s="18"/>
      <c r="AN118" s="18"/>
      <c r="AO118" s="18"/>
      <c r="AP118" s="18"/>
      <c r="AQ118" s="18"/>
    </row>
    <row r="119" spans="2:43" s="2" customFormat="1" hidden="1">
      <c r="B119" s="21"/>
      <c r="C119" s="22"/>
      <c r="D119" s="24"/>
      <c r="E119" s="24"/>
      <c r="F119" s="24"/>
      <c r="G119" s="24"/>
      <c r="H119" s="24"/>
      <c r="I119" s="24"/>
      <c r="J119" s="24"/>
      <c r="K119" s="24"/>
      <c r="L119" s="24"/>
      <c r="M119" s="26"/>
      <c r="N119" s="24"/>
      <c r="O119" s="24"/>
      <c r="P119" s="24"/>
      <c r="Q119" s="24"/>
      <c r="R119" s="24"/>
      <c r="S119" s="24"/>
      <c r="T119" s="24"/>
      <c r="U119" s="24"/>
      <c r="V119" s="24"/>
      <c r="W119" s="24"/>
      <c r="X119" s="24"/>
      <c r="Y119" s="24"/>
      <c r="Z119" s="26"/>
      <c r="AA119" s="26"/>
      <c r="AB119" s="15"/>
      <c r="AC119" s="15"/>
      <c r="AD119" s="16"/>
      <c r="AE119" s="16"/>
      <c r="AF119" s="16"/>
      <c r="AG119" s="16"/>
      <c r="AH119" s="18"/>
      <c r="AI119" s="18"/>
      <c r="AJ119" s="18"/>
      <c r="AK119" s="18"/>
      <c r="AL119" s="18"/>
      <c r="AM119" s="18"/>
      <c r="AN119" s="18"/>
      <c r="AO119" s="18"/>
      <c r="AP119" s="18"/>
      <c r="AQ119" s="18"/>
    </row>
    <row r="120" spans="2:43" s="2" customFormat="1" hidden="1">
      <c r="B120" s="21"/>
      <c r="C120" s="22"/>
      <c r="D120" s="24"/>
      <c r="E120" s="24"/>
      <c r="F120" s="24"/>
      <c r="G120" s="24"/>
      <c r="H120" s="24"/>
      <c r="I120" s="24"/>
      <c r="J120" s="24"/>
      <c r="K120" s="24"/>
      <c r="L120" s="24"/>
      <c r="M120" s="26"/>
      <c r="N120" s="24"/>
      <c r="O120" s="24"/>
      <c r="P120" s="24"/>
      <c r="Q120" s="24"/>
      <c r="R120" s="24"/>
      <c r="S120" s="24"/>
      <c r="T120" s="24"/>
      <c r="U120" s="24"/>
      <c r="V120" s="24"/>
      <c r="W120" s="24"/>
      <c r="X120" s="24"/>
      <c r="Y120" s="24"/>
      <c r="Z120" s="26"/>
      <c r="AA120" s="26"/>
      <c r="AB120" s="15"/>
      <c r="AC120" s="15"/>
      <c r="AD120" s="16"/>
      <c r="AE120" s="16"/>
      <c r="AF120" s="16"/>
      <c r="AG120" s="16"/>
      <c r="AH120" s="18"/>
      <c r="AI120" s="18"/>
      <c r="AJ120" s="18"/>
      <c r="AK120" s="18"/>
      <c r="AL120" s="18"/>
      <c r="AM120" s="18"/>
      <c r="AN120" s="18"/>
      <c r="AO120" s="18"/>
      <c r="AP120" s="18"/>
      <c r="AQ120" s="18"/>
    </row>
    <row r="121" spans="2:43" s="2" customFormat="1" hidden="1">
      <c r="B121" s="21"/>
      <c r="C121" s="22"/>
      <c r="D121" s="24"/>
      <c r="E121" s="24"/>
      <c r="F121" s="24"/>
      <c r="G121" s="24"/>
      <c r="H121" s="24"/>
      <c r="I121" s="24"/>
      <c r="J121" s="24"/>
      <c r="K121" s="24"/>
      <c r="L121" s="24"/>
      <c r="M121" s="26"/>
      <c r="N121" s="24"/>
      <c r="O121" s="24"/>
      <c r="P121" s="24"/>
      <c r="Q121" s="24"/>
      <c r="R121" s="24"/>
      <c r="S121" s="24"/>
      <c r="T121" s="24"/>
      <c r="U121" s="24"/>
      <c r="V121" s="24"/>
      <c r="W121" s="24"/>
      <c r="X121" s="24"/>
      <c r="Y121" s="24"/>
      <c r="Z121" s="26"/>
      <c r="AA121" s="26"/>
      <c r="AB121" s="15"/>
      <c r="AC121" s="15"/>
      <c r="AD121" s="16"/>
      <c r="AE121" s="16"/>
      <c r="AF121" s="16"/>
      <c r="AG121" s="16"/>
      <c r="AH121" s="18"/>
      <c r="AI121" s="18"/>
      <c r="AJ121" s="18"/>
      <c r="AK121" s="18"/>
      <c r="AL121" s="18"/>
      <c r="AM121" s="18"/>
      <c r="AN121" s="18"/>
      <c r="AO121" s="18"/>
      <c r="AP121" s="18"/>
      <c r="AQ121" s="18"/>
    </row>
    <row r="122" spans="2:43" s="2" customFormat="1" hidden="1">
      <c r="B122" s="21"/>
      <c r="C122" s="22"/>
      <c r="D122" s="24"/>
      <c r="E122" s="24"/>
      <c r="F122" s="24"/>
      <c r="G122" s="24"/>
      <c r="H122" s="24"/>
      <c r="I122" s="24"/>
      <c r="J122" s="24"/>
      <c r="K122" s="24"/>
      <c r="L122" s="24"/>
      <c r="M122" s="26"/>
      <c r="N122" s="24"/>
      <c r="O122" s="24"/>
      <c r="P122" s="24"/>
      <c r="Q122" s="24"/>
      <c r="R122" s="24"/>
      <c r="S122" s="24"/>
      <c r="T122" s="24"/>
      <c r="U122" s="24"/>
      <c r="V122" s="24"/>
      <c r="W122" s="24"/>
      <c r="X122" s="24"/>
      <c r="Y122" s="24"/>
      <c r="Z122" s="26"/>
      <c r="AA122" s="26"/>
      <c r="AB122" s="15"/>
      <c r="AC122" s="15"/>
      <c r="AD122" s="16"/>
      <c r="AE122" s="16"/>
      <c r="AF122" s="16"/>
      <c r="AG122" s="16"/>
      <c r="AH122" s="18"/>
      <c r="AI122" s="18"/>
      <c r="AJ122" s="18"/>
      <c r="AK122" s="18"/>
      <c r="AL122" s="18"/>
      <c r="AM122" s="18"/>
      <c r="AN122" s="18"/>
      <c r="AO122" s="18"/>
      <c r="AP122" s="18"/>
      <c r="AQ122" s="18"/>
    </row>
    <row r="123" spans="2:43" s="2" customFormat="1" hidden="1">
      <c r="B123" s="21"/>
      <c r="C123" s="22"/>
      <c r="D123" s="24"/>
      <c r="E123" s="24"/>
      <c r="F123" s="24"/>
      <c r="G123" s="24"/>
      <c r="H123" s="24"/>
      <c r="I123" s="24"/>
      <c r="J123" s="24"/>
      <c r="K123" s="24"/>
      <c r="L123" s="24"/>
      <c r="M123" s="26"/>
      <c r="N123" s="24"/>
      <c r="O123" s="24"/>
      <c r="P123" s="24"/>
      <c r="Q123" s="24"/>
      <c r="R123" s="24"/>
      <c r="S123" s="24"/>
      <c r="T123" s="24"/>
      <c r="U123" s="24"/>
      <c r="V123" s="24"/>
      <c r="W123" s="24"/>
      <c r="X123" s="24"/>
      <c r="Y123" s="24"/>
      <c r="Z123" s="26"/>
      <c r="AA123" s="26"/>
      <c r="AB123" s="15"/>
      <c r="AC123" s="15"/>
      <c r="AD123" s="16"/>
      <c r="AE123" s="16"/>
      <c r="AF123" s="16"/>
      <c r="AG123" s="16"/>
      <c r="AH123" s="18"/>
      <c r="AI123" s="18"/>
      <c r="AJ123" s="18"/>
      <c r="AK123" s="18"/>
      <c r="AL123" s="18"/>
      <c r="AM123" s="18"/>
      <c r="AN123" s="18"/>
      <c r="AO123" s="18"/>
      <c r="AP123" s="18"/>
      <c r="AQ123" s="18"/>
    </row>
    <row r="124" spans="2:43" s="2" customFormat="1" hidden="1">
      <c r="B124" s="21"/>
      <c r="C124" s="22"/>
      <c r="D124" s="24"/>
      <c r="E124" s="24"/>
      <c r="F124" s="24"/>
      <c r="G124" s="24"/>
      <c r="H124" s="24"/>
      <c r="I124" s="24"/>
      <c r="J124" s="24"/>
      <c r="K124" s="24"/>
      <c r="L124" s="24"/>
      <c r="M124" s="26"/>
      <c r="N124" s="24"/>
      <c r="O124" s="24"/>
      <c r="P124" s="24"/>
      <c r="Q124" s="24"/>
      <c r="R124" s="24"/>
      <c r="S124" s="24"/>
      <c r="T124" s="24"/>
      <c r="U124" s="24"/>
      <c r="V124" s="24"/>
      <c r="W124" s="24"/>
      <c r="X124" s="24"/>
      <c r="Y124" s="24"/>
      <c r="Z124" s="26"/>
      <c r="AA124" s="26"/>
      <c r="AB124" s="15"/>
      <c r="AC124" s="15"/>
      <c r="AD124" s="16"/>
      <c r="AE124" s="16"/>
      <c r="AF124" s="16"/>
      <c r="AG124" s="16"/>
      <c r="AH124" s="18"/>
      <c r="AI124" s="18"/>
      <c r="AJ124" s="18"/>
      <c r="AK124" s="18"/>
      <c r="AL124" s="18"/>
      <c r="AM124" s="18"/>
      <c r="AN124" s="18"/>
      <c r="AO124" s="18"/>
      <c r="AP124" s="18"/>
      <c r="AQ124" s="18"/>
    </row>
    <row r="125" spans="2:43" s="2" customFormat="1" hidden="1">
      <c r="B125" s="21"/>
      <c r="C125" s="22"/>
      <c r="D125" s="24"/>
      <c r="E125" s="24"/>
      <c r="F125" s="24"/>
      <c r="G125" s="24"/>
      <c r="H125" s="24"/>
      <c r="I125" s="24"/>
      <c r="J125" s="24"/>
      <c r="K125" s="24"/>
      <c r="L125" s="24"/>
      <c r="M125" s="26"/>
      <c r="N125" s="24"/>
      <c r="O125" s="24"/>
      <c r="P125" s="24"/>
      <c r="Q125" s="24"/>
      <c r="R125" s="24"/>
      <c r="S125" s="24"/>
      <c r="T125" s="24"/>
      <c r="U125" s="24"/>
      <c r="V125" s="24"/>
      <c r="W125" s="24"/>
      <c r="X125" s="24"/>
      <c r="Y125" s="24"/>
      <c r="Z125" s="26"/>
      <c r="AA125" s="26"/>
      <c r="AB125" s="15"/>
      <c r="AC125" s="15"/>
      <c r="AD125" s="16"/>
      <c r="AE125" s="16"/>
      <c r="AF125" s="16"/>
      <c r="AG125" s="16"/>
      <c r="AH125" s="18"/>
      <c r="AI125" s="18"/>
      <c r="AJ125" s="18"/>
      <c r="AK125" s="18"/>
      <c r="AL125" s="18"/>
      <c r="AM125" s="18"/>
      <c r="AN125" s="18"/>
      <c r="AO125" s="18"/>
      <c r="AP125" s="18"/>
      <c r="AQ125" s="18"/>
    </row>
    <row r="126" spans="2:43" s="2" customFormat="1" hidden="1">
      <c r="B126" s="21"/>
      <c r="C126" s="22"/>
      <c r="D126" s="24"/>
      <c r="E126" s="24"/>
      <c r="F126" s="24"/>
      <c r="G126" s="24"/>
      <c r="H126" s="24"/>
      <c r="I126" s="24"/>
      <c r="J126" s="24"/>
      <c r="K126" s="24"/>
      <c r="L126" s="24"/>
      <c r="M126" s="26"/>
      <c r="N126" s="24"/>
      <c r="O126" s="24"/>
      <c r="P126" s="24"/>
      <c r="Q126" s="24"/>
      <c r="R126" s="24"/>
      <c r="S126" s="24"/>
      <c r="T126" s="24"/>
      <c r="U126" s="24"/>
      <c r="V126" s="24"/>
      <c r="W126" s="24"/>
      <c r="X126" s="24"/>
      <c r="Y126" s="24"/>
      <c r="Z126" s="26"/>
      <c r="AA126" s="26"/>
      <c r="AB126" s="15"/>
      <c r="AC126" s="15"/>
      <c r="AD126" s="16"/>
      <c r="AE126" s="16"/>
      <c r="AF126" s="16"/>
      <c r="AG126" s="16"/>
      <c r="AH126" s="18"/>
      <c r="AI126" s="18"/>
      <c r="AJ126" s="18"/>
      <c r="AK126" s="18"/>
      <c r="AL126" s="18"/>
      <c r="AM126" s="18"/>
      <c r="AN126" s="18"/>
      <c r="AO126" s="18"/>
      <c r="AP126" s="18"/>
      <c r="AQ126" s="18"/>
    </row>
    <row r="127" spans="2:43" s="2" customFormat="1" hidden="1">
      <c r="B127" s="21"/>
      <c r="C127" s="22"/>
      <c r="D127" s="24"/>
      <c r="E127" s="24"/>
      <c r="F127" s="24"/>
      <c r="G127" s="24"/>
      <c r="H127" s="24"/>
      <c r="I127" s="24"/>
      <c r="J127" s="24"/>
      <c r="K127" s="24"/>
      <c r="L127" s="24"/>
      <c r="M127" s="26"/>
      <c r="N127" s="24"/>
      <c r="O127" s="24"/>
      <c r="P127" s="24"/>
      <c r="Q127" s="24"/>
      <c r="R127" s="24"/>
      <c r="S127" s="24"/>
      <c r="T127" s="24"/>
      <c r="U127" s="24"/>
      <c r="V127" s="24"/>
      <c r="W127" s="24"/>
      <c r="X127" s="24"/>
      <c r="Y127" s="24"/>
      <c r="Z127" s="26"/>
      <c r="AA127" s="26"/>
      <c r="AB127" s="15"/>
      <c r="AC127" s="15"/>
      <c r="AD127" s="16"/>
      <c r="AE127" s="16"/>
      <c r="AF127" s="16"/>
      <c r="AG127" s="16"/>
      <c r="AH127" s="18"/>
      <c r="AI127" s="18"/>
      <c r="AJ127" s="18"/>
      <c r="AK127" s="18"/>
      <c r="AL127" s="18"/>
      <c r="AM127" s="18"/>
      <c r="AN127" s="18"/>
      <c r="AO127" s="18"/>
      <c r="AP127" s="18"/>
      <c r="AQ127" s="18"/>
    </row>
    <row r="128" spans="2:43" s="2" customFormat="1" hidden="1">
      <c r="B128" s="21"/>
      <c r="C128" s="22"/>
      <c r="D128" s="24"/>
      <c r="E128" s="24"/>
      <c r="F128" s="24"/>
      <c r="G128" s="24"/>
      <c r="H128" s="24"/>
      <c r="I128" s="24"/>
      <c r="J128" s="24"/>
      <c r="K128" s="24"/>
      <c r="L128" s="24"/>
      <c r="M128" s="26"/>
      <c r="N128" s="24"/>
      <c r="O128" s="24"/>
      <c r="P128" s="24"/>
      <c r="Q128" s="24"/>
      <c r="R128" s="24"/>
      <c r="S128" s="24"/>
      <c r="T128" s="24"/>
      <c r="U128" s="24"/>
      <c r="V128" s="24"/>
      <c r="W128" s="24"/>
      <c r="X128" s="24"/>
      <c r="Y128" s="24"/>
      <c r="Z128" s="26"/>
      <c r="AA128" s="26"/>
      <c r="AB128" s="15"/>
      <c r="AC128" s="15"/>
      <c r="AD128" s="16"/>
      <c r="AE128" s="16"/>
      <c r="AF128" s="16"/>
      <c r="AG128" s="16"/>
      <c r="AH128" s="18"/>
      <c r="AI128" s="18"/>
      <c r="AJ128" s="18"/>
      <c r="AK128" s="18"/>
      <c r="AL128" s="18"/>
      <c r="AM128" s="18"/>
      <c r="AN128" s="18"/>
      <c r="AO128" s="18"/>
      <c r="AP128" s="18"/>
      <c r="AQ128" s="18"/>
    </row>
    <row r="129" spans="2:43" s="2" customFormat="1" hidden="1">
      <c r="B129" s="21"/>
      <c r="C129" s="22"/>
      <c r="D129" s="24"/>
      <c r="E129" s="24"/>
      <c r="F129" s="24"/>
      <c r="G129" s="24"/>
      <c r="H129" s="24"/>
      <c r="I129" s="24"/>
      <c r="J129" s="24"/>
      <c r="K129" s="24"/>
      <c r="L129" s="24"/>
      <c r="M129" s="26"/>
      <c r="N129" s="24"/>
      <c r="O129" s="24"/>
      <c r="P129" s="24"/>
      <c r="Q129" s="24"/>
      <c r="R129" s="24"/>
      <c r="S129" s="24"/>
      <c r="T129" s="24"/>
      <c r="U129" s="24"/>
      <c r="V129" s="24"/>
      <c r="W129" s="24"/>
      <c r="X129" s="24"/>
      <c r="Y129" s="24"/>
      <c r="Z129" s="26"/>
      <c r="AA129" s="26"/>
      <c r="AB129" s="15"/>
      <c r="AC129" s="15"/>
      <c r="AD129" s="16"/>
      <c r="AE129" s="16"/>
      <c r="AF129" s="16"/>
      <c r="AG129" s="16"/>
      <c r="AH129" s="18"/>
      <c r="AI129" s="18"/>
      <c r="AJ129" s="18"/>
      <c r="AK129" s="18"/>
      <c r="AL129" s="18"/>
      <c r="AM129" s="18"/>
      <c r="AN129" s="18"/>
      <c r="AO129" s="18"/>
      <c r="AP129" s="18"/>
      <c r="AQ129" s="18"/>
    </row>
    <row r="130" spans="2:43" s="2" customFormat="1" hidden="1">
      <c r="B130" s="21"/>
      <c r="C130" s="22"/>
      <c r="D130" s="24"/>
      <c r="E130" s="24"/>
      <c r="F130" s="24"/>
      <c r="G130" s="24"/>
      <c r="H130" s="24"/>
      <c r="I130" s="24"/>
      <c r="J130" s="24"/>
      <c r="K130" s="24"/>
      <c r="L130" s="24"/>
      <c r="M130" s="26"/>
      <c r="N130" s="24"/>
      <c r="O130" s="24"/>
      <c r="P130" s="24"/>
      <c r="Q130" s="24"/>
      <c r="R130" s="24"/>
      <c r="S130" s="24"/>
      <c r="T130" s="24"/>
      <c r="U130" s="24"/>
      <c r="V130" s="24"/>
      <c r="W130" s="24"/>
      <c r="X130" s="24"/>
      <c r="Y130" s="24"/>
      <c r="Z130" s="26"/>
      <c r="AA130" s="26"/>
      <c r="AB130" s="15"/>
      <c r="AC130" s="15"/>
      <c r="AD130" s="16"/>
      <c r="AE130" s="16"/>
      <c r="AF130" s="16"/>
      <c r="AG130" s="16"/>
      <c r="AH130" s="18"/>
      <c r="AI130" s="18"/>
      <c r="AJ130" s="18"/>
      <c r="AK130" s="18"/>
      <c r="AL130" s="18"/>
      <c r="AM130" s="18"/>
      <c r="AN130" s="18"/>
      <c r="AO130" s="18"/>
      <c r="AP130" s="18"/>
      <c r="AQ130" s="18"/>
    </row>
    <row r="131" spans="2:43" s="2" customFormat="1" hidden="1">
      <c r="B131" s="21"/>
      <c r="C131" s="22"/>
      <c r="D131" s="24"/>
      <c r="E131" s="24"/>
      <c r="F131" s="24"/>
      <c r="G131" s="24"/>
      <c r="H131" s="24"/>
      <c r="I131" s="24"/>
      <c r="J131" s="24"/>
      <c r="K131" s="24"/>
      <c r="L131" s="24"/>
      <c r="M131" s="26"/>
      <c r="N131" s="24"/>
      <c r="O131" s="24"/>
      <c r="P131" s="24"/>
      <c r="Q131" s="24"/>
      <c r="R131" s="24"/>
      <c r="S131" s="24"/>
      <c r="T131" s="24"/>
      <c r="U131" s="24"/>
      <c r="V131" s="24"/>
      <c r="W131" s="24"/>
      <c r="X131" s="24"/>
      <c r="Y131" s="24"/>
      <c r="Z131" s="26"/>
      <c r="AA131" s="26"/>
      <c r="AB131" s="15"/>
      <c r="AC131" s="15"/>
      <c r="AD131" s="16"/>
      <c r="AE131" s="16"/>
      <c r="AF131" s="16"/>
      <c r="AG131" s="16"/>
      <c r="AH131" s="18"/>
      <c r="AI131" s="18"/>
      <c r="AJ131" s="18"/>
      <c r="AK131" s="18"/>
      <c r="AL131" s="18"/>
      <c r="AM131" s="18"/>
      <c r="AN131" s="18"/>
      <c r="AO131" s="18"/>
      <c r="AP131" s="18"/>
      <c r="AQ131" s="18"/>
    </row>
    <row r="132" spans="2:43" s="2" customFormat="1" hidden="1">
      <c r="B132" s="21"/>
      <c r="C132" s="22"/>
      <c r="D132" s="24"/>
      <c r="E132" s="24"/>
      <c r="F132" s="24"/>
      <c r="G132" s="24"/>
      <c r="H132" s="24"/>
      <c r="I132" s="24"/>
      <c r="J132" s="24"/>
      <c r="K132" s="24"/>
      <c r="L132" s="24"/>
      <c r="M132" s="26"/>
      <c r="N132" s="24"/>
      <c r="O132" s="24"/>
      <c r="P132" s="24"/>
      <c r="Q132" s="24"/>
      <c r="R132" s="24"/>
      <c r="S132" s="24"/>
      <c r="T132" s="24"/>
      <c r="U132" s="24"/>
      <c r="V132" s="24"/>
      <c r="W132" s="24"/>
      <c r="X132" s="24"/>
      <c r="Y132" s="24"/>
      <c r="Z132" s="26"/>
      <c r="AA132" s="26"/>
      <c r="AB132" s="15"/>
      <c r="AC132" s="15"/>
      <c r="AD132" s="16"/>
      <c r="AE132" s="16"/>
      <c r="AF132" s="16"/>
      <c r="AG132" s="16"/>
      <c r="AH132" s="18"/>
      <c r="AI132" s="18"/>
      <c r="AJ132" s="18"/>
      <c r="AK132" s="18"/>
      <c r="AL132" s="18"/>
      <c r="AM132" s="18"/>
      <c r="AN132" s="18"/>
      <c r="AO132" s="18"/>
      <c r="AP132" s="18"/>
      <c r="AQ132" s="18"/>
    </row>
    <row r="133" spans="2:43" s="2" customFormat="1" hidden="1">
      <c r="B133" s="21"/>
      <c r="C133" s="22"/>
      <c r="D133" s="24"/>
      <c r="E133" s="24"/>
      <c r="F133" s="24"/>
      <c r="G133" s="24"/>
      <c r="H133" s="24"/>
      <c r="I133" s="24"/>
      <c r="J133" s="24"/>
      <c r="K133" s="24"/>
      <c r="L133" s="24"/>
      <c r="M133" s="26"/>
      <c r="N133" s="24"/>
      <c r="O133" s="24"/>
      <c r="P133" s="24"/>
      <c r="Q133" s="24"/>
      <c r="R133" s="24"/>
      <c r="S133" s="24"/>
      <c r="T133" s="24"/>
      <c r="U133" s="24"/>
      <c r="V133" s="24"/>
      <c r="W133" s="24"/>
      <c r="X133" s="24"/>
      <c r="Y133" s="24"/>
      <c r="Z133" s="26"/>
      <c r="AA133" s="26"/>
      <c r="AB133" s="15"/>
      <c r="AC133" s="15"/>
      <c r="AD133" s="16"/>
      <c r="AE133" s="16"/>
      <c r="AF133" s="16"/>
      <c r="AG133" s="16"/>
      <c r="AH133" s="18"/>
      <c r="AI133" s="18"/>
      <c r="AJ133" s="18"/>
      <c r="AK133" s="18"/>
      <c r="AL133" s="18"/>
      <c r="AM133" s="18"/>
      <c r="AN133" s="18"/>
      <c r="AO133" s="18"/>
      <c r="AP133" s="18"/>
      <c r="AQ133" s="18"/>
    </row>
    <row r="134" spans="2:43" s="2" customFormat="1" hidden="1">
      <c r="B134" s="21"/>
      <c r="C134" s="22"/>
      <c r="D134" s="24"/>
      <c r="E134" s="24"/>
      <c r="F134" s="24"/>
      <c r="G134" s="24"/>
      <c r="H134" s="24"/>
      <c r="I134" s="24"/>
      <c r="J134" s="24"/>
      <c r="K134" s="24"/>
      <c r="L134" s="24"/>
      <c r="M134" s="26"/>
      <c r="N134" s="24"/>
      <c r="O134" s="24"/>
      <c r="P134" s="24"/>
      <c r="Q134" s="24"/>
      <c r="R134" s="24"/>
      <c r="S134" s="24"/>
      <c r="T134" s="24"/>
      <c r="U134" s="24"/>
      <c r="V134" s="24"/>
      <c r="W134" s="24"/>
      <c r="X134" s="24"/>
      <c r="Y134" s="24"/>
      <c r="Z134" s="26"/>
      <c r="AA134" s="26"/>
      <c r="AB134" s="15"/>
      <c r="AC134" s="15"/>
      <c r="AD134" s="16"/>
      <c r="AE134" s="16"/>
      <c r="AF134" s="16"/>
      <c r="AG134" s="16"/>
      <c r="AH134" s="18"/>
      <c r="AI134" s="18"/>
      <c r="AJ134" s="18"/>
      <c r="AK134" s="18"/>
      <c r="AL134" s="18"/>
      <c r="AM134" s="18"/>
      <c r="AN134" s="18"/>
      <c r="AO134" s="18"/>
      <c r="AP134" s="18"/>
      <c r="AQ134" s="18"/>
    </row>
    <row r="135" spans="2:43" s="2" customFormat="1" hidden="1">
      <c r="B135" s="21"/>
      <c r="C135" s="22"/>
      <c r="D135" s="24"/>
      <c r="E135" s="24"/>
      <c r="F135" s="24"/>
      <c r="G135" s="24"/>
      <c r="H135" s="24"/>
      <c r="I135" s="24"/>
      <c r="J135" s="24"/>
      <c r="K135" s="24"/>
      <c r="L135" s="24"/>
      <c r="M135" s="26"/>
      <c r="N135" s="24"/>
      <c r="O135" s="24"/>
      <c r="P135" s="24"/>
      <c r="Q135" s="24"/>
      <c r="R135" s="24"/>
      <c r="S135" s="24"/>
      <c r="T135" s="24"/>
      <c r="U135" s="24"/>
      <c r="V135" s="24"/>
      <c r="W135" s="24"/>
      <c r="X135" s="24"/>
      <c r="Y135" s="24"/>
      <c r="Z135" s="26"/>
      <c r="AA135" s="26"/>
      <c r="AB135" s="15"/>
      <c r="AC135" s="15"/>
      <c r="AD135" s="16"/>
      <c r="AE135" s="16"/>
      <c r="AF135" s="16"/>
      <c r="AG135" s="16"/>
      <c r="AH135" s="18"/>
      <c r="AI135" s="18"/>
      <c r="AJ135" s="18"/>
      <c r="AK135" s="18"/>
      <c r="AL135" s="18"/>
      <c r="AM135" s="18"/>
      <c r="AN135" s="18"/>
      <c r="AO135" s="18"/>
      <c r="AP135" s="18"/>
      <c r="AQ135" s="18"/>
    </row>
    <row r="136" spans="2:43" s="2" customFormat="1" hidden="1">
      <c r="B136" s="21"/>
      <c r="C136" s="22"/>
      <c r="D136" s="24"/>
      <c r="E136" s="24"/>
      <c r="F136" s="24"/>
      <c r="G136" s="24"/>
      <c r="H136" s="24"/>
      <c r="I136" s="24"/>
      <c r="J136" s="24"/>
      <c r="K136" s="24"/>
      <c r="L136" s="24"/>
      <c r="M136" s="26"/>
      <c r="N136" s="24"/>
      <c r="O136" s="24"/>
      <c r="P136" s="24"/>
      <c r="Q136" s="24"/>
      <c r="R136" s="24"/>
      <c r="S136" s="24"/>
      <c r="T136" s="24"/>
      <c r="U136" s="24"/>
      <c r="V136" s="24"/>
      <c r="W136" s="24"/>
      <c r="X136" s="24"/>
      <c r="Y136" s="24"/>
      <c r="Z136" s="26"/>
      <c r="AA136" s="26"/>
      <c r="AB136" s="15"/>
      <c r="AC136" s="15"/>
      <c r="AD136" s="16"/>
      <c r="AE136" s="16"/>
      <c r="AF136" s="16"/>
      <c r="AG136" s="16"/>
      <c r="AH136" s="18"/>
      <c r="AI136" s="18"/>
      <c r="AJ136" s="18"/>
      <c r="AK136" s="18"/>
      <c r="AL136" s="18"/>
      <c r="AM136" s="18"/>
      <c r="AN136" s="18"/>
      <c r="AO136" s="18"/>
      <c r="AP136" s="18"/>
      <c r="AQ136" s="18"/>
    </row>
    <row r="137" spans="2:43" s="2" customFormat="1" hidden="1">
      <c r="B137" s="21"/>
      <c r="C137" s="22"/>
      <c r="D137" s="24"/>
      <c r="E137" s="24"/>
      <c r="F137" s="24"/>
      <c r="G137" s="24"/>
      <c r="H137" s="24"/>
      <c r="I137" s="24"/>
      <c r="J137" s="24"/>
      <c r="K137" s="24"/>
      <c r="L137" s="24"/>
      <c r="M137" s="26"/>
      <c r="N137" s="24"/>
      <c r="O137" s="24"/>
      <c r="P137" s="24"/>
      <c r="Q137" s="24"/>
      <c r="R137" s="24"/>
      <c r="S137" s="24"/>
      <c r="T137" s="24"/>
      <c r="U137" s="24"/>
      <c r="V137" s="24"/>
      <c r="W137" s="24"/>
      <c r="X137" s="24"/>
      <c r="Y137" s="24"/>
      <c r="Z137" s="26"/>
      <c r="AA137" s="26"/>
      <c r="AB137" s="15"/>
      <c r="AC137" s="15"/>
      <c r="AD137" s="16"/>
      <c r="AE137" s="16"/>
      <c r="AF137" s="16"/>
      <c r="AG137" s="16"/>
      <c r="AH137" s="18"/>
      <c r="AI137" s="18"/>
      <c r="AJ137" s="18"/>
      <c r="AK137" s="18"/>
      <c r="AL137" s="18"/>
      <c r="AM137" s="18"/>
      <c r="AN137" s="18"/>
      <c r="AO137" s="18"/>
      <c r="AP137" s="18"/>
      <c r="AQ137" s="18"/>
    </row>
    <row r="138" spans="2:43" s="2" customFormat="1" hidden="1">
      <c r="B138" s="21"/>
      <c r="C138" s="22"/>
      <c r="D138" s="24"/>
      <c r="E138" s="24"/>
      <c r="F138" s="24"/>
      <c r="G138" s="24"/>
      <c r="H138" s="24"/>
      <c r="I138" s="24"/>
      <c r="J138" s="24"/>
      <c r="K138" s="24"/>
      <c r="L138" s="24"/>
      <c r="M138" s="26"/>
      <c r="N138" s="24"/>
      <c r="O138" s="24"/>
      <c r="P138" s="24"/>
      <c r="Q138" s="24"/>
      <c r="R138" s="24"/>
      <c r="S138" s="24"/>
      <c r="T138" s="24"/>
      <c r="U138" s="24"/>
      <c r="V138" s="24"/>
      <c r="W138" s="24"/>
      <c r="X138" s="24"/>
      <c r="Y138" s="24"/>
      <c r="Z138" s="26"/>
      <c r="AA138" s="26"/>
      <c r="AB138" s="15"/>
      <c r="AC138" s="15"/>
      <c r="AD138" s="16"/>
      <c r="AE138" s="16"/>
      <c r="AF138" s="16"/>
      <c r="AG138" s="16"/>
      <c r="AH138" s="18"/>
      <c r="AI138" s="18"/>
      <c r="AJ138" s="18"/>
      <c r="AK138" s="18"/>
      <c r="AL138" s="18"/>
      <c r="AM138" s="18"/>
      <c r="AN138" s="18"/>
      <c r="AO138" s="18"/>
      <c r="AP138" s="18"/>
      <c r="AQ138" s="18"/>
    </row>
    <row r="139" spans="2:43" s="2" customFormat="1" hidden="1">
      <c r="B139" s="21"/>
      <c r="C139" s="22"/>
      <c r="D139" s="24"/>
      <c r="E139" s="24"/>
      <c r="F139" s="24"/>
      <c r="G139" s="24"/>
      <c r="H139" s="24"/>
      <c r="I139" s="24"/>
      <c r="J139" s="24"/>
      <c r="K139" s="24"/>
      <c r="L139" s="24"/>
      <c r="M139" s="26"/>
      <c r="N139" s="24"/>
      <c r="O139" s="24"/>
      <c r="P139" s="24"/>
      <c r="Q139" s="24"/>
      <c r="R139" s="24"/>
      <c r="S139" s="24"/>
      <c r="T139" s="24"/>
      <c r="U139" s="24"/>
      <c r="V139" s="24"/>
      <c r="W139" s="24"/>
      <c r="X139" s="24"/>
      <c r="Y139" s="24"/>
      <c r="Z139" s="26"/>
      <c r="AA139" s="26"/>
      <c r="AB139" s="15"/>
      <c r="AC139" s="15"/>
      <c r="AD139" s="16"/>
      <c r="AE139" s="16"/>
      <c r="AF139" s="16"/>
      <c r="AG139" s="16"/>
      <c r="AH139" s="18"/>
      <c r="AI139" s="18"/>
      <c r="AJ139" s="18"/>
      <c r="AK139" s="18"/>
      <c r="AL139" s="18"/>
      <c r="AM139" s="18"/>
      <c r="AN139" s="18"/>
      <c r="AO139" s="18"/>
      <c r="AP139" s="18"/>
      <c r="AQ139" s="18"/>
    </row>
    <row r="140" spans="2:43" s="2" customFormat="1" hidden="1">
      <c r="B140" s="21"/>
      <c r="C140" s="22"/>
      <c r="D140" s="24"/>
      <c r="E140" s="24"/>
      <c r="F140" s="24"/>
      <c r="G140" s="24"/>
      <c r="H140" s="24"/>
      <c r="I140" s="24"/>
      <c r="J140" s="24"/>
      <c r="K140" s="24"/>
      <c r="L140" s="24"/>
      <c r="M140" s="26"/>
      <c r="N140" s="24"/>
      <c r="O140" s="24"/>
      <c r="P140" s="24"/>
      <c r="Q140" s="24"/>
      <c r="R140" s="24"/>
      <c r="S140" s="24"/>
      <c r="T140" s="24"/>
      <c r="U140" s="24"/>
      <c r="V140" s="24"/>
      <c r="W140" s="24"/>
      <c r="X140" s="24"/>
      <c r="Y140" s="24"/>
      <c r="Z140" s="26"/>
      <c r="AA140" s="26"/>
      <c r="AB140" s="15"/>
      <c r="AC140" s="15"/>
      <c r="AD140" s="16"/>
      <c r="AE140" s="16"/>
      <c r="AF140" s="16"/>
      <c r="AG140" s="16"/>
      <c r="AH140" s="18"/>
      <c r="AI140" s="18"/>
      <c r="AJ140" s="18"/>
      <c r="AK140" s="18"/>
      <c r="AL140" s="18"/>
      <c r="AM140" s="18"/>
      <c r="AN140" s="18"/>
      <c r="AO140" s="18"/>
      <c r="AP140" s="18"/>
      <c r="AQ140" s="18"/>
    </row>
    <row r="141" spans="2:43" s="2" customFormat="1" hidden="1">
      <c r="B141" s="21"/>
      <c r="C141" s="22"/>
      <c r="D141" s="24"/>
      <c r="E141" s="24"/>
      <c r="F141" s="24"/>
      <c r="G141" s="24"/>
      <c r="H141" s="24"/>
      <c r="I141" s="24"/>
      <c r="J141" s="24"/>
      <c r="K141" s="24"/>
      <c r="L141" s="24"/>
      <c r="M141" s="26"/>
      <c r="N141" s="24"/>
      <c r="O141" s="24"/>
      <c r="P141" s="24"/>
      <c r="Q141" s="24"/>
      <c r="R141" s="24"/>
      <c r="S141" s="24"/>
      <c r="T141" s="24"/>
      <c r="U141" s="24"/>
      <c r="V141" s="24"/>
      <c r="W141" s="24"/>
      <c r="X141" s="24"/>
      <c r="Y141" s="24"/>
      <c r="Z141" s="26"/>
      <c r="AA141" s="26"/>
      <c r="AB141" s="15"/>
      <c r="AC141" s="15"/>
      <c r="AD141" s="16"/>
      <c r="AE141" s="16"/>
      <c r="AF141" s="16"/>
      <c r="AG141" s="16"/>
      <c r="AH141" s="18"/>
      <c r="AI141" s="18"/>
      <c r="AJ141" s="18"/>
      <c r="AK141" s="18"/>
      <c r="AL141" s="18"/>
      <c r="AM141" s="18"/>
      <c r="AN141" s="18"/>
      <c r="AO141" s="18"/>
      <c r="AP141" s="18"/>
      <c r="AQ141" s="18"/>
    </row>
    <row r="142" spans="2:43" s="2" customFormat="1" hidden="1">
      <c r="B142" s="21"/>
      <c r="C142" s="22"/>
      <c r="D142" s="24"/>
      <c r="E142" s="24"/>
      <c r="F142" s="24"/>
      <c r="G142" s="24"/>
      <c r="H142" s="24"/>
      <c r="I142" s="24"/>
      <c r="J142" s="24"/>
      <c r="K142" s="24"/>
      <c r="L142" s="24"/>
      <c r="M142" s="26"/>
      <c r="N142" s="24"/>
      <c r="O142" s="24"/>
      <c r="P142" s="24"/>
      <c r="Q142" s="24"/>
      <c r="R142" s="24"/>
      <c r="S142" s="24"/>
      <c r="T142" s="24"/>
      <c r="U142" s="24"/>
      <c r="V142" s="24"/>
      <c r="W142" s="24"/>
      <c r="X142" s="24"/>
      <c r="Y142" s="24"/>
      <c r="Z142" s="26"/>
      <c r="AA142" s="26"/>
      <c r="AB142" s="15"/>
      <c r="AC142" s="15"/>
      <c r="AD142" s="16"/>
      <c r="AE142" s="16"/>
      <c r="AF142" s="16"/>
      <c r="AG142" s="16"/>
      <c r="AH142" s="18"/>
      <c r="AI142" s="18"/>
      <c r="AJ142" s="18"/>
      <c r="AK142" s="18"/>
      <c r="AL142" s="18"/>
      <c r="AM142" s="18"/>
      <c r="AN142" s="18"/>
      <c r="AO142" s="18"/>
      <c r="AP142" s="18"/>
      <c r="AQ142" s="18"/>
    </row>
    <row r="143" spans="2:43" s="2" customFormat="1" hidden="1">
      <c r="B143" s="21"/>
      <c r="C143" s="22"/>
      <c r="D143" s="24"/>
      <c r="E143" s="24"/>
      <c r="F143" s="24"/>
      <c r="G143" s="24"/>
      <c r="H143" s="24"/>
      <c r="I143" s="24"/>
      <c r="J143" s="24"/>
      <c r="K143" s="24"/>
      <c r="L143" s="24"/>
      <c r="M143" s="26"/>
      <c r="N143" s="24"/>
      <c r="O143" s="24"/>
      <c r="P143" s="24"/>
      <c r="Q143" s="24"/>
      <c r="R143" s="24"/>
      <c r="S143" s="24"/>
      <c r="T143" s="24"/>
      <c r="U143" s="24"/>
      <c r="V143" s="24"/>
      <c r="W143" s="24"/>
      <c r="X143" s="24"/>
      <c r="Y143" s="24"/>
      <c r="Z143" s="26"/>
      <c r="AA143" s="26"/>
      <c r="AB143" s="15"/>
      <c r="AC143" s="15"/>
      <c r="AD143" s="16"/>
      <c r="AE143" s="16"/>
      <c r="AF143" s="16"/>
      <c r="AG143" s="16"/>
      <c r="AH143" s="18"/>
      <c r="AI143" s="18"/>
      <c r="AJ143" s="18"/>
      <c r="AK143" s="18"/>
      <c r="AL143" s="18"/>
      <c r="AM143" s="18"/>
      <c r="AN143" s="18"/>
      <c r="AO143" s="18"/>
      <c r="AP143" s="18"/>
      <c r="AQ143" s="18"/>
    </row>
    <row r="144" spans="2:43" s="2" customFormat="1" hidden="1">
      <c r="B144" s="21"/>
      <c r="C144" s="22"/>
      <c r="D144" s="24"/>
      <c r="E144" s="24"/>
      <c r="F144" s="24"/>
      <c r="G144" s="24"/>
      <c r="H144" s="24"/>
      <c r="I144" s="24"/>
      <c r="J144" s="24"/>
      <c r="K144" s="24"/>
      <c r="L144" s="24"/>
      <c r="M144" s="26"/>
      <c r="N144" s="24"/>
      <c r="O144" s="24"/>
      <c r="P144" s="24"/>
      <c r="Q144" s="24"/>
      <c r="R144" s="24"/>
      <c r="S144" s="24"/>
      <c r="T144" s="24"/>
      <c r="U144" s="24"/>
      <c r="V144" s="24"/>
      <c r="W144" s="24"/>
      <c r="X144" s="24"/>
      <c r="Y144" s="24"/>
      <c r="Z144" s="26"/>
      <c r="AA144" s="26"/>
      <c r="AB144" s="15"/>
      <c r="AC144" s="15"/>
      <c r="AD144" s="16"/>
      <c r="AE144" s="16"/>
      <c r="AF144" s="16"/>
      <c r="AG144" s="16"/>
      <c r="AH144" s="18"/>
      <c r="AI144" s="18"/>
      <c r="AJ144" s="18"/>
      <c r="AK144" s="18"/>
      <c r="AL144" s="18"/>
      <c r="AM144" s="18"/>
      <c r="AN144" s="18"/>
      <c r="AO144" s="18"/>
      <c r="AP144" s="18"/>
      <c r="AQ144" s="18"/>
    </row>
    <row r="145" spans="2:43" s="2" customFormat="1" hidden="1">
      <c r="B145" s="21"/>
      <c r="C145" s="22"/>
      <c r="D145" s="24"/>
      <c r="E145" s="24"/>
      <c r="F145" s="24"/>
      <c r="G145" s="24"/>
      <c r="H145" s="24"/>
      <c r="I145" s="24"/>
      <c r="J145" s="24"/>
      <c r="K145" s="24"/>
      <c r="L145" s="24"/>
      <c r="M145" s="26"/>
      <c r="N145" s="24"/>
      <c r="O145" s="24"/>
      <c r="P145" s="24"/>
      <c r="Q145" s="24"/>
      <c r="R145" s="24"/>
      <c r="S145" s="24"/>
      <c r="T145" s="24"/>
      <c r="U145" s="24"/>
      <c r="V145" s="24"/>
      <c r="W145" s="24"/>
      <c r="X145" s="24"/>
      <c r="Y145" s="24"/>
      <c r="Z145" s="26"/>
      <c r="AA145" s="26"/>
      <c r="AB145" s="15"/>
      <c r="AC145" s="15"/>
      <c r="AD145" s="16"/>
      <c r="AE145" s="16"/>
      <c r="AF145" s="16"/>
      <c r="AG145" s="16"/>
      <c r="AH145" s="18"/>
      <c r="AI145" s="18"/>
      <c r="AJ145" s="18"/>
      <c r="AK145" s="18"/>
      <c r="AL145" s="18"/>
      <c r="AM145" s="18"/>
      <c r="AN145" s="18"/>
      <c r="AO145" s="18"/>
      <c r="AP145" s="18"/>
      <c r="AQ145" s="18"/>
    </row>
    <row r="146" spans="2:43" s="2" customFormat="1" hidden="1">
      <c r="B146" s="21"/>
      <c r="C146" s="22"/>
      <c r="D146" s="24"/>
      <c r="E146" s="24"/>
      <c r="F146" s="24"/>
      <c r="G146" s="24"/>
      <c r="H146" s="24"/>
      <c r="I146" s="24"/>
      <c r="J146" s="24"/>
      <c r="K146" s="24"/>
      <c r="L146" s="24"/>
      <c r="M146" s="26"/>
      <c r="N146" s="24"/>
      <c r="O146" s="24"/>
      <c r="P146" s="24"/>
      <c r="Q146" s="24"/>
      <c r="R146" s="24"/>
      <c r="S146" s="24"/>
      <c r="T146" s="24"/>
      <c r="U146" s="24"/>
      <c r="V146" s="24"/>
      <c r="W146" s="24"/>
      <c r="X146" s="24"/>
      <c r="Y146" s="24"/>
      <c r="Z146" s="26"/>
      <c r="AA146" s="26"/>
      <c r="AB146" s="15"/>
      <c r="AC146" s="15"/>
      <c r="AD146" s="16"/>
      <c r="AE146" s="16"/>
      <c r="AF146" s="16"/>
      <c r="AG146" s="16"/>
      <c r="AH146" s="18"/>
      <c r="AI146" s="18"/>
      <c r="AJ146" s="18"/>
      <c r="AK146" s="18"/>
      <c r="AL146" s="18"/>
      <c r="AM146" s="18"/>
      <c r="AN146" s="18"/>
      <c r="AO146" s="18"/>
      <c r="AP146" s="18"/>
      <c r="AQ146" s="18"/>
    </row>
    <row r="147" spans="2:43" s="2" customFormat="1" hidden="1">
      <c r="B147" s="21"/>
      <c r="C147" s="22"/>
      <c r="D147" s="24"/>
      <c r="E147" s="24"/>
      <c r="F147" s="24"/>
      <c r="G147" s="24"/>
      <c r="H147" s="24"/>
      <c r="I147" s="24"/>
      <c r="J147" s="24"/>
      <c r="K147" s="24"/>
      <c r="L147" s="24"/>
      <c r="M147" s="26"/>
      <c r="N147" s="24"/>
      <c r="O147" s="24"/>
      <c r="P147" s="24"/>
      <c r="Q147" s="24"/>
      <c r="R147" s="24"/>
      <c r="S147" s="24"/>
      <c r="T147" s="24"/>
      <c r="U147" s="24"/>
      <c r="V147" s="24"/>
      <c r="W147" s="24"/>
      <c r="X147" s="24"/>
      <c r="Y147" s="24"/>
      <c r="Z147" s="26"/>
      <c r="AA147" s="26"/>
      <c r="AB147" s="15"/>
      <c r="AC147" s="15"/>
      <c r="AD147" s="16"/>
      <c r="AE147" s="16"/>
      <c r="AF147" s="16"/>
      <c r="AG147" s="16"/>
      <c r="AH147" s="18"/>
      <c r="AI147" s="18"/>
      <c r="AJ147" s="18"/>
      <c r="AK147" s="18"/>
      <c r="AL147" s="18"/>
      <c r="AM147" s="18"/>
      <c r="AN147" s="18"/>
      <c r="AO147" s="18"/>
      <c r="AP147" s="18"/>
      <c r="AQ147" s="18"/>
    </row>
    <row r="148" spans="2:43" s="2" customFormat="1" hidden="1">
      <c r="B148" s="21"/>
      <c r="C148" s="22"/>
      <c r="D148" s="24"/>
      <c r="E148" s="24"/>
      <c r="F148" s="24"/>
      <c r="G148" s="24"/>
      <c r="H148" s="24"/>
      <c r="I148" s="24"/>
      <c r="J148" s="24"/>
      <c r="K148" s="24"/>
      <c r="L148" s="24"/>
      <c r="M148" s="26"/>
      <c r="N148" s="24"/>
      <c r="O148" s="24"/>
      <c r="P148" s="24"/>
      <c r="Q148" s="24"/>
      <c r="R148" s="24"/>
      <c r="S148" s="24"/>
      <c r="T148" s="24"/>
      <c r="U148" s="24"/>
      <c r="V148" s="24"/>
      <c r="W148" s="24"/>
      <c r="X148" s="24"/>
      <c r="Y148" s="24"/>
      <c r="Z148" s="26"/>
      <c r="AA148" s="26"/>
      <c r="AB148" s="15"/>
      <c r="AC148" s="15"/>
      <c r="AD148" s="16"/>
      <c r="AE148" s="16"/>
      <c r="AF148" s="16"/>
      <c r="AG148" s="16"/>
      <c r="AH148" s="18"/>
      <c r="AI148" s="18"/>
      <c r="AJ148" s="18"/>
      <c r="AK148" s="18"/>
      <c r="AL148" s="18"/>
      <c r="AM148" s="18"/>
      <c r="AN148" s="18"/>
      <c r="AO148" s="18"/>
      <c r="AP148" s="18"/>
      <c r="AQ148" s="18"/>
    </row>
    <row r="149" spans="2:43" s="2" customFormat="1" hidden="1">
      <c r="B149" s="21"/>
      <c r="C149" s="22"/>
      <c r="D149" s="24"/>
      <c r="E149" s="24"/>
      <c r="F149" s="24"/>
      <c r="G149" s="24"/>
      <c r="H149" s="24"/>
      <c r="I149" s="24"/>
      <c r="J149" s="24"/>
      <c r="K149" s="24"/>
      <c r="L149" s="24"/>
      <c r="M149" s="26"/>
      <c r="N149" s="24"/>
      <c r="O149" s="24"/>
      <c r="P149" s="24"/>
      <c r="Q149" s="24"/>
      <c r="R149" s="24"/>
      <c r="S149" s="24"/>
      <c r="T149" s="24"/>
      <c r="U149" s="24"/>
      <c r="V149" s="24"/>
      <c r="W149" s="24"/>
      <c r="X149" s="24"/>
      <c r="Y149" s="24"/>
      <c r="Z149" s="26"/>
      <c r="AA149" s="26"/>
      <c r="AB149" s="15"/>
      <c r="AC149" s="15"/>
      <c r="AD149" s="16"/>
      <c r="AE149" s="16"/>
      <c r="AF149" s="16"/>
      <c r="AG149" s="16"/>
      <c r="AH149" s="18"/>
      <c r="AI149" s="18"/>
      <c r="AJ149" s="18"/>
      <c r="AK149" s="18"/>
      <c r="AL149" s="18"/>
      <c r="AM149" s="18"/>
      <c r="AN149" s="18"/>
      <c r="AO149" s="18"/>
      <c r="AP149" s="18"/>
      <c r="AQ149" s="18"/>
    </row>
    <row r="150" spans="2:43" s="2" customFormat="1" hidden="1">
      <c r="B150" s="21"/>
      <c r="C150" s="22"/>
      <c r="D150" s="24"/>
      <c r="E150" s="24"/>
      <c r="F150" s="24"/>
      <c r="G150" s="24"/>
      <c r="H150" s="24"/>
      <c r="I150" s="24"/>
      <c r="J150" s="24"/>
      <c r="K150" s="24"/>
      <c r="L150" s="24"/>
      <c r="M150" s="26"/>
      <c r="N150" s="24"/>
      <c r="O150" s="24"/>
      <c r="P150" s="24"/>
      <c r="Q150" s="24"/>
      <c r="R150" s="24"/>
      <c r="S150" s="24"/>
      <c r="T150" s="24"/>
      <c r="U150" s="24"/>
      <c r="V150" s="24"/>
      <c r="W150" s="24"/>
      <c r="X150" s="24"/>
      <c r="Y150" s="24"/>
      <c r="Z150" s="26"/>
      <c r="AA150" s="26"/>
      <c r="AB150" s="15"/>
      <c r="AC150" s="15"/>
      <c r="AD150" s="16"/>
      <c r="AE150" s="16"/>
      <c r="AF150" s="16"/>
      <c r="AG150" s="16"/>
      <c r="AH150" s="18"/>
      <c r="AI150" s="18"/>
      <c r="AJ150" s="18"/>
      <c r="AK150" s="18"/>
      <c r="AL150" s="18"/>
      <c r="AM150" s="18"/>
      <c r="AN150" s="18"/>
      <c r="AO150" s="18"/>
      <c r="AP150" s="18"/>
      <c r="AQ150" s="18"/>
    </row>
    <row r="151" spans="2:43" s="2" customFormat="1" hidden="1">
      <c r="B151" s="21"/>
      <c r="C151" s="22"/>
      <c r="D151" s="24"/>
      <c r="E151" s="24"/>
      <c r="F151" s="24"/>
      <c r="G151" s="24"/>
      <c r="H151" s="24"/>
      <c r="I151" s="24"/>
      <c r="J151" s="24"/>
      <c r="K151" s="24"/>
      <c r="L151" s="24"/>
      <c r="M151" s="26"/>
      <c r="N151" s="24"/>
      <c r="O151" s="24"/>
      <c r="P151" s="24"/>
      <c r="Q151" s="24"/>
      <c r="R151" s="24"/>
      <c r="S151" s="24"/>
      <c r="T151" s="24"/>
      <c r="U151" s="24"/>
      <c r="V151" s="24"/>
      <c r="W151" s="24"/>
      <c r="X151" s="24"/>
      <c r="Y151" s="24"/>
      <c r="Z151" s="26"/>
      <c r="AA151" s="26"/>
      <c r="AB151" s="15"/>
      <c r="AC151" s="15"/>
      <c r="AD151" s="16"/>
      <c r="AE151" s="16"/>
      <c r="AF151" s="16"/>
      <c r="AG151" s="16"/>
      <c r="AH151" s="18"/>
      <c r="AI151" s="18"/>
      <c r="AJ151" s="18"/>
      <c r="AK151" s="18"/>
      <c r="AL151" s="18"/>
      <c r="AM151" s="18"/>
      <c r="AN151" s="18"/>
      <c r="AO151" s="18"/>
      <c r="AP151" s="18"/>
      <c r="AQ151" s="18"/>
    </row>
    <row r="152" spans="2:43" s="2" customFormat="1" hidden="1">
      <c r="B152" s="21"/>
      <c r="C152" s="22"/>
      <c r="D152" s="24"/>
      <c r="E152" s="24"/>
      <c r="F152" s="24"/>
      <c r="G152" s="24"/>
      <c r="H152" s="24"/>
      <c r="I152" s="24"/>
      <c r="J152" s="24"/>
      <c r="K152" s="24"/>
      <c r="L152" s="24"/>
      <c r="M152" s="26"/>
      <c r="N152" s="24"/>
      <c r="O152" s="24"/>
      <c r="P152" s="24"/>
      <c r="Q152" s="24"/>
      <c r="R152" s="24"/>
      <c r="S152" s="24"/>
      <c r="T152" s="24"/>
      <c r="U152" s="24"/>
      <c r="V152" s="24"/>
      <c r="W152" s="24"/>
      <c r="X152" s="24"/>
      <c r="Y152" s="24"/>
      <c r="Z152" s="26"/>
      <c r="AA152" s="26"/>
      <c r="AB152" s="15"/>
      <c r="AC152" s="15"/>
      <c r="AD152" s="16"/>
      <c r="AE152" s="16"/>
      <c r="AF152" s="16"/>
      <c r="AG152" s="16"/>
      <c r="AH152" s="18"/>
      <c r="AI152" s="18"/>
      <c r="AJ152" s="18"/>
      <c r="AK152" s="18"/>
      <c r="AL152" s="18"/>
      <c r="AM152" s="18"/>
      <c r="AN152" s="18"/>
      <c r="AO152" s="18"/>
      <c r="AP152" s="18"/>
      <c r="AQ152" s="18"/>
    </row>
    <row r="153" spans="2:43" s="2" customFormat="1" hidden="1">
      <c r="B153" s="21"/>
      <c r="C153" s="22"/>
      <c r="D153" s="24"/>
      <c r="E153" s="24"/>
      <c r="F153" s="24"/>
      <c r="G153" s="24"/>
      <c r="H153" s="24"/>
      <c r="I153" s="24"/>
      <c r="J153" s="24"/>
      <c r="K153" s="24"/>
      <c r="L153" s="24"/>
      <c r="M153" s="26"/>
      <c r="N153" s="24"/>
      <c r="O153" s="24"/>
      <c r="P153" s="24"/>
      <c r="Q153" s="24"/>
      <c r="R153" s="24"/>
      <c r="S153" s="24"/>
      <c r="T153" s="24"/>
      <c r="U153" s="24"/>
      <c r="V153" s="24"/>
      <c r="W153" s="24"/>
      <c r="X153" s="24"/>
      <c r="Y153" s="24"/>
      <c r="Z153" s="26"/>
      <c r="AA153" s="26"/>
      <c r="AB153" s="15"/>
      <c r="AC153" s="15"/>
      <c r="AD153" s="16"/>
      <c r="AE153" s="16"/>
      <c r="AF153" s="16"/>
      <c r="AG153" s="16"/>
      <c r="AH153" s="18"/>
      <c r="AI153" s="18"/>
      <c r="AJ153" s="18"/>
      <c r="AK153" s="18"/>
      <c r="AL153" s="18"/>
      <c r="AM153" s="18"/>
      <c r="AN153" s="18"/>
      <c r="AO153" s="18"/>
      <c r="AP153" s="18"/>
      <c r="AQ153" s="18"/>
    </row>
    <row r="154" spans="2:43" s="2" customFormat="1" hidden="1">
      <c r="B154" s="21"/>
      <c r="C154" s="22"/>
      <c r="D154" s="24"/>
      <c r="E154" s="24"/>
      <c r="F154" s="24"/>
      <c r="G154" s="24"/>
      <c r="H154" s="24"/>
      <c r="I154" s="24"/>
      <c r="J154" s="24"/>
      <c r="K154" s="24"/>
      <c r="L154" s="24"/>
      <c r="M154" s="26"/>
      <c r="N154" s="24"/>
      <c r="O154" s="24"/>
      <c r="P154" s="24"/>
      <c r="Q154" s="24"/>
      <c r="R154" s="24"/>
      <c r="S154" s="24"/>
      <c r="T154" s="24"/>
      <c r="U154" s="24"/>
      <c r="V154" s="24"/>
      <c r="W154" s="24"/>
      <c r="X154" s="24"/>
      <c r="Y154" s="24"/>
      <c r="Z154" s="26"/>
      <c r="AA154" s="26"/>
      <c r="AB154" s="15"/>
      <c r="AC154" s="15"/>
      <c r="AD154" s="16"/>
      <c r="AE154" s="16"/>
      <c r="AF154" s="16"/>
      <c r="AG154" s="16"/>
      <c r="AH154" s="18"/>
      <c r="AI154" s="18"/>
      <c r="AJ154" s="18"/>
      <c r="AK154" s="18"/>
      <c r="AL154" s="18"/>
      <c r="AM154" s="18"/>
      <c r="AN154" s="18"/>
      <c r="AO154" s="18"/>
      <c r="AP154" s="18"/>
      <c r="AQ154" s="18"/>
    </row>
    <row r="155" spans="2:43" s="2" customFormat="1" hidden="1">
      <c r="B155" s="21"/>
      <c r="C155" s="22"/>
      <c r="D155" s="24"/>
      <c r="E155" s="24"/>
      <c r="F155" s="24"/>
      <c r="G155" s="24"/>
      <c r="H155" s="24"/>
      <c r="I155" s="24"/>
      <c r="J155" s="24"/>
      <c r="K155" s="24"/>
      <c r="L155" s="24"/>
      <c r="M155" s="26"/>
      <c r="N155" s="24"/>
      <c r="O155" s="24"/>
      <c r="P155" s="24"/>
      <c r="Q155" s="24"/>
      <c r="R155" s="24"/>
      <c r="S155" s="24"/>
      <c r="T155" s="24"/>
      <c r="U155" s="24"/>
      <c r="V155" s="24"/>
      <c r="W155" s="24"/>
      <c r="X155" s="24"/>
      <c r="Y155" s="24"/>
      <c r="Z155" s="26"/>
      <c r="AA155" s="26"/>
      <c r="AB155" s="15"/>
      <c r="AC155" s="15"/>
      <c r="AD155" s="16"/>
      <c r="AE155" s="16"/>
      <c r="AF155" s="16"/>
      <c r="AG155" s="16"/>
      <c r="AH155" s="18"/>
      <c r="AI155" s="18"/>
      <c r="AJ155" s="18"/>
      <c r="AK155" s="18"/>
      <c r="AL155" s="18"/>
      <c r="AM155" s="18"/>
      <c r="AN155" s="18"/>
      <c r="AO155" s="18"/>
      <c r="AP155" s="18"/>
      <c r="AQ155" s="18"/>
    </row>
    <row r="156" spans="2:43" s="2" customFormat="1" hidden="1">
      <c r="B156" s="21"/>
      <c r="C156" s="22"/>
      <c r="D156" s="24"/>
      <c r="E156" s="24"/>
      <c r="F156" s="24"/>
      <c r="G156" s="24"/>
      <c r="H156" s="24"/>
      <c r="I156" s="24"/>
      <c r="J156" s="24"/>
      <c r="K156" s="24"/>
      <c r="L156" s="24"/>
      <c r="M156" s="26"/>
      <c r="N156" s="24"/>
      <c r="O156" s="24"/>
      <c r="P156" s="24"/>
      <c r="Q156" s="24"/>
      <c r="R156" s="24"/>
      <c r="S156" s="24"/>
      <c r="T156" s="24"/>
      <c r="U156" s="24"/>
      <c r="V156" s="24"/>
      <c r="W156" s="24"/>
      <c r="X156" s="24"/>
      <c r="Y156" s="24"/>
      <c r="Z156" s="26"/>
      <c r="AA156" s="26"/>
      <c r="AB156" s="15"/>
      <c r="AC156" s="15"/>
      <c r="AD156" s="16"/>
      <c r="AE156" s="16"/>
      <c r="AF156" s="16"/>
      <c r="AG156" s="16"/>
      <c r="AH156" s="18"/>
      <c r="AI156" s="18"/>
      <c r="AJ156" s="18"/>
      <c r="AK156" s="18"/>
      <c r="AL156" s="18"/>
      <c r="AM156" s="18"/>
      <c r="AN156" s="18"/>
      <c r="AO156" s="18"/>
      <c r="AP156" s="18"/>
      <c r="AQ156" s="18"/>
    </row>
    <row r="157" spans="2:43" s="2" customFormat="1" hidden="1">
      <c r="B157" s="21"/>
      <c r="C157" s="22"/>
      <c r="D157" s="24"/>
      <c r="E157" s="24"/>
      <c r="F157" s="24"/>
      <c r="G157" s="24"/>
      <c r="H157" s="24"/>
      <c r="I157" s="24"/>
      <c r="J157" s="24"/>
      <c r="K157" s="24"/>
      <c r="L157" s="24"/>
      <c r="M157" s="26"/>
      <c r="N157" s="24"/>
      <c r="O157" s="24"/>
      <c r="P157" s="24"/>
      <c r="Q157" s="24"/>
      <c r="R157" s="24"/>
      <c r="S157" s="24"/>
      <c r="T157" s="24"/>
      <c r="U157" s="24"/>
      <c r="V157" s="24"/>
      <c r="W157" s="24"/>
      <c r="X157" s="24"/>
      <c r="Y157" s="24"/>
      <c r="Z157" s="26"/>
      <c r="AA157" s="26"/>
      <c r="AB157" s="15"/>
      <c r="AC157" s="15"/>
      <c r="AD157" s="16"/>
      <c r="AE157" s="16"/>
      <c r="AF157" s="16"/>
      <c r="AG157" s="16"/>
      <c r="AH157" s="18"/>
      <c r="AI157" s="18"/>
      <c r="AJ157" s="18"/>
      <c r="AK157" s="18"/>
      <c r="AL157" s="18"/>
      <c r="AM157" s="18"/>
      <c r="AN157" s="18"/>
      <c r="AO157" s="18"/>
      <c r="AP157" s="18"/>
      <c r="AQ157" s="18"/>
    </row>
    <row r="158" spans="2:43" s="2" customFormat="1" hidden="1">
      <c r="B158" s="21"/>
      <c r="C158" s="22"/>
      <c r="D158" s="24"/>
      <c r="E158" s="24"/>
      <c r="F158" s="24"/>
      <c r="G158" s="24"/>
      <c r="H158" s="24"/>
      <c r="I158" s="24"/>
      <c r="J158" s="24"/>
      <c r="K158" s="24"/>
      <c r="L158" s="24"/>
      <c r="M158" s="26"/>
      <c r="N158" s="24"/>
      <c r="O158" s="24"/>
      <c r="P158" s="24"/>
      <c r="Q158" s="24"/>
      <c r="R158" s="24"/>
      <c r="S158" s="24"/>
      <c r="T158" s="24"/>
      <c r="U158" s="24"/>
      <c r="V158" s="24"/>
      <c r="W158" s="24"/>
      <c r="X158" s="24"/>
      <c r="Y158" s="24"/>
      <c r="Z158" s="26"/>
      <c r="AA158" s="26"/>
      <c r="AB158" s="15"/>
      <c r="AC158" s="15"/>
      <c r="AD158" s="16"/>
      <c r="AE158" s="16"/>
      <c r="AF158" s="16"/>
      <c r="AG158" s="16"/>
      <c r="AH158" s="18"/>
      <c r="AI158" s="18"/>
      <c r="AJ158" s="18"/>
      <c r="AK158" s="18"/>
      <c r="AL158" s="18"/>
      <c r="AM158" s="18"/>
      <c r="AN158" s="18"/>
      <c r="AO158" s="18"/>
      <c r="AP158" s="18"/>
      <c r="AQ158" s="18"/>
    </row>
    <row r="159" spans="2:43" s="2" customFormat="1" hidden="1">
      <c r="B159" s="21"/>
      <c r="C159" s="22"/>
      <c r="D159" s="24"/>
      <c r="E159" s="24"/>
      <c r="F159" s="24"/>
      <c r="G159" s="24"/>
      <c r="H159" s="24"/>
      <c r="I159" s="24"/>
      <c r="J159" s="24"/>
      <c r="K159" s="24"/>
      <c r="L159" s="24"/>
      <c r="M159" s="26"/>
      <c r="N159" s="24"/>
      <c r="O159" s="24"/>
      <c r="P159" s="24"/>
      <c r="Q159" s="24"/>
      <c r="R159" s="24"/>
      <c r="S159" s="24"/>
      <c r="T159" s="24"/>
      <c r="U159" s="24"/>
      <c r="V159" s="24"/>
      <c r="W159" s="24"/>
      <c r="X159" s="24"/>
      <c r="Y159" s="24"/>
      <c r="Z159" s="26"/>
      <c r="AA159" s="26"/>
      <c r="AB159" s="15"/>
      <c r="AC159" s="15"/>
      <c r="AD159" s="16"/>
      <c r="AE159" s="16"/>
      <c r="AF159" s="16"/>
      <c r="AG159" s="16"/>
      <c r="AH159" s="18"/>
      <c r="AI159" s="18"/>
      <c r="AJ159" s="18"/>
      <c r="AK159" s="18"/>
      <c r="AL159" s="18"/>
      <c r="AM159" s="18"/>
      <c r="AN159" s="18"/>
      <c r="AO159" s="18"/>
      <c r="AP159" s="18"/>
      <c r="AQ159" s="18"/>
    </row>
    <row r="160" spans="2:43" s="2" customFormat="1" hidden="1">
      <c r="B160" s="21"/>
      <c r="C160" s="22"/>
      <c r="D160" s="24"/>
      <c r="E160" s="24"/>
      <c r="F160" s="24"/>
      <c r="G160" s="24"/>
      <c r="H160" s="24"/>
      <c r="I160" s="24"/>
      <c r="J160" s="24"/>
      <c r="K160" s="24"/>
      <c r="L160" s="24"/>
      <c r="M160" s="26"/>
      <c r="N160" s="24"/>
      <c r="O160" s="24"/>
      <c r="P160" s="24"/>
      <c r="Q160" s="24"/>
      <c r="R160" s="24"/>
      <c r="S160" s="24"/>
      <c r="T160" s="24"/>
      <c r="U160" s="24"/>
      <c r="V160" s="24"/>
      <c r="W160" s="24"/>
      <c r="X160" s="24"/>
      <c r="Y160" s="24"/>
      <c r="Z160" s="26"/>
      <c r="AA160" s="26"/>
      <c r="AB160" s="15"/>
      <c r="AC160" s="15"/>
      <c r="AD160" s="16"/>
      <c r="AE160" s="16"/>
      <c r="AF160" s="16"/>
      <c r="AG160" s="16"/>
      <c r="AH160" s="18"/>
      <c r="AI160" s="18"/>
      <c r="AJ160" s="18"/>
      <c r="AK160" s="18"/>
      <c r="AL160" s="18"/>
      <c r="AM160" s="18"/>
      <c r="AN160" s="18"/>
      <c r="AO160" s="18"/>
      <c r="AP160" s="18"/>
      <c r="AQ160" s="18"/>
    </row>
    <row r="161" spans="2:43" s="2" customFormat="1" hidden="1">
      <c r="B161" s="21"/>
      <c r="C161" s="22"/>
      <c r="D161" s="24"/>
      <c r="E161" s="24"/>
      <c r="F161" s="24"/>
      <c r="G161" s="24"/>
      <c r="H161" s="24"/>
      <c r="I161" s="24"/>
      <c r="J161" s="24"/>
      <c r="K161" s="24"/>
      <c r="L161" s="24"/>
      <c r="M161" s="26"/>
      <c r="N161" s="24"/>
      <c r="O161" s="24"/>
      <c r="P161" s="24"/>
      <c r="Q161" s="24"/>
      <c r="R161" s="24"/>
      <c r="S161" s="24"/>
      <c r="T161" s="24"/>
      <c r="U161" s="24"/>
      <c r="V161" s="24"/>
      <c r="W161" s="24"/>
      <c r="X161" s="24"/>
      <c r="Y161" s="24"/>
      <c r="Z161" s="26"/>
      <c r="AA161" s="26"/>
      <c r="AB161" s="15"/>
      <c r="AC161" s="15"/>
      <c r="AD161" s="16"/>
      <c r="AE161" s="16"/>
      <c r="AF161" s="16"/>
      <c r="AG161" s="16"/>
      <c r="AH161" s="18"/>
      <c r="AI161" s="18"/>
      <c r="AJ161" s="18"/>
      <c r="AK161" s="18"/>
      <c r="AL161" s="18"/>
      <c r="AM161" s="18"/>
      <c r="AN161" s="18"/>
      <c r="AO161" s="18"/>
      <c r="AP161" s="18"/>
      <c r="AQ161" s="18"/>
    </row>
    <row r="162" spans="2:43" s="2" customFormat="1" hidden="1">
      <c r="B162" s="21"/>
      <c r="C162" s="22"/>
      <c r="D162" s="24"/>
      <c r="E162" s="24"/>
      <c r="F162" s="24"/>
      <c r="G162" s="24"/>
      <c r="H162" s="24"/>
      <c r="I162" s="24"/>
      <c r="J162" s="24"/>
      <c r="K162" s="24"/>
      <c r="L162" s="24"/>
      <c r="M162" s="26"/>
      <c r="N162" s="24"/>
      <c r="O162" s="24"/>
      <c r="P162" s="24"/>
      <c r="Q162" s="24"/>
      <c r="R162" s="24"/>
      <c r="S162" s="24"/>
      <c r="T162" s="24"/>
      <c r="U162" s="24"/>
      <c r="V162" s="24"/>
      <c r="W162" s="24"/>
      <c r="X162" s="24"/>
      <c r="Y162" s="24"/>
      <c r="Z162" s="26"/>
      <c r="AA162" s="26"/>
      <c r="AB162" s="15"/>
      <c r="AC162" s="15"/>
      <c r="AD162" s="16"/>
      <c r="AE162" s="16"/>
      <c r="AF162" s="16"/>
      <c r="AG162" s="16"/>
      <c r="AH162" s="18"/>
      <c r="AI162" s="18"/>
      <c r="AJ162" s="18"/>
      <c r="AK162" s="18"/>
      <c r="AL162" s="18"/>
      <c r="AM162" s="18"/>
      <c r="AN162" s="18"/>
      <c r="AO162" s="18"/>
      <c r="AP162" s="18"/>
      <c r="AQ162" s="18"/>
    </row>
    <row r="163" spans="2:43" s="2" customFormat="1" hidden="1">
      <c r="B163" s="21"/>
      <c r="C163" s="22"/>
      <c r="D163" s="24"/>
      <c r="E163" s="24"/>
      <c r="F163" s="24"/>
      <c r="G163" s="24"/>
      <c r="H163" s="24"/>
      <c r="I163" s="24"/>
      <c r="J163" s="24"/>
      <c r="K163" s="24"/>
      <c r="L163" s="24"/>
      <c r="M163" s="26"/>
      <c r="N163" s="24"/>
      <c r="O163" s="24"/>
      <c r="P163" s="24"/>
      <c r="Q163" s="24"/>
      <c r="R163" s="24"/>
      <c r="S163" s="24"/>
      <c r="T163" s="24"/>
      <c r="U163" s="24"/>
      <c r="V163" s="24"/>
      <c r="W163" s="24"/>
      <c r="X163" s="24"/>
      <c r="Y163" s="24"/>
      <c r="Z163" s="26"/>
      <c r="AA163" s="26"/>
      <c r="AB163" s="15"/>
      <c r="AC163" s="15"/>
      <c r="AD163" s="16"/>
      <c r="AE163" s="16"/>
      <c r="AF163" s="16"/>
      <c r="AG163" s="16"/>
      <c r="AH163" s="18"/>
      <c r="AI163" s="18"/>
      <c r="AJ163" s="18"/>
      <c r="AK163" s="18"/>
      <c r="AL163" s="18"/>
      <c r="AM163" s="18"/>
      <c r="AN163" s="18"/>
      <c r="AO163" s="18"/>
      <c r="AP163" s="18"/>
      <c r="AQ163" s="18"/>
    </row>
    <row r="164" spans="2:43" s="2" customFormat="1" hidden="1">
      <c r="B164" s="21"/>
      <c r="C164" s="22"/>
      <c r="D164" s="24"/>
      <c r="E164" s="24"/>
      <c r="F164" s="24"/>
      <c r="G164" s="24"/>
      <c r="H164" s="24"/>
      <c r="I164" s="24"/>
      <c r="J164" s="24"/>
      <c r="K164" s="24"/>
      <c r="L164" s="24"/>
      <c r="M164" s="26"/>
      <c r="N164" s="24"/>
      <c r="O164" s="24"/>
      <c r="P164" s="24"/>
      <c r="Q164" s="24"/>
      <c r="R164" s="24"/>
      <c r="S164" s="24"/>
      <c r="T164" s="24"/>
      <c r="U164" s="24"/>
      <c r="V164" s="24"/>
      <c r="W164" s="24"/>
      <c r="X164" s="24"/>
      <c r="Y164" s="24"/>
      <c r="Z164" s="26"/>
      <c r="AA164" s="26"/>
      <c r="AB164" s="15"/>
      <c r="AC164" s="15"/>
      <c r="AD164" s="16"/>
      <c r="AE164" s="16"/>
      <c r="AF164" s="16"/>
      <c r="AG164" s="16"/>
      <c r="AH164" s="18"/>
      <c r="AI164" s="18"/>
      <c r="AJ164" s="18"/>
      <c r="AK164" s="18"/>
      <c r="AL164" s="18"/>
      <c r="AM164" s="18"/>
      <c r="AN164" s="18"/>
      <c r="AO164" s="18"/>
      <c r="AP164" s="18"/>
      <c r="AQ164" s="18"/>
    </row>
    <row r="165" spans="2:43" s="2" customFormat="1" hidden="1">
      <c r="B165" s="21"/>
      <c r="C165" s="22"/>
      <c r="D165" s="24"/>
      <c r="E165" s="24"/>
      <c r="F165" s="24"/>
      <c r="G165" s="24"/>
      <c r="H165" s="24"/>
      <c r="I165" s="24"/>
      <c r="J165" s="24"/>
      <c r="K165" s="24"/>
      <c r="L165" s="24"/>
      <c r="M165" s="26"/>
      <c r="N165" s="24"/>
      <c r="O165" s="24"/>
      <c r="P165" s="24"/>
      <c r="Q165" s="24"/>
      <c r="R165" s="24"/>
      <c r="S165" s="24"/>
      <c r="T165" s="24"/>
      <c r="U165" s="24"/>
      <c r="V165" s="24"/>
      <c r="W165" s="24"/>
      <c r="X165" s="24"/>
      <c r="Y165" s="24"/>
      <c r="Z165" s="26"/>
      <c r="AA165" s="26"/>
      <c r="AB165" s="15"/>
      <c r="AC165" s="15"/>
      <c r="AD165" s="16"/>
      <c r="AE165" s="16"/>
      <c r="AF165" s="16"/>
      <c r="AG165" s="16"/>
      <c r="AH165" s="18"/>
      <c r="AI165" s="18"/>
      <c r="AJ165" s="18"/>
      <c r="AK165" s="18"/>
      <c r="AL165" s="18"/>
      <c r="AM165" s="18"/>
      <c r="AN165" s="18"/>
      <c r="AO165" s="18"/>
      <c r="AP165" s="18"/>
      <c r="AQ165" s="18"/>
    </row>
    <row r="166" spans="2:43" s="2" customFormat="1" hidden="1">
      <c r="B166" s="21"/>
      <c r="C166" s="22"/>
      <c r="D166" s="24"/>
      <c r="E166" s="24"/>
      <c r="F166" s="24"/>
      <c r="G166" s="24"/>
      <c r="H166" s="24"/>
      <c r="I166" s="24"/>
      <c r="J166" s="24"/>
      <c r="K166" s="24"/>
      <c r="L166" s="24"/>
      <c r="M166" s="26"/>
      <c r="N166" s="24"/>
      <c r="O166" s="24"/>
      <c r="P166" s="24"/>
      <c r="Q166" s="24"/>
      <c r="R166" s="24"/>
      <c r="S166" s="24"/>
      <c r="T166" s="24"/>
      <c r="U166" s="24"/>
      <c r="V166" s="24"/>
      <c r="W166" s="24"/>
      <c r="X166" s="24"/>
      <c r="Y166" s="24"/>
      <c r="Z166" s="26"/>
      <c r="AA166" s="26"/>
      <c r="AB166" s="15"/>
      <c r="AC166" s="15"/>
      <c r="AD166" s="16"/>
      <c r="AE166" s="16"/>
      <c r="AF166" s="16"/>
      <c r="AG166" s="16"/>
      <c r="AH166" s="18"/>
      <c r="AI166" s="18"/>
      <c r="AJ166" s="18"/>
      <c r="AK166" s="18"/>
      <c r="AL166" s="18"/>
      <c r="AM166" s="18"/>
      <c r="AN166" s="18"/>
      <c r="AO166" s="18"/>
      <c r="AP166" s="18"/>
      <c r="AQ166" s="18"/>
    </row>
    <row r="167" spans="2:43" s="2" customFormat="1" hidden="1">
      <c r="B167" s="21"/>
      <c r="C167" s="22"/>
      <c r="D167" s="24"/>
      <c r="E167" s="24"/>
      <c r="F167" s="24"/>
      <c r="G167" s="24"/>
      <c r="H167" s="24"/>
      <c r="I167" s="24"/>
      <c r="J167" s="24"/>
      <c r="K167" s="24"/>
      <c r="L167" s="24"/>
      <c r="M167" s="26"/>
      <c r="N167" s="24"/>
      <c r="O167" s="24"/>
      <c r="P167" s="24"/>
      <c r="Q167" s="24"/>
      <c r="R167" s="24"/>
      <c r="S167" s="24"/>
      <c r="T167" s="24"/>
      <c r="U167" s="24"/>
      <c r="V167" s="24"/>
      <c r="W167" s="24"/>
      <c r="X167" s="24"/>
      <c r="Y167" s="24"/>
      <c r="Z167" s="26"/>
      <c r="AA167" s="26"/>
      <c r="AB167" s="15"/>
      <c r="AC167" s="15"/>
      <c r="AD167" s="16"/>
      <c r="AE167" s="16"/>
      <c r="AF167" s="16"/>
      <c r="AG167" s="16"/>
      <c r="AH167" s="18"/>
      <c r="AI167" s="18"/>
      <c r="AJ167" s="18"/>
      <c r="AK167" s="18"/>
      <c r="AL167" s="18"/>
      <c r="AM167" s="18"/>
      <c r="AN167" s="18"/>
      <c r="AO167" s="18"/>
      <c r="AP167" s="18"/>
      <c r="AQ167" s="18"/>
    </row>
    <row r="168" spans="2:43" s="2" customFormat="1" hidden="1">
      <c r="B168" s="21"/>
      <c r="C168" s="22"/>
      <c r="D168" s="24"/>
      <c r="E168" s="24"/>
      <c r="F168" s="24"/>
      <c r="G168" s="24"/>
      <c r="H168" s="24"/>
      <c r="I168" s="24"/>
      <c r="J168" s="24"/>
      <c r="K168" s="24"/>
      <c r="L168" s="24"/>
      <c r="M168" s="26"/>
      <c r="N168" s="24"/>
      <c r="O168" s="24"/>
      <c r="P168" s="24"/>
      <c r="Q168" s="24"/>
      <c r="R168" s="24"/>
      <c r="S168" s="24"/>
      <c r="T168" s="24"/>
      <c r="U168" s="24"/>
      <c r="V168" s="24"/>
      <c r="W168" s="24"/>
      <c r="X168" s="24"/>
      <c r="Y168" s="24"/>
      <c r="Z168" s="26"/>
      <c r="AA168" s="26"/>
      <c r="AB168" s="15"/>
      <c r="AC168" s="15"/>
      <c r="AD168" s="16"/>
      <c r="AE168" s="16"/>
      <c r="AF168" s="16"/>
      <c r="AG168" s="16"/>
      <c r="AH168" s="18"/>
      <c r="AI168" s="18"/>
      <c r="AJ168" s="18"/>
      <c r="AK168" s="18"/>
      <c r="AL168" s="18"/>
      <c r="AM168" s="18"/>
      <c r="AN168" s="18"/>
      <c r="AO168" s="18"/>
      <c r="AP168" s="18"/>
      <c r="AQ168" s="18"/>
    </row>
    <row r="169" spans="2:43" s="2" customFormat="1" hidden="1">
      <c r="B169" s="21"/>
      <c r="C169" s="22"/>
      <c r="D169" s="24"/>
      <c r="E169" s="24"/>
      <c r="F169" s="24"/>
      <c r="G169" s="24"/>
      <c r="H169" s="24"/>
      <c r="I169" s="24"/>
      <c r="J169" s="24"/>
      <c r="K169" s="24"/>
      <c r="L169" s="24"/>
      <c r="M169" s="26"/>
      <c r="N169" s="24"/>
      <c r="O169" s="24"/>
      <c r="P169" s="24"/>
      <c r="Q169" s="24"/>
      <c r="R169" s="24"/>
      <c r="S169" s="24"/>
      <c r="T169" s="24"/>
      <c r="U169" s="24"/>
      <c r="V169" s="24"/>
      <c r="W169" s="24"/>
      <c r="X169" s="24"/>
      <c r="Y169" s="24"/>
      <c r="Z169" s="26"/>
      <c r="AA169" s="26"/>
      <c r="AB169" s="15"/>
      <c r="AC169" s="15"/>
      <c r="AD169" s="16"/>
      <c r="AE169" s="16"/>
      <c r="AF169" s="16"/>
      <c r="AG169" s="16"/>
      <c r="AH169" s="18"/>
      <c r="AI169" s="18"/>
      <c r="AJ169" s="18"/>
      <c r="AK169" s="18"/>
      <c r="AL169" s="18"/>
      <c r="AM169" s="18"/>
      <c r="AN169" s="18"/>
      <c r="AO169" s="18"/>
      <c r="AP169" s="18"/>
      <c r="AQ169" s="18"/>
    </row>
    <row r="170" spans="2:43" s="2" customFormat="1" hidden="1">
      <c r="B170" s="21"/>
      <c r="C170" s="22"/>
      <c r="D170" s="24"/>
      <c r="E170" s="24"/>
      <c r="F170" s="24"/>
      <c r="G170" s="24"/>
      <c r="H170" s="24"/>
      <c r="I170" s="24"/>
      <c r="J170" s="24"/>
      <c r="K170" s="24"/>
      <c r="L170" s="24"/>
      <c r="M170" s="26"/>
      <c r="N170" s="24"/>
      <c r="O170" s="24"/>
      <c r="P170" s="24"/>
      <c r="Q170" s="24"/>
      <c r="R170" s="24"/>
      <c r="S170" s="24"/>
      <c r="T170" s="24"/>
      <c r="U170" s="24"/>
      <c r="V170" s="24"/>
      <c r="W170" s="24"/>
      <c r="X170" s="24"/>
      <c r="Y170" s="24"/>
      <c r="Z170" s="26"/>
      <c r="AA170" s="26"/>
      <c r="AB170" s="15"/>
      <c r="AC170" s="15"/>
      <c r="AD170" s="16"/>
      <c r="AE170" s="16"/>
      <c r="AF170" s="16"/>
      <c r="AG170" s="16"/>
      <c r="AH170" s="18"/>
      <c r="AI170" s="18"/>
      <c r="AJ170" s="18"/>
      <c r="AK170" s="18"/>
      <c r="AL170" s="18"/>
      <c r="AM170" s="18"/>
      <c r="AN170" s="18"/>
      <c r="AO170" s="18"/>
      <c r="AP170" s="18"/>
      <c r="AQ170" s="18"/>
    </row>
    <row r="171" spans="2:43" s="2" customFormat="1" hidden="1">
      <c r="B171" s="21"/>
      <c r="C171" s="22"/>
      <c r="D171" s="24"/>
      <c r="E171" s="24"/>
      <c r="F171" s="24"/>
      <c r="G171" s="24"/>
      <c r="H171" s="24"/>
      <c r="I171" s="24"/>
      <c r="J171" s="24"/>
      <c r="K171" s="24"/>
      <c r="L171" s="24"/>
      <c r="M171" s="26"/>
      <c r="N171" s="24"/>
      <c r="O171" s="24"/>
      <c r="P171" s="24"/>
      <c r="Q171" s="24"/>
      <c r="R171" s="24"/>
      <c r="S171" s="24"/>
      <c r="T171" s="24"/>
      <c r="U171" s="24"/>
      <c r="V171" s="24"/>
      <c r="W171" s="24"/>
      <c r="X171" s="24"/>
      <c r="Y171" s="24"/>
      <c r="Z171" s="26"/>
      <c r="AA171" s="26"/>
      <c r="AB171" s="15"/>
      <c r="AC171" s="15"/>
      <c r="AD171" s="16"/>
      <c r="AE171" s="16"/>
      <c r="AF171" s="16"/>
      <c r="AG171" s="16"/>
      <c r="AH171" s="18"/>
      <c r="AI171" s="18"/>
      <c r="AJ171" s="18"/>
      <c r="AK171" s="18"/>
      <c r="AL171" s="18"/>
      <c r="AM171" s="18"/>
      <c r="AN171" s="18"/>
      <c r="AO171" s="18"/>
      <c r="AP171" s="18"/>
      <c r="AQ171" s="18"/>
    </row>
    <row r="172" spans="2:43" s="2" customFormat="1" hidden="1">
      <c r="B172" s="21"/>
      <c r="C172" s="22"/>
      <c r="D172" s="24"/>
      <c r="E172" s="24"/>
      <c r="F172" s="24"/>
      <c r="G172" s="24"/>
      <c r="H172" s="24"/>
      <c r="I172" s="24"/>
      <c r="J172" s="24"/>
      <c r="K172" s="24"/>
      <c r="L172" s="24"/>
      <c r="M172" s="26"/>
      <c r="N172" s="24"/>
      <c r="O172" s="24"/>
      <c r="P172" s="24"/>
      <c r="Q172" s="24"/>
      <c r="R172" s="24"/>
      <c r="S172" s="24"/>
      <c r="T172" s="24"/>
      <c r="U172" s="24"/>
      <c r="V172" s="24"/>
      <c r="W172" s="24"/>
      <c r="X172" s="24"/>
      <c r="Y172" s="24"/>
      <c r="Z172" s="26"/>
      <c r="AA172" s="26"/>
      <c r="AB172" s="15"/>
      <c r="AC172" s="15"/>
      <c r="AD172" s="16"/>
      <c r="AE172" s="16"/>
      <c r="AF172" s="16"/>
      <c r="AG172" s="16"/>
      <c r="AH172" s="18"/>
      <c r="AI172" s="18"/>
      <c r="AJ172" s="18"/>
      <c r="AK172" s="18"/>
      <c r="AL172" s="18"/>
      <c r="AM172" s="18"/>
      <c r="AN172" s="18"/>
      <c r="AO172" s="18"/>
      <c r="AP172" s="18"/>
      <c r="AQ172" s="18"/>
    </row>
    <row r="173" spans="2:43" s="2" customFormat="1" hidden="1">
      <c r="B173" s="21"/>
      <c r="C173" s="22"/>
      <c r="D173" s="24"/>
      <c r="E173" s="24"/>
      <c r="F173" s="24"/>
      <c r="G173" s="24"/>
      <c r="H173" s="24"/>
      <c r="I173" s="24"/>
      <c r="J173" s="24"/>
      <c r="K173" s="24"/>
      <c r="L173" s="24"/>
      <c r="M173" s="26"/>
      <c r="N173" s="24"/>
      <c r="O173" s="24"/>
      <c r="P173" s="24"/>
      <c r="Q173" s="24"/>
      <c r="R173" s="24"/>
      <c r="S173" s="24"/>
      <c r="T173" s="24"/>
      <c r="U173" s="24"/>
      <c r="V173" s="24"/>
      <c r="W173" s="24"/>
      <c r="X173" s="24"/>
      <c r="Y173" s="24"/>
      <c r="Z173" s="26"/>
      <c r="AA173" s="26"/>
      <c r="AB173" s="15"/>
      <c r="AC173" s="15"/>
      <c r="AD173" s="16"/>
      <c r="AE173" s="16"/>
      <c r="AF173" s="16"/>
      <c r="AG173" s="16"/>
      <c r="AH173" s="18"/>
      <c r="AI173" s="18"/>
      <c r="AJ173" s="18"/>
      <c r="AK173" s="18"/>
      <c r="AL173" s="18"/>
      <c r="AM173" s="18"/>
      <c r="AN173" s="18"/>
      <c r="AO173" s="18"/>
      <c r="AP173" s="18"/>
      <c r="AQ173" s="18"/>
    </row>
    <row r="174" spans="2:43" s="2" customFormat="1" hidden="1">
      <c r="B174" s="21"/>
      <c r="C174" s="22"/>
      <c r="D174" s="24"/>
      <c r="E174" s="24"/>
      <c r="F174" s="24"/>
      <c r="G174" s="24"/>
      <c r="H174" s="24"/>
      <c r="I174" s="24"/>
      <c r="J174" s="24"/>
      <c r="K174" s="24"/>
      <c r="L174" s="24"/>
      <c r="M174" s="26"/>
      <c r="N174" s="24"/>
      <c r="O174" s="24"/>
      <c r="P174" s="24"/>
      <c r="Q174" s="24"/>
      <c r="R174" s="24"/>
      <c r="S174" s="24"/>
      <c r="T174" s="24"/>
      <c r="U174" s="24"/>
      <c r="V174" s="24"/>
      <c r="W174" s="24"/>
      <c r="X174" s="24"/>
      <c r="Y174" s="24"/>
      <c r="Z174" s="26"/>
      <c r="AA174" s="26"/>
      <c r="AB174" s="15"/>
      <c r="AC174" s="15"/>
      <c r="AD174" s="16"/>
      <c r="AE174" s="16"/>
      <c r="AF174" s="16"/>
      <c r="AG174" s="16"/>
      <c r="AH174" s="18"/>
      <c r="AI174" s="18"/>
      <c r="AJ174" s="18"/>
      <c r="AK174" s="18"/>
      <c r="AL174" s="18"/>
      <c r="AM174" s="18"/>
      <c r="AN174" s="18"/>
      <c r="AO174" s="18"/>
      <c r="AP174" s="18"/>
      <c r="AQ174" s="18"/>
    </row>
    <row r="175" spans="2:43" s="2" customFormat="1" hidden="1">
      <c r="B175" s="21"/>
      <c r="C175" s="22"/>
      <c r="D175" s="24"/>
      <c r="E175" s="24"/>
      <c r="F175" s="24"/>
      <c r="G175" s="24"/>
      <c r="H175" s="24"/>
      <c r="I175" s="24"/>
      <c r="J175" s="24"/>
      <c r="K175" s="24"/>
      <c r="L175" s="24"/>
      <c r="M175" s="26"/>
      <c r="N175" s="24"/>
      <c r="O175" s="24"/>
      <c r="P175" s="24"/>
      <c r="Q175" s="24"/>
      <c r="R175" s="24"/>
      <c r="S175" s="24"/>
      <c r="T175" s="24"/>
      <c r="U175" s="24"/>
      <c r="V175" s="24"/>
      <c r="W175" s="24"/>
      <c r="X175" s="24"/>
      <c r="Y175" s="24"/>
      <c r="Z175" s="26"/>
      <c r="AA175" s="26"/>
      <c r="AB175" s="15"/>
      <c r="AC175" s="15"/>
      <c r="AD175" s="16"/>
      <c r="AE175" s="16"/>
      <c r="AF175" s="16"/>
      <c r="AG175" s="16"/>
      <c r="AH175" s="18"/>
      <c r="AI175" s="18"/>
      <c r="AJ175" s="18"/>
      <c r="AK175" s="18"/>
      <c r="AL175" s="18"/>
      <c r="AM175" s="18"/>
      <c r="AN175" s="18"/>
      <c r="AO175" s="18"/>
      <c r="AP175" s="18"/>
      <c r="AQ175" s="18"/>
    </row>
    <row r="176" spans="2:43" s="2" customFormat="1" hidden="1">
      <c r="B176" s="21"/>
      <c r="C176" s="22"/>
      <c r="D176" s="24"/>
      <c r="E176" s="24"/>
      <c r="F176" s="24"/>
      <c r="G176" s="24"/>
      <c r="H176" s="24"/>
      <c r="I176" s="24"/>
      <c r="J176" s="24"/>
      <c r="K176" s="24"/>
      <c r="L176" s="24"/>
      <c r="M176" s="26"/>
      <c r="N176" s="24"/>
      <c r="O176" s="24"/>
      <c r="P176" s="24"/>
      <c r="Q176" s="24"/>
      <c r="R176" s="24"/>
      <c r="S176" s="24"/>
      <c r="T176" s="24"/>
      <c r="U176" s="24"/>
      <c r="V176" s="24"/>
      <c r="W176" s="24"/>
      <c r="X176" s="24"/>
      <c r="Y176" s="24"/>
      <c r="Z176" s="26"/>
      <c r="AA176" s="26"/>
      <c r="AB176" s="15"/>
      <c r="AC176" s="15"/>
      <c r="AD176" s="16"/>
      <c r="AE176" s="16"/>
      <c r="AF176" s="16"/>
      <c r="AG176" s="16"/>
      <c r="AH176" s="18"/>
      <c r="AI176" s="18"/>
      <c r="AJ176" s="18"/>
      <c r="AK176" s="18"/>
      <c r="AL176" s="18"/>
      <c r="AM176" s="18"/>
      <c r="AN176" s="18"/>
      <c r="AO176" s="18"/>
      <c r="AP176" s="18"/>
      <c r="AQ176" s="18"/>
    </row>
    <row r="177" spans="2:43" s="2" customFormat="1" hidden="1">
      <c r="B177" s="21"/>
      <c r="C177" s="22"/>
      <c r="D177" s="24"/>
      <c r="E177" s="24"/>
      <c r="F177" s="24"/>
      <c r="G177" s="24"/>
      <c r="H177" s="24"/>
      <c r="I177" s="24"/>
      <c r="J177" s="24"/>
      <c r="K177" s="24"/>
      <c r="L177" s="24"/>
      <c r="M177" s="26"/>
      <c r="N177" s="24"/>
      <c r="O177" s="24"/>
      <c r="P177" s="24"/>
      <c r="Q177" s="24"/>
      <c r="R177" s="24"/>
      <c r="S177" s="24"/>
      <c r="T177" s="24"/>
      <c r="U177" s="24"/>
      <c r="V177" s="24"/>
      <c r="W177" s="24"/>
      <c r="X177" s="24"/>
      <c r="Y177" s="24"/>
      <c r="Z177" s="26"/>
      <c r="AA177" s="26"/>
      <c r="AB177" s="15"/>
      <c r="AC177" s="15"/>
      <c r="AD177" s="16"/>
      <c r="AE177" s="16"/>
      <c r="AF177" s="16"/>
      <c r="AG177" s="16"/>
      <c r="AH177" s="18"/>
      <c r="AI177" s="18"/>
      <c r="AJ177" s="18"/>
      <c r="AK177" s="18"/>
      <c r="AL177" s="18"/>
      <c r="AM177" s="18"/>
      <c r="AN177" s="18"/>
      <c r="AO177" s="18"/>
      <c r="AP177" s="18"/>
      <c r="AQ177" s="18"/>
    </row>
    <row r="178" spans="2:43" s="2" customFormat="1" hidden="1">
      <c r="B178" s="21"/>
      <c r="C178" s="22"/>
      <c r="D178" s="24"/>
      <c r="E178" s="24"/>
      <c r="F178" s="24"/>
      <c r="G178" s="24"/>
      <c r="H178" s="24"/>
      <c r="I178" s="24"/>
      <c r="J178" s="24"/>
      <c r="K178" s="24"/>
      <c r="L178" s="24"/>
      <c r="M178" s="26"/>
      <c r="N178" s="24"/>
      <c r="O178" s="24"/>
      <c r="P178" s="24"/>
      <c r="Q178" s="24"/>
      <c r="R178" s="24"/>
      <c r="S178" s="24"/>
      <c r="T178" s="24"/>
      <c r="U178" s="24"/>
      <c r="V178" s="24"/>
      <c r="W178" s="24"/>
      <c r="X178" s="24"/>
      <c r="Y178" s="24"/>
      <c r="Z178" s="26"/>
      <c r="AA178" s="26"/>
      <c r="AB178" s="15"/>
      <c r="AC178" s="15"/>
      <c r="AD178" s="16"/>
      <c r="AE178" s="16"/>
      <c r="AF178" s="16"/>
      <c r="AG178" s="16"/>
      <c r="AH178" s="18"/>
      <c r="AI178" s="18"/>
      <c r="AJ178" s="18"/>
      <c r="AK178" s="18"/>
      <c r="AL178" s="18"/>
      <c r="AM178" s="18"/>
      <c r="AN178" s="18"/>
      <c r="AO178" s="18"/>
      <c r="AP178" s="18"/>
      <c r="AQ178" s="18"/>
    </row>
    <row r="179" spans="2:43" s="2" customFormat="1" hidden="1">
      <c r="B179" s="21"/>
      <c r="C179" s="22"/>
      <c r="D179" s="24"/>
      <c r="E179" s="24"/>
      <c r="F179" s="24"/>
      <c r="G179" s="24"/>
      <c r="H179" s="24"/>
      <c r="I179" s="24"/>
      <c r="J179" s="24"/>
      <c r="K179" s="24"/>
      <c r="L179" s="24"/>
      <c r="M179" s="26"/>
      <c r="N179" s="24"/>
      <c r="O179" s="24"/>
      <c r="P179" s="24"/>
      <c r="Q179" s="24"/>
      <c r="R179" s="24"/>
      <c r="S179" s="24"/>
      <c r="T179" s="24"/>
      <c r="U179" s="24"/>
      <c r="V179" s="24"/>
      <c r="W179" s="24"/>
      <c r="X179" s="24"/>
      <c r="Y179" s="24"/>
      <c r="Z179" s="26"/>
      <c r="AA179" s="26"/>
      <c r="AB179" s="15"/>
      <c r="AC179" s="15"/>
      <c r="AD179" s="16"/>
      <c r="AE179" s="16"/>
      <c r="AF179" s="16"/>
      <c r="AG179" s="16"/>
      <c r="AH179" s="18"/>
      <c r="AI179" s="18"/>
      <c r="AJ179" s="18"/>
      <c r="AK179" s="18"/>
      <c r="AL179" s="18"/>
      <c r="AM179" s="18"/>
      <c r="AN179" s="18"/>
      <c r="AO179" s="18"/>
      <c r="AP179" s="18"/>
      <c r="AQ179" s="18"/>
    </row>
    <row r="180" spans="2:43" s="2" customFormat="1" hidden="1">
      <c r="B180" s="21"/>
      <c r="C180" s="22"/>
      <c r="D180" s="24"/>
      <c r="E180" s="24"/>
      <c r="F180" s="24"/>
      <c r="G180" s="24"/>
      <c r="H180" s="24"/>
      <c r="I180" s="24"/>
      <c r="J180" s="24"/>
      <c r="K180" s="24"/>
      <c r="L180" s="24"/>
      <c r="M180" s="26"/>
      <c r="N180" s="24"/>
      <c r="O180" s="24"/>
      <c r="P180" s="24"/>
      <c r="Q180" s="24"/>
      <c r="R180" s="24"/>
      <c r="S180" s="24"/>
      <c r="T180" s="24"/>
      <c r="U180" s="24"/>
      <c r="V180" s="24"/>
      <c r="W180" s="24"/>
      <c r="X180" s="24"/>
      <c r="Y180" s="24"/>
      <c r="Z180" s="26"/>
      <c r="AA180" s="26"/>
      <c r="AB180" s="15"/>
      <c r="AC180" s="15"/>
      <c r="AD180" s="16"/>
      <c r="AE180" s="16"/>
      <c r="AF180" s="16"/>
      <c r="AG180" s="16"/>
      <c r="AH180" s="18"/>
      <c r="AI180" s="18"/>
      <c r="AJ180" s="18"/>
      <c r="AK180" s="18"/>
      <c r="AL180" s="18"/>
      <c r="AM180" s="18"/>
      <c r="AN180" s="18"/>
      <c r="AO180" s="18"/>
      <c r="AP180" s="18"/>
      <c r="AQ180" s="18"/>
    </row>
    <row r="181" spans="2:43" s="2" customFormat="1" hidden="1">
      <c r="B181" s="21"/>
      <c r="C181" s="22"/>
      <c r="D181" s="24"/>
      <c r="E181" s="24"/>
      <c r="F181" s="24"/>
      <c r="G181" s="24"/>
      <c r="H181" s="24"/>
      <c r="I181" s="24"/>
      <c r="J181" s="24"/>
      <c r="K181" s="24"/>
      <c r="L181" s="24"/>
      <c r="M181" s="26"/>
      <c r="N181" s="24"/>
      <c r="O181" s="24"/>
      <c r="P181" s="24"/>
      <c r="Q181" s="24"/>
      <c r="R181" s="24"/>
      <c r="S181" s="24"/>
      <c r="T181" s="24"/>
      <c r="U181" s="24"/>
      <c r="V181" s="24"/>
      <c r="W181" s="24"/>
      <c r="X181" s="24"/>
      <c r="Y181" s="24"/>
      <c r="Z181" s="26"/>
      <c r="AA181" s="26"/>
      <c r="AB181" s="15"/>
      <c r="AC181" s="15"/>
      <c r="AD181" s="16"/>
      <c r="AE181" s="16"/>
      <c r="AF181" s="16"/>
      <c r="AG181" s="16"/>
      <c r="AH181" s="18"/>
      <c r="AI181" s="18"/>
      <c r="AJ181" s="18"/>
      <c r="AK181" s="18"/>
      <c r="AL181" s="18"/>
      <c r="AM181" s="18"/>
      <c r="AN181" s="18"/>
      <c r="AO181" s="18"/>
      <c r="AP181" s="18"/>
      <c r="AQ181" s="18"/>
    </row>
    <row r="182" spans="2:43" s="2" customFormat="1" hidden="1">
      <c r="B182" s="21"/>
      <c r="C182" s="22"/>
      <c r="D182" s="24"/>
      <c r="E182" s="24"/>
      <c r="F182" s="24"/>
      <c r="G182" s="24"/>
      <c r="H182" s="24"/>
      <c r="I182" s="24"/>
      <c r="J182" s="24"/>
      <c r="K182" s="24"/>
      <c r="L182" s="24"/>
      <c r="M182" s="26"/>
      <c r="N182" s="24"/>
      <c r="O182" s="24"/>
      <c r="P182" s="24"/>
      <c r="Q182" s="24"/>
      <c r="R182" s="24"/>
      <c r="S182" s="24"/>
      <c r="T182" s="24"/>
      <c r="U182" s="24"/>
      <c r="V182" s="24"/>
      <c r="W182" s="24"/>
      <c r="X182" s="24"/>
      <c r="Y182" s="24"/>
      <c r="Z182" s="26"/>
      <c r="AA182" s="26"/>
      <c r="AB182" s="15"/>
      <c r="AC182" s="15"/>
      <c r="AD182" s="16"/>
      <c r="AE182" s="16"/>
      <c r="AF182" s="16"/>
      <c r="AG182" s="16"/>
      <c r="AH182" s="18"/>
      <c r="AI182" s="18"/>
      <c r="AJ182" s="18"/>
      <c r="AK182" s="18"/>
      <c r="AL182" s="18"/>
      <c r="AM182" s="18"/>
      <c r="AN182" s="18"/>
      <c r="AO182" s="18"/>
      <c r="AP182" s="18"/>
      <c r="AQ182" s="18"/>
    </row>
    <row r="183" spans="2:43" s="2" customFormat="1" hidden="1">
      <c r="B183" s="21"/>
      <c r="C183" s="22"/>
      <c r="D183" s="24"/>
      <c r="E183" s="24"/>
      <c r="F183" s="24"/>
      <c r="G183" s="24"/>
      <c r="H183" s="24"/>
      <c r="I183" s="24"/>
      <c r="J183" s="24"/>
      <c r="K183" s="24"/>
      <c r="L183" s="24"/>
      <c r="M183" s="26"/>
      <c r="N183" s="24"/>
      <c r="O183" s="24"/>
      <c r="P183" s="24"/>
      <c r="Q183" s="24"/>
      <c r="R183" s="24"/>
      <c r="S183" s="24"/>
      <c r="T183" s="24"/>
      <c r="U183" s="24"/>
      <c r="V183" s="24"/>
      <c r="W183" s="24"/>
      <c r="X183" s="24"/>
      <c r="Y183" s="24"/>
      <c r="Z183" s="26"/>
      <c r="AA183" s="26"/>
      <c r="AB183" s="15"/>
      <c r="AC183" s="15"/>
      <c r="AD183" s="16"/>
      <c r="AE183" s="16"/>
      <c r="AF183" s="16"/>
      <c r="AG183" s="16"/>
      <c r="AH183" s="18"/>
      <c r="AI183" s="18"/>
      <c r="AJ183" s="18"/>
      <c r="AK183" s="18"/>
      <c r="AL183" s="18"/>
      <c r="AM183" s="18"/>
      <c r="AN183" s="18"/>
      <c r="AO183" s="18"/>
      <c r="AP183" s="18"/>
      <c r="AQ183" s="18"/>
    </row>
    <row r="184" spans="2:43" s="2" customFormat="1" hidden="1">
      <c r="B184" s="21"/>
      <c r="C184" s="22"/>
      <c r="D184" s="24"/>
      <c r="E184" s="24"/>
      <c r="F184" s="24"/>
      <c r="G184" s="24"/>
      <c r="H184" s="24"/>
      <c r="I184" s="24"/>
      <c r="J184" s="24"/>
      <c r="K184" s="24"/>
      <c r="L184" s="24"/>
      <c r="M184" s="26"/>
      <c r="N184" s="24"/>
      <c r="O184" s="24"/>
      <c r="P184" s="24"/>
      <c r="Q184" s="24"/>
      <c r="R184" s="24"/>
      <c r="S184" s="24"/>
      <c r="T184" s="24"/>
      <c r="U184" s="24"/>
      <c r="V184" s="24"/>
      <c r="W184" s="24"/>
      <c r="X184" s="24"/>
      <c r="Y184" s="24"/>
      <c r="Z184" s="26"/>
      <c r="AA184" s="26"/>
      <c r="AB184" s="15"/>
      <c r="AC184" s="15"/>
      <c r="AD184" s="16"/>
      <c r="AE184" s="16"/>
      <c r="AF184" s="16"/>
      <c r="AG184" s="16"/>
      <c r="AH184" s="18"/>
      <c r="AI184" s="18"/>
      <c r="AJ184" s="18"/>
      <c r="AK184" s="18"/>
      <c r="AL184" s="18"/>
      <c r="AM184" s="18"/>
      <c r="AN184" s="18"/>
      <c r="AO184" s="18"/>
      <c r="AP184" s="18"/>
      <c r="AQ184" s="18"/>
    </row>
    <row r="185" spans="2:43" s="2" customFormat="1" hidden="1">
      <c r="B185" s="21"/>
      <c r="C185" s="22"/>
      <c r="D185" s="24"/>
      <c r="E185" s="24"/>
      <c r="F185" s="24"/>
      <c r="G185" s="24"/>
      <c r="H185" s="24"/>
      <c r="I185" s="24"/>
      <c r="J185" s="24"/>
      <c r="K185" s="24"/>
      <c r="L185" s="24"/>
      <c r="M185" s="26"/>
      <c r="N185" s="24"/>
      <c r="O185" s="24"/>
      <c r="P185" s="24"/>
      <c r="Q185" s="24"/>
      <c r="R185" s="24"/>
      <c r="S185" s="24"/>
      <c r="T185" s="24"/>
      <c r="U185" s="24"/>
      <c r="V185" s="24"/>
      <c r="W185" s="24"/>
      <c r="X185" s="24"/>
      <c r="Y185" s="24"/>
      <c r="Z185" s="26"/>
      <c r="AA185" s="26"/>
      <c r="AB185" s="15"/>
      <c r="AC185" s="15"/>
      <c r="AD185" s="16"/>
      <c r="AE185" s="16"/>
      <c r="AF185" s="16"/>
      <c r="AG185" s="16"/>
      <c r="AH185" s="18"/>
      <c r="AI185" s="18"/>
      <c r="AJ185" s="18"/>
      <c r="AK185" s="18"/>
      <c r="AL185" s="18"/>
      <c r="AM185" s="18"/>
      <c r="AN185" s="18"/>
      <c r="AO185" s="18"/>
      <c r="AP185" s="18"/>
      <c r="AQ185" s="18"/>
    </row>
    <row r="186" spans="2:43" s="2" customFormat="1" hidden="1">
      <c r="B186" s="21"/>
      <c r="C186" s="22"/>
      <c r="D186" s="24"/>
      <c r="E186" s="24"/>
      <c r="F186" s="24"/>
      <c r="G186" s="24"/>
      <c r="H186" s="24"/>
      <c r="I186" s="24"/>
      <c r="J186" s="24"/>
      <c r="K186" s="24"/>
      <c r="L186" s="24"/>
      <c r="M186" s="26"/>
      <c r="N186" s="24"/>
      <c r="O186" s="24"/>
      <c r="P186" s="24"/>
      <c r="Q186" s="24"/>
      <c r="R186" s="24"/>
      <c r="S186" s="24"/>
      <c r="T186" s="24"/>
      <c r="U186" s="24"/>
      <c r="V186" s="24"/>
      <c r="W186" s="24"/>
      <c r="X186" s="24"/>
      <c r="Y186" s="24"/>
      <c r="Z186" s="26"/>
      <c r="AA186" s="26"/>
      <c r="AB186" s="15"/>
      <c r="AC186" s="15"/>
      <c r="AD186" s="16"/>
      <c r="AE186" s="16"/>
      <c r="AF186" s="16"/>
      <c r="AG186" s="16"/>
      <c r="AH186" s="18"/>
      <c r="AI186" s="18"/>
      <c r="AJ186" s="18"/>
      <c r="AK186" s="18"/>
      <c r="AL186" s="18"/>
      <c r="AM186" s="18"/>
      <c r="AN186" s="18"/>
      <c r="AO186" s="18"/>
      <c r="AP186" s="18"/>
      <c r="AQ186" s="18"/>
    </row>
    <row r="187" spans="2:43" s="2" customFormat="1" hidden="1">
      <c r="B187" s="21"/>
      <c r="C187" s="22"/>
      <c r="D187" s="24"/>
      <c r="E187" s="24"/>
      <c r="F187" s="24"/>
      <c r="G187" s="24"/>
      <c r="H187" s="24"/>
      <c r="I187" s="24"/>
      <c r="J187" s="24"/>
      <c r="K187" s="24"/>
      <c r="L187" s="24"/>
      <c r="M187" s="26"/>
      <c r="N187" s="24"/>
      <c r="O187" s="24"/>
      <c r="P187" s="24"/>
      <c r="Q187" s="24"/>
      <c r="R187" s="24"/>
      <c r="S187" s="24"/>
      <c r="T187" s="24"/>
      <c r="U187" s="24"/>
      <c r="V187" s="24"/>
      <c r="W187" s="24"/>
      <c r="X187" s="24"/>
      <c r="Y187" s="24"/>
      <c r="Z187" s="26"/>
      <c r="AA187" s="26"/>
      <c r="AB187" s="15"/>
      <c r="AC187" s="15"/>
      <c r="AD187" s="16"/>
      <c r="AE187" s="16"/>
      <c r="AF187" s="16"/>
      <c r="AG187" s="16"/>
      <c r="AH187" s="18"/>
      <c r="AI187" s="18"/>
      <c r="AJ187" s="18"/>
      <c r="AK187" s="18"/>
      <c r="AL187" s="18"/>
      <c r="AM187" s="18"/>
      <c r="AN187" s="18"/>
      <c r="AO187" s="18"/>
      <c r="AP187" s="18"/>
      <c r="AQ187" s="18"/>
    </row>
    <row r="188" spans="2:43" s="2" customFormat="1" hidden="1">
      <c r="B188" s="21"/>
      <c r="C188" s="22"/>
      <c r="D188" s="24"/>
      <c r="E188" s="24"/>
      <c r="F188" s="24"/>
      <c r="G188" s="24"/>
      <c r="H188" s="24"/>
      <c r="I188" s="24"/>
      <c r="J188" s="24"/>
      <c r="K188" s="24"/>
      <c r="L188" s="24"/>
      <c r="M188" s="26"/>
      <c r="N188" s="24"/>
      <c r="O188" s="24"/>
      <c r="P188" s="24"/>
      <c r="Q188" s="24"/>
      <c r="R188" s="24"/>
      <c r="S188" s="24"/>
      <c r="T188" s="24"/>
      <c r="U188" s="24"/>
      <c r="V188" s="24"/>
      <c r="W188" s="24"/>
      <c r="X188" s="24"/>
      <c r="Y188" s="24"/>
      <c r="Z188" s="26"/>
      <c r="AA188" s="26"/>
      <c r="AB188" s="15"/>
      <c r="AC188" s="15"/>
      <c r="AD188" s="16"/>
      <c r="AE188" s="16"/>
      <c r="AF188" s="16"/>
      <c r="AG188" s="16"/>
      <c r="AH188" s="18"/>
      <c r="AI188" s="18"/>
      <c r="AJ188" s="18"/>
      <c r="AK188" s="18"/>
      <c r="AL188" s="18"/>
      <c r="AM188" s="18"/>
      <c r="AN188" s="18"/>
      <c r="AO188" s="18"/>
      <c r="AP188" s="18"/>
      <c r="AQ188" s="18"/>
    </row>
    <row r="189" spans="2:43" s="2" customFormat="1" hidden="1">
      <c r="B189" s="21"/>
      <c r="C189" s="22"/>
      <c r="D189" s="24"/>
      <c r="E189" s="24"/>
      <c r="F189" s="24"/>
      <c r="G189" s="24"/>
      <c r="H189" s="24"/>
      <c r="I189" s="24"/>
      <c r="J189" s="24"/>
      <c r="K189" s="24"/>
      <c r="L189" s="24"/>
      <c r="M189" s="26"/>
      <c r="N189" s="24"/>
      <c r="O189" s="24"/>
      <c r="P189" s="24"/>
      <c r="Q189" s="24"/>
      <c r="R189" s="24"/>
      <c r="S189" s="24"/>
      <c r="T189" s="24"/>
      <c r="U189" s="24"/>
      <c r="V189" s="24"/>
      <c r="W189" s="24"/>
      <c r="X189" s="24"/>
      <c r="Y189" s="24"/>
      <c r="Z189" s="26"/>
      <c r="AA189" s="26"/>
      <c r="AB189" s="15"/>
      <c r="AC189" s="15"/>
      <c r="AD189" s="16"/>
      <c r="AE189" s="16"/>
      <c r="AF189" s="16"/>
      <c r="AG189" s="16"/>
      <c r="AH189" s="18"/>
      <c r="AI189" s="18"/>
      <c r="AJ189" s="18"/>
      <c r="AK189" s="18"/>
      <c r="AL189" s="18"/>
      <c r="AM189" s="18"/>
      <c r="AN189" s="18"/>
      <c r="AO189" s="18"/>
      <c r="AP189" s="18"/>
      <c r="AQ189" s="18"/>
    </row>
    <row r="190" spans="2:43" s="2" customFormat="1" hidden="1">
      <c r="B190" s="21"/>
      <c r="C190" s="22"/>
      <c r="D190" s="24"/>
      <c r="E190" s="24"/>
      <c r="F190" s="24"/>
      <c r="G190" s="24"/>
      <c r="H190" s="24"/>
      <c r="I190" s="24"/>
      <c r="J190" s="24"/>
      <c r="K190" s="24"/>
      <c r="L190" s="24"/>
      <c r="M190" s="26"/>
      <c r="N190" s="24"/>
      <c r="O190" s="24"/>
      <c r="P190" s="24"/>
      <c r="Q190" s="24"/>
      <c r="R190" s="24"/>
      <c r="S190" s="24"/>
      <c r="T190" s="24"/>
      <c r="U190" s="24"/>
      <c r="V190" s="24"/>
      <c r="W190" s="24"/>
      <c r="X190" s="24"/>
      <c r="Y190" s="24"/>
      <c r="Z190" s="26"/>
      <c r="AA190" s="26"/>
      <c r="AB190" s="15"/>
      <c r="AC190" s="15"/>
      <c r="AD190" s="16"/>
      <c r="AE190" s="16"/>
      <c r="AF190" s="16"/>
      <c r="AG190" s="16"/>
      <c r="AH190" s="18"/>
      <c r="AI190" s="18"/>
      <c r="AJ190" s="18"/>
      <c r="AK190" s="18"/>
      <c r="AL190" s="18"/>
      <c r="AM190" s="18"/>
      <c r="AN190" s="18"/>
      <c r="AO190" s="18"/>
      <c r="AP190" s="18"/>
      <c r="AQ190" s="18"/>
    </row>
    <row r="191" spans="2:43" s="2" customFormat="1" hidden="1">
      <c r="B191" s="21"/>
      <c r="C191" s="22"/>
      <c r="D191" s="24"/>
      <c r="E191" s="24"/>
      <c r="F191" s="24"/>
      <c r="G191" s="24"/>
      <c r="H191" s="24"/>
      <c r="I191" s="24"/>
      <c r="J191" s="24"/>
      <c r="K191" s="24"/>
      <c r="L191" s="24"/>
      <c r="M191" s="26"/>
      <c r="N191" s="24"/>
      <c r="O191" s="24"/>
      <c r="P191" s="24"/>
      <c r="Q191" s="24"/>
      <c r="R191" s="24"/>
      <c r="S191" s="24"/>
      <c r="T191" s="24"/>
      <c r="U191" s="24"/>
      <c r="V191" s="24"/>
      <c r="W191" s="24"/>
      <c r="X191" s="24"/>
      <c r="Y191" s="24"/>
      <c r="Z191" s="26"/>
      <c r="AA191" s="26"/>
      <c r="AB191" s="15"/>
      <c r="AC191" s="15"/>
      <c r="AD191" s="16"/>
      <c r="AE191" s="16"/>
      <c r="AF191" s="16"/>
      <c r="AG191" s="16"/>
      <c r="AH191" s="18"/>
      <c r="AI191" s="18"/>
      <c r="AJ191" s="18"/>
      <c r="AK191" s="18"/>
      <c r="AL191" s="18"/>
      <c r="AM191" s="18"/>
      <c r="AN191" s="18"/>
      <c r="AO191" s="18"/>
      <c r="AP191" s="18"/>
      <c r="AQ191" s="18"/>
    </row>
    <row r="192" spans="2:43" s="2" customFormat="1" hidden="1">
      <c r="B192" s="21"/>
      <c r="C192" s="22"/>
      <c r="D192" s="24"/>
      <c r="E192" s="24"/>
      <c r="F192" s="24"/>
      <c r="G192" s="24"/>
      <c r="H192" s="24"/>
      <c r="I192" s="24"/>
      <c r="J192" s="24"/>
      <c r="K192" s="24"/>
      <c r="L192" s="24"/>
      <c r="M192" s="26"/>
      <c r="N192" s="24"/>
      <c r="O192" s="24"/>
      <c r="P192" s="24"/>
      <c r="Q192" s="24"/>
      <c r="R192" s="24"/>
      <c r="S192" s="24"/>
      <c r="T192" s="24"/>
      <c r="U192" s="24"/>
      <c r="V192" s="24"/>
      <c r="W192" s="24"/>
      <c r="X192" s="24"/>
      <c r="Y192" s="24"/>
      <c r="Z192" s="26"/>
      <c r="AA192" s="26"/>
      <c r="AB192" s="15"/>
      <c r="AC192" s="15"/>
      <c r="AD192" s="16"/>
      <c r="AE192" s="16"/>
      <c r="AF192" s="16"/>
      <c r="AG192" s="16"/>
      <c r="AH192" s="18"/>
      <c r="AI192" s="18"/>
      <c r="AJ192" s="18"/>
      <c r="AK192" s="18"/>
      <c r="AL192" s="18"/>
      <c r="AM192" s="18"/>
      <c r="AN192" s="18"/>
      <c r="AO192" s="18"/>
      <c r="AP192" s="18"/>
      <c r="AQ192" s="18"/>
    </row>
    <row r="193" spans="2:43" s="2" customFormat="1" hidden="1">
      <c r="B193" s="21"/>
      <c r="C193" s="22"/>
      <c r="D193" s="24"/>
      <c r="E193" s="24"/>
      <c r="F193" s="24"/>
      <c r="G193" s="24"/>
      <c r="H193" s="24"/>
      <c r="I193" s="24"/>
      <c r="J193" s="24"/>
      <c r="K193" s="24"/>
      <c r="L193" s="24"/>
      <c r="M193" s="26"/>
      <c r="N193" s="24"/>
      <c r="O193" s="24"/>
      <c r="P193" s="24"/>
      <c r="Q193" s="24"/>
      <c r="R193" s="24"/>
      <c r="S193" s="24"/>
      <c r="T193" s="24"/>
      <c r="U193" s="24"/>
      <c r="V193" s="24"/>
      <c r="W193" s="24"/>
      <c r="X193" s="24"/>
      <c r="Y193" s="24"/>
      <c r="Z193" s="26"/>
      <c r="AA193" s="26"/>
      <c r="AB193" s="15"/>
      <c r="AC193" s="15"/>
      <c r="AD193" s="16"/>
      <c r="AE193" s="16"/>
      <c r="AF193" s="16"/>
      <c r="AG193" s="16"/>
      <c r="AH193" s="18"/>
      <c r="AI193" s="18"/>
      <c r="AJ193" s="18"/>
      <c r="AK193" s="18"/>
      <c r="AL193" s="18"/>
      <c r="AM193" s="18"/>
      <c r="AN193" s="18"/>
      <c r="AO193" s="18"/>
      <c r="AP193" s="18"/>
      <c r="AQ193" s="18"/>
    </row>
    <row r="194" spans="2:43" s="2" customFormat="1" hidden="1">
      <c r="B194" s="21"/>
      <c r="C194" s="22"/>
      <c r="D194" s="24"/>
      <c r="E194" s="24"/>
      <c r="F194" s="24"/>
      <c r="G194" s="24"/>
      <c r="H194" s="24"/>
      <c r="I194" s="24"/>
      <c r="J194" s="24"/>
      <c r="K194" s="24"/>
      <c r="L194" s="24"/>
      <c r="M194" s="26"/>
      <c r="N194" s="24"/>
      <c r="O194" s="24"/>
      <c r="P194" s="24"/>
      <c r="Q194" s="24"/>
      <c r="R194" s="24"/>
      <c r="S194" s="24"/>
      <c r="T194" s="24"/>
      <c r="U194" s="24"/>
      <c r="V194" s="24"/>
      <c r="W194" s="24"/>
      <c r="X194" s="24"/>
      <c r="Y194" s="24"/>
      <c r="Z194" s="26"/>
      <c r="AA194" s="26"/>
      <c r="AB194" s="15"/>
      <c r="AC194" s="15"/>
      <c r="AD194" s="16"/>
      <c r="AE194" s="16"/>
      <c r="AF194" s="16"/>
      <c r="AG194" s="16"/>
      <c r="AH194" s="18"/>
      <c r="AI194" s="18"/>
      <c r="AJ194" s="18"/>
      <c r="AK194" s="18"/>
      <c r="AL194" s="18"/>
      <c r="AM194" s="18"/>
      <c r="AN194" s="18"/>
      <c r="AO194" s="18"/>
      <c r="AP194" s="18"/>
      <c r="AQ194" s="18"/>
    </row>
    <row r="195" spans="2:43" s="2" customFormat="1" hidden="1">
      <c r="B195" s="21"/>
      <c r="C195" s="22"/>
      <c r="D195" s="24"/>
      <c r="E195" s="24"/>
      <c r="F195" s="24"/>
      <c r="G195" s="24"/>
      <c r="H195" s="24"/>
      <c r="I195" s="24"/>
      <c r="J195" s="24"/>
      <c r="K195" s="24"/>
      <c r="L195" s="24"/>
      <c r="M195" s="26"/>
      <c r="N195" s="24"/>
      <c r="O195" s="24"/>
      <c r="P195" s="24"/>
      <c r="Q195" s="24"/>
      <c r="R195" s="24"/>
      <c r="S195" s="24"/>
      <c r="T195" s="24"/>
      <c r="U195" s="24"/>
      <c r="V195" s="24"/>
      <c r="W195" s="24"/>
      <c r="X195" s="24"/>
      <c r="Y195" s="24"/>
      <c r="Z195" s="26"/>
      <c r="AA195" s="26"/>
      <c r="AB195" s="15"/>
      <c r="AC195" s="15"/>
      <c r="AD195" s="16"/>
      <c r="AE195" s="16"/>
      <c r="AF195" s="16"/>
      <c r="AG195" s="16"/>
      <c r="AH195" s="18"/>
      <c r="AI195" s="18"/>
      <c r="AJ195" s="18"/>
      <c r="AK195" s="18"/>
      <c r="AL195" s="18"/>
      <c r="AM195" s="18"/>
      <c r="AN195" s="18"/>
      <c r="AO195" s="18"/>
      <c r="AP195" s="18"/>
      <c r="AQ195" s="18"/>
    </row>
    <row r="196" spans="2:43" s="2" customFormat="1" hidden="1">
      <c r="B196" s="21"/>
      <c r="C196" s="22"/>
      <c r="D196" s="24"/>
      <c r="E196" s="24"/>
      <c r="F196" s="24"/>
      <c r="G196" s="24"/>
      <c r="H196" s="24"/>
      <c r="I196" s="24"/>
      <c r="J196" s="24"/>
      <c r="K196" s="24"/>
      <c r="L196" s="24"/>
      <c r="M196" s="26"/>
      <c r="N196" s="24"/>
      <c r="O196" s="24"/>
      <c r="P196" s="24"/>
      <c r="Q196" s="24"/>
      <c r="R196" s="24"/>
      <c r="S196" s="24"/>
      <c r="T196" s="24"/>
      <c r="U196" s="24"/>
      <c r="V196" s="24"/>
      <c r="W196" s="24"/>
      <c r="X196" s="24"/>
      <c r="Y196" s="24"/>
      <c r="Z196" s="26"/>
      <c r="AA196" s="26"/>
      <c r="AB196" s="15"/>
      <c r="AC196" s="15"/>
      <c r="AD196" s="16"/>
      <c r="AE196" s="16"/>
      <c r="AF196" s="16"/>
      <c r="AG196" s="16"/>
      <c r="AH196" s="18"/>
      <c r="AI196" s="18"/>
      <c r="AJ196" s="18"/>
      <c r="AK196" s="18"/>
      <c r="AL196" s="18"/>
      <c r="AM196" s="18"/>
      <c r="AN196" s="18"/>
      <c r="AO196" s="18"/>
      <c r="AP196" s="18"/>
      <c r="AQ196" s="18"/>
    </row>
    <row r="197" spans="2:43" s="2" customFormat="1" hidden="1">
      <c r="B197" s="21"/>
      <c r="C197" s="22"/>
      <c r="D197" s="24"/>
      <c r="E197" s="24"/>
      <c r="F197" s="24"/>
      <c r="G197" s="24"/>
      <c r="H197" s="24"/>
      <c r="I197" s="24"/>
      <c r="J197" s="24"/>
      <c r="K197" s="24"/>
      <c r="L197" s="24"/>
      <c r="M197" s="26"/>
      <c r="N197" s="24"/>
      <c r="O197" s="24"/>
      <c r="P197" s="24"/>
      <c r="Q197" s="24"/>
      <c r="R197" s="24"/>
      <c r="S197" s="24"/>
      <c r="T197" s="24"/>
      <c r="U197" s="24"/>
      <c r="V197" s="24"/>
      <c r="W197" s="24"/>
      <c r="X197" s="24"/>
      <c r="Y197" s="24"/>
      <c r="Z197" s="26"/>
      <c r="AA197" s="26"/>
      <c r="AB197" s="15"/>
      <c r="AC197" s="15"/>
      <c r="AD197" s="16"/>
      <c r="AE197" s="16"/>
      <c r="AF197" s="16"/>
      <c r="AG197" s="16"/>
      <c r="AH197" s="18"/>
      <c r="AI197" s="18"/>
      <c r="AJ197" s="18"/>
      <c r="AK197" s="18"/>
      <c r="AL197" s="18"/>
      <c r="AM197" s="18"/>
      <c r="AN197" s="18"/>
      <c r="AO197" s="18"/>
      <c r="AP197" s="18"/>
      <c r="AQ197" s="18"/>
    </row>
    <row r="198" spans="2:43" s="2" customFormat="1" hidden="1">
      <c r="B198" s="21"/>
      <c r="C198" s="22"/>
      <c r="D198" s="24"/>
      <c r="E198" s="24"/>
      <c r="F198" s="24"/>
      <c r="G198" s="24"/>
      <c r="H198" s="24"/>
      <c r="I198" s="24"/>
      <c r="J198" s="24"/>
      <c r="K198" s="24"/>
      <c r="L198" s="24"/>
      <c r="M198" s="26"/>
      <c r="N198" s="24"/>
      <c r="O198" s="24"/>
      <c r="P198" s="24"/>
      <c r="Q198" s="24"/>
      <c r="R198" s="24"/>
      <c r="S198" s="24"/>
      <c r="T198" s="24"/>
      <c r="U198" s="24"/>
      <c r="V198" s="24"/>
      <c r="W198" s="24"/>
      <c r="X198" s="24"/>
      <c r="Y198" s="24"/>
      <c r="Z198" s="26"/>
      <c r="AA198" s="26"/>
      <c r="AB198" s="15"/>
      <c r="AC198" s="15"/>
      <c r="AD198" s="16"/>
      <c r="AE198" s="16"/>
      <c r="AF198" s="16"/>
      <c r="AG198" s="16"/>
      <c r="AH198" s="18"/>
      <c r="AI198" s="18"/>
      <c r="AJ198" s="18"/>
      <c r="AK198" s="18"/>
      <c r="AL198" s="18"/>
      <c r="AM198" s="18"/>
      <c r="AN198" s="18"/>
      <c r="AO198" s="18"/>
      <c r="AP198" s="18"/>
      <c r="AQ198" s="18"/>
    </row>
    <row r="199" spans="2:43" s="2" customFormat="1" hidden="1">
      <c r="B199" s="21"/>
      <c r="C199" s="22"/>
      <c r="D199" s="24"/>
      <c r="E199" s="24"/>
      <c r="F199" s="24"/>
      <c r="G199" s="24"/>
      <c r="H199" s="24"/>
      <c r="I199" s="24"/>
      <c r="J199" s="24"/>
      <c r="K199" s="24"/>
      <c r="L199" s="24"/>
      <c r="M199" s="26"/>
      <c r="N199" s="24"/>
      <c r="O199" s="24"/>
      <c r="P199" s="24"/>
      <c r="Q199" s="24"/>
      <c r="R199" s="24"/>
      <c r="S199" s="24"/>
      <c r="T199" s="24"/>
      <c r="U199" s="24"/>
      <c r="V199" s="24"/>
      <c r="W199" s="24"/>
      <c r="X199" s="24"/>
      <c r="Y199" s="24"/>
      <c r="Z199" s="26"/>
      <c r="AA199" s="26"/>
      <c r="AB199" s="15"/>
      <c r="AC199" s="15"/>
      <c r="AD199" s="16"/>
      <c r="AE199" s="16"/>
      <c r="AF199" s="16"/>
      <c r="AG199" s="16"/>
      <c r="AH199" s="18"/>
      <c r="AI199" s="18"/>
      <c r="AJ199" s="18"/>
      <c r="AK199" s="18"/>
      <c r="AL199" s="18"/>
      <c r="AM199" s="18"/>
      <c r="AN199" s="18"/>
      <c r="AO199" s="18"/>
      <c r="AP199" s="18"/>
      <c r="AQ199" s="18"/>
    </row>
    <row r="200" spans="2:43" s="2" customFormat="1" hidden="1">
      <c r="B200" s="21"/>
      <c r="C200" s="22"/>
      <c r="D200" s="24"/>
      <c r="E200" s="24"/>
      <c r="F200" s="24"/>
      <c r="G200" s="24"/>
      <c r="H200" s="24"/>
      <c r="I200" s="24"/>
      <c r="J200" s="24"/>
      <c r="K200" s="24"/>
      <c r="L200" s="24"/>
      <c r="M200" s="26"/>
      <c r="N200" s="24"/>
      <c r="O200" s="24"/>
      <c r="P200" s="24"/>
      <c r="Q200" s="24"/>
      <c r="R200" s="24"/>
      <c r="S200" s="24"/>
      <c r="T200" s="24"/>
      <c r="U200" s="24"/>
      <c r="V200" s="24"/>
      <c r="W200" s="24"/>
      <c r="X200" s="24"/>
      <c r="Y200" s="24"/>
      <c r="Z200" s="26"/>
      <c r="AA200" s="26"/>
      <c r="AB200" s="15"/>
      <c r="AC200" s="15"/>
      <c r="AD200" s="16"/>
      <c r="AE200" s="16"/>
      <c r="AF200" s="16"/>
      <c r="AG200" s="16"/>
      <c r="AH200" s="18"/>
      <c r="AI200" s="18"/>
      <c r="AJ200" s="18"/>
      <c r="AK200" s="18"/>
      <c r="AL200" s="18"/>
      <c r="AM200" s="18"/>
      <c r="AN200" s="18"/>
      <c r="AO200" s="18"/>
      <c r="AP200" s="18"/>
      <c r="AQ200" s="18"/>
    </row>
    <row r="201" spans="2:43" s="2" customFormat="1" hidden="1">
      <c r="B201" s="21"/>
      <c r="C201" s="22"/>
      <c r="D201" s="24"/>
      <c r="E201" s="24"/>
      <c r="F201" s="24"/>
      <c r="G201" s="24"/>
      <c r="H201" s="24"/>
      <c r="I201" s="24"/>
      <c r="J201" s="24"/>
      <c r="K201" s="24"/>
      <c r="L201" s="24"/>
      <c r="M201" s="26"/>
      <c r="N201" s="24"/>
      <c r="O201" s="24"/>
      <c r="P201" s="24"/>
      <c r="Q201" s="24"/>
      <c r="R201" s="24"/>
      <c r="S201" s="24"/>
      <c r="T201" s="24"/>
      <c r="U201" s="24"/>
      <c r="V201" s="24"/>
      <c r="W201" s="24"/>
      <c r="X201" s="24"/>
      <c r="Y201" s="24"/>
      <c r="Z201" s="26"/>
      <c r="AA201" s="26"/>
      <c r="AB201" s="15"/>
      <c r="AC201" s="15"/>
      <c r="AD201" s="16"/>
      <c r="AE201" s="16"/>
      <c r="AF201" s="16"/>
      <c r="AG201" s="16"/>
      <c r="AH201" s="18"/>
      <c r="AI201" s="18"/>
      <c r="AJ201" s="18"/>
      <c r="AK201" s="18"/>
      <c r="AL201" s="18"/>
      <c r="AM201" s="18"/>
      <c r="AN201" s="18"/>
      <c r="AO201" s="18"/>
      <c r="AP201" s="18"/>
      <c r="AQ201" s="18"/>
    </row>
    <row r="202" spans="2:43" s="2" customFormat="1" hidden="1">
      <c r="B202" s="21"/>
      <c r="C202" s="22"/>
      <c r="D202" s="24"/>
      <c r="E202" s="24"/>
      <c r="F202" s="24"/>
      <c r="G202" s="24"/>
      <c r="H202" s="24"/>
      <c r="I202" s="24"/>
      <c r="J202" s="24"/>
      <c r="K202" s="24"/>
      <c r="L202" s="24"/>
      <c r="M202" s="26"/>
      <c r="N202" s="24"/>
      <c r="O202" s="24"/>
      <c r="P202" s="24"/>
      <c r="Q202" s="24"/>
      <c r="R202" s="24"/>
      <c r="S202" s="24"/>
      <c r="T202" s="24"/>
      <c r="U202" s="24"/>
      <c r="V202" s="24"/>
      <c r="W202" s="24"/>
      <c r="X202" s="24"/>
      <c r="Y202" s="24"/>
      <c r="Z202" s="26"/>
      <c r="AA202" s="26"/>
      <c r="AB202" s="15"/>
      <c r="AC202" s="15"/>
      <c r="AD202" s="16"/>
      <c r="AE202" s="16"/>
      <c r="AF202" s="16"/>
      <c r="AG202" s="16"/>
      <c r="AH202" s="18"/>
      <c r="AI202" s="18"/>
      <c r="AJ202" s="18"/>
      <c r="AK202" s="18"/>
      <c r="AL202" s="18"/>
      <c r="AM202" s="18"/>
      <c r="AN202" s="18"/>
      <c r="AO202" s="18"/>
      <c r="AP202" s="18"/>
      <c r="AQ202" s="18"/>
    </row>
    <row r="203" spans="2:43" s="2" customFormat="1" hidden="1">
      <c r="B203" s="21"/>
      <c r="C203" s="22"/>
      <c r="D203" s="24"/>
      <c r="E203" s="24"/>
      <c r="F203" s="24"/>
      <c r="G203" s="24"/>
      <c r="H203" s="24"/>
      <c r="I203" s="24"/>
      <c r="J203" s="24"/>
      <c r="K203" s="24"/>
      <c r="L203" s="24"/>
      <c r="M203" s="26"/>
      <c r="N203" s="24"/>
      <c r="O203" s="24"/>
      <c r="P203" s="24"/>
      <c r="Q203" s="24"/>
      <c r="R203" s="24"/>
      <c r="S203" s="24"/>
      <c r="T203" s="24"/>
      <c r="U203" s="24"/>
      <c r="V203" s="24"/>
      <c r="W203" s="24"/>
      <c r="X203" s="24"/>
      <c r="Y203" s="24"/>
      <c r="Z203" s="26"/>
      <c r="AA203" s="26"/>
      <c r="AB203" s="15"/>
      <c r="AC203" s="15"/>
      <c r="AD203" s="16"/>
      <c r="AE203" s="16"/>
      <c r="AF203" s="16"/>
      <c r="AG203" s="16"/>
      <c r="AH203" s="18"/>
      <c r="AI203" s="18"/>
      <c r="AJ203" s="18"/>
      <c r="AK203" s="18"/>
      <c r="AL203" s="18"/>
      <c r="AM203" s="18"/>
      <c r="AN203" s="18"/>
      <c r="AO203" s="18"/>
      <c r="AP203" s="18"/>
      <c r="AQ203" s="18"/>
    </row>
    <row r="204" spans="2:43" s="2" customFormat="1" hidden="1">
      <c r="B204" s="21"/>
      <c r="C204" s="22"/>
      <c r="D204" s="24"/>
      <c r="E204" s="24"/>
      <c r="F204" s="24"/>
      <c r="G204" s="24"/>
      <c r="H204" s="24"/>
      <c r="I204" s="24"/>
      <c r="J204" s="24"/>
      <c r="K204" s="24"/>
      <c r="L204" s="24"/>
      <c r="M204" s="26"/>
      <c r="N204" s="24"/>
      <c r="O204" s="24"/>
      <c r="P204" s="24"/>
      <c r="Q204" s="24"/>
      <c r="R204" s="24"/>
      <c r="S204" s="24"/>
      <c r="T204" s="24"/>
      <c r="U204" s="24"/>
      <c r="V204" s="24"/>
      <c r="W204" s="24"/>
      <c r="X204" s="24"/>
      <c r="Y204" s="24"/>
      <c r="Z204" s="26"/>
      <c r="AA204" s="26"/>
      <c r="AB204" s="15"/>
      <c r="AC204" s="15"/>
      <c r="AD204" s="16"/>
      <c r="AE204" s="16"/>
      <c r="AF204" s="16"/>
      <c r="AG204" s="16"/>
      <c r="AH204" s="18"/>
      <c r="AI204" s="18"/>
      <c r="AJ204" s="18"/>
      <c r="AK204" s="18"/>
      <c r="AL204" s="18"/>
      <c r="AM204" s="18"/>
      <c r="AN204" s="18"/>
      <c r="AO204" s="18"/>
      <c r="AP204" s="18"/>
      <c r="AQ204" s="18"/>
    </row>
    <row r="205" spans="2:43" s="2" customFormat="1" hidden="1">
      <c r="B205" s="21"/>
      <c r="C205" s="22"/>
      <c r="D205" s="24"/>
      <c r="E205" s="24"/>
      <c r="F205" s="24"/>
      <c r="G205" s="24"/>
      <c r="H205" s="24"/>
      <c r="I205" s="24"/>
      <c r="J205" s="24"/>
      <c r="K205" s="24"/>
      <c r="L205" s="24"/>
      <c r="M205" s="26"/>
      <c r="N205" s="24"/>
      <c r="O205" s="24"/>
      <c r="P205" s="24"/>
      <c r="Q205" s="24"/>
      <c r="R205" s="24"/>
      <c r="S205" s="24"/>
      <c r="T205" s="24"/>
      <c r="U205" s="24"/>
      <c r="V205" s="24"/>
      <c r="W205" s="24"/>
      <c r="X205" s="24"/>
      <c r="Y205" s="24"/>
      <c r="Z205" s="26"/>
      <c r="AA205" s="26"/>
      <c r="AB205" s="15"/>
      <c r="AC205" s="15"/>
      <c r="AD205" s="16"/>
      <c r="AE205" s="16"/>
      <c r="AF205" s="16"/>
      <c r="AG205" s="16"/>
      <c r="AH205" s="18"/>
      <c r="AI205" s="18"/>
      <c r="AJ205" s="18"/>
      <c r="AK205" s="18"/>
      <c r="AL205" s="18"/>
      <c r="AM205" s="18"/>
      <c r="AN205" s="18"/>
      <c r="AO205" s="18"/>
      <c r="AP205" s="18"/>
      <c r="AQ205" s="18"/>
    </row>
    <row r="206" spans="2:43" s="2" customFormat="1" hidden="1">
      <c r="B206" s="21"/>
      <c r="C206" s="22"/>
      <c r="D206" s="24"/>
      <c r="E206" s="24"/>
      <c r="F206" s="24"/>
      <c r="G206" s="24"/>
      <c r="H206" s="24"/>
      <c r="I206" s="24"/>
      <c r="J206" s="24"/>
      <c r="K206" s="24"/>
      <c r="L206" s="24"/>
      <c r="M206" s="26"/>
      <c r="N206" s="24"/>
      <c r="O206" s="24"/>
      <c r="P206" s="24"/>
      <c r="Q206" s="24"/>
      <c r="R206" s="24"/>
      <c r="S206" s="24"/>
      <c r="T206" s="24"/>
      <c r="U206" s="24"/>
      <c r="V206" s="24"/>
      <c r="W206" s="24"/>
      <c r="X206" s="24"/>
      <c r="Y206" s="24"/>
      <c r="Z206" s="26"/>
      <c r="AA206" s="26"/>
      <c r="AB206" s="15"/>
      <c r="AC206" s="15"/>
      <c r="AD206" s="16"/>
      <c r="AE206" s="16"/>
      <c r="AF206" s="16"/>
      <c r="AG206" s="16"/>
      <c r="AH206" s="18"/>
      <c r="AI206" s="18"/>
      <c r="AJ206" s="18"/>
      <c r="AK206" s="18"/>
      <c r="AL206" s="18"/>
      <c r="AM206" s="18"/>
      <c r="AN206" s="18"/>
      <c r="AO206" s="18"/>
      <c r="AP206" s="18"/>
      <c r="AQ206" s="18"/>
    </row>
    <row r="207" spans="2:43" s="2" customFormat="1" hidden="1">
      <c r="B207" s="21"/>
      <c r="C207" s="22"/>
      <c r="D207" s="24"/>
      <c r="E207" s="24"/>
      <c r="F207" s="24"/>
      <c r="G207" s="24"/>
      <c r="H207" s="24"/>
      <c r="I207" s="24"/>
      <c r="J207" s="24"/>
      <c r="K207" s="24"/>
      <c r="L207" s="24"/>
      <c r="M207" s="26"/>
      <c r="N207" s="24"/>
      <c r="O207" s="24"/>
      <c r="P207" s="24"/>
      <c r="Q207" s="24"/>
      <c r="R207" s="24"/>
      <c r="S207" s="24"/>
      <c r="T207" s="24"/>
      <c r="U207" s="24"/>
      <c r="V207" s="24"/>
      <c r="W207" s="24"/>
      <c r="X207" s="24"/>
      <c r="Y207" s="24"/>
      <c r="Z207" s="26"/>
      <c r="AA207" s="26"/>
      <c r="AB207" s="15"/>
      <c r="AC207" s="15"/>
      <c r="AD207" s="16"/>
      <c r="AE207" s="16"/>
      <c r="AF207" s="16"/>
      <c r="AG207" s="16"/>
      <c r="AH207" s="18"/>
      <c r="AI207" s="18"/>
      <c r="AJ207" s="18"/>
      <c r="AK207" s="18"/>
      <c r="AL207" s="18"/>
      <c r="AM207" s="18"/>
      <c r="AN207" s="18"/>
      <c r="AO207" s="18"/>
      <c r="AP207" s="18"/>
      <c r="AQ207" s="18"/>
    </row>
    <row r="208" spans="2:43" s="2" customFormat="1" hidden="1">
      <c r="B208" s="21"/>
      <c r="C208" s="22"/>
      <c r="D208" s="24"/>
      <c r="E208" s="24"/>
      <c r="F208" s="24"/>
      <c r="G208" s="24"/>
      <c r="H208" s="24"/>
      <c r="I208" s="24"/>
      <c r="J208" s="24"/>
      <c r="K208" s="24"/>
      <c r="L208" s="24"/>
      <c r="M208" s="26"/>
      <c r="N208" s="24"/>
      <c r="O208" s="24"/>
      <c r="P208" s="24"/>
      <c r="Q208" s="24"/>
      <c r="R208" s="24"/>
      <c r="S208" s="24"/>
      <c r="T208" s="24"/>
      <c r="U208" s="24"/>
      <c r="V208" s="24"/>
      <c r="W208" s="24"/>
      <c r="X208" s="24"/>
      <c r="Y208" s="24"/>
      <c r="Z208" s="26"/>
      <c r="AA208" s="26"/>
      <c r="AB208" s="15"/>
      <c r="AC208" s="15"/>
      <c r="AD208" s="16"/>
      <c r="AE208" s="16"/>
      <c r="AF208" s="16"/>
      <c r="AG208" s="16"/>
      <c r="AH208" s="18"/>
      <c r="AI208" s="18"/>
      <c r="AJ208" s="18"/>
      <c r="AK208" s="18"/>
      <c r="AL208" s="18"/>
      <c r="AM208" s="18"/>
      <c r="AN208" s="18"/>
      <c r="AO208" s="18"/>
      <c r="AP208" s="18"/>
      <c r="AQ208" s="18"/>
    </row>
    <row r="209" spans="2:43" s="2" customFormat="1" hidden="1">
      <c r="B209" s="21"/>
      <c r="C209" s="22"/>
      <c r="D209" s="24"/>
      <c r="E209" s="24"/>
      <c r="F209" s="24"/>
      <c r="G209" s="24"/>
      <c r="H209" s="24"/>
      <c r="I209" s="24"/>
      <c r="J209" s="24"/>
      <c r="K209" s="24"/>
      <c r="L209" s="24"/>
      <c r="M209" s="26"/>
      <c r="N209" s="24"/>
      <c r="O209" s="24"/>
      <c r="P209" s="24"/>
      <c r="Q209" s="24"/>
      <c r="R209" s="24"/>
      <c r="S209" s="24"/>
      <c r="T209" s="24"/>
      <c r="U209" s="24"/>
      <c r="V209" s="24"/>
      <c r="W209" s="24"/>
      <c r="X209" s="24"/>
      <c r="Y209" s="24"/>
      <c r="Z209" s="26"/>
      <c r="AA209" s="26"/>
      <c r="AB209" s="15"/>
      <c r="AC209" s="15"/>
      <c r="AD209" s="16"/>
      <c r="AE209" s="16"/>
      <c r="AF209" s="16"/>
      <c r="AG209" s="16"/>
      <c r="AH209" s="18"/>
      <c r="AI209" s="18"/>
      <c r="AJ209" s="18"/>
      <c r="AK209" s="18"/>
      <c r="AL209" s="18"/>
      <c r="AM209" s="18"/>
      <c r="AN209" s="18"/>
      <c r="AO209" s="18"/>
      <c r="AP209" s="18"/>
      <c r="AQ209" s="18"/>
    </row>
    <row r="210" spans="2:43" s="2" customFormat="1" hidden="1">
      <c r="B210" s="21"/>
      <c r="C210" s="22"/>
      <c r="D210" s="24"/>
      <c r="E210" s="24"/>
      <c r="F210" s="24"/>
      <c r="G210" s="24"/>
      <c r="H210" s="24"/>
      <c r="I210" s="24"/>
      <c r="J210" s="24"/>
      <c r="K210" s="24"/>
      <c r="L210" s="24"/>
      <c r="M210" s="26"/>
      <c r="N210" s="24"/>
      <c r="O210" s="24"/>
      <c r="P210" s="24"/>
      <c r="Q210" s="24"/>
      <c r="R210" s="24"/>
      <c r="S210" s="24"/>
      <c r="T210" s="24"/>
      <c r="U210" s="24"/>
      <c r="V210" s="24"/>
      <c r="W210" s="24"/>
      <c r="X210" s="24"/>
      <c r="Y210" s="24"/>
      <c r="Z210" s="26"/>
      <c r="AA210" s="26"/>
      <c r="AB210" s="15"/>
      <c r="AC210" s="15"/>
      <c r="AD210" s="16"/>
      <c r="AE210" s="16"/>
      <c r="AF210" s="16"/>
      <c r="AG210" s="16"/>
      <c r="AH210" s="18"/>
      <c r="AI210" s="18"/>
      <c r="AJ210" s="18"/>
      <c r="AK210" s="18"/>
      <c r="AL210" s="18"/>
      <c r="AM210" s="18"/>
      <c r="AN210" s="18"/>
      <c r="AO210" s="18"/>
      <c r="AP210" s="18"/>
      <c r="AQ210" s="18"/>
    </row>
    <row r="211" spans="2:43" s="2" customFormat="1" hidden="1">
      <c r="B211" s="21"/>
      <c r="C211" s="22"/>
      <c r="D211" s="24"/>
      <c r="E211" s="24"/>
      <c r="F211" s="24"/>
      <c r="G211" s="24"/>
      <c r="H211" s="24"/>
      <c r="I211" s="24"/>
      <c r="J211" s="24"/>
      <c r="K211" s="24"/>
      <c r="L211" s="24"/>
      <c r="M211" s="26"/>
      <c r="N211" s="24"/>
      <c r="O211" s="24"/>
      <c r="P211" s="24"/>
      <c r="Q211" s="24"/>
      <c r="R211" s="24"/>
      <c r="S211" s="24"/>
      <c r="T211" s="24"/>
      <c r="U211" s="24"/>
      <c r="V211" s="24"/>
      <c r="W211" s="24"/>
      <c r="X211" s="24"/>
      <c r="Y211" s="24"/>
      <c r="Z211" s="26"/>
      <c r="AA211" s="26"/>
      <c r="AB211" s="15"/>
      <c r="AC211" s="15"/>
      <c r="AD211" s="16"/>
      <c r="AE211" s="16"/>
      <c r="AF211" s="16"/>
      <c r="AG211" s="16"/>
      <c r="AH211" s="18"/>
      <c r="AI211" s="18"/>
      <c r="AJ211" s="18"/>
      <c r="AK211" s="18"/>
      <c r="AL211" s="18"/>
      <c r="AM211" s="18"/>
      <c r="AN211" s="18"/>
      <c r="AO211" s="18"/>
      <c r="AP211" s="18"/>
      <c r="AQ211" s="18"/>
    </row>
    <row r="212" spans="2:43" s="2" customFormat="1" hidden="1">
      <c r="B212" s="21"/>
      <c r="C212" s="22"/>
      <c r="D212" s="24"/>
      <c r="E212" s="24"/>
      <c r="F212" s="24"/>
      <c r="G212" s="24"/>
      <c r="H212" s="24"/>
      <c r="I212" s="24"/>
      <c r="J212" s="24"/>
      <c r="K212" s="24"/>
      <c r="L212" s="24"/>
      <c r="M212" s="26"/>
      <c r="N212" s="24"/>
      <c r="O212" s="24"/>
      <c r="P212" s="24"/>
      <c r="Q212" s="24"/>
      <c r="R212" s="24"/>
      <c r="S212" s="24"/>
      <c r="T212" s="24"/>
      <c r="U212" s="24"/>
      <c r="V212" s="24"/>
      <c r="W212" s="24"/>
      <c r="X212" s="24"/>
      <c r="Y212" s="24"/>
      <c r="Z212" s="26"/>
      <c r="AA212" s="26"/>
      <c r="AB212" s="15"/>
      <c r="AC212" s="15"/>
      <c r="AD212" s="16"/>
      <c r="AE212" s="16"/>
      <c r="AF212" s="16"/>
      <c r="AG212" s="16"/>
      <c r="AH212" s="18"/>
      <c r="AI212" s="18"/>
      <c r="AJ212" s="18"/>
      <c r="AK212" s="18"/>
      <c r="AL212" s="18"/>
      <c r="AM212" s="18"/>
      <c r="AN212" s="18"/>
      <c r="AO212" s="18"/>
      <c r="AP212" s="18"/>
      <c r="AQ212" s="18"/>
    </row>
    <row r="213" spans="2:43" s="2" customFormat="1" hidden="1">
      <c r="B213" s="21"/>
      <c r="C213" s="22"/>
      <c r="D213" s="24"/>
      <c r="E213" s="24"/>
      <c r="F213" s="24"/>
      <c r="G213" s="24"/>
      <c r="H213" s="24"/>
      <c r="I213" s="24"/>
      <c r="J213" s="24"/>
      <c r="K213" s="24"/>
      <c r="L213" s="24"/>
      <c r="M213" s="26"/>
      <c r="N213" s="24"/>
      <c r="O213" s="24"/>
      <c r="P213" s="24"/>
      <c r="Q213" s="24"/>
      <c r="R213" s="24"/>
      <c r="S213" s="24"/>
      <c r="T213" s="24"/>
      <c r="U213" s="24"/>
      <c r="V213" s="24"/>
      <c r="W213" s="24"/>
      <c r="X213" s="24"/>
      <c r="Y213" s="24"/>
      <c r="Z213" s="26"/>
      <c r="AA213" s="26"/>
      <c r="AB213" s="15"/>
      <c r="AC213" s="15"/>
      <c r="AD213" s="16"/>
      <c r="AE213" s="16"/>
      <c r="AF213" s="16"/>
      <c r="AG213" s="16"/>
      <c r="AH213" s="18"/>
      <c r="AI213" s="18"/>
      <c r="AJ213" s="18"/>
      <c r="AK213" s="18"/>
      <c r="AL213" s="18"/>
      <c r="AM213" s="18"/>
      <c r="AN213" s="18"/>
      <c r="AO213" s="18"/>
      <c r="AP213" s="18"/>
      <c r="AQ213" s="18"/>
    </row>
    <row r="214" spans="2:43" s="2" customFormat="1" hidden="1">
      <c r="B214" s="21"/>
      <c r="C214" s="22"/>
      <c r="D214" s="24"/>
      <c r="E214" s="24"/>
      <c r="F214" s="24"/>
      <c r="G214" s="24"/>
      <c r="H214" s="24"/>
      <c r="I214" s="24"/>
      <c r="J214" s="24"/>
      <c r="K214" s="24"/>
      <c r="L214" s="24"/>
      <c r="M214" s="26"/>
      <c r="N214" s="24"/>
      <c r="O214" s="24"/>
      <c r="P214" s="24"/>
      <c r="Q214" s="24"/>
      <c r="R214" s="24"/>
      <c r="S214" s="24"/>
      <c r="T214" s="24"/>
      <c r="U214" s="24"/>
      <c r="V214" s="24"/>
      <c r="W214" s="24"/>
      <c r="X214" s="24"/>
      <c r="Y214" s="24"/>
      <c r="Z214" s="26"/>
      <c r="AA214" s="26"/>
      <c r="AB214" s="15"/>
      <c r="AC214" s="15"/>
      <c r="AD214" s="16"/>
      <c r="AE214" s="16"/>
      <c r="AF214" s="16"/>
      <c r="AG214" s="16"/>
      <c r="AH214" s="18"/>
      <c r="AI214" s="18"/>
      <c r="AJ214" s="18"/>
      <c r="AK214" s="18"/>
      <c r="AL214" s="18"/>
      <c r="AM214" s="18"/>
      <c r="AN214" s="18"/>
      <c r="AO214" s="18"/>
      <c r="AP214" s="18"/>
      <c r="AQ214" s="18"/>
    </row>
    <row r="215" spans="2:43" s="2" customFormat="1" hidden="1">
      <c r="B215" s="21"/>
      <c r="C215" s="22"/>
      <c r="D215" s="24"/>
      <c r="E215" s="24"/>
      <c r="F215" s="24"/>
      <c r="G215" s="24"/>
      <c r="H215" s="24"/>
      <c r="I215" s="24"/>
      <c r="J215" s="24"/>
      <c r="K215" s="24"/>
      <c r="L215" s="24"/>
      <c r="M215" s="26"/>
      <c r="N215" s="24"/>
      <c r="O215" s="24"/>
      <c r="P215" s="24"/>
      <c r="Q215" s="24"/>
      <c r="R215" s="24"/>
      <c r="S215" s="24"/>
      <c r="T215" s="24"/>
      <c r="U215" s="24"/>
      <c r="V215" s="24"/>
      <c r="W215" s="24"/>
      <c r="X215" s="24"/>
      <c r="Y215" s="24"/>
      <c r="Z215" s="26"/>
      <c r="AA215" s="26"/>
      <c r="AB215" s="15"/>
      <c r="AC215" s="15"/>
      <c r="AD215" s="16"/>
      <c r="AE215" s="16"/>
      <c r="AF215" s="16"/>
      <c r="AG215" s="16"/>
      <c r="AH215" s="18"/>
      <c r="AI215" s="18"/>
      <c r="AJ215" s="18"/>
      <c r="AK215" s="18"/>
      <c r="AL215" s="18"/>
      <c r="AM215" s="18"/>
      <c r="AN215" s="18"/>
      <c r="AO215" s="18"/>
      <c r="AP215" s="18"/>
      <c r="AQ215" s="18"/>
    </row>
    <row r="216" spans="2:43" s="2" customFormat="1" hidden="1">
      <c r="B216" s="21"/>
      <c r="C216" s="22"/>
      <c r="D216" s="24"/>
      <c r="E216" s="24"/>
      <c r="F216" s="24"/>
      <c r="G216" s="24"/>
      <c r="H216" s="24"/>
      <c r="I216" s="24"/>
      <c r="J216" s="24"/>
      <c r="K216" s="24"/>
      <c r="L216" s="24"/>
      <c r="M216" s="26"/>
      <c r="N216" s="24"/>
      <c r="O216" s="24"/>
      <c r="P216" s="24"/>
      <c r="Q216" s="24"/>
      <c r="R216" s="24"/>
      <c r="S216" s="24"/>
      <c r="T216" s="24"/>
      <c r="U216" s="24"/>
      <c r="V216" s="24"/>
      <c r="W216" s="24"/>
      <c r="X216" s="24"/>
      <c r="Y216" s="24"/>
      <c r="Z216" s="26"/>
      <c r="AA216" s="26"/>
      <c r="AB216" s="15"/>
      <c r="AC216" s="15"/>
      <c r="AD216" s="16"/>
      <c r="AE216" s="16"/>
      <c r="AF216" s="16"/>
      <c r="AG216" s="16"/>
      <c r="AH216" s="18"/>
      <c r="AI216" s="18"/>
      <c r="AJ216" s="18"/>
      <c r="AK216" s="18"/>
      <c r="AL216" s="18"/>
      <c r="AM216" s="18"/>
      <c r="AN216" s="18"/>
      <c r="AO216" s="18"/>
      <c r="AP216" s="18"/>
      <c r="AQ216" s="18"/>
    </row>
    <row r="217" spans="2:43" s="2" customFormat="1" hidden="1">
      <c r="B217" s="21"/>
      <c r="C217" s="22"/>
      <c r="D217" s="24"/>
      <c r="E217" s="24"/>
      <c r="F217" s="24"/>
      <c r="G217" s="24"/>
      <c r="H217" s="24"/>
      <c r="I217" s="24"/>
      <c r="J217" s="24"/>
      <c r="K217" s="24"/>
      <c r="L217" s="24"/>
      <c r="M217" s="26"/>
      <c r="N217" s="24"/>
      <c r="O217" s="24"/>
      <c r="P217" s="24"/>
      <c r="Q217" s="24"/>
      <c r="R217" s="24"/>
      <c r="S217" s="24"/>
      <c r="T217" s="24"/>
      <c r="U217" s="24"/>
      <c r="V217" s="24"/>
      <c r="W217" s="24"/>
      <c r="X217" s="24"/>
      <c r="Y217" s="24"/>
      <c r="Z217" s="26"/>
      <c r="AA217" s="26"/>
      <c r="AB217" s="15"/>
      <c r="AC217" s="15"/>
      <c r="AD217" s="16"/>
      <c r="AE217" s="16"/>
      <c r="AF217" s="16"/>
      <c r="AG217" s="16"/>
      <c r="AH217" s="18"/>
      <c r="AI217" s="18"/>
      <c r="AJ217" s="18"/>
      <c r="AK217" s="18"/>
      <c r="AL217" s="18"/>
      <c r="AM217" s="18"/>
      <c r="AN217" s="18"/>
      <c r="AO217" s="18"/>
      <c r="AP217" s="18"/>
      <c r="AQ217" s="18"/>
    </row>
    <row r="218" spans="2:43" s="2" customFormat="1" hidden="1">
      <c r="B218" s="21"/>
      <c r="C218" s="22"/>
      <c r="D218" s="24"/>
      <c r="E218" s="24"/>
      <c r="F218" s="24"/>
      <c r="G218" s="24"/>
      <c r="H218" s="24"/>
      <c r="I218" s="24"/>
      <c r="J218" s="24"/>
      <c r="K218" s="24"/>
      <c r="L218" s="24"/>
      <c r="M218" s="26"/>
      <c r="N218" s="24"/>
      <c r="O218" s="24"/>
      <c r="P218" s="24"/>
      <c r="Q218" s="24"/>
      <c r="R218" s="24"/>
      <c r="S218" s="24"/>
      <c r="T218" s="24"/>
      <c r="U218" s="24"/>
      <c r="V218" s="24"/>
      <c r="W218" s="24"/>
      <c r="X218" s="24"/>
      <c r="Y218" s="24"/>
      <c r="Z218" s="26"/>
      <c r="AA218" s="26"/>
      <c r="AB218" s="15"/>
      <c r="AC218" s="15"/>
      <c r="AD218" s="16"/>
      <c r="AE218" s="16"/>
      <c r="AF218" s="16"/>
      <c r="AG218" s="16"/>
      <c r="AH218" s="18"/>
      <c r="AI218" s="18"/>
      <c r="AJ218" s="18"/>
      <c r="AK218" s="18"/>
      <c r="AL218" s="18"/>
      <c r="AM218" s="18"/>
      <c r="AN218" s="18"/>
      <c r="AO218" s="18"/>
      <c r="AP218" s="18"/>
      <c r="AQ218" s="18"/>
    </row>
    <row r="219" spans="2:43" s="2" customFormat="1" hidden="1">
      <c r="B219" s="21"/>
      <c r="C219" s="22"/>
      <c r="D219" s="24"/>
      <c r="E219" s="24"/>
      <c r="F219" s="24"/>
      <c r="G219" s="24"/>
      <c r="H219" s="24"/>
      <c r="I219" s="24"/>
      <c r="J219" s="24"/>
      <c r="K219" s="24"/>
      <c r="L219" s="24"/>
      <c r="M219" s="26"/>
      <c r="N219" s="24"/>
      <c r="O219" s="24"/>
      <c r="P219" s="24"/>
      <c r="Q219" s="24"/>
      <c r="R219" s="24"/>
      <c r="S219" s="24"/>
      <c r="T219" s="24"/>
      <c r="U219" s="24"/>
      <c r="V219" s="24"/>
      <c r="W219" s="24"/>
      <c r="X219" s="24"/>
      <c r="Y219" s="24"/>
      <c r="Z219" s="26"/>
      <c r="AA219" s="26"/>
      <c r="AB219" s="15"/>
      <c r="AC219" s="15"/>
      <c r="AD219" s="16"/>
      <c r="AE219" s="16"/>
      <c r="AF219" s="16"/>
      <c r="AG219" s="16"/>
      <c r="AH219" s="18"/>
      <c r="AI219" s="18"/>
      <c r="AJ219" s="18"/>
      <c r="AK219" s="18"/>
      <c r="AL219" s="18"/>
      <c r="AM219" s="18"/>
      <c r="AN219" s="18"/>
      <c r="AO219" s="18"/>
      <c r="AP219" s="18"/>
      <c r="AQ219" s="18"/>
    </row>
    <row r="220" spans="2:43" s="2" customFormat="1" hidden="1">
      <c r="B220" s="21"/>
      <c r="C220" s="22"/>
      <c r="D220" s="24"/>
      <c r="E220" s="24"/>
      <c r="F220" s="24"/>
      <c r="G220" s="24"/>
      <c r="H220" s="24"/>
      <c r="I220" s="24"/>
      <c r="J220" s="24"/>
      <c r="K220" s="24"/>
      <c r="L220" s="24"/>
      <c r="M220" s="26"/>
      <c r="N220" s="24"/>
      <c r="O220" s="24"/>
      <c r="P220" s="24"/>
      <c r="Q220" s="24"/>
      <c r="R220" s="24"/>
      <c r="S220" s="24"/>
      <c r="T220" s="24"/>
      <c r="U220" s="24"/>
      <c r="V220" s="24"/>
      <c r="W220" s="24"/>
      <c r="X220" s="24"/>
      <c r="Y220" s="24"/>
      <c r="Z220" s="26"/>
      <c r="AA220" s="26"/>
      <c r="AB220" s="15"/>
      <c r="AC220" s="15"/>
      <c r="AD220" s="16"/>
      <c r="AE220" s="16"/>
      <c r="AF220" s="16"/>
      <c r="AG220" s="16"/>
      <c r="AH220" s="18"/>
      <c r="AI220" s="18"/>
      <c r="AJ220" s="18"/>
      <c r="AK220" s="18"/>
      <c r="AL220" s="18"/>
      <c r="AM220" s="18"/>
      <c r="AN220" s="18"/>
      <c r="AO220" s="18"/>
      <c r="AP220" s="18"/>
      <c r="AQ220" s="18"/>
    </row>
    <row r="221" spans="2:43" s="2" customFormat="1" hidden="1">
      <c r="B221" s="21"/>
      <c r="C221" s="22"/>
      <c r="D221" s="24"/>
      <c r="E221" s="24"/>
      <c r="F221" s="24"/>
      <c r="G221" s="24"/>
      <c r="H221" s="24"/>
      <c r="I221" s="24"/>
      <c r="J221" s="24"/>
      <c r="K221" s="24"/>
      <c r="L221" s="24"/>
      <c r="M221" s="26"/>
      <c r="N221" s="24"/>
      <c r="O221" s="24"/>
      <c r="P221" s="24"/>
      <c r="Q221" s="24"/>
      <c r="R221" s="24"/>
      <c r="S221" s="24"/>
      <c r="T221" s="24"/>
      <c r="U221" s="24"/>
      <c r="V221" s="24"/>
      <c r="W221" s="24"/>
      <c r="X221" s="24"/>
      <c r="Y221" s="24"/>
      <c r="Z221" s="26"/>
      <c r="AA221" s="26"/>
      <c r="AB221" s="15"/>
      <c r="AC221" s="15"/>
      <c r="AD221" s="16"/>
      <c r="AE221" s="16"/>
      <c r="AF221" s="16"/>
      <c r="AG221" s="16"/>
      <c r="AH221" s="18"/>
      <c r="AI221" s="18"/>
      <c r="AJ221" s="18"/>
      <c r="AK221" s="18"/>
      <c r="AL221" s="18"/>
      <c r="AM221" s="18"/>
      <c r="AN221" s="18"/>
      <c r="AO221" s="18"/>
      <c r="AP221" s="18"/>
      <c r="AQ221" s="18"/>
    </row>
    <row r="222" spans="2:43" s="2" customFormat="1" hidden="1">
      <c r="B222" s="21"/>
      <c r="C222" s="22"/>
      <c r="D222" s="24"/>
      <c r="E222" s="24"/>
      <c r="F222" s="24"/>
      <c r="G222" s="24"/>
      <c r="H222" s="24"/>
      <c r="I222" s="24"/>
      <c r="J222" s="24"/>
      <c r="K222" s="24"/>
      <c r="L222" s="24"/>
      <c r="M222" s="26"/>
      <c r="N222" s="24"/>
      <c r="O222" s="24"/>
      <c r="P222" s="24"/>
      <c r="Q222" s="24"/>
      <c r="R222" s="24"/>
      <c r="S222" s="24"/>
      <c r="T222" s="24"/>
      <c r="U222" s="24"/>
      <c r="V222" s="24"/>
      <c r="W222" s="24"/>
      <c r="X222" s="24"/>
      <c r="Y222" s="24"/>
      <c r="Z222" s="26"/>
      <c r="AA222" s="26"/>
      <c r="AB222" s="15"/>
      <c r="AC222" s="15"/>
      <c r="AD222" s="16"/>
      <c r="AE222" s="16"/>
      <c r="AF222" s="16"/>
      <c r="AG222" s="16"/>
      <c r="AH222" s="18"/>
      <c r="AI222" s="18"/>
      <c r="AJ222" s="18"/>
      <c r="AK222" s="18"/>
      <c r="AL222" s="18"/>
      <c r="AM222" s="18"/>
      <c r="AN222" s="18"/>
      <c r="AO222" s="18"/>
      <c r="AP222" s="18"/>
      <c r="AQ222" s="18"/>
    </row>
    <row r="223" spans="2:43" s="2" customFormat="1" hidden="1">
      <c r="B223" s="21"/>
      <c r="C223" s="22"/>
      <c r="D223" s="24"/>
      <c r="E223" s="24"/>
      <c r="F223" s="24"/>
      <c r="G223" s="24"/>
      <c r="H223" s="24"/>
      <c r="I223" s="24"/>
      <c r="J223" s="24"/>
      <c r="K223" s="24"/>
      <c r="L223" s="24"/>
      <c r="M223" s="26"/>
      <c r="N223" s="24"/>
      <c r="O223" s="24"/>
      <c r="P223" s="24"/>
      <c r="Q223" s="24"/>
      <c r="R223" s="24"/>
      <c r="S223" s="24"/>
      <c r="T223" s="24"/>
      <c r="U223" s="24"/>
      <c r="V223" s="24"/>
      <c r="W223" s="24"/>
      <c r="X223" s="24"/>
      <c r="Y223" s="24"/>
      <c r="Z223" s="26"/>
      <c r="AA223" s="26"/>
      <c r="AB223" s="15"/>
      <c r="AC223" s="15"/>
      <c r="AD223" s="16"/>
      <c r="AE223" s="16"/>
      <c r="AF223" s="16"/>
      <c r="AG223" s="16"/>
      <c r="AH223" s="18"/>
      <c r="AI223" s="18"/>
      <c r="AJ223" s="18"/>
      <c r="AK223" s="18"/>
      <c r="AL223" s="18"/>
      <c r="AM223" s="18"/>
      <c r="AN223" s="18"/>
      <c r="AO223" s="18"/>
      <c r="AP223" s="18"/>
      <c r="AQ223" s="18"/>
    </row>
    <row r="224" spans="2:43" s="2" customFormat="1" hidden="1">
      <c r="B224" s="21"/>
      <c r="C224" s="22"/>
      <c r="D224" s="24"/>
      <c r="E224" s="24"/>
      <c r="F224" s="24"/>
      <c r="G224" s="24"/>
      <c r="H224" s="24"/>
      <c r="I224" s="24"/>
      <c r="J224" s="24"/>
      <c r="K224" s="24"/>
      <c r="L224" s="24"/>
      <c r="M224" s="26"/>
      <c r="N224" s="24"/>
      <c r="O224" s="24"/>
      <c r="P224" s="24"/>
      <c r="Q224" s="24"/>
      <c r="R224" s="24"/>
      <c r="S224" s="24"/>
      <c r="T224" s="24"/>
      <c r="U224" s="24"/>
      <c r="V224" s="24"/>
      <c r="W224" s="24"/>
      <c r="X224" s="24"/>
      <c r="Y224" s="24"/>
      <c r="Z224" s="26"/>
      <c r="AA224" s="26"/>
      <c r="AB224" s="15"/>
      <c r="AC224" s="15"/>
      <c r="AD224" s="16"/>
      <c r="AE224" s="16"/>
      <c r="AF224" s="16"/>
      <c r="AG224" s="16"/>
      <c r="AH224" s="18"/>
      <c r="AI224" s="18"/>
      <c r="AJ224" s="18"/>
      <c r="AK224" s="18"/>
      <c r="AL224" s="18"/>
      <c r="AM224" s="18"/>
      <c r="AN224" s="18"/>
      <c r="AO224" s="18"/>
      <c r="AP224" s="18"/>
      <c r="AQ224" s="18"/>
    </row>
    <row r="225" spans="2:43" s="2" customFormat="1" hidden="1">
      <c r="B225" s="21"/>
      <c r="C225" s="22"/>
      <c r="D225" s="24"/>
      <c r="E225" s="24"/>
      <c r="F225" s="24"/>
      <c r="G225" s="24"/>
      <c r="H225" s="24"/>
      <c r="I225" s="24"/>
      <c r="J225" s="24"/>
      <c r="K225" s="24"/>
      <c r="L225" s="24"/>
      <c r="M225" s="26"/>
      <c r="N225" s="24"/>
      <c r="O225" s="24"/>
      <c r="P225" s="24"/>
      <c r="Q225" s="24"/>
      <c r="R225" s="24"/>
      <c r="S225" s="24"/>
      <c r="T225" s="24"/>
      <c r="U225" s="24"/>
      <c r="V225" s="24"/>
      <c r="W225" s="24"/>
      <c r="X225" s="24"/>
      <c r="Y225" s="24"/>
      <c r="Z225" s="26"/>
      <c r="AA225" s="26"/>
      <c r="AB225" s="15"/>
      <c r="AC225" s="15"/>
      <c r="AD225" s="16"/>
      <c r="AE225" s="16"/>
      <c r="AF225" s="16"/>
      <c r="AG225" s="16"/>
      <c r="AH225" s="18"/>
      <c r="AI225" s="18"/>
      <c r="AJ225" s="18"/>
      <c r="AK225" s="18"/>
      <c r="AL225" s="18"/>
      <c r="AM225" s="18"/>
      <c r="AN225" s="18"/>
      <c r="AO225" s="18"/>
      <c r="AP225" s="18"/>
      <c r="AQ225" s="18"/>
    </row>
    <row r="226" spans="2:43" s="2" customFormat="1" hidden="1">
      <c r="B226" s="21"/>
      <c r="C226" s="22"/>
      <c r="D226" s="24"/>
      <c r="E226" s="24"/>
      <c r="F226" s="24"/>
      <c r="G226" s="24"/>
      <c r="H226" s="24"/>
      <c r="I226" s="24"/>
      <c r="J226" s="24"/>
      <c r="K226" s="24"/>
      <c r="L226" s="24"/>
      <c r="M226" s="26"/>
      <c r="N226" s="24"/>
      <c r="O226" s="24"/>
      <c r="P226" s="24"/>
      <c r="Q226" s="24"/>
      <c r="R226" s="24"/>
      <c r="S226" s="24"/>
      <c r="T226" s="24"/>
      <c r="U226" s="24"/>
      <c r="V226" s="24"/>
      <c r="W226" s="24"/>
      <c r="X226" s="24"/>
      <c r="Y226" s="24"/>
      <c r="Z226" s="26"/>
      <c r="AA226" s="26"/>
      <c r="AB226" s="15"/>
      <c r="AC226" s="15"/>
      <c r="AD226" s="16"/>
      <c r="AE226" s="16"/>
      <c r="AF226" s="16"/>
      <c r="AG226" s="16"/>
      <c r="AH226" s="18"/>
      <c r="AI226" s="18"/>
      <c r="AJ226" s="18"/>
      <c r="AK226" s="18"/>
      <c r="AL226" s="18"/>
      <c r="AM226" s="18"/>
      <c r="AN226" s="18"/>
      <c r="AO226" s="18"/>
      <c r="AP226" s="18"/>
      <c r="AQ226" s="18"/>
    </row>
    <row r="227" spans="2:43" s="2" customFormat="1" hidden="1">
      <c r="B227" s="21"/>
      <c r="C227" s="22"/>
      <c r="D227" s="24"/>
      <c r="E227" s="24"/>
      <c r="F227" s="24"/>
      <c r="G227" s="24"/>
      <c r="H227" s="24"/>
      <c r="I227" s="24"/>
      <c r="J227" s="24"/>
      <c r="K227" s="24"/>
      <c r="L227" s="24"/>
      <c r="M227" s="26"/>
      <c r="N227" s="24"/>
      <c r="O227" s="24"/>
      <c r="P227" s="24"/>
      <c r="Q227" s="24"/>
      <c r="R227" s="24"/>
      <c r="S227" s="24"/>
      <c r="T227" s="24"/>
      <c r="U227" s="24"/>
      <c r="V227" s="24"/>
      <c r="W227" s="24"/>
      <c r="X227" s="24"/>
      <c r="Y227" s="24"/>
      <c r="Z227" s="26"/>
      <c r="AA227" s="26"/>
      <c r="AB227" s="15"/>
      <c r="AC227" s="15"/>
      <c r="AD227" s="16"/>
      <c r="AE227" s="16"/>
      <c r="AF227" s="16"/>
      <c r="AG227" s="16"/>
      <c r="AH227" s="18"/>
      <c r="AI227" s="18"/>
      <c r="AJ227" s="18"/>
      <c r="AK227" s="18"/>
      <c r="AL227" s="18"/>
      <c r="AM227" s="18"/>
      <c r="AN227" s="18"/>
      <c r="AO227" s="18"/>
      <c r="AP227" s="18"/>
      <c r="AQ227" s="18"/>
    </row>
    <row r="228" spans="2:43" s="2" customFormat="1" hidden="1">
      <c r="B228" s="21"/>
      <c r="C228" s="22"/>
      <c r="D228" s="24"/>
      <c r="E228" s="24"/>
      <c r="F228" s="24"/>
      <c r="G228" s="24"/>
      <c r="H228" s="24"/>
      <c r="I228" s="24"/>
      <c r="J228" s="24"/>
      <c r="K228" s="24"/>
      <c r="L228" s="24"/>
      <c r="M228" s="26"/>
      <c r="N228" s="24"/>
      <c r="O228" s="24"/>
      <c r="P228" s="24"/>
      <c r="Q228" s="24"/>
      <c r="R228" s="24"/>
      <c r="S228" s="24"/>
      <c r="T228" s="24"/>
      <c r="U228" s="24"/>
      <c r="V228" s="24"/>
      <c r="W228" s="24"/>
      <c r="X228" s="24"/>
      <c r="Y228" s="24"/>
      <c r="Z228" s="26"/>
      <c r="AA228" s="26"/>
      <c r="AB228" s="15"/>
      <c r="AC228" s="15"/>
      <c r="AD228" s="16"/>
      <c r="AE228" s="16"/>
      <c r="AF228" s="16"/>
      <c r="AG228" s="16"/>
      <c r="AH228" s="18"/>
      <c r="AI228" s="18"/>
      <c r="AJ228" s="18"/>
      <c r="AK228" s="18"/>
      <c r="AL228" s="18"/>
      <c r="AM228" s="18"/>
      <c r="AN228" s="18"/>
      <c r="AO228" s="18"/>
      <c r="AP228" s="18"/>
      <c r="AQ228" s="18"/>
    </row>
    <row r="229" spans="2:43" s="2" customFormat="1" hidden="1">
      <c r="B229" s="21"/>
      <c r="C229" s="22"/>
      <c r="D229" s="24"/>
      <c r="E229" s="24"/>
      <c r="F229" s="24"/>
      <c r="G229" s="24"/>
      <c r="H229" s="24"/>
      <c r="I229" s="24"/>
      <c r="J229" s="24"/>
      <c r="K229" s="24"/>
      <c r="L229" s="24"/>
      <c r="M229" s="26"/>
      <c r="N229" s="24"/>
      <c r="O229" s="24"/>
      <c r="P229" s="24"/>
      <c r="Q229" s="24"/>
      <c r="R229" s="24"/>
      <c r="S229" s="24"/>
      <c r="T229" s="24"/>
      <c r="U229" s="24"/>
      <c r="V229" s="24"/>
      <c r="W229" s="24"/>
      <c r="X229" s="24"/>
      <c r="Y229" s="24"/>
      <c r="Z229" s="26"/>
      <c r="AA229" s="26"/>
      <c r="AB229" s="15"/>
      <c r="AC229" s="15"/>
      <c r="AD229" s="16"/>
      <c r="AE229" s="16"/>
      <c r="AF229" s="16"/>
      <c r="AG229" s="16"/>
      <c r="AH229" s="18"/>
      <c r="AI229" s="18"/>
      <c r="AJ229" s="18"/>
      <c r="AK229" s="18"/>
      <c r="AL229" s="18"/>
      <c r="AM229" s="18"/>
      <c r="AN229" s="18"/>
      <c r="AO229" s="18"/>
      <c r="AP229" s="18"/>
      <c r="AQ229" s="18"/>
    </row>
    <row r="230" spans="2:43" s="2" customFormat="1" hidden="1">
      <c r="B230" s="21"/>
      <c r="C230" s="22"/>
      <c r="D230" s="24"/>
      <c r="E230" s="24"/>
      <c r="F230" s="24"/>
      <c r="G230" s="24"/>
      <c r="H230" s="24"/>
      <c r="I230" s="24"/>
      <c r="J230" s="24"/>
      <c r="K230" s="24"/>
      <c r="L230" s="24"/>
      <c r="M230" s="26"/>
      <c r="N230" s="24"/>
      <c r="O230" s="24"/>
      <c r="P230" s="24"/>
      <c r="Q230" s="24"/>
      <c r="R230" s="24"/>
      <c r="S230" s="24"/>
      <c r="T230" s="24"/>
      <c r="U230" s="24"/>
      <c r="V230" s="24"/>
      <c r="W230" s="24"/>
      <c r="X230" s="24"/>
      <c r="Y230" s="24"/>
      <c r="Z230" s="26"/>
      <c r="AA230" s="26"/>
      <c r="AB230" s="15"/>
      <c r="AC230" s="15"/>
      <c r="AD230" s="16"/>
      <c r="AE230" s="16"/>
      <c r="AF230" s="16"/>
      <c r="AG230" s="16"/>
      <c r="AH230" s="18"/>
      <c r="AI230" s="18"/>
      <c r="AJ230" s="18"/>
      <c r="AK230" s="18"/>
      <c r="AL230" s="18"/>
      <c r="AM230" s="18"/>
      <c r="AN230" s="18"/>
      <c r="AO230" s="18"/>
      <c r="AP230" s="18"/>
      <c r="AQ230" s="18"/>
    </row>
    <row r="231" spans="2:43" s="2" customFormat="1" hidden="1">
      <c r="B231" s="21"/>
      <c r="C231" s="22"/>
      <c r="D231" s="24"/>
      <c r="E231" s="24"/>
      <c r="F231" s="24"/>
      <c r="G231" s="24"/>
      <c r="H231" s="24"/>
      <c r="I231" s="24"/>
      <c r="J231" s="24"/>
      <c r="K231" s="24"/>
      <c r="L231" s="24"/>
      <c r="M231" s="26"/>
      <c r="N231" s="24"/>
      <c r="O231" s="24"/>
      <c r="P231" s="24"/>
      <c r="Q231" s="24"/>
      <c r="R231" s="24"/>
      <c r="S231" s="24"/>
      <c r="T231" s="24"/>
      <c r="U231" s="24"/>
      <c r="V231" s="24"/>
      <c r="W231" s="24"/>
      <c r="X231" s="24"/>
      <c r="Y231" s="24"/>
      <c r="Z231" s="26"/>
      <c r="AA231" s="26"/>
      <c r="AB231" s="15"/>
      <c r="AC231" s="15"/>
      <c r="AD231" s="16"/>
      <c r="AE231" s="16"/>
      <c r="AF231" s="16"/>
      <c r="AG231" s="16"/>
      <c r="AH231" s="18"/>
      <c r="AI231" s="18"/>
      <c r="AJ231" s="18"/>
      <c r="AK231" s="18"/>
      <c r="AL231" s="18"/>
      <c r="AM231" s="18"/>
      <c r="AN231" s="18"/>
      <c r="AO231" s="18"/>
      <c r="AP231" s="18"/>
      <c r="AQ231" s="18"/>
    </row>
    <row r="232" spans="2:43" s="2" customFormat="1" hidden="1">
      <c r="B232" s="21"/>
      <c r="C232" s="22"/>
      <c r="D232" s="24"/>
      <c r="E232" s="24"/>
      <c r="F232" s="24"/>
      <c r="G232" s="24"/>
      <c r="H232" s="24"/>
      <c r="I232" s="24"/>
      <c r="J232" s="24"/>
      <c r="K232" s="24"/>
      <c r="L232" s="24"/>
      <c r="M232" s="26"/>
      <c r="N232" s="24"/>
      <c r="O232" s="24"/>
      <c r="P232" s="24"/>
      <c r="Q232" s="24"/>
      <c r="R232" s="24"/>
      <c r="S232" s="24"/>
      <c r="T232" s="24"/>
      <c r="U232" s="24"/>
      <c r="V232" s="24"/>
      <c r="W232" s="24"/>
      <c r="X232" s="24"/>
      <c r="Y232" s="24"/>
      <c r="Z232" s="26"/>
      <c r="AA232" s="26"/>
      <c r="AB232" s="15"/>
      <c r="AC232" s="15"/>
      <c r="AD232" s="16"/>
      <c r="AE232" s="16"/>
      <c r="AF232" s="16"/>
      <c r="AG232" s="16"/>
      <c r="AH232" s="18"/>
      <c r="AI232" s="18"/>
      <c r="AJ232" s="18"/>
      <c r="AK232" s="18"/>
      <c r="AL232" s="18"/>
      <c r="AM232" s="18"/>
      <c r="AN232" s="18"/>
      <c r="AO232" s="18"/>
      <c r="AP232" s="18"/>
      <c r="AQ232" s="18"/>
    </row>
    <row r="233" spans="2:43" s="2" customFormat="1" hidden="1">
      <c r="B233" s="21"/>
      <c r="C233" s="22"/>
      <c r="D233" s="24"/>
      <c r="E233" s="24"/>
      <c r="F233" s="24"/>
      <c r="G233" s="24"/>
      <c r="H233" s="24"/>
      <c r="I233" s="24"/>
      <c r="J233" s="24"/>
      <c r="K233" s="24"/>
      <c r="L233" s="24"/>
      <c r="M233" s="26"/>
      <c r="N233" s="24"/>
      <c r="O233" s="24"/>
      <c r="P233" s="24"/>
      <c r="Q233" s="24"/>
      <c r="R233" s="24"/>
      <c r="S233" s="24"/>
      <c r="T233" s="24"/>
      <c r="U233" s="24"/>
      <c r="V233" s="24"/>
      <c r="W233" s="24"/>
      <c r="X233" s="24"/>
      <c r="Y233" s="24"/>
      <c r="Z233" s="26"/>
      <c r="AA233" s="26"/>
      <c r="AB233" s="15"/>
      <c r="AC233" s="15"/>
      <c r="AD233" s="16"/>
      <c r="AE233" s="16"/>
      <c r="AF233" s="16"/>
      <c r="AG233" s="16"/>
      <c r="AH233" s="18"/>
      <c r="AI233" s="18"/>
      <c r="AJ233" s="18"/>
      <c r="AK233" s="18"/>
      <c r="AL233" s="18"/>
      <c r="AM233" s="18"/>
      <c r="AN233" s="18"/>
      <c r="AO233" s="18"/>
      <c r="AP233" s="18"/>
      <c r="AQ233" s="18"/>
    </row>
    <row r="234" spans="2:43" s="2" customFormat="1" hidden="1">
      <c r="B234" s="21"/>
      <c r="C234" s="22"/>
      <c r="D234" s="24"/>
      <c r="E234" s="24"/>
      <c r="F234" s="24"/>
      <c r="G234" s="24"/>
      <c r="H234" s="24"/>
      <c r="I234" s="24"/>
      <c r="J234" s="24"/>
      <c r="K234" s="24"/>
      <c r="L234" s="24"/>
      <c r="M234" s="26"/>
      <c r="N234" s="24"/>
      <c r="O234" s="24"/>
      <c r="P234" s="24"/>
      <c r="Q234" s="24"/>
      <c r="R234" s="24"/>
      <c r="S234" s="24"/>
      <c r="T234" s="24"/>
      <c r="U234" s="24"/>
      <c r="V234" s="24"/>
      <c r="W234" s="24"/>
      <c r="X234" s="24"/>
      <c r="Y234" s="24"/>
      <c r="Z234" s="26"/>
      <c r="AA234" s="26"/>
      <c r="AB234" s="15"/>
      <c r="AC234" s="15"/>
      <c r="AD234" s="16"/>
      <c r="AE234" s="16"/>
      <c r="AF234" s="16"/>
      <c r="AG234" s="16"/>
      <c r="AH234" s="18"/>
      <c r="AI234" s="18"/>
      <c r="AJ234" s="18"/>
      <c r="AK234" s="18"/>
      <c r="AL234" s="18"/>
      <c r="AM234" s="18"/>
      <c r="AN234" s="18"/>
      <c r="AO234" s="18"/>
      <c r="AP234" s="18"/>
      <c r="AQ234" s="18"/>
    </row>
    <row r="235" spans="2:43" s="2" customFormat="1" hidden="1">
      <c r="B235" s="21"/>
      <c r="C235" s="22"/>
      <c r="D235" s="24"/>
      <c r="E235" s="24"/>
      <c r="F235" s="24"/>
      <c r="G235" s="24"/>
      <c r="H235" s="24"/>
      <c r="I235" s="24"/>
      <c r="J235" s="24"/>
      <c r="K235" s="24"/>
      <c r="L235" s="24"/>
      <c r="M235" s="26"/>
      <c r="N235" s="24"/>
      <c r="O235" s="24"/>
      <c r="P235" s="24"/>
      <c r="Q235" s="24"/>
      <c r="R235" s="24"/>
      <c r="S235" s="24"/>
      <c r="T235" s="24"/>
      <c r="U235" s="24"/>
      <c r="V235" s="24"/>
      <c r="W235" s="24"/>
      <c r="X235" s="24"/>
      <c r="Y235" s="24"/>
      <c r="Z235" s="26"/>
      <c r="AA235" s="26"/>
      <c r="AB235" s="15"/>
      <c r="AC235" s="15"/>
      <c r="AD235" s="16"/>
      <c r="AE235" s="16"/>
      <c r="AF235" s="16"/>
      <c r="AG235" s="16"/>
      <c r="AH235" s="18"/>
      <c r="AI235" s="18"/>
      <c r="AJ235" s="18"/>
      <c r="AK235" s="18"/>
      <c r="AL235" s="18"/>
      <c r="AM235" s="18"/>
      <c r="AN235" s="18"/>
      <c r="AO235" s="18"/>
      <c r="AP235" s="18"/>
      <c r="AQ235" s="18"/>
    </row>
    <row r="236" spans="2:43" s="2" customFormat="1" hidden="1">
      <c r="B236" s="21"/>
      <c r="C236" s="22"/>
      <c r="D236" s="24"/>
      <c r="E236" s="24"/>
      <c r="F236" s="24"/>
      <c r="G236" s="24"/>
      <c r="H236" s="24"/>
      <c r="I236" s="24"/>
      <c r="J236" s="24"/>
      <c r="K236" s="24"/>
      <c r="L236" s="24"/>
      <c r="M236" s="26"/>
      <c r="N236" s="24"/>
      <c r="O236" s="24"/>
      <c r="P236" s="24"/>
      <c r="Q236" s="24"/>
      <c r="R236" s="24"/>
      <c r="S236" s="24"/>
      <c r="T236" s="24"/>
      <c r="U236" s="24"/>
      <c r="V236" s="24"/>
      <c r="W236" s="24"/>
      <c r="X236" s="24"/>
      <c r="Y236" s="24"/>
      <c r="Z236" s="26"/>
      <c r="AA236" s="26"/>
      <c r="AB236" s="15"/>
      <c r="AC236" s="15"/>
      <c r="AD236" s="16"/>
      <c r="AE236" s="16"/>
      <c r="AF236" s="16"/>
      <c r="AG236" s="16"/>
      <c r="AH236" s="18"/>
      <c r="AI236" s="18"/>
      <c r="AJ236" s="18"/>
      <c r="AK236" s="18"/>
      <c r="AL236" s="18"/>
      <c r="AM236" s="18"/>
      <c r="AN236" s="18"/>
      <c r="AO236" s="18"/>
      <c r="AP236" s="18"/>
      <c r="AQ236" s="18"/>
    </row>
    <row r="237" spans="2:43" s="2" customFormat="1" hidden="1">
      <c r="B237" s="21"/>
      <c r="C237" s="22"/>
      <c r="D237" s="24"/>
      <c r="E237" s="24"/>
      <c r="F237" s="24"/>
      <c r="G237" s="24"/>
      <c r="H237" s="24"/>
      <c r="I237" s="24"/>
      <c r="J237" s="24"/>
      <c r="K237" s="24"/>
      <c r="L237" s="24"/>
      <c r="M237" s="26"/>
      <c r="N237" s="24"/>
      <c r="O237" s="24"/>
      <c r="P237" s="24"/>
      <c r="Q237" s="24"/>
      <c r="R237" s="24"/>
      <c r="S237" s="24"/>
      <c r="T237" s="24"/>
      <c r="U237" s="24"/>
      <c r="V237" s="24"/>
      <c r="W237" s="24"/>
      <c r="X237" s="24"/>
      <c r="Y237" s="24"/>
      <c r="Z237" s="26"/>
      <c r="AA237" s="26"/>
      <c r="AB237" s="15"/>
      <c r="AC237" s="15"/>
      <c r="AD237" s="16"/>
      <c r="AE237" s="16"/>
      <c r="AF237" s="16"/>
      <c r="AG237" s="16"/>
      <c r="AH237" s="18"/>
      <c r="AI237" s="18"/>
      <c r="AJ237" s="18"/>
      <c r="AK237" s="18"/>
      <c r="AL237" s="18"/>
      <c r="AM237" s="18"/>
      <c r="AN237" s="18"/>
      <c r="AO237" s="18"/>
      <c r="AP237" s="18"/>
      <c r="AQ237" s="18"/>
    </row>
    <row r="238" spans="2:43" s="2" customFormat="1" hidden="1">
      <c r="B238" s="21"/>
      <c r="C238" s="22"/>
      <c r="D238" s="24"/>
      <c r="E238" s="24"/>
      <c r="F238" s="24"/>
      <c r="G238" s="24"/>
      <c r="H238" s="24"/>
      <c r="I238" s="24"/>
      <c r="J238" s="24"/>
      <c r="K238" s="24"/>
      <c r="L238" s="24"/>
      <c r="M238" s="26"/>
      <c r="N238" s="24"/>
      <c r="O238" s="24"/>
      <c r="P238" s="24"/>
      <c r="Q238" s="24"/>
      <c r="R238" s="24"/>
      <c r="S238" s="24"/>
      <c r="T238" s="24"/>
      <c r="U238" s="24"/>
      <c r="V238" s="24"/>
      <c r="W238" s="24"/>
      <c r="X238" s="24"/>
      <c r="Y238" s="24"/>
      <c r="Z238" s="26"/>
      <c r="AA238" s="26"/>
      <c r="AB238" s="15"/>
      <c r="AC238" s="15"/>
      <c r="AD238" s="16"/>
      <c r="AE238" s="16"/>
      <c r="AF238" s="16"/>
      <c r="AG238" s="16"/>
      <c r="AH238" s="18"/>
      <c r="AI238" s="18"/>
      <c r="AJ238" s="18"/>
      <c r="AK238" s="18"/>
      <c r="AL238" s="18"/>
      <c r="AM238" s="18"/>
      <c r="AN238" s="18"/>
      <c r="AO238" s="18"/>
      <c r="AP238" s="18"/>
      <c r="AQ238" s="18"/>
    </row>
    <row r="239" spans="2:43" s="2" customFormat="1" hidden="1">
      <c r="B239" s="21"/>
      <c r="C239" s="22"/>
      <c r="D239" s="24"/>
      <c r="E239" s="24"/>
      <c r="F239" s="24"/>
      <c r="G239" s="24"/>
      <c r="H239" s="24"/>
      <c r="I239" s="24"/>
      <c r="J239" s="24"/>
      <c r="K239" s="24"/>
      <c r="L239" s="24"/>
      <c r="M239" s="26"/>
      <c r="N239" s="24"/>
      <c r="O239" s="24"/>
      <c r="P239" s="24"/>
      <c r="Q239" s="24"/>
      <c r="R239" s="24"/>
      <c r="S239" s="24"/>
      <c r="T239" s="24"/>
      <c r="U239" s="24"/>
      <c r="V239" s="24"/>
      <c r="W239" s="24"/>
      <c r="X239" s="24"/>
      <c r="Y239" s="24"/>
      <c r="Z239" s="26"/>
      <c r="AA239" s="26"/>
      <c r="AB239" s="15"/>
      <c r="AC239" s="15"/>
      <c r="AD239" s="16"/>
      <c r="AE239" s="16"/>
      <c r="AF239" s="16"/>
      <c r="AG239" s="16"/>
      <c r="AH239" s="18"/>
      <c r="AI239" s="18"/>
      <c r="AJ239" s="18"/>
      <c r="AK239" s="18"/>
      <c r="AL239" s="18"/>
      <c r="AM239" s="18"/>
      <c r="AN239" s="18"/>
      <c r="AO239" s="18"/>
      <c r="AP239" s="18"/>
      <c r="AQ239" s="18"/>
    </row>
    <row r="240" spans="2:43" s="2" customFormat="1" hidden="1">
      <c r="B240" s="21"/>
      <c r="C240" s="22"/>
      <c r="D240" s="24"/>
      <c r="E240" s="24"/>
      <c r="F240" s="24"/>
      <c r="G240" s="24"/>
      <c r="H240" s="24"/>
      <c r="I240" s="24"/>
      <c r="J240" s="24"/>
      <c r="K240" s="24"/>
      <c r="L240" s="24"/>
      <c r="M240" s="26"/>
      <c r="N240" s="24"/>
      <c r="O240" s="24"/>
      <c r="P240" s="24"/>
      <c r="Q240" s="24"/>
      <c r="R240" s="24"/>
      <c r="S240" s="24"/>
      <c r="T240" s="24"/>
      <c r="U240" s="24"/>
      <c r="V240" s="24"/>
      <c r="W240" s="24"/>
      <c r="X240" s="24"/>
      <c r="Y240" s="24"/>
      <c r="Z240" s="26"/>
      <c r="AA240" s="26"/>
      <c r="AB240" s="15"/>
      <c r="AC240" s="15"/>
      <c r="AD240" s="16"/>
      <c r="AE240" s="16"/>
      <c r="AF240" s="16"/>
      <c r="AG240" s="16"/>
      <c r="AH240" s="18"/>
      <c r="AI240" s="18"/>
      <c r="AJ240" s="18"/>
      <c r="AK240" s="18"/>
      <c r="AL240" s="18"/>
      <c r="AM240" s="18"/>
      <c r="AN240" s="18"/>
      <c r="AO240" s="18"/>
      <c r="AP240" s="18"/>
      <c r="AQ240" s="18"/>
    </row>
    <row r="241" spans="2:43" s="2" customFormat="1" hidden="1">
      <c r="B241" s="21"/>
      <c r="C241" s="22"/>
      <c r="D241" s="24"/>
      <c r="E241" s="24"/>
      <c r="F241" s="24"/>
      <c r="G241" s="24"/>
      <c r="H241" s="24"/>
      <c r="I241" s="24"/>
      <c r="J241" s="24"/>
      <c r="K241" s="24"/>
      <c r="L241" s="24"/>
      <c r="M241" s="26"/>
      <c r="N241" s="24"/>
      <c r="O241" s="24"/>
      <c r="P241" s="24"/>
      <c r="Q241" s="24"/>
      <c r="R241" s="24"/>
      <c r="S241" s="24"/>
      <c r="T241" s="24"/>
      <c r="U241" s="24"/>
      <c r="V241" s="24"/>
      <c r="W241" s="24"/>
      <c r="X241" s="24"/>
      <c r="Y241" s="24"/>
      <c r="Z241" s="26"/>
      <c r="AA241" s="26"/>
      <c r="AB241" s="15"/>
      <c r="AC241" s="15"/>
      <c r="AD241" s="16"/>
      <c r="AE241" s="16"/>
      <c r="AF241" s="16"/>
      <c r="AG241" s="16"/>
      <c r="AH241" s="18"/>
      <c r="AI241" s="18"/>
      <c r="AJ241" s="18"/>
      <c r="AK241" s="18"/>
      <c r="AL241" s="18"/>
      <c r="AM241" s="18"/>
      <c r="AN241" s="18"/>
      <c r="AO241" s="18"/>
      <c r="AP241" s="18"/>
      <c r="AQ241" s="18"/>
    </row>
    <row r="242" spans="2:43" s="2" customFormat="1" hidden="1">
      <c r="B242" s="21"/>
      <c r="C242" s="22"/>
      <c r="D242" s="24"/>
      <c r="E242" s="24"/>
      <c r="F242" s="24"/>
      <c r="G242" s="24"/>
      <c r="H242" s="24"/>
      <c r="I242" s="24"/>
      <c r="J242" s="24"/>
      <c r="K242" s="24"/>
      <c r="L242" s="24"/>
      <c r="M242" s="26"/>
      <c r="N242" s="24"/>
      <c r="O242" s="24"/>
      <c r="P242" s="24"/>
      <c r="Q242" s="24"/>
      <c r="R242" s="24"/>
      <c r="S242" s="24"/>
      <c r="T242" s="24"/>
      <c r="U242" s="24"/>
      <c r="V242" s="24"/>
      <c r="W242" s="24"/>
      <c r="X242" s="24"/>
      <c r="Y242" s="24"/>
      <c r="Z242" s="26"/>
      <c r="AA242" s="26"/>
      <c r="AB242" s="15"/>
      <c r="AC242" s="15"/>
      <c r="AD242" s="16"/>
      <c r="AE242" s="16"/>
      <c r="AF242" s="16"/>
      <c r="AG242" s="16"/>
      <c r="AH242" s="18"/>
      <c r="AI242" s="18"/>
      <c r="AJ242" s="18"/>
      <c r="AK242" s="18"/>
      <c r="AL242" s="18"/>
      <c r="AM242" s="18"/>
      <c r="AN242" s="18"/>
      <c r="AO242" s="18"/>
      <c r="AP242" s="18"/>
      <c r="AQ242" s="18"/>
    </row>
    <row r="243" spans="2:43" s="2" customFormat="1" hidden="1">
      <c r="B243" s="21"/>
      <c r="C243" s="22"/>
      <c r="D243" s="24"/>
      <c r="E243" s="24"/>
      <c r="F243" s="24"/>
      <c r="G243" s="24"/>
      <c r="H243" s="24"/>
      <c r="I243" s="24"/>
      <c r="J243" s="24"/>
      <c r="K243" s="24"/>
      <c r="L243" s="24"/>
      <c r="M243" s="26"/>
      <c r="N243" s="24"/>
      <c r="O243" s="24"/>
      <c r="P243" s="24"/>
      <c r="Q243" s="24"/>
      <c r="R243" s="24"/>
      <c r="S243" s="24"/>
      <c r="T243" s="24"/>
      <c r="U243" s="24"/>
      <c r="V243" s="24"/>
      <c r="W243" s="24"/>
      <c r="X243" s="24"/>
      <c r="Y243" s="24"/>
      <c r="Z243" s="26"/>
      <c r="AA243" s="26"/>
      <c r="AB243" s="15"/>
      <c r="AC243" s="15"/>
      <c r="AD243" s="16"/>
      <c r="AE243" s="16"/>
      <c r="AF243" s="16"/>
      <c r="AG243" s="16"/>
      <c r="AH243" s="18"/>
      <c r="AI243" s="18"/>
      <c r="AJ243" s="18"/>
      <c r="AK243" s="18"/>
      <c r="AL243" s="18"/>
      <c r="AM243" s="18"/>
      <c r="AN243" s="18"/>
      <c r="AO243" s="18"/>
      <c r="AP243" s="18"/>
      <c r="AQ243" s="18"/>
    </row>
    <row r="244" spans="2:43" s="2" customFormat="1" hidden="1">
      <c r="B244" s="21"/>
      <c r="C244" s="22"/>
      <c r="D244" s="24"/>
      <c r="E244" s="24"/>
      <c r="F244" s="24"/>
      <c r="G244" s="24"/>
      <c r="H244" s="24"/>
      <c r="I244" s="24"/>
      <c r="J244" s="24"/>
      <c r="K244" s="24"/>
      <c r="L244" s="24"/>
      <c r="M244" s="26"/>
      <c r="N244" s="24"/>
      <c r="O244" s="24"/>
      <c r="P244" s="24"/>
      <c r="Q244" s="24"/>
      <c r="R244" s="24"/>
      <c r="S244" s="24"/>
      <c r="T244" s="24"/>
      <c r="U244" s="24"/>
      <c r="V244" s="24"/>
      <c r="W244" s="24"/>
      <c r="X244" s="24"/>
      <c r="Y244" s="24"/>
      <c r="Z244" s="26"/>
      <c r="AA244" s="26"/>
      <c r="AB244" s="15"/>
      <c r="AC244" s="15"/>
      <c r="AD244" s="16"/>
      <c r="AE244" s="16"/>
      <c r="AF244" s="16"/>
      <c r="AG244" s="16"/>
      <c r="AH244" s="18"/>
      <c r="AI244" s="18"/>
      <c r="AJ244" s="18"/>
      <c r="AK244" s="18"/>
      <c r="AL244" s="18"/>
      <c r="AM244" s="18"/>
      <c r="AN244" s="18"/>
      <c r="AO244" s="18"/>
      <c r="AP244" s="18"/>
      <c r="AQ244" s="18"/>
    </row>
    <row r="245" spans="2:43" s="2" customFormat="1" hidden="1">
      <c r="B245" s="21"/>
      <c r="C245" s="22"/>
      <c r="D245" s="24"/>
      <c r="E245" s="24"/>
      <c r="F245" s="24"/>
      <c r="G245" s="24"/>
      <c r="H245" s="24"/>
      <c r="I245" s="24"/>
      <c r="J245" s="24"/>
      <c r="K245" s="24"/>
      <c r="L245" s="24"/>
      <c r="M245" s="26"/>
      <c r="N245" s="24"/>
      <c r="O245" s="24"/>
      <c r="P245" s="24"/>
      <c r="Q245" s="24"/>
      <c r="R245" s="24"/>
      <c r="S245" s="24"/>
      <c r="T245" s="24"/>
      <c r="U245" s="24"/>
      <c r="V245" s="24"/>
      <c r="W245" s="24"/>
      <c r="X245" s="24"/>
      <c r="Y245" s="24"/>
      <c r="Z245" s="26"/>
      <c r="AA245" s="26"/>
      <c r="AB245" s="15"/>
      <c r="AC245" s="15"/>
      <c r="AD245" s="16"/>
      <c r="AE245" s="16"/>
      <c r="AF245" s="16"/>
      <c r="AG245" s="16"/>
      <c r="AH245" s="18"/>
      <c r="AI245" s="18"/>
      <c r="AJ245" s="18"/>
      <c r="AK245" s="18"/>
      <c r="AL245" s="18"/>
      <c r="AM245" s="18"/>
      <c r="AN245" s="18"/>
      <c r="AO245" s="18"/>
      <c r="AP245" s="18"/>
      <c r="AQ245" s="18"/>
    </row>
    <row r="246" spans="2:43" s="2" customFormat="1" hidden="1">
      <c r="B246" s="21"/>
      <c r="C246" s="22"/>
      <c r="D246" s="24"/>
      <c r="E246" s="24"/>
      <c r="F246" s="24"/>
      <c r="G246" s="24"/>
      <c r="H246" s="24"/>
      <c r="I246" s="24"/>
      <c r="J246" s="24"/>
      <c r="K246" s="24"/>
      <c r="L246" s="24"/>
      <c r="M246" s="26"/>
      <c r="N246" s="24"/>
      <c r="O246" s="24"/>
      <c r="P246" s="24"/>
      <c r="Q246" s="24"/>
      <c r="R246" s="24"/>
      <c r="S246" s="24"/>
      <c r="T246" s="24"/>
      <c r="U246" s="24"/>
      <c r="V246" s="24"/>
      <c r="W246" s="24"/>
      <c r="X246" s="24"/>
      <c r="Y246" s="24"/>
      <c r="Z246" s="26"/>
      <c r="AA246" s="26"/>
      <c r="AB246" s="15"/>
      <c r="AC246" s="15"/>
      <c r="AD246" s="16"/>
      <c r="AE246" s="16"/>
      <c r="AF246" s="16"/>
      <c r="AG246" s="16"/>
      <c r="AH246" s="18"/>
      <c r="AI246" s="18"/>
      <c r="AJ246" s="18"/>
      <c r="AK246" s="18"/>
      <c r="AL246" s="18"/>
      <c r="AM246" s="18"/>
      <c r="AN246" s="18"/>
      <c r="AO246" s="18"/>
      <c r="AP246" s="18"/>
      <c r="AQ246" s="18"/>
    </row>
    <row r="247" spans="2:43" s="2" customFormat="1" hidden="1">
      <c r="B247" s="21"/>
      <c r="C247" s="22"/>
      <c r="D247" s="24"/>
      <c r="E247" s="24"/>
      <c r="F247" s="24"/>
      <c r="G247" s="24"/>
      <c r="H247" s="24"/>
      <c r="I247" s="24"/>
      <c r="J247" s="24"/>
      <c r="K247" s="24"/>
      <c r="L247" s="24"/>
      <c r="M247" s="26"/>
      <c r="N247" s="24"/>
      <c r="O247" s="24"/>
      <c r="P247" s="24"/>
      <c r="Q247" s="24"/>
      <c r="R247" s="24"/>
      <c r="S247" s="24"/>
      <c r="T247" s="24"/>
      <c r="U247" s="24"/>
      <c r="V247" s="24"/>
      <c r="W247" s="24"/>
      <c r="X247" s="24"/>
      <c r="Y247" s="24"/>
      <c r="Z247" s="26"/>
      <c r="AA247" s="26"/>
      <c r="AB247" s="15"/>
      <c r="AC247" s="15"/>
      <c r="AD247" s="16"/>
      <c r="AE247" s="16"/>
      <c r="AF247" s="16"/>
      <c r="AG247" s="16"/>
      <c r="AH247" s="18"/>
      <c r="AI247" s="18"/>
      <c r="AJ247" s="18"/>
      <c r="AK247" s="18"/>
      <c r="AL247" s="18"/>
      <c r="AM247" s="18"/>
      <c r="AN247" s="18"/>
      <c r="AO247" s="18"/>
      <c r="AP247" s="18"/>
      <c r="AQ247" s="18"/>
    </row>
    <row r="248" spans="2:43" s="2" customFormat="1" hidden="1">
      <c r="B248" s="21"/>
      <c r="C248" s="22"/>
      <c r="D248" s="24"/>
      <c r="E248" s="24"/>
      <c r="F248" s="24"/>
      <c r="G248" s="24"/>
      <c r="H248" s="24"/>
      <c r="I248" s="24"/>
      <c r="J248" s="24"/>
      <c r="K248" s="24"/>
      <c r="L248" s="24"/>
      <c r="M248" s="26"/>
      <c r="N248" s="24"/>
      <c r="O248" s="24"/>
      <c r="P248" s="24"/>
      <c r="Q248" s="24"/>
      <c r="R248" s="24"/>
      <c r="S248" s="24"/>
      <c r="T248" s="24"/>
      <c r="U248" s="24"/>
      <c r="V248" s="24"/>
      <c r="W248" s="24"/>
      <c r="X248" s="24"/>
      <c r="Y248" s="24"/>
      <c r="Z248" s="26"/>
      <c r="AA248" s="26"/>
      <c r="AB248" s="15"/>
      <c r="AC248" s="15"/>
      <c r="AD248" s="16"/>
      <c r="AE248" s="16"/>
      <c r="AF248" s="16"/>
      <c r="AG248" s="16"/>
      <c r="AH248" s="18"/>
      <c r="AI248" s="18"/>
      <c r="AJ248" s="18"/>
      <c r="AK248" s="18"/>
      <c r="AL248" s="18"/>
      <c r="AM248" s="18"/>
      <c r="AN248" s="18"/>
      <c r="AO248" s="18"/>
      <c r="AP248" s="18"/>
      <c r="AQ248" s="18"/>
    </row>
    <row r="249" spans="2:43" s="2" customFormat="1" hidden="1">
      <c r="B249" s="21"/>
      <c r="C249" s="22"/>
      <c r="D249" s="24"/>
      <c r="E249" s="24"/>
      <c r="F249" s="24"/>
      <c r="G249" s="24"/>
      <c r="H249" s="24"/>
      <c r="I249" s="24"/>
      <c r="J249" s="24"/>
      <c r="K249" s="24"/>
      <c r="L249" s="24"/>
      <c r="M249" s="26"/>
      <c r="N249" s="24"/>
      <c r="O249" s="24"/>
      <c r="P249" s="24"/>
      <c r="Q249" s="24"/>
      <c r="R249" s="24"/>
      <c r="S249" s="24"/>
      <c r="T249" s="24"/>
      <c r="U249" s="24"/>
      <c r="V249" s="24"/>
      <c r="W249" s="24"/>
      <c r="X249" s="24"/>
      <c r="Y249" s="24"/>
      <c r="Z249" s="26"/>
      <c r="AA249" s="26"/>
      <c r="AB249" s="15"/>
      <c r="AC249" s="15"/>
      <c r="AD249" s="16"/>
      <c r="AE249" s="16"/>
      <c r="AF249" s="16"/>
      <c r="AG249" s="16"/>
      <c r="AH249" s="18"/>
      <c r="AI249" s="18"/>
      <c r="AJ249" s="18"/>
      <c r="AK249" s="18"/>
      <c r="AL249" s="18"/>
      <c r="AM249" s="18"/>
      <c r="AN249" s="18"/>
      <c r="AO249" s="18"/>
      <c r="AP249" s="18"/>
      <c r="AQ249" s="18"/>
    </row>
    <row r="250" spans="2:43" s="2" customFormat="1" hidden="1">
      <c r="B250" s="21"/>
      <c r="C250" s="22"/>
      <c r="D250" s="24"/>
      <c r="E250" s="24"/>
      <c r="F250" s="24"/>
      <c r="G250" s="24"/>
      <c r="H250" s="24"/>
      <c r="I250" s="24"/>
      <c r="J250" s="24"/>
      <c r="K250" s="24"/>
      <c r="L250" s="24"/>
      <c r="M250" s="26"/>
      <c r="N250" s="24"/>
      <c r="O250" s="24"/>
      <c r="P250" s="24"/>
      <c r="Q250" s="24"/>
      <c r="R250" s="24"/>
      <c r="S250" s="24"/>
      <c r="T250" s="24"/>
      <c r="U250" s="24"/>
      <c r="V250" s="24"/>
      <c r="W250" s="24"/>
      <c r="X250" s="24"/>
      <c r="Y250" s="24"/>
      <c r="Z250" s="26"/>
      <c r="AA250" s="26"/>
      <c r="AB250" s="15"/>
      <c r="AC250" s="15"/>
      <c r="AD250" s="16"/>
      <c r="AE250" s="16"/>
      <c r="AF250" s="16"/>
      <c r="AG250" s="16"/>
      <c r="AH250" s="18"/>
      <c r="AI250" s="18"/>
      <c r="AJ250" s="18"/>
      <c r="AK250" s="18"/>
      <c r="AL250" s="18"/>
      <c r="AM250" s="18"/>
      <c r="AN250" s="18"/>
      <c r="AO250" s="18"/>
      <c r="AP250" s="18"/>
      <c r="AQ250" s="18"/>
    </row>
    <row r="251" spans="2:43" s="2" customFormat="1" hidden="1">
      <c r="B251" s="21"/>
      <c r="C251" s="22"/>
      <c r="D251" s="24"/>
      <c r="E251" s="24"/>
      <c r="F251" s="24"/>
      <c r="G251" s="24"/>
      <c r="H251" s="24"/>
      <c r="I251" s="24"/>
      <c r="J251" s="24"/>
      <c r="K251" s="24"/>
      <c r="L251" s="24"/>
      <c r="M251" s="26"/>
      <c r="N251" s="24"/>
      <c r="O251" s="24"/>
      <c r="P251" s="24"/>
      <c r="Q251" s="24"/>
      <c r="R251" s="24"/>
      <c r="S251" s="24"/>
      <c r="T251" s="24"/>
      <c r="U251" s="24"/>
      <c r="V251" s="24"/>
      <c r="W251" s="24"/>
      <c r="X251" s="24"/>
      <c r="Y251" s="24"/>
      <c r="Z251" s="26"/>
      <c r="AA251" s="26"/>
      <c r="AB251" s="15"/>
      <c r="AC251" s="15"/>
      <c r="AD251" s="16"/>
      <c r="AE251" s="16"/>
      <c r="AF251" s="16"/>
      <c r="AG251" s="16"/>
      <c r="AH251" s="18"/>
      <c r="AI251" s="18"/>
      <c r="AJ251" s="18"/>
      <c r="AK251" s="18"/>
      <c r="AL251" s="18"/>
      <c r="AM251" s="18"/>
      <c r="AN251" s="18"/>
      <c r="AO251" s="18"/>
      <c r="AP251" s="18"/>
      <c r="AQ251" s="18"/>
    </row>
    <row r="252" spans="2:43" s="2" customFormat="1" hidden="1">
      <c r="B252" s="21"/>
      <c r="C252" s="22"/>
      <c r="D252" s="24"/>
      <c r="E252" s="24"/>
      <c r="F252" s="24"/>
      <c r="G252" s="24"/>
      <c r="H252" s="24"/>
      <c r="I252" s="24"/>
      <c r="J252" s="24"/>
      <c r="K252" s="24"/>
      <c r="L252" s="24"/>
      <c r="M252" s="26"/>
      <c r="N252" s="24"/>
      <c r="O252" s="24"/>
      <c r="P252" s="24"/>
      <c r="Q252" s="24"/>
      <c r="R252" s="24"/>
      <c r="S252" s="24"/>
      <c r="T252" s="24"/>
      <c r="U252" s="24"/>
      <c r="V252" s="24"/>
      <c r="W252" s="24"/>
      <c r="X252" s="24"/>
      <c r="Y252" s="24"/>
      <c r="Z252" s="26"/>
      <c r="AA252" s="26"/>
      <c r="AB252" s="15"/>
      <c r="AC252" s="15"/>
      <c r="AD252" s="16"/>
      <c r="AE252" s="16"/>
      <c r="AF252" s="16"/>
      <c r="AG252" s="16"/>
      <c r="AH252" s="18"/>
      <c r="AI252" s="18"/>
      <c r="AJ252" s="18"/>
      <c r="AK252" s="18"/>
      <c r="AL252" s="18"/>
      <c r="AM252" s="18"/>
      <c r="AN252" s="18"/>
      <c r="AO252" s="18"/>
      <c r="AP252" s="18"/>
      <c r="AQ252" s="18"/>
    </row>
    <row r="253" spans="2:43" s="2" customFormat="1" hidden="1">
      <c r="B253" s="21"/>
      <c r="C253" s="22"/>
      <c r="D253" s="24"/>
      <c r="E253" s="24"/>
      <c r="F253" s="24"/>
      <c r="G253" s="24"/>
      <c r="H253" s="24"/>
      <c r="I253" s="24"/>
      <c r="J253" s="24"/>
      <c r="K253" s="24"/>
      <c r="L253" s="24"/>
      <c r="M253" s="26"/>
      <c r="N253" s="24"/>
      <c r="O253" s="24"/>
      <c r="P253" s="24"/>
      <c r="Q253" s="24"/>
      <c r="R253" s="24"/>
      <c r="S253" s="24"/>
      <c r="T253" s="24"/>
      <c r="U253" s="24"/>
      <c r="V253" s="24"/>
      <c r="W253" s="24"/>
      <c r="X253" s="24"/>
      <c r="Y253" s="24"/>
      <c r="Z253" s="26"/>
      <c r="AA253" s="26"/>
      <c r="AB253" s="15"/>
      <c r="AC253" s="15"/>
      <c r="AD253" s="16"/>
      <c r="AE253" s="16"/>
      <c r="AF253" s="16"/>
      <c r="AG253" s="16"/>
      <c r="AH253" s="18"/>
      <c r="AI253" s="18"/>
      <c r="AJ253" s="18"/>
      <c r="AK253" s="18"/>
      <c r="AL253" s="18"/>
      <c r="AM253" s="18"/>
      <c r="AN253" s="18"/>
      <c r="AO253" s="18"/>
      <c r="AP253" s="18"/>
      <c r="AQ253" s="18"/>
    </row>
    <row r="254" spans="2:43" s="2" customFormat="1" hidden="1">
      <c r="B254" s="21"/>
      <c r="C254" s="22"/>
      <c r="D254" s="24"/>
      <c r="E254" s="24"/>
      <c r="F254" s="24"/>
      <c r="G254" s="24"/>
      <c r="H254" s="24"/>
      <c r="I254" s="24"/>
      <c r="J254" s="24"/>
      <c r="K254" s="24"/>
      <c r="L254" s="24"/>
      <c r="M254" s="26"/>
      <c r="N254" s="24"/>
      <c r="O254" s="24"/>
      <c r="P254" s="24"/>
      <c r="Q254" s="24"/>
      <c r="R254" s="24"/>
      <c r="S254" s="24"/>
      <c r="T254" s="24"/>
      <c r="U254" s="24"/>
      <c r="V254" s="24"/>
      <c r="W254" s="24"/>
      <c r="X254" s="24"/>
      <c r="Y254" s="24"/>
      <c r="Z254" s="26"/>
      <c r="AA254" s="26"/>
      <c r="AB254" s="15"/>
      <c r="AC254" s="15"/>
      <c r="AD254" s="16"/>
      <c r="AE254" s="16"/>
      <c r="AF254" s="16"/>
      <c r="AG254" s="16"/>
      <c r="AH254" s="18"/>
      <c r="AI254" s="18"/>
      <c r="AJ254" s="18"/>
      <c r="AK254" s="18"/>
      <c r="AL254" s="18"/>
      <c r="AM254" s="18"/>
      <c r="AN254" s="18"/>
      <c r="AO254" s="18"/>
      <c r="AP254" s="18"/>
      <c r="AQ254" s="18"/>
    </row>
    <row r="255" spans="2:43" s="2" customFormat="1" hidden="1">
      <c r="B255" s="21"/>
      <c r="C255" s="22"/>
      <c r="D255" s="24"/>
      <c r="E255" s="24"/>
      <c r="F255" s="24"/>
      <c r="G255" s="24"/>
      <c r="H255" s="24"/>
      <c r="I255" s="24"/>
      <c r="J255" s="24"/>
      <c r="K255" s="24"/>
      <c r="L255" s="24"/>
      <c r="M255" s="26"/>
      <c r="N255" s="24"/>
      <c r="O255" s="24"/>
      <c r="P255" s="24"/>
      <c r="Q255" s="24"/>
      <c r="R255" s="24"/>
      <c r="S255" s="24"/>
      <c r="T255" s="24"/>
      <c r="U255" s="24"/>
      <c r="V255" s="24"/>
      <c r="W255" s="24"/>
      <c r="X255" s="24"/>
      <c r="Y255" s="24"/>
      <c r="Z255" s="26"/>
      <c r="AA255" s="26"/>
      <c r="AB255" s="15"/>
      <c r="AC255" s="15"/>
      <c r="AD255" s="16"/>
      <c r="AE255" s="16"/>
      <c r="AF255" s="16"/>
      <c r="AG255" s="16"/>
      <c r="AH255" s="18"/>
      <c r="AI255" s="18"/>
      <c r="AJ255" s="18"/>
      <c r="AK255" s="18"/>
      <c r="AL255" s="18"/>
      <c r="AM255" s="18"/>
      <c r="AN255" s="18"/>
      <c r="AO255" s="18"/>
      <c r="AP255" s="18"/>
      <c r="AQ255" s="18"/>
    </row>
    <row r="256" spans="2:43" s="2" customFormat="1" hidden="1">
      <c r="B256" s="21"/>
      <c r="C256" s="22"/>
      <c r="D256" s="24"/>
      <c r="E256" s="24"/>
      <c r="F256" s="24"/>
      <c r="G256" s="24"/>
      <c r="H256" s="24"/>
      <c r="I256" s="24"/>
      <c r="J256" s="24"/>
      <c r="K256" s="24"/>
      <c r="L256" s="24"/>
      <c r="M256" s="26"/>
      <c r="N256" s="24"/>
      <c r="O256" s="24"/>
      <c r="P256" s="24"/>
      <c r="Q256" s="24"/>
      <c r="R256" s="24"/>
      <c r="S256" s="24"/>
      <c r="T256" s="24"/>
      <c r="U256" s="24"/>
      <c r="V256" s="24"/>
      <c r="W256" s="24"/>
      <c r="X256" s="24"/>
      <c r="Y256" s="24"/>
      <c r="Z256" s="26"/>
      <c r="AA256" s="26"/>
      <c r="AB256" s="15"/>
      <c r="AC256" s="15"/>
      <c r="AD256" s="16"/>
      <c r="AE256" s="16"/>
      <c r="AF256" s="16"/>
      <c r="AG256" s="16"/>
      <c r="AH256" s="18"/>
      <c r="AI256" s="18"/>
      <c r="AJ256" s="18"/>
      <c r="AK256" s="18"/>
      <c r="AL256" s="18"/>
      <c r="AM256" s="18"/>
      <c r="AN256" s="18"/>
      <c r="AO256" s="18"/>
      <c r="AP256" s="18"/>
      <c r="AQ256" s="18"/>
    </row>
    <row r="257" spans="2:43" s="2" customFormat="1" hidden="1">
      <c r="B257" s="21"/>
      <c r="C257" s="22"/>
      <c r="D257" s="24"/>
      <c r="E257" s="24"/>
      <c r="F257" s="24"/>
      <c r="G257" s="24"/>
      <c r="H257" s="24"/>
      <c r="I257" s="24"/>
      <c r="J257" s="24"/>
      <c r="K257" s="24"/>
      <c r="L257" s="24"/>
      <c r="M257" s="26"/>
      <c r="N257" s="24"/>
      <c r="O257" s="24"/>
      <c r="P257" s="24"/>
      <c r="Q257" s="24"/>
      <c r="R257" s="24"/>
      <c r="S257" s="24"/>
      <c r="T257" s="24"/>
      <c r="U257" s="24"/>
      <c r="V257" s="24"/>
      <c r="W257" s="24"/>
      <c r="X257" s="24"/>
      <c r="Y257" s="24"/>
      <c r="Z257" s="26"/>
      <c r="AA257" s="26"/>
      <c r="AB257" s="15"/>
      <c r="AC257" s="15"/>
      <c r="AD257" s="16"/>
      <c r="AE257" s="16"/>
      <c r="AF257" s="16"/>
      <c r="AG257" s="16"/>
      <c r="AH257" s="18"/>
      <c r="AI257" s="18"/>
      <c r="AJ257" s="18"/>
      <c r="AK257" s="18"/>
      <c r="AL257" s="18"/>
      <c r="AM257" s="18"/>
      <c r="AN257" s="18"/>
      <c r="AO257" s="18"/>
      <c r="AP257" s="18"/>
      <c r="AQ257" s="18"/>
    </row>
    <row r="258" spans="2:43" s="2" customFormat="1" hidden="1">
      <c r="B258" s="21"/>
      <c r="C258" s="22"/>
      <c r="D258" s="24"/>
      <c r="E258" s="24"/>
      <c r="F258" s="24"/>
      <c r="G258" s="24"/>
      <c r="H258" s="24"/>
      <c r="I258" s="24"/>
      <c r="J258" s="24"/>
      <c r="K258" s="24"/>
      <c r="L258" s="24"/>
      <c r="M258" s="26"/>
      <c r="N258" s="24"/>
      <c r="O258" s="24"/>
      <c r="P258" s="24"/>
      <c r="Q258" s="24"/>
      <c r="R258" s="24"/>
      <c r="S258" s="24"/>
      <c r="T258" s="24"/>
      <c r="U258" s="24"/>
      <c r="V258" s="24"/>
      <c r="W258" s="24"/>
      <c r="X258" s="24"/>
      <c r="Y258" s="24"/>
      <c r="Z258" s="26"/>
      <c r="AA258" s="26"/>
      <c r="AB258" s="15"/>
      <c r="AC258" s="15"/>
      <c r="AD258" s="16"/>
      <c r="AE258" s="16"/>
      <c r="AF258" s="16"/>
      <c r="AG258" s="16"/>
      <c r="AH258" s="18"/>
      <c r="AI258" s="18"/>
      <c r="AJ258" s="18"/>
      <c r="AK258" s="18"/>
      <c r="AL258" s="18"/>
      <c r="AM258" s="18"/>
      <c r="AN258" s="18"/>
      <c r="AO258" s="18"/>
      <c r="AP258" s="18"/>
      <c r="AQ258" s="18"/>
    </row>
    <row r="259" spans="2:43" s="2" customFormat="1" hidden="1">
      <c r="B259" s="21"/>
      <c r="C259" s="22"/>
      <c r="D259" s="24"/>
      <c r="E259" s="24"/>
      <c r="F259" s="24"/>
      <c r="G259" s="24"/>
      <c r="H259" s="24"/>
      <c r="I259" s="24"/>
      <c r="J259" s="24"/>
      <c r="K259" s="24"/>
      <c r="L259" s="24"/>
      <c r="M259" s="26"/>
      <c r="N259" s="24"/>
      <c r="O259" s="24"/>
      <c r="P259" s="24"/>
      <c r="Q259" s="24"/>
      <c r="R259" s="24"/>
      <c r="S259" s="24"/>
      <c r="T259" s="24"/>
      <c r="U259" s="24"/>
      <c r="V259" s="24"/>
      <c r="W259" s="24"/>
      <c r="X259" s="24"/>
      <c r="Y259" s="24"/>
      <c r="Z259" s="26"/>
      <c r="AA259" s="26"/>
      <c r="AB259" s="15"/>
      <c r="AC259" s="15"/>
      <c r="AD259" s="16"/>
      <c r="AE259" s="16"/>
      <c r="AF259" s="16"/>
      <c r="AG259" s="16"/>
      <c r="AH259" s="18"/>
      <c r="AI259" s="18"/>
      <c r="AJ259" s="18"/>
      <c r="AK259" s="18"/>
      <c r="AL259" s="18"/>
      <c r="AM259" s="18"/>
      <c r="AN259" s="18"/>
      <c r="AO259" s="18"/>
      <c r="AP259" s="18"/>
      <c r="AQ259" s="18"/>
    </row>
    <row r="260" spans="2:43" s="2" customFormat="1" hidden="1">
      <c r="B260" s="21"/>
      <c r="C260" s="22"/>
      <c r="D260" s="24"/>
      <c r="E260" s="24"/>
      <c r="F260" s="24"/>
      <c r="G260" s="24"/>
      <c r="H260" s="24"/>
      <c r="I260" s="24"/>
      <c r="J260" s="24"/>
      <c r="K260" s="24"/>
      <c r="L260" s="24"/>
      <c r="M260" s="26"/>
      <c r="N260" s="24"/>
      <c r="O260" s="24"/>
      <c r="P260" s="24"/>
      <c r="Q260" s="24"/>
      <c r="R260" s="24"/>
      <c r="S260" s="24"/>
      <c r="T260" s="24"/>
      <c r="U260" s="24"/>
      <c r="V260" s="24"/>
      <c r="W260" s="24"/>
      <c r="X260" s="24"/>
      <c r="Y260" s="24"/>
      <c r="Z260" s="26"/>
      <c r="AA260" s="26"/>
      <c r="AB260" s="15"/>
      <c r="AC260" s="15"/>
      <c r="AD260" s="16"/>
      <c r="AE260" s="16"/>
      <c r="AF260" s="16"/>
      <c r="AG260" s="16"/>
      <c r="AH260" s="18"/>
      <c r="AI260" s="18"/>
      <c r="AJ260" s="18"/>
      <c r="AK260" s="18"/>
      <c r="AL260" s="18"/>
      <c r="AM260" s="18"/>
      <c r="AN260" s="18"/>
      <c r="AO260" s="18"/>
      <c r="AP260" s="18"/>
      <c r="AQ260" s="18"/>
    </row>
    <row r="261" spans="2:43" s="2" customFormat="1" hidden="1">
      <c r="B261" s="21"/>
      <c r="C261" s="22"/>
      <c r="D261" s="24"/>
      <c r="E261" s="24"/>
      <c r="F261" s="24"/>
      <c r="G261" s="24"/>
      <c r="H261" s="24"/>
      <c r="I261" s="24"/>
      <c r="J261" s="24"/>
      <c r="K261" s="24"/>
      <c r="L261" s="24"/>
      <c r="M261" s="26"/>
      <c r="N261" s="24"/>
      <c r="O261" s="24"/>
      <c r="P261" s="24"/>
      <c r="Q261" s="24"/>
      <c r="R261" s="24"/>
      <c r="S261" s="24"/>
      <c r="T261" s="24"/>
      <c r="U261" s="24"/>
      <c r="V261" s="24"/>
      <c r="W261" s="24"/>
      <c r="X261" s="24"/>
      <c r="Y261" s="24"/>
      <c r="Z261" s="26"/>
      <c r="AA261" s="26"/>
      <c r="AB261" s="15"/>
      <c r="AC261" s="15"/>
      <c r="AD261" s="16"/>
      <c r="AE261" s="16"/>
      <c r="AF261" s="16"/>
      <c r="AG261" s="16"/>
      <c r="AH261" s="18"/>
      <c r="AI261" s="18"/>
      <c r="AJ261" s="18"/>
      <c r="AK261" s="18"/>
      <c r="AL261" s="18"/>
      <c r="AM261" s="18"/>
      <c r="AN261" s="18"/>
      <c r="AO261" s="18"/>
      <c r="AP261" s="18"/>
      <c r="AQ261" s="18"/>
    </row>
    <row r="262" spans="2:43" s="2" customFormat="1" hidden="1">
      <c r="B262" s="21"/>
      <c r="C262" s="22"/>
      <c r="D262" s="24"/>
      <c r="E262" s="24"/>
      <c r="F262" s="24"/>
      <c r="G262" s="24"/>
      <c r="H262" s="24"/>
      <c r="I262" s="24"/>
      <c r="J262" s="24"/>
      <c r="K262" s="24"/>
      <c r="L262" s="24"/>
      <c r="M262" s="26"/>
      <c r="N262" s="24"/>
      <c r="O262" s="24"/>
      <c r="P262" s="24"/>
      <c r="Q262" s="24"/>
      <c r="R262" s="24"/>
      <c r="S262" s="24"/>
      <c r="T262" s="24"/>
      <c r="U262" s="24"/>
      <c r="V262" s="24"/>
      <c r="W262" s="24"/>
      <c r="X262" s="24"/>
      <c r="Y262" s="24"/>
      <c r="Z262" s="26"/>
      <c r="AA262" s="26"/>
      <c r="AB262" s="15"/>
      <c r="AC262" s="15"/>
      <c r="AD262" s="16"/>
      <c r="AE262" s="16"/>
      <c r="AF262" s="16"/>
      <c r="AG262" s="16"/>
      <c r="AH262" s="18"/>
      <c r="AI262" s="18"/>
      <c r="AJ262" s="18"/>
      <c r="AK262" s="18"/>
      <c r="AL262" s="18"/>
      <c r="AM262" s="18"/>
      <c r="AN262" s="18"/>
      <c r="AO262" s="18"/>
      <c r="AP262" s="18"/>
      <c r="AQ262" s="18"/>
    </row>
    <row r="263" spans="2:43" s="2" customFormat="1" hidden="1">
      <c r="B263" s="21"/>
      <c r="C263" s="22"/>
      <c r="D263" s="24"/>
      <c r="E263" s="24"/>
      <c r="F263" s="24"/>
      <c r="G263" s="24"/>
      <c r="H263" s="24"/>
      <c r="I263" s="24"/>
      <c r="J263" s="24"/>
      <c r="K263" s="24"/>
      <c r="L263" s="24"/>
      <c r="M263" s="26"/>
      <c r="N263" s="24"/>
      <c r="O263" s="24"/>
      <c r="P263" s="24"/>
      <c r="Q263" s="24"/>
      <c r="R263" s="24"/>
      <c r="S263" s="24"/>
      <c r="T263" s="24"/>
      <c r="U263" s="24"/>
      <c r="V263" s="24"/>
      <c r="W263" s="24"/>
      <c r="X263" s="24"/>
      <c r="Y263" s="24"/>
      <c r="Z263" s="26"/>
      <c r="AA263" s="26"/>
      <c r="AB263" s="15"/>
      <c r="AC263" s="15"/>
      <c r="AD263" s="16"/>
      <c r="AE263" s="16"/>
      <c r="AF263" s="16"/>
      <c r="AG263" s="16"/>
      <c r="AH263" s="18"/>
      <c r="AI263" s="18"/>
      <c r="AJ263" s="18"/>
      <c r="AK263" s="18"/>
      <c r="AL263" s="18"/>
      <c r="AM263" s="18"/>
      <c r="AN263" s="18"/>
      <c r="AO263" s="18"/>
      <c r="AP263" s="18"/>
      <c r="AQ263" s="18"/>
    </row>
    <row r="264" spans="2:43" s="2" customFormat="1" hidden="1">
      <c r="B264" s="21"/>
      <c r="C264" s="22"/>
      <c r="D264" s="24"/>
      <c r="E264" s="24"/>
      <c r="F264" s="24"/>
      <c r="G264" s="24"/>
      <c r="H264" s="24"/>
      <c r="I264" s="24"/>
      <c r="J264" s="24"/>
      <c r="K264" s="24"/>
      <c r="L264" s="24"/>
      <c r="M264" s="26"/>
      <c r="N264" s="24"/>
      <c r="O264" s="24"/>
      <c r="P264" s="24"/>
      <c r="Q264" s="24"/>
      <c r="R264" s="24"/>
      <c r="S264" s="24"/>
      <c r="T264" s="24"/>
      <c r="U264" s="24"/>
      <c r="V264" s="24"/>
      <c r="W264" s="24"/>
      <c r="X264" s="24"/>
      <c r="Y264" s="24"/>
      <c r="Z264" s="26"/>
      <c r="AA264" s="26"/>
      <c r="AB264" s="15"/>
      <c r="AC264" s="15"/>
      <c r="AD264" s="16"/>
      <c r="AE264" s="16"/>
      <c r="AF264" s="16"/>
      <c r="AG264" s="16"/>
      <c r="AH264" s="18"/>
      <c r="AI264" s="18"/>
      <c r="AJ264" s="18"/>
      <c r="AK264" s="18"/>
      <c r="AL264" s="18"/>
      <c r="AM264" s="18"/>
      <c r="AN264" s="18"/>
      <c r="AO264" s="18"/>
      <c r="AP264" s="18"/>
      <c r="AQ264" s="18"/>
    </row>
    <row r="265" spans="2:43" s="2" customFormat="1" hidden="1">
      <c r="B265" s="21"/>
      <c r="C265" s="22"/>
      <c r="D265" s="24"/>
      <c r="E265" s="24"/>
      <c r="F265" s="24"/>
      <c r="G265" s="24"/>
      <c r="H265" s="24"/>
      <c r="I265" s="24"/>
      <c r="J265" s="24"/>
      <c r="K265" s="24"/>
      <c r="L265" s="24"/>
      <c r="M265" s="26"/>
      <c r="N265" s="24"/>
      <c r="O265" s="24"/>
      <c r="P265" s="24"/>
      <c r="Q265" s="24"/>
      <c r="R265" s="24"/>
      <c r="S265" s="24"/>
      <c r="T265" s="24"/>
      <c r="U265" s="24"/>
      <c r="V265" s="24"/>
      <c r="W265" s="24"/>
      <c r="X265" s="24"/>
      <c r="Y265" s="24"/>
      <c r="Z265" s="26"/>
      <c r="AA265" s="26"/>
      <c r="AB265" s="15"/>
      <c r="AC265" s="15"/>
      <c r="AD265" s="16"/>
      <c r="AE265" s="16"/>
      <c r="AF265" s="16"/>
      <c r="AG265" s="16"/>
      <c r="AH265" s="18"/>
      <c r="AI265" s="18"/>
      <c r="AJ265" s="18"/>
      <c r="AK265" s="18"/>
      <c r="AL265" s="18"/>
      <c r="AM265" s="18"/>
      <c r="AN265" s="18"/>
      <c r="AO265" s="18"/>
      <c r="AP265" s="18"/>
      <c r="AQ265" s="18"/>
    </row>
    <row r="266" spans="2:43" s="2" customFormat="1" hidden="1">
      <c r="B266" s="21"/>
      <c r="C266" s="22"/>
      <c r="D266" s="24"/>
      <c r="E266" s="24"/>
      <c r="F266" s="24"/>
      <c r="G266" s="24"/>
      <c r="H266" s="24"/>
      <c r="I266" s="24"/>
      <c r="J266" s="24"/>
      <c r="K266" s="24"/>
      <c r="L266" s="24"/>
      <c r="M266" s="26"/>
      <c r="N266" s="24"/>
      <c r="O266" s="24"/>
      <c r="P266" s="24"/>
      <c r="Q266" s="24"/>
      <c r="R266" s="24"/>
      <c r="S266" s="24"/>
      <c r="T266" s="24"/>
      <c r="U266" s="24"/>
      <c r="V266" s="24"/>
      <c r="W266" s="24"/>
      <c r="X266" s="24"/>
      <c r="Y266" s="24"/>
      <c r="Z266" s="26"/>
      <c r="AA266" s="26"/>
      <c r="AB266" s="15"/>
      <c r="AC266" s="15"/>
      <c r="AD266" s="16"/>
      <c r="AE266" s="16"/>
      <c r="AF266" s="16"/>
      <c r="AG266" s="16"/>
      <c r="AH266" s="18"/>
      <c r="AI266" s="18"/>
      <c r="AJ266" s="18"/>
      <c r="AK266" s="18"/>
      <c r="AL266" s="18"/>
      <c r="AM266" s="18"/>
      <c r="AN266" s="18"/>
      <c r="AO266" s="18"/>
      <c r="AP266" s="18"/>
      <c r="AQ266" s="18"/>
    </row>
    <row r="267" spans="2:43" s="2" customFormat="1" hidden="1">
      <c r="B267" s="21"/>
      <c r="C267" s="22"/>
      <c r="D267" s="24"/>
      <c r="E267" s="24"/>
      <c r="F267" s="24"/>
      <c r="G267" s="24"/>
      <c r="H267" s="24"/>
      <c r="I267" s="24"/>
      <c r="J267" s="24"/>
      <c r="K267" s="24"/>
      <c r="L267" s="24"/>
      <c r="M267" s="26"/>
      <c r="N267" s="24"/>
      <c r="O267" s="24"/>
      <c r="P267" s="24"/>
      <c r="Q267" s="24"/>
      <c r="R267" s="24"/>
      <c r="S267" s="24"/>
      <c r="T267" s="24"/>
      <c r="U267" s="24"/>
      <c r="V267" s="24"/>
      <c r="W267" s="24"/>
      <c r="X267" s="24"/>
      <c r="Y267" s="24"/>
      <c r="Z267" s="26"/>
      <c r="AA267" s="26"/>
      <c r="AB267" s="15"/>
      <c r="AC267" s="15"/>
      <c r="AD267" s="16"/>
      <c r="AE267" s="16"/>
      <c r="AF267" s="16"/>
      <c r="AG267" s="16"/>
      <c r="AH267" s="18"/>
      <c r="AI267" s="18"/>
      <c r="AJ267" s="18"/>
      <c r="AK267" s="18"/>
      <c r="AL267" s="18"/>
      <c r="AM267" s="18"/>
      <c r="AN267" s="18"/>
      <c r="AO267" s="18"/>
      <c r="AP267" s="18"/>
      <c r="AQ267" s="18"/>
    </row>
    <row r="268" spans="2:43" s="2" customFormat="1" hidden="1">
      <c r="B268" s="21"/>
      <c r="C268" s="22"/>
      <c r="D268" s="24"/>
      <c r="E268" s="24"/>
      <c r="F268" s="24"/>
      <c r="G268" s="24"/>
      <c r="H268" s="24"/>
      <c r="I268" s="24"/>
      <c r="J268" s="24"/>
      <c r="K268" s="24"/>
      <c r="L268" s="24"/>
      <c r="M268" s="26"/>
      <c r="N268" s="24"/>
      <c r="O268" s="24"/>
      <c r="P268" s="24"/>
      <c r="Q268" s="24"/>
      <c r="R268" s="24"/>
      <c r="S268" s="24"/>
      <c r="T268" s="24"/>
      <c r="U268" s="24"/>
      <c r="V268" s="24"/>
      <c r="W268" s="24"/>
      <c r="X268" s="24"/>
      <c r="Y268" s="24"/>
      <c r="Z268" s="26"/>
      <c r="AA268" s="26"/>
      <c r="AB268" s="15"/>
      <c r="AC268" s="15"/>
      <c r="AD268" s="16"/>
      <c r="AE268" s="16"/>
      <c r="AF268" s="16"/>
      <c r="AG268" s="16"/>
      <c r="AH268" s="18"/>
      <c r="AI268" s="18"/>
      <c r="AJ268" s="18"/>
      <c r="AK268" s="18"/>
      <c r="AL268" s="18"/>
      <c r="AM268" s="18"/>
      <c r="AN268" s="18"/>
      <c r="AO268" s="18"/>
      <c r="AP268" s="18"/>
      <c r="AQ268" s="18"/>
    </row>
    <row r="269" spans="2:43" s="2" customFormat="1" hidden="1">
      <c r="B269" s="21"/>
      <c r="C269" s="22"/>
      <c r="D269" s="24"/>
      <c r="E269" s="24"/>
      <c r="F269" s="24"/>
      <c r="G269" s="24"/>
      <c r="H269" s="24"/>
      <c r="I269" s="24"/>
      <c r="J269" s="24"/>
      <c r="K269" s="24"/>
      <c r="L269" s="24"/>
      <c r="M269" s="26"/>
      <c r="N269" s="24"/>
      <c r="O269" s="24"/>
      <c r="P269" s="24"/>
      <c r="Q269" s="24"/>
      <c r="R269" s="24"/>
      <c r="S269" s="24"/>
      <c r="T269" s="24"/>
      <c r="U269" s="24"/>
      <c r="V269" s="24"/>
      <c r="W269" s="24"/>
      <c r="X269" s="24"/>
      <c r="Y269" s="24"/>
      <c r="Z269" s="26"/>
      <c r="AA269" s="26"/>
      <c r="AB269" s="15"/>
      <c r="AC269" s="15"/>
      <c r="AD269" s="16"/>
      <c r="AE269" s="16"/>
      <c r="AF269" s="16"/>
      <c r="AG269" s="16"/>
      <c r="AH269" s="18"/>
      <c r="AI269" s="18"/>
      <c r="AJ269" s="18"/>
      <c r="AK269" s="18"/>
      <c r="AL269" s="18"/>
      <c r="AM269" s="18"/>
      <c r="AN269" s="18"/>
      <c r="AO269" s="18"/>
      <c r="AP269" s="18"/>
      <c r="AQ269" s="18"/>
    </row>
    <row r="270" spans="2:43" s="2" customFormat="1" hidden="1">
      <c r="B270" s="21"/>
      <c r="C270" s="22"/>
      <c r="D270" s="24"/>
      <c r="E270" s="24"/>
      <c r="F270" s="24"/>
      <c r="G270" s="24"/>
      <c r="H270" s="24"/>
      <c r="I270" s="24"/>
      <c r="J270" s="24"/>
      <c r="K270" s="24"/>
      <c r="L270" s="24"/>
      <c r="M270" s="26"/>
      <c r="N270" s="24"/>
      <c r="O270" s="24"/>
      <c r="P270" s="24"/>
      <c r="Q270" s="24"/>
      <c r="R270" s="24"/>
      <c r="S270" s="24"/>
      <c r="T270" s="24"/>
      <c r="U270" s="24"/>
      <c r="V270" s="24"/>
      <c r="W270" s="24"/>
      <c r="X270" s="24"/>
      <c r="Y270" s="24"/>
      <c r="Z270" s="26"/>
      <c r="AA270" s="26"/>
      <c r="AB270" s="15"/>
      <c r="AC270" s="15"/>
      <c r="AD270" s="16"/>
      <c r="AE270" s="16"/>
      <c r="AF270" s="16"/>
      <c r="AG270" s="16"/>
      <c r="AH270" s="18"/>
      <c r="AI270" s="18"/>
      <c r="AJ270" s="18"/>
      <c r="AK270" s="18"/>
      <c r="AL270" s="18"/>
      <c r="AM270" s="18"/>
      <c r="AN270" s="18"/>
      <c r="AO270" s="18"/>
      <c r="AP270" s="18"/>
      <c r="AQ270" s="18"/>
    </row>
    <row r="271" spans="2:43" s="2" customFormat="1" hidden="1">
      <c r="B271" s="21"/>
      <c r="C271" s="22"/>
      <c r="D271" s="24"/>
      <c r="E271" s="24"/>
      <c r="F271" s="24"/>
      <c r="G271" s="24"/>
      <c r="H271" s="24"/>
      <c r="I271" s="24"/>
      <c r="J271" s="24"/>
      <c r="K271" s="24"/>
      <c r="L271" s="24"/>
      <c r="M271" s="26"/>
      <c r="N271" s="24"/>
      <c r="O271" s="24"/>
      <c r="P271" s="24"/>
      <c r="Q271" s="24"/>
      <c r="R271" s="24"/>
      <c r="S271" s="24"/>
      <c r="T271" s="24"/>
      <c r="U271" s="24"/>
      <c r="V271" s="24"/>
      <c r="W271" s="24"/>
      <c r="X271" s="24"/>
      <c r="Y271" s="24"/>
      <c r="Z271" s="26"/>
      <c r="AA271" s="26"/>
      <c r="AB271" s="15"/>
      <c r="AC271" s="15"/>
      <c r="AD271" s="16"/>
      <c r="AE271" s="16"/>
      <c r="AF271" s="16"/>
      <c r="AG271" s="16"/>
      <c r="AH271" s="18"/>
      <c r="AI271" s="18"/>
      <c r="AJ271" s="18"/>
      <c r="AK271" s="18"/>
      <c r="AL271" s="18"/>
      <c r="AM271" s="18"/>
      <c r="AN271" s="18"/>
      <c r="AO271" s="18"/>
      <c r="AP271" s="18"/>
      <c r="AQ271" s="18"/>
    </row>
    <row r="272" spans="2:43" s="2" customFormat="1" hidden="1">
      <c r="B272" s="21"/>
      <c r="C272" s="22"/>
      <c r="D272" s="24"/>
      <c r="E272" s="24"/>
      <c r="F272" s="24"/>
      <c r="G272" s="24"/>
      <c r="H272" s="24"/>
      <c r="I272" s="24"/>
      <c r="J272" s="24"/>
      <c r="K272" s="24"/>
      <c r="L272" s="24"/>
      <c r="M272" s="26"/>
      <c r="N272" s="24"/>
      <c r="O272" s="24"/>
      <c r="P272" s="24"/>
      <c r="Q272" s="24"/>
      <c r="R272" s="24"/>
      <c r="S272" s="24"/>
      <c r="T272" s="24"/>
      <c r="U272" s="24"/>
      <c r="V272" s="24"/>
      <c r="W272" s="24"/>
      <c r="X272" s="24"/>
      <c r="Y272" s="24"/>
      <c r="Z272" s="26"/>
      <c r="AA272" s="26"/>
      <c r="AB272" s="15"/>
      <c r="AC272" s="15"/>
      <c r="AD272" s="16"/>
      <c r="AE272" s="16"/>
      <c r="AF272" s="16"/>
      <c r="AG272" s="16"/>
      <c r="AH272" s="18"/>
      <c r="AI272" s="18"/>
      <c r="AJ272" s="18"/>
      <c r="AK272" s="18"/>
      <c r="AL272" s="18"/>
      <c r="AM272" s="18"/>
      <c r="AN272" s="18"/>
      <c r="AO272" s="18"/>
      <c r="AP272" s="18"/>
      <c r="AQ272" s="18"/>
    </row>
    <row r="273" spans="2:43" s="2" customFormat="1" hidden="1">
      <c r="B273" s="21"/>
      <c r="C273" s="22"/>
      <c r="D273" s="24"/>
      <c r="E273" s="24"/>
      <c r="F273" s="24"/>
      <c r="G273" s="24"/>
      <c r="H273" s="24"/>
      <c r="I273" s="24"/>
      <c r="J273" s="24"/>
      <c r="K273" s="24"/>
      <c r="L273" s="24"/>
      <c r="M273" s="26"/>
      <c r="N273" s="24"/>
      <c r="O273" s="24"/>
      <c r="P273" s="24"/>
      <c r="Q273" s="24"/>
      <c r="R273" s="24"/>
      <c r="S273" s="24"/>
      <c r="T273" s="24"/>
      <c r="U273" s="24"/>
      <c r="V273" s="24"/>
      <c r="W273" s="24"/>
      <c r="X273" s="24"/>
      <c r="Y273" s="24"/>
      <c r="Z273" s="26"/>
      <c r="AA273" s="26"/>
      <c r="AB273" s="15"/>
      <c r="AC273" s="15"/>
      <c r="AD273" s="16"/>
      <c r="AE273" s="16"/>
      <c r="AF273" s="16"/>
      <c r="AG273" s="16"/>
      <c r="AH273" s="18"/>
      <c r="AI273" s="18"/>
      <c r="AJ273" s="18"/>
      <c r="AK273" s="18"/>
      <c r="AL273" s="18"/>
      <c r="AM273" s="18"/>
      <c r="AN273" s="18"/>
      <c r="AO273" s="18"/>
      <c r="AP273" s="18"/>
      <c r="AQ273" s="18"/>
    </row>
    <row r="274" spans="2:43" s="2" customFormat="1" hidden="1">
      <c r="B274" s="21"/>
      <c r="C274" s="22"/>
      <c r="D274" s="24"/>
      <c r="E274" s="24"/>
      <c r="F274" s="24"/>
      <c r="G274" s="24"/>
      <c r="H274" s="24"/>
      <c r="I274" s="24"/>
      <c r="J274" s="24"/>
      <c r="K274" s="24"/>
      <c r="L274" s="24"/>
      <c r="M274" s="26"/>
      <c r="N274" s="24"/>
      <c r="O274" s="24"/>
      <c r="P274" s="24"/>
      <c r="Q274" s="24"/>
      <c r="R274" s="24"/>
      <c r="S274" s="24"/>
      <c r="T274" s="24"/>
      <c r="U274" s="24"/>
      <c r="V274" s="24"/>
      <c r="W274" s="24"/>
      <c r="X274" s="24"/>
      <c r="Y274" s="24"/>
      <c r="Z274" s="26"/>
      <c r="AA274" s="26"/>
      <c r="AB274" s="15"/>
      <c r="AC274" s="15"/>
      <c r="AD274" s="16"/>
      <c r="AE274" s="16"/>
      <c r="AF274" s="16"/>
      <c r="AG274" s="16"/>
      <c r="AH274" s="18"/>
      <c r="AI274" s="18"/>
      <c r="AJ274" s="18"/>
      <c r="AK274" s="18"/>
      <c r="AL274" s="18"/>
      <c r="AM274" s="18"/>
      <c r="AN274" s="18"/>
      <c r="AO274" s="18"/>
      <c r="AP274" s="18"/>
      <c r="AQ274" s="18"/>
    </row>
    <row r="275" spans="2:43" s="2" customFormat="1" hidden="1">
      <c r="B275" s="21"/>
      <c r="C275" s="22"/>
      <c r="D275" s="24"/>
      <c r="E275" s="24"/>
      <c r="F275" s="24"/>
      <c r="G275" s="24"/>
      <c r="H275" s="24"/>
      <c r="I275" s="24"/>
      <c r="J275" s="24"/>
      <c r="K275" s="24"/>
      <c r="L275" s="24"/>
      <c r="M275" s="26"/>
      <c r="N275" s="24"/>
      <c r="O275" s="24"/>
      <c r="P275" s="24"/>
      <c r="Q275" s="24"/>
      <c r="R275" s="24"/>
      <c r="S275" s="24"/>
      <c r="T275" s="24"/>
      <c r="U275" s="24"/>
      <c r="V275" s="24"/>
      <c r="W275" s="24"/>
      <c r="X275" s="24"/>
      <c r="Y275" s="24"/>
      <c r="Z275" s="26"/>
      <c r="AA275" s="26"/>
      <c r="AB275" s="15"/>
      <c r="AC275" s="15"/>
      <c r="AD275" s="16"/>
      <c r="AE275" s="16"/>
      <c r="AF275" s="16"/>
      <c r="AG275" s="16"/>
      <c r="AH275" s="18"/>
      <c r="AI275" s="18"/>
      <c r="AJ275" s="18"/>
      <c r="AK275" s="18"/>
      <c r="AL275" s="18"/>
      <c r="AM275" s="18"/>
      <c r="AN275" s="18"/>
      <c r="AO275" s="18"/>
      <c r="AP275" s="18"/>
      <c r="AQ275" s="18"/>
    </row>
    <row r="276" spans="2:43" s="2" customFormat="1" hidden="1">
      <c r="B276" s="21"/>
      <c r="C276" s="22"/>
      <c r="D276" s="24"/>
      <c r="E276" s="24"/>
      <c r="F276" s="24"/>
      <c r="G276" s="24"/>
      <c r="H276" s="24"/>
      <c r="I276" s="24"/>
      <c r="J276" s="24"/>
      <c r="K276" s="24"/>
      <c r="L276" s="24"/>
      <c r="M276" s="26"/>
      <c r="N276" s="24"/>
      <c r="O276" s="24"/>
      <c r="P276" s="24"/>
      <c r="Q276" s="24"/>
      <c r="R276" s="24"/>
      <c r="S276" s="24"/>
      <c r="T276" s="24"/>
      <c r="U276" s="24"/>
      <c r="V276" s="24"/>
      <c r="W276" s="24"/>
      <c r="X276" s="24"/>
      <c r="Y276" s="24"/>
      <c r="Z276" s="26"/>
      <c r="AA276" s="26"/>
      <c r="AB276" s="15"/>
      <c r="AC276" s="15"/>
      <c r="AD276" s="16"/>
      <c r="AE276" s="16"/>
      <c r="AF276" s="16"/>
      <c r="AG276" s="16"/>
      <c r="AH276" s="18"/>
      <c r="AI276" s="18"/>
      <c r="AJ276" s="18"/>
      <c r="AK276" s="18"/>
      <c r="AL276" s="18"/>
      <c r="AM276" s="18"/>
      <c r="AN276" s="18"/>
      <c r="AO276" s="18"/>
      <c r="AP276" s="18"/>
      <c r="AQ276" s="18"/>
    </row>
    <row r="277" spans="2:43" s="2" customFormat="1" hidden="1">
      <c r="B277" s="21"/>
      <c r="C277" s="22"/>
      <c r="D277" s="24"/>
      <c r="E277" s="24"/>
      <c r="F277" s="24"/>
      <c r="G277" s="24"/>
      <c r="H277" s="24"/>
      <c r="I277" s="24"/>
      <c r="J277" s="24"/>
      <c r="K277" s="24"/>
      <c r="L277" s="24"/>
      <c r="M277" s="26"/>
      <c r="N277" s="24"/>
      <c r="O277" s="24"/>
      <c r="P277" s="24"/>
      <c r="Q277" s="24"/>
      <c r="R277" s="24"/>
      <c r="S277" s="24"/>
      <c r="T277" s="24"/>
      <c r="U277" s="24"/>
      <c r="V277" s="24"/>
      <c r="W277" s="24"/>
      <c r="X277" s="24"/>
      <c r="Y277" s="24"/>
      <c r="Z277" s="26"/>
      <c r="AA277" s="26"/>
      <c r="AB277" s="15"/>
      <c r="AC277" s="15"/>
      <c r="AD277" s="16"/>
      <c r="AE277" s="16"/>
      <c r="AF277" s="16"/>
      <c r="AG277" s="16"/>
      <c r="AH277" s="18"/>
      <c r="AI277" s="18"/>
      <c r="AJ277" s="18"/>
      <c r="AK277" s="18"/>
      <c r="AL277" s="18"/>
      <c r="AM277" s="18"/>
      <c r="AN277" s="18"/>
      <c r="AO277" s="18"/>
      <c r="AP277" s="18"/>
      <c r="AQ277" s="18"/>
    </row>
    <row r="278" spans="2:43" s="2" customFormat="1" hidden="1">
      <c r="B278" s="21"/>
      <c r="C278" s="22"/>
      <c r="D278" s="24"/>
      <c r="E278" s="24"/>
      <c r="F278" s="24"/>
      <c r="G278" s="24"/>
      <c r="H278" s="24"/>
      <c r="I278" s="24"/>
      <c r="J278" s="24"/>
      <c r="K278" s="24"/>
      <c r="L278" s="24"/>
      <c r="M278" s="26"/>
      <c r="N278" s="24"/>
      <c r="O278" s="24"/>
      <c r="P278" s="24"/>
      <c r="Q278" s="24"/>
      <c r="R278" s="24"/>
      <c r="S278" s="24"/>
      <c r="T278" s="24"/>
      <c r="U278" s="24"/>
      <c r="V278" s="24"/>
      <c r="W278" s="24"/>
      <c r="X278" s="24"/>
      <c r="Y278" s="24"/>
      <c r="Z278" s="26"/>
      <c r="AA278" s="26"/>
      <c r="AB278" s="15"/>
      <c r="AC278" s="15"/>
      <c r="AD278" s="16"/>
      <c r="AE278" s="16"/>
      <c r="AF278" s="16"/>
      <c r="AG278" s="16"/>
      <c r="AH278" s="18"/>
      <c r="AI278" s="18"/>
      <c r="AJ278" s="18"/>
      <c r="AK278" s="18"/>
      <c r="AL278" s="18"/>
      <c r="AM278" s="18"/>
      <c r="AN278" s="18"/>
      <c r="AO278" s="18"/>
      <c r="AP278" s="18"/>
      <c r="AQ278" s="18"/>
    </row>
    <row r="279" spans="2:43" s="2" customFormat="1" hidden="1">
      <c r="B279" s="21"/>
      <c r="C279" s="22"/>
      <c r="D279" s="24"/>
      <c r="E279" s="24"/>
      <c r="F279" s="24"/>
      <c r="G279" s="24"/>
      <c r="H279" s="24"/>
      <c r="I279" s="24"/>
      <c r="J279" s="24"/>
      <c r="K279" s="24"/>
      <c r="L279" s="24"/>
      <c r="M279" s="26"/>
      <c r="N279" s="24"/>
      <c r="O279" s="24"/>
      <c r="P279" s="24"/>
      <c r="Q279" s="24"/>
      <c r="R279" s="24"/>
      <c r="S279" s="24"/>
      <c r="T279" s="24"/>
      <c r="U279" s="24"/>
      <c r="V279" s="24"/>
      <c r="W279" s="24"/>
      <c r="X279" s="24"/>
      <c r="Y279" s="24"/>
      <c r="Z279" s="26"/>
      <c r="AA279" s="26"/>
      <c r="AB279" s="15"/>
      <c r="AC279" s="15"/>
      <c r="AD279" s="16"/>
      <c r="AE279" s="16"/>
      <c r="AF279" s="16"/>
      <c r="AG279" s="16"/>
      <c r="AH279" s="18"/>
      <c r="AI279" s="18"/>
      <c r="AJ279" s="18"/>
      <c r="AK279" s="18"/>
      <c r="AL279" s="18"/>
      <c r="AM279" s="18"/>
      <c r="AN279" s="18"/>
      <c r="AO279" s="18"/>
      <c r="AP279" s="18"/>
      <c r="AQ279" s="18"/>
    </row>
    <row r="280" spans="2:43" s="2" customFormat="1" hidden="1">
      <c r="B280" s="21"/>
      <c r="C280" s="22"/>
      <c r="D280" s="24"/>
      <c r="E280" s="24"/>
      <c r="F280" s="24"/>
      <c r="G280" s="24"/>
      <c r="H280" s="24"/>
      <c r="I280" s="24"/>
      <c r="J280" s="24"/>
      <c r="K280" s="24"/>
      <c r="L280" s="24"/>
      <c r="M280" s="26"/>
      <c r="N280" s="24"/>
      <c r="O280" s="24"/>
      <c r="P280" s="24"/>
      <c r="Q280" s="24"/>
      <c r="R280" s="24"/>
      <c r="S280" s="24"/>
      <c r="T280" s="24"/>
      <c r="U280" s="24"/>
      <c r="V280" s="24"/>
      <c r="W280" s="24"/>
      <c r="X280" s="24"/>
      <c r="Y280" s="24"/>
      <c r="Z280" s="26"/>
      <c r="AA280" s="26"/>
      <c r="AB280" s="15"/>
      <c r="AC280" s="15"/>
      <c r="AD280" s="16"/>
      <c r="AE280" s="16"/>
      <c r="AF280" s="16"/>
      <c r="AG280" s="16"/>
      <c r="AH280" s="18"/>
      <c r="AI280" s="18"/>
      <c r="AJ280" s="18"/>
      <c r="AK280" s="18"/>
      <c r="AL280" s="18"/>
      <c r="AM280" s="18"/>
      <c r="AN280" s="18"/>
      <c r="AO280" s="18"/>
      <c r="AP280" s="18"/>
      <c r="AQ280" s="18"/>
    </row>
    <row r="281" spans="2:43" s="2" customFormat="1" hidden="1">
      <c r="B281" s="21"/>
      <c r="C281" s="22"/>
      <c r="D281" s="24"/>
      <c r="E281" s="24"/>
      <c r="F281" s="24"/>
      <c r="G281" s="24"/>
      <c r="H281" s="24"/>
      <c r="I281" s="24"/>
      <c r="J281" s="24"/>
      <c r="K281" s="24"/>
      <c r="L281" s="24"/>
      <c r="M281" s="26"/>
      <c r="N281" s="24"/>
      <c r="O281" s="24"/>
      <c r="P281" s="24"/>
      <c r="Q281" s="24"/>
      <c r="R281" s="24"/>
      <c r="S281" s="24"/>
      <c r="T281" s="24"/>
      <c r="U281" s="24"/>
      <c r="V281" s="24"/>
      <c r="W281" s="24"/>
      <c r="X281" s="24"/>
      <c r="Y281" s="24"/>
      <c r="Z281" s="26"/>
      <c r="AA281" s="26"/>
      <c r="AB281" s="15"/>
      <c r="AC281" s="15"/>
      <c r="AD281" s="16"/>
      <c r="AE281" s="16"/>
      <c r="AF281" s="16"/>
      <c r="AG281" s="16"/>
      <c r="AH281" s="18"/>
      <c r="AI281" s="18"/>
      <c r="AJ281" s="18"/>
      <c r="AK281" s="18"/>
      <c r="AL281" s="18"/>
      <c r="AM281" s="18"/>
      <c r="AN281" s="18"/>
      <c r="AO281" s="18"/>
      <c r="AP281" s="18"/>
      <c r="AQ281" s="18"/>
    </row>
    <row r="282" spans="2:43" s="2" customFormat="1" hidden="1">
      <c r="B282" s="21"/>
      <c r="C282" s="22"/>
      <c r="D282" s="24"/>
      <c r="E282" s="24"/>
      <c r="F282" s="24"/>
      <c r="G282" s="24"/>
      <c r="H282" s="24"/>
      <c r="I282" s="24"/>
      <c r="J282" s="24"/>
      <c r="K282" s="24"/>
      <c r="L282" s="24"/>
      <c r="M282" s="26"/>
      <c r="N282" s="24"/>
      <c r="O282" s="24"/>
      <c r="P282" s="24"/>
      <c r="Q282" s="24"/>
      <c r="R282" s="24"/>
      <c r="S282" s="24"/>
      <c r="T282" s="24"/>
      <c r="U282" s="24"/>
      <c r="V282" s="24"/>
      <c r="W282" s="24"/>
      <c r="X282" s="24"/>
      <c r="Y282" s="24"/>
      <c r="Z282" s="26"/>
      <c r="AA282" s="26"/>
      <c r="AB282" s="15"/>
      <c r="AC282" s="15"/>
      <c r="AD282" s="16"/>
      <c r="AE282" s="16"/>
      <c r="AF282" s="16"/>
      <c r="AG282" s="16"/>
      <c r="AH282" s="18"/>
      <c r="AI282" s="18"/>
      <c r="AJ282" s="18"/>
      <c r="AK282" s="18"/>
      <c r="AL282" s="18"/>
      <c r="AM282" s="18"/>
      <c r="AN282" s="18"/>
      <c r="AO282" s="18"/>
      <c r="AP282" s="18"/>
      <c r="AQ282" s="18"/>
    </row>
    <row r="283" spans="2:43" s="2" customFormat="1" hidden="1">
      <c r="B283" s="21"/>
      <c r="C283" s="22"/>
      <c r="D283" s="24"/>
      <c r="E283" s="24"/>
      <c r="F283" s="24"/>
      <c r="G283" s="24"/>
      <c r="H283" s="24"/>
      <c r="I283" s="24"/>
      <c r="J283" s="24"/>
      <c r="K283" s="24"/>
      <c r="L283" s="24"/>
      <c r="M283" s="26"/>
      <c r="N283" s="24"/>
      <c r="O283" s="24"/>
      <c r="P283" s="24"/>
      <c r="Q283" s="24"/>
      <c r="R283" s="24"/>
      <c r="S283" s="24"/>
      <c r="T283" s="24"/>
      <c r="U283" s="24"/>
      <c r="V283" s="24"/>
      <c r="W283" s="24"/>
      <c r="X283" s="24"/>
      <c r="Y283" s="24"/>
      <c r="Z283" s="26"/>
      <c r="AA283" s="26"/>
      <c r="AB283" s="15"/>
      <c r="AC283" s="15"/>
      <c r="AD283" s="16"/>
      <c r="AE283" s="16"/>
      <c r="AF283" s="16"/>
      <c r="AG283" s="16"/>
      <c r="AH283" s="18"/>
      <c r="AI283" s="18"/>
      <c r="AJ283" s="18"/>
      <c r="AK283" s="18"/>
      <c r="AL283" s="18"/>
      <c r="AM283" s="18"/>
      <c r="AN283" s="18"/>
      <c r="AO283" s="18"/>
      <c r="AP283" s="18"/>
      <c r="AQ283" s="18"/>
    </row>
    <row r="284" spans="2:43" s="2" customFormat="1" hidden="1">
      <c r="B284" s="21"/>
      <c r="C284" s="22"/>
      <c r="D284" s="24"/>
      <c r="E284" s="24"/>
      <c r="F284" s="24"/>
      <c r="G284" s="24"/>
      <c r="H284" s="24"/>
      <c r="I284" s="24"/>
      <c r="J284" s="24"/>
      <c r="K284" s="24"/>
      <c r="L284" s="24"/>
      <c r="M284" s="26"/>
      <c r="N284" s="24"/>
      <c r="O284" s="24"/>
      <c r="P284" s="24"/>
      <c r="Q284" s="24"/>
      <c r="R284" s="24"/>
      <c r="S284" s="24"/>
      <c r="T284" s="24"/>
      <c r="U284" s="24"/>
      <c r="V284" s="24"/>
      <c r="W284" s="24"/>
      <c r="X284" s="24"/>
      <c r="Y284" s="24"/>
      <c r="Z284" s="26"/>
      <c r="AA284" s="26"/>
      <c r="AB284" s="15"/>
      <c r="AC284" s="15"/>
      <c r="AD284" s="16"/>
      <c r="AE284" s="16"/>
      <c r="AF284" s="16"/>
      <c r="AG284" s="16"/>
      <c r="AH284" s="18"/>
      <c r="AI284" s="18"/>
      <c r="AJ284" s="18"/>
      <c r="AK284" s="18"/>
      <c r="AL284" s="18"/>
      <c r="AM284" s="18"/>
      <c r="AN284" s="18"/>
      <c r="AO284" s="18"/>
      <c r="AP284" s="18"/>
      <c r="AQ284" s="18"/>
    </row>
    <row r="285" spans="2:43" s="2" customFormat="1" hidden="1">
      <c r="B285" s="21"/>
      <c r="C285" s="22"/>
      <c r="D285" s="24"/>
      <c r="E285" s="24"/>
      <c r="F285" s="24"/>
      <c r="G285" s="24"/>
      <c r="H285" s="24"/>
      <c r="I285" s="24"/>
      <c r="J285" s="24"/>
      <c r="K285" s="24"/>
      <c r="L285" s="24"/>
      <c r="M285" s="26"/>
      <c r="N285" s="24"/>
      <c r="O285" s="24"/>
      <c r="P285" s="24"/>
      <c r="Q285" s="24"/>
      <c r="R285" s="24"/>
      <c r="S285" s="24"/>
      <c r="T285" s="24"/>
      <c r="U285" s="24"/>
      <c r="V285" s="24"/>
      <c r="W285" s="24"/>
      <c r="X285" s="24"/>
      <c r="Y285" s="24"/>
      <c r="Z285" s="26"/>
      <c r="AA285" s="26"/>
      <c r="AB285" s="15"/>
      <c r="AC285" s="15"/>
      <c r="AD285" s="16"/>
      <c r="AE285" s="16"/>
      <c r="AF285" s="16"/>
      <c r="AG285" s="16"/>
      <c r="AH285" s="18"/>
      <c r="AI285" s="18"/>
      <c r="AJ285" s="18"/>
      <c r="AK285" s="18"/>
      <c r="AL285" s="18"/>
      <c r="AM285" s="18"/>
      <c r="AN285" s="18"/>
      <c r="AO285" s="18"/>
      <c r="AP285" s="18"/>
      <c r="AQ285" s="18"/>
    </row>
    <row r="286" spans="2:43" s="2" customFormat="1" hidden="1">
      <c r="B286" s="21"/>
      <c r="C286" s="22"/>
      <c r="D286" s="24"/>
      <c r="E286" s="24"/>
      <c r="F286" s="24"/>
      <c r="G286" s="24"/>
      <c r="H286" s="24"/>
      <c r="I286" s="24"/>
      <c r="J286" s="24"/>
      <c r="K286" s="24"/>
      <c r="L286" s="24"/>
      <c r="M286" s="26"/>
      <c r="N286" s="24"/>
      <c r="O286" s="24"/>
      <c r="P286" s="24"/>
      <c r="Q286" s="24"/>
      <c r="R286" s="24"/>
      <c r="S286" s="24"/>
      <c r="T286" s="24"/>
      <c r="U286" s="24"/>
      <c r="V286" s="24"/>
      <c r="W286" s="24"/>
      <c r="X286" s="24"/>
      <c r="Y286" s="24"/>
      <c r="Z286" s="26"/>
      <c r="AA286" s="26"/>
      <c r="AB286" s="15"/>
      <c r="AC286" s="15"/>
      <c r="AD286" s="16"/>
      <c r="AE286" s="16"/>
      <c r="AF286" s="16"/>
      <c r="AG286" s="16"/>
      <c r="AH286" s="18"/>
      <c r="AI286" s="18"/>
      <c r="AJ286" s="18"/>
      <c r="AK286" s="18"/>
      <c r="AL286" s="18"/>
      <c r="AM286" s="18"/>
      <c r="AN286" s="18"/>
      <c r="AO286" s="18"/>
      <c r="AP286" s="18"/>
      <c r="AQ286" s="18"/>
    </row>
    <row r="287" spans="2:43" s="2" customFormat="1" hidden="1">
      <c r="B287" s="21"/>
      <c r="C287" s="22"/>
      <c r="D287" s="24"/>
      <c r="E287" s="24"/>
      <c r="F287" s="24"/>
      <c r="G287" s="24"/>
      <c r="H287" s="24"/>
      <c r="I287" s="24"/>
      <c r="J287" s="24"/>
      <c r="K287" s="24"/>
      <c r="L287" s="24"/>
      <c r="M287" s="26"/>
      <c r="N287" s="24"/>
      <c r="O287" s="24"/>
      <c r="P287" s="24"/>
      <c r="Q287" s="24"/>
      <c r="R287" s="24"/>
      <c r="S287" s="24"/>
      <c r="T287" s="24"/>
      <c r="U287" s="24"/>
      <c r="V287" s="24"/>
      <c r="W287" s="24"/>
      <c r="X287" s="24"/>
      <c r="Y287" s="24"/>
      <c r="Z287" s="26"/>
      <c r="AA287" s="26"/>
      <c r="AB287" s="15"/>
      <c r="AC287" s="15"/>
      <c r="AD287" s="16"/>
      <c r="AE287" s="16"/>
      <c r="AF287" s="16"/>
      <c r="AG287" s="16"/>
      <c r="AH287" s="18"/>
      <c r="AI287" s="18"/>
      <c r="AJ287" s="18"/>
      <c r="AK287" s="18"/>
      <c r="AL287" s="18"/>
      <c r="AM287" s="18"/>
      <c r="AN287" s="18"/>
      <c r="AO287" s="18"/>
      <c r="AP287" s="18"/>
      <c r="AQ287" s="18"/>
    </row>
    <row r="288" spans="2:43" s="2" customFormat="1" hidden="1">
      <c r="B288" s="21"/>
      <c r="C288" s="22"/>
      <c r="D288" s="24"/>
      <c r="E288" s="24"/>
      <c r="F288" s="24"/>
      <c r="G288" s="24"/>
      <c r="H288" s="24"/>
      <c r="I288" s="24"/>
      <c r="J288" s="24"/>
      <c r="K288" s="24"/>
      <c r="L288" s="24"/>
      <c r="M288" s="26"/>
      <c r="N288" s="24"/>
      <c r="O288" s="24"/>
      <c r="P288" s="24"/>
      <c r="Q288" s="24"/>
      <c r="R288" s="24"/>
      <c r="S288" s="24"/>
      <c r="T288" s="24"/>
      <c r="U288" s="24"/>
      <c r="V288" s="24"/>
      <c r="W288" s="24"/>
      <c r="X288" s="24"/>
      <c r="Y288" s="24"/>
      <c r="Z288" s="26"/>
      <c r="AA288" s="26"/>
      <c r="AB288" s="15"/>
      <c r="AC288" s="15"/>
      <c r="AD288" s="16"/>
      <c r="AE288" s="16"/>
      <c r="AF288" s="16"/>
      <c r="AG288" s="16"/>
      <c r="AH288" s="18"/>
      <c r="AI288" s="18"/>
      <c r="AJ288" s="18"/>
      <c r="AK288" s="18"/>
      <c r="AL288" s="18"/>
      <c r="AM288" s="18"/>
      <c r="AN288" s="18"/>
      <c r="AO288" s="18"/>
      <c r="AP288" s="18"/>
      <c r="AQ288" s="18"/>
    </row>
    <row r="289" spans="2:43" s="2" customFormat="1" hidden="1">
      <c r="B289" s="21"/>
      <c r="C289" s="22"/>
      <c r="D289" s="24"/>
      <c r="E289" s="24"/>
      <c r="F289" s="24"/>
      <c r="G289" s="24"/>
      <c r="H289" s="24"/>
      <c r="I289" s="24"/>
      <c r="J289" s="24"/>
      <c r="K289" s="24"/>
      <c r="L289" s="24"/>
      <c r="M289" s="26"/>
      <c r="N289" s="24"/>
      <c r="O289" s="24"/>
      <c r="P289" s="24"/>
      <c r="Q289" s="24"/>
      <c r="R289" s="24"/>
      <c r="S289" s="24"/>
      <c r="T289" s="24"/>
      <c r="U289" s="24"/>
      <c r="V289" s="24"/>
      <c r="W289" s="24"/>
      <c r="X289" s="24"/>
      <c r="Y289" s="24"/>
      <c r="Z289" s="26"/>
      <c r="AA289" s="26"/>
      <c r="AB289" s="15"/>
      <c r="AC289" s="15"/>
      <c r="AD289" s="16"/>
      <c r="AE289" s="16"/>
      <c r="AF289" s="16"/>
      <c r="AG289" s="16"/>
      <c r="AH289" s="18"/>
      <c r="AI289" s="18"/>
      <c r="AJ289" s="18"/>
      <c r="AK289" s="18"/>
      <c r="AL289" s="18"/>
      <c r="AM289" s="18"/>
      <c r="AN289" s="18"/>
      <c r="AO289" s="18"/>
      <c r="AP289" s="18"/>
      <c r="AQ289" s="18"/>
    </row>
    <row r="290" spans="2:43" s="2" customFormat="1" hidden="1">
      <c r="B290" s="21"/>
      <c r="C290" s="22"/>
      <c r="D290" s="24"/>
      <c r="E290" s="24"/>
      <c r="F290" s="24"/>
      <c r="G290" s="24"/>
      <c r="H290" s="24"/>
      <c r="I290" s="24"/>
      <c r="J290" s="24"/>
      <c r="K290" s="24"/>
      <c r="L290" s="24"/>
      <c r="M290" s="26"/>
      <c r="N290" s="24"/>
      <c r="O290" s="24"/>
      <c r="P290" s="24"/>
      <c r="Q290" s="24"/>
      <c r="R290" s="24"/>
      <c r="S290" s="24"/>
      <c r="T290" s="24"/>
      <c r="U290" s="24"/>
      <c r="V290" s="24"/>
      <c r="W290" s="24"/>
      <c r="X290" s="24"/>
      <c r="Y290" s="24"/>
      <c r="Z290" s="26"/>
      <c r="AA290" s="26"/>
      <c r="AB290" s="15"/>
      <c r="AC290" s="15"/>
      <c r="AD290" s="16"/>
      <c r="AE290" s="16"/>
      <c r="AF290" s="16"/>
      <c r="AG290" s="16"/>
      <c r="AH290" s="18"/>
      <c r="AI290" s="18"/>
      <c r="AJ290" s="18"/>
      <c r="AK290" s="18"/>
      <c r="AL290" s="18"/>
      <c r="AM290" s="18"/>
      <c r="AN290" s="18"/>
      <c r="AO290" s="18"/>
      <c r="AP290" s="18"/>
      <c r="AQ290" s="18"/>
    </row>
    <row r="291" spans="2:43" s="2" customFormat="1" hidden="1">
      <c r="B291" s="21"/>
      <c r="C291" s="22"/>
      <c r="D291" s="24"/>
      <c r="E291" s="24"/>
      <c r="F291" s="24"/>
      <c r="G291" s="24"/>
      <c r="H291" s="24"/>
      <c r="I291" s="24"/>
      <c r="J291" s="24"/>
      <c r="K291" s="24"/>
      <c r="L291" s="24"/>
      <c r="M291" s="26"/>
      <c r="N291" s="24"/>
      <c r="O291" s="24"/>
      <c r="P291" s="24"/>
      <c r="Q291" s="24"/>
      <c r="R291" s="24"/>
      <c r="S291" s="24"/>
      <c r="T291" s="24"/>
      <c r="U291" s="24"/>
      <c r="V291" s="24"/>
      <c r="W291" s="24"/>
      <c r="X291" s="24"/>
      <c r="Y291" s="24"/>
      <c r="Z291" s="26"/>
      <c r="AA291" s="26"/>
      <c r="AB291" s="15"/>
      <c r="AC291" s="15"/>
      <c r="AD291" s="16"/>
      <c r="AE291" s="16"/>
      <c r="AF291" s="16"/>
      <c r="AG291" s="16"/>
      <c r="AH291" s="18"/>
      <c r="AI291" s="18"/>
      <c r="AJ291" s="18"/>
      <c r="AK291" s="18"/>
      <c r="AL291" s="18"/>
      <c r="AM291" s="18"/>
      <c r="AN291" s="18"/>
      <c r="AO291" s="18"/>
      <c r="AP291" s="18"/>
      <c r="AQ291" s="18"/>
    </row>
    <row r="292" spans="2:43" s="2" customFormat="1" hidden="1">
      <c r="B292" s="21"/>
      <c r="C292" s="22"/>
      <c r="D292" s="24"/>
      <c r="E292" s="24"/>
      <c r="F292" s="24"/>
      <c r="G292" s="24"/>
      <c r="H292" s="24"/>
      <c r="I292" s="24"/>
      <c r="J292" s="24"/>
      <c r="K292" s="24"/>
      <c r="L292" s="24"/>
      <c r="M292" s="26"/>
      <c r="N292" s="24"/>
      <c r="O292" s="24"/>
      <c r="P292" s="24"/>
      <c r="Q292" s="24"/>
      <c r="R292" s="24"/>
      <c r="S292" s="24"/>
      <c r="T292" s="24"/>
      <c r="U292" s="24"/>
      <c r="V292" s="24"/>
      <c r="W292" s="24"/>
      <c r="X292" s="24"/>
      <c r="Y292" s="24"/>
      <c r="Z292" s="26"/>
      <c r="AA292" s="26"/>
      <c r="AB292" s="15"/>
      <c r="AC292" s="15"/>
      <c r="AD292" s="16"/>
      <c r="AE292" s="16"/>
      <c r="AF292" s="16"/>
      <c r="AG292" s="16"/>
      <c r="AH292" s="18"/>
      <c r="AI292" s="18"/>
      <c r="AJ292" s="18"/>
      <c r="AK292" s="18"/>
      <c r="AL292" s="18"/>
      <c r="AM292" s="18"/>
      <c r="AN292" s="18"/>
      <c r="AO292" s="18"/>
      <c r="AP292" s="18"/>
      <c r="AQ292" s="18"/>
    </row>
    <row r="293" spans="2:43" s="2" customFormat="1" hidden="1">
      <c r="B293" s="21"/>
      <c r="C293" s="22"/>
      <c r="D293" s="24"/>
      <c r="E293" s="24"/>
      <c r="F293" s="24"/>
      <c r="G293" s="24"/>
      <c r="H293" s="24"/>
      <c r="I293" s="24"/>
      <c r="J293" s="24"/>
      <c r="K293" s="24"/>
      <c r="L293" s="24"/>
      <c r="M293" s="26"/>
      <c r="N293" s="24"/>
      <c r="O293" s="24"/>
      <c r="P293" s="24"/>
      <c r="Q293" s="24"/>
      <c r="R293" s="24"/>
      <c r="S293" s="24"/>
      <c r="T293" s="24"/>
      <c r="U293" s="24"/>
      <c r="V293" s="24"/>
      <c r="W293" s="24"/>
      <c r="X293" s="24"/>
      <c r="Y293" s="24"/>
      <c r="Z293" s="26"/>
      <c r="AA293" s="26"/>
      <c r="AB293" s="15"/>
      <c r="AC293" s="15"/>
      <c r="AD293" s="16"/>
      <c r="AE293" s="16"/>
      <c r="AF293" s="16"/>
      <c r="AG293" s="16"/>
      <c r="AH293" s="18"/>
      <c r="AI293" s="18"/>
      <c r="AJ293" s="18"/>
      <c r="AK293" s="18"/>
      <c r="AL293" s="18"/>
      <c r="AM293" s="18"/>
      <c r="AN293" s="18"/>
      <c r="AO293" s="18"/>
      <c r="AP293" s="18"/>
      <c r="AQ293" s="18"/>
    </row>
    <row r="294" spans="2:43" s="2" customFormat="1" hidden="1">
      <c r="B294" s="21"/>
      <c r="C294" s="22"/>
      <c r="D294" s="24"/>
      <c r="E294" s="24"/>
      <c r="F294" s="24"/>
      <c r="G294" s="24"/>
      <c r="H294" s="24"/>
      <c r="I294" s="24"/>
      <c r="J294" s="24"/>
      <c r="K294" s="24"/>
      <c r="L294" s="24"/>
      <c r="M294" s="26"/>
      <c r="N294" s="24"/>
      <c r="O294" s="24"/>
      <c r="P294" s="24"/>
      <c r="Q294" s="24"/>
      <c r="R294" s="24"/>
      <c r="S294" s="24"/>
      <c r="T294" s="24"/>
      <c r="U294" s="24"/>
      <c r="V294" s="24"/>
      <c r="W294" s="24"/>
      <c r="X294" s="24"/>
      <c r="Y294" s="24"/>
      <c r="Z294" s="26"/>
      <c r="AA294" s="26"/>
      <c r="AB294" s="15"/>
      <c r="AC294" s="15"/>
      <c r="AD294" s="16"/>
      <c r="AE294" s="16"/>
      <c r="AF294" s="16"/>
      <c r="AG294" s="16"/>
      <c r="AH294" s="18"/>
      <c r="AI294" s="18"/>
      <c r="AJ294" s="18"/>
      <c r="AK294" s="18"/>
      <c r="AL294" s="18"/>
      <c r="AM294" s="18"/>
      <c r="AN294" s="18"/>
      <c r="AO294" s="18"/>
      <c r="AP294" s="18"/>
      <c r="AQ294" s="18"/>
    </row>
    <row r="295" spans="2:43" s="2" customFormat="1" hidden="1">
      <c r="B295" s="21"/>
      <c r="C295" s="22"/>
      <c r="D295" s="24"/>
      <c r="E295" s="24"/>
      <c r="F295" s="24"/>
      <c r="G295" s="24"/>
      <c r="H295" s="24"/>
      <c r="I295" s="24"/>
      <c r="J295" s="24"/>
      <c r="K295" s="24"/>
      <c r="L295" s="24"/>
      <c r="M295" s="26"/>
      <c r="N295" s="24"/>
      <c r="O295" s="24"/>
      <c r="P295" s="24"/>
      <c r="Q295" s="24"/>
      <c r="R295" s="24"/>
      <c r="S295" s="24"/>
      <c r="T295" s="24"/>
      <c r="U295" s="24"/>
      <c r="V295" s="24"/>
      <c r="W295" s="24"/>
      <c r="X295" s="24"/>
      <c r="Y295" s="24"/>
      <c r="Z295" s="26"/>
      <c r="AA295" s="26"/>
      <c r="AB295" s="15"/>
      <c r="AC295" s="15"/>
      <c r="AD295" s="16"/>
      <c r="AE295" s="16"/>
      <c r="AF295" s="16"/>
      <c r="AG295" s="16"/>
      <c r="AH295" s="18"/>
      <c r="AI295" s="18"/>
      <c r="AJ295" s="18"/>
      <c r="AK295" s="18"/>
      <c r="AL295" s="18"/>
      <c r="AM295" s="18"/>
      <c r="AN295" s="18"/>
      <c r="AO295" s="18"/>
      <c r="AP295" s="18"/>
      <c r="AQ295" s="18"/>
    </row>
    <row r="296" spans="2:43" s="2" customFormat="1" hidden="1">
      <c r="B296" s="21"/>
      <c r="C296" s="22"/>
      <c r="D296" s="24"/>
      <c r="E296" s="24"/>
      <c r="F296" s="24"/>
      <c r="G296" s="24"/>
      <c r="H296" s="24"/>
      <c r="I296" s="24"/>
      <c r="J296" s="24"/>
      <c r="K296" s="24"/>
      <c r="L296" s="24"/>
      <c r="M296" s="26"/>
      <c r="N296" s="24"/>
      <c r="O296" s="24"/>
      <c r="P296" s="24"/>
      <c r="Q296" s="24"/>
      <c r="R296" s="24"/>
      <c r="S296" s="24"/>
      <c r="T296" s="24"/>
      <c r="U296" s="24"/>
      <c r="V296" s="24"/>
      <c r="W296" s="24"/>
      <c r="X296" s="24"/>
      <c r="Y296" s="24"/>
      <c r="Z296" s="26"/>
      <c r="AA296" s="26"/>
      <c r="AB296" s="15"/>
      <c r="AC296" s="15"/>
      <c r="AD296" s="16"/>
      <c r="AE296" s="16"/>
      <c r="AF296" s="16"/>
      <c r="AG296" s="16"/>
      <c r="AH296" s="18"/>
      <c r="AI296" s="18"/>
      <c r="AJ296" s="18"/>
      <c r="AK296" s="18"/>
      <c r="AL296" s="18"/>
      <c r="AM296" s="18"/>
      <c r="AN296" s="18"/>
      <c r="AO296" s="18"/>
      <c r="AP296" s="18"/>
      <c r="AQ296" s="18"/>
    </row>
    <row r="297" spans="2:43" s="2" customFormat="1" hidden="1">
      <c r="B297" s="21"/>
      <c r="C297" s="22"/>
      <c r="D297" s="24"/>
      <c r="E297" s="24"/>
      <c r="F297" s="24"/>
      <c r="G297" s="24"/>
      <c r="H297" s="24"/>
      <c r="I297" s="24"/>
      <c r="J297" s="24"/>
      <c r="K297" s="24"/>
      <c r="L297" s="24"/>
      <c r="M297" s="26"/>
      <c r="N297" s="24"/>
      <c r="O297" s="24"/>
      <c r="P297" s="24"/>
      <c r="Q297" s="24"/>
      <c r="R297" s="24"/>
      <c r="S297" s="24"/>
      <c r="T297" s="24"/>
      <c r="U297" s="24"/>
      <c r="V297" s="24"/>
      <c r="W297" s="24"/>
      <c r="X297" s="24"/>
      <c r="Y297" s="24"/>
      <c r="Z297" s="26"/>
      <c r="AA297" s="26"/>
      <c r="AB297" s="15"/>
      <c r="AC297" s="15"/>
      <c r="AD297" s="16"/>
      <c r="AE297" s="16"/>
      <c r="AF297" s="16"/>
      <c r="AG297" s="16"/>
      <c r="AH297" s="18"/>
      <c r="AI297" s="18"/>
      <c r="AJ297" s="18"/>
      <c r="AK297" s="18"/>
      <c r="AL297" s="18"/>
      <c r="AM297" s="18"/>
      <c r="AN297" s="18"/>
      <c r="AO297" s="18"/>
      <c r="AP297" s="18"/>
      <c r="AQ297" s="18"/>
    </row>
    <row r="298" spans="2:43" s="2" customFormat="1" hidden="1">
      <c r="B298" s="21"/>
      <c r="C298" s="22"/>
      <c r="D298" s="24"/>
      <c r="E298" s="24"/>
      <c r="F298" s="24"/>
      <c r="G298" s="24"/>
      <c r="H298" s="24"/>
      <c r="I298" s="24"/>
      <c r="J298" s="24"/>
      <c r="K298" s="24"/>
      <c r="L298" s="24"/>
      <c r="M298" s="26"/>
      <c r="N298" s="24"/>
      <c r="O298" s="24"/>
      <c r="P298" s="24"/>
      <c r="Q298" s="24"/>
      <c r="R298" s="24"/>
      <c r="S298" s="24"/>
      <c r="T298" s="24"/>
      <c r="U298" s="24"/>
      <c r="V298" s="24"/>
      <c r="W298" s="24"/>
      <c r="X298" s="24"/>
      <c r="Y298" s="24"/>
      <c r="Z298" s="26"/>
      <c r="AA298" s="26"/>
      <c r="AB298" s="15"/>
      <c r="AC298" s="15"/>
      <c r="AD298" s="16"/>
      <c r="AE298" s="16"/>
      <c r="AF298" s="16"/>
      <c r="AG298" s="16"/>
      <c r="AH298" s="18"/>
      <c r="AI298" s="18"/>
      <c r="AJ298" s="18"/>
      <c r="AK298" s="18"/>
      <c r="AL298" s="18"/>
      <c r="AM298" s="18"/>
      <c r="AN298" s="18"/>
      <c r="AO298" s="18"/>
      <c r="AP298" s="18"/>
      <c r="AQ298" s="18"/>
    </row>
    <row r="299" spans="2:43" s="2" customFormat="1" hidden="1">
      <c r="B299" s="21"/>
      <c r="C299" s="22"/>
      <c r="D299" s="24"/>
      <c r="E299" s="24"/>
      <c r="F299" s="24"/>
      <c r="G299" s="24"/>
      <c r="H299" s="24"/>
      <c r="I299" s="24"/>
      <c r="J299" s="24"/>
      <c r="K299" s="24"/>
      <c r="L299" s="24"/>
      <c r="M299" s="26"/>
      <c r="N299" s="24"/>
      <c r="O299" s="24"/>
      <c r="P299" s="24"/>
      <c r="Q299" s="24"/>
      <c r="R299" s="24"/>
      <c r="S299" s="24"/>
      <c r="T299" s="24"/>
      <c r="U299" s="24"/>
      <c r="V299" s="24"/>
      <c r="W299" s="24"/>
      <c r="X299" s="24"/>
      <c r="Y299" s="24"/>
      <c r="Z299" s="26"/>
      <c r="AA299" s="26"/>
      <c r="AB299" s="15"/>
      <c r="AC299" s="15"/>
      <c r="AD299" s="16"/>
      <c r="AE299" s="16"/>
      <c r="AF299" s="16"/>
      <c r="AG299" s="16"/>
      <c r="AH299" s="18"/>
      <c r="AI299" s="18"/>
      <c r="AJ299" s="18"/>
      <c r="AK299" s="18"/>
      <c r="AL299" s="18"/>
      <c r="AM299" s="18"/>
      <c r="AN299" s="18"/>
      <c r="AO299" s="18"/>
      <c r="AP299" s="18"/>
      <c r="AQ299" s="18"/>
    </row>
    <row r="300" spans="2:43" s="2" customFormat="1" hidden="1">
      <c r="B300" s="21"/>
      <c r="C300" s="22"/>
      <c r="D300" s="24"/>
      <c r="E300" s="24"/>
      <c r="F300" s="24"/>
      <c r="G300" s="24"/>
      <c r="H300" s="24"/>
      <c r="I300" s="24"/>
      <c r="J300" s="24"/>
      <c r="K300" s="24"/>
      <c r="L300" s="24"/>
      <c r="M300" s="26"/>
      <c r="N300" s="24"/>
      <c r="O300" s="24"/>
      <c r="P300" s="24"/>
      <c r="Q300" s="24"/>
      <c r="R300" s="24"/>
      <c r="S300" s="24"/>
      <c r="T300" s="24"/>
      <c r="U300" s="24"/>
      <c r="V300" s="24"/>
      <c r="W300" s="24"/>
      <c r="X300" s="24"/>
      <c r="Y300" s="24"/>
      <c r="Z300" s="26"/>
      <c r="AA300" s="26"/>
      <c r="AB300" s="15"/>
      <c r="AC300" s="15"/>
      <c r="AD300" s="16"/>
      <c r="AE300" s="16"/>
      <c r="AF300" s="16"/>
      <c r="AG300" s="16"/>
      <c r="AH300" s="18"/>
      <c r="AI300" s="18"/>
      <c r="AJ300" s="18"/>
      <c r="AK300" s="18"/>
      <c r="AL300" s="18"/>
      <c r="AM300" s="18"/>
      <c r="AN300" s="18"/>
      <c r="AO300" s="18"/>
      <c r="AP300" s="18"/>
      <c r="AQ300" s="18"/>
    </row>
    <row r="301" spans="2:43" s="2" customFormat="1" hidden="1">
      <c r="B301" s="21"/>
      <c r="C301" s="22"/>
      <c r="D301" s="24"/>
      <c r="E301" s="24"/>
      <c r="F301" s="24"/>
      <c r="G301" s="24"/>
      <c r="H301" s="24"/>
      <c r="I301" s="24"/>
      <c r="J301" s="24"/>
      <c r="K301" s="24"/>
      <c r="L301" s="24"/>
      <c r="M301" s="26"/>
      <c r="N301" s="24"/>
      <c r="O301" s="24"/>
      <c r="P301" s="24"/>
      <c r="Q301" s="24"/>
      <c r="R301" s="24"/>
      <c r="S301" s="24"/>
      <c r="T301" s="24"/>
      <c r="U301" s="24"/>
      <c r="V301" s="24"/>
      <c r="W301" s="24"/>
      <c r="X301" s="24"/>
      <c r="Y301" s="24"/>
      <c r="Z301" s="26"/>
      <c r="AA301" s="26"/>
      <c r="AB301" s="15"/>
      <c r="AC301" s="15"/>
      <c r="AD301" s="16"/>
      <c r="AE301" s="16"/>
      <c r="AF301" s="16"/>
      <c r="AG301" s="16"/>
      <c r="AH301" s="18"/>
      <c r="AI301" s="18"/>
      <c r="AJ301" s="18"/>
      <c r="AK301" s="18"/>
      <c r="AL301" s="18"/>
      <c r="AM301" s="18"/>
      <c r="AN301" s="18"/>
      <c r="AO301" s="18"/>
      <c r="AP301" s="18"/>
      <c r="AQ301" s="18"/>
    </row>
    <row r="302" spans="2:43" s="2" customFormat="1" hidden="1">
      <c r="B302" s="21"/>
      <c r="C302" s="22"/>
      <c r="D302" s="24"/>
      <c r="E302" s="24"/>
      <c r="F302" s="24"/>
      <c r="G302" s="24"/>
      <c r="H302" s="24"/>
      <c r="I302" s="24"/>
      <c r="J302" s="24"/>
      <c r="K302" s="24"/>
      <c r="L302" s="24"/>
      <c r="M302" s="26"/>
      <c r="N302" s="24"/>
      <c r="O302" s="24"/>
      <c r="P302" s="24"/>
      <c r="Q302" s="24"/>
      <c r="R302" s="24"/>
      <c r="S302" s="24"/>
      <c r="T302" s="24"/>
      <c r="U302" s="24"/>
      <c r="V302" s="24"/>
      <c r="W302" s="24"/>
      <c r="X302" s="24"/>
      <c r="Y302" s="24"/>
      <c r="Z302" s="26"/>
      <c r="AA302" s="26"/>
      <c r="AB302" s="15"/>
      <c r="AC302" s="15"/>
      <c r="AD302" s="16"/>
      <c r="AE302" s="16"/>
      <c r="AF302" s="16"/>
      <c r="AG302" s="16"/>
      <c r="AH302" s="18"/>
      <c r="AI302" s="18"/>
      <c r="AJ302" s="18"/>
      <c r="AK302" s="18"/>
      <c r="AL302" s="18"/>
      <c r="AM302" s="18"/>
      <c r="AN302" s="18"/>
      <c r="AO302" s="18"/>
      <c r="AP302" s="18"/>
      <c r="AQ302" s="18"/>
    </row>
    <row r="303" spans="2:43" s="2" customFormat="1" hidden="1">
      <c r="B303" s="21"/>
      <c r="C303" s="22"/>
      <c r="D303" s="24"/>
      <c r="E303" s="24"/>
      <c r="F303" s="24"/>
      <c r="G303" s="24"/>
      <c r="H303" s="24"/>
      <c r="I303" s="24"/>
      <c r="J303" s="24"/>
      <c r="K303" s="24"/>
      <c r="L303" s="24"/>
      <c r="M303" s="26"/>
      <c r="N303" s="24"/>
      <c r="O303" s="24"/>
      <c r="P303" s="24"/>
      <c r="Q303" s="24"/>
      <c r="R303" s="24"/>
      <c r="S303" s="24"/>
      <c r="T303" s="24"/>
      <c r="U303" s="24"/>
      <c r="V303" s="24"/>
      <c r="W303" s="24"/>
      <c r="X303" s="24"/>
      <c r="Y303" s="24"/>
      <c r="Z303" s="26"/>
      <c r="AA303" s="26"/>
      <c r="AB303" s="15"/>
      <c r="AC303" s="15"/>
      <c r="AD303" s="16"/>
      <c r="AE303" s="16"/>
      <c r="AF303" s="16"/>
      <c r="AG303" s="16"/>
      <c r="AH303" s="18"/>
      <c r="AI303" s="18"/>
      <c r="AJ303" s="18"/>
      <c r="AK303" s="18"/>
      <c r="AL303" s="18"/>
      <c r="AM303" s="18"/>
      <c r="AN303" s="18"/>
      <c r="AO303" s="18"/>
      <c r="AP303" s="18"/>
      <c r="AQ303" s="18"/>
    </row>
    <row r="304" spans="2:43" s="2" customFormat="1" hidden="1">
      <c r="B304" s="21"/>
      <c r="C304" s="22"/>
      <c r="D304" s="24"/>
      <c r="E304" s="24"/>
      <c r="F304" s="24"/>
      <c r="G304" s="24"/>
      <c r="H304" s="24"/>
      <c r="I304" s="24"/>
      <c r="J304" s="24"/>
      <c r="K304" s="24"/>
      <c r="L304" s="24"/>
      <c r="M304" s="26"/>
      <c r="N304" s="24"/>
      <c r="O304" s="24"/>
      <c r="P304" s="24"/>
      <c r="Q304" s="24"/>
      <c r="R304" s="24"/>
      <c r="S304" s="24"/>
      <c r="T304" s="24"/>
      <c r="U304" s="24"/>
      <c r="V304" s="24"/>
      <c r="W304" s="24"/>
      <c r="X304" s="24"/>
      <c r="Y304" s="24"/>
      <c r="Z304" s="26"/>
      <c r="AA304" s="26"/>
      <c r="AB304" s="15"/>
      <c r="AC304" s="15"/>
      <c r="AD304" s="16"/>
      <c r="AE304" s="16"/>
      <c r="AF304" s="16"/>
      <c r="AG304" s="16"/>
      <c r="AH304" s="18"/>
      <c r="AI304" s="18"/>
      <c r="AJ304" s="18"/>
      <c r="AK304" s="18"/>
      <c r="AL304" s="18"/>
      <c r="AM304" s="18"/>
      <c r="AN304" s="18"/>
      <c r="AO304" s="18"/>
      <c r="AP304" s="18"/>
      <c r="AQ304" s="18"/>
    </row>
    <row r="305" spans="2:43" s="2" customFormat="1" hidden="1">
      <c r="B305" s="21"/>
      <c r="C305" s="22"/>
      <c r="D305" s="24"/>
      <c r="E305" s="24"/>
      <c r="F305" s="24"/>
      <c r="G305" s="24"/>
      <c r="H305" s="24"/>
      <c r="I305" s="24"/>
      <c r="J305" s="24"/>
      <c r="K305" s="24"/>
      <c r="L305" s="24"/>
      <c r="M305" s="26"/>
      <c r="N305" s="24"/>
      <c r="O305" s="24"/>
      <c r="P305" s="24"/>
      <c r="Q305" s="24"/>
      <c r="R305" s="24"/>
      <c r="S305" s="24"/>
      <c r="T305" s="24"/>
      <c r="U305" s="24"/>
      <c r="V305" s="24"/>
      <c r="W305" s="24"/>
      <c r="X305" s="24"/>
      <c r="Y305" s="24"/>
      <c r="Z305" s="26"/>
      <c r="AA305" s="26"/>
      <c r="AB305" s="15"/>
      <c r="AC305" s="15"/>
      <c r="AD305" s="16"/>
      <c r="AE305" s="16"/>
      <c r="AF305" s="16"/>
      <c r="AG305" s="16"/>
      <c r="AH305" s="18"/>
      <c r="AI305" s="18"/>
      <c r="AJ305" s="18"/>
      <c r="AK305" s="18"/>
      <c r="AL305" s="18"/>
      <c r="AM305" s="18"/>
      <c r="AN305" s="18"/>
      <c r="AO305" s="18"/>
      <c r="AP305" s="18"/>
      <c r="AQ305" s="18"/>
    </row>
    <row r="306" spans="2:43" s="2" customFormat="1" hidden="1">
      <c r="B306" s="21"/>
      <c r="C306" s="22"/>
      <c r="D306" s="24"/>
      <c r="E306" s="24"/>
      <c r="F306" s="24"/>
      <c r="G306" s="24"/>
      <c r="H306" s="24"/>
      <c r="I306" s="24"/>
      <c r="J306" s="24"/>
      <c r="K306" s="24"/>
      <c r="L306" s="24"/>
      <c r="M306" s="26"/>
      <c r="N306" s="24"/>
      <c r="O306" s="24"/>
      <c r="P306" s="24"/>
      <c r="Q306" s="24"/>
      <c r="R306" s="24"/>
      <c r="S306" s="24"/>
      <c r="T306" s="24"/>
      <c r="U306" s="24"/>
      <c r="V306" s="24"/>
      <c r="W306" s="24"/>
      <c r="X306" s="24"/>
      <c r="Y306" s="24"/>
      <c r="Z306" s="26"/>
      <c r="AA306" s="26"/>
      <c r="AB306" s="15"/>
      <c r="AC306" s="15"/>
      <c r="AD306" s="16"/>
      <c r="AE306" s="16"/>
      <c r="AF306" s="16"/>
      <c r="AG306" s="16"/>
      <c r="AH306" s="18"/>
      <c r="AI306" s="18"/>
      <c r="AJ306" s="18"/>
      <c r="AK306" s="18"/>
      <c r="AL306" s="18"/>
      <c r="AM306" s="18"/>
      <c r="AN306" s="18"/>
      <c r="AO306" s="18"/>
      <c r="AP306" s="18"/>
      <c r="AQ306" s="18"/>
    </row>
    <row r="307" spans="2:43" s="2" customFormat="1" hidden="1">
      <c r="B307" s="21"/>
      <c r="C307" s="22"/>
      <c r="D307" s="24"/>
      <c r="E307" s="24"/>
      <c r="F307" s="24"/>
      <c r="G307" s="24"/>
      <c r="H307" s="24"/>
      <c r="I307" s="24"/>
      <c r="J307" s="24"/>
      <c r="K307" s="24"/>
      <c r="L307" s="24"/>
      <c r="M307" s="26"/>
      <c r="N307" s="24"/>
      <c r="O307" s="24"/>
      <c r="P307" s="24"/>
      <c r="Q307" s="24"/>
      <c r="R307" s="24"/>
      <c r="S307" s="24"/>
      <c r="T307" s="24"/>
      <c r="U307" s="24"/>
      <c r="V307" s="24"/>
      <c r="W307" s="24"/>
      <c r="X307" s="24"/>
      <c r="Y307" s="24"/>
      <c r="Z307" s="26"/>
      <c r="AA307" s="26"/>
      <c r="AB307" s="15"/>
      <c r="AC307" s="15"/>
      <c r="AD307" s="16"/>
      <c r="AE307" s="16"/>
      <c r="AF307" s="16"/>
      <c r="AG307" s="16"/>
      <c r="AH307" s="18"/>
      <c r="AI307" s="18"/>
      <c r="AJ307" s="18"/>
      <c r="AK307" s="18"/>
      <c r="AL307" s="18"/>
      <c r="AM307" s="18"/>
      <c r="AN307" s="18"/>
      <c r="AO307" s="18"/>
      <c r="AP307" s="18"/>
      <c r="AQ307" s="18"/>
    </row>
    <row r="308" spans="2:43" s="2" customFormat="1" hidden="1">
      <c r="B308" s="21"/>
      <c r="C308" s="22"/>
      <c r="D308" s="24"/>
      <c r="E308" s="24"/>
      <c r="F308" s="24"/>
      <c r="G308" s="24"/>
      <c r="H308" s="24"/>
      <c r="I308" s="24"/>
      <c r="J308" s="24"/>
      <c r="K308" s="24"/>
      <c r="L308" s="24"/>
      <c r="M308" s="26"/>
      <c r="N308" s="24"/>
      <c r="O308" s="24"/>
      <c r="P308" s="24"/>
      <c r="Q308" s="24"/>
      <c r="R308" s="24"/>
      <c r="S308" s="24"/>
      <c r="T308" s="24"/>
      <c r="U308" s="24"/>
      <c r="V308" s="24"/>
      <c r="W308" s="24"/>
      <c r="X308" s="24"/>
      <c r="Y308" s="24"/>
      <c r="Z308" s="26"/>
      <c r="AA308" s="26"/>
      <c r="AB308" s="15"/>
      <c r="AC308" s="15"/>
      <c r="AD308" s="16"/>
      <c r="AE308" s="16"/>
      <c r="AF308" s="16"/>
      <c r="AG308" s="16"/>
      <c r="AH308" s="18"/>
      <c r="AI308" s="18"/>
      <c r="AJ308" s="18"/>
      <c r="AK308" s="18"/>
      <c r="AL308" s="18"/>
      <c r="AM308" s="18"/>
      <c r="AN308" s="18"/>
      <c r="AO308" s="18"/>
      <c r="AP308" s="18"/>
      <c r="AQ308" s="18"/>
    </row>
    <row r="309" spans="2:43" s="2" customFormat="1" hidden="1">
      <c r="B309" s="21"/>
      <c r="C309" s="22"/>
      <c r="D309" s="24"/>
      <c r="E309" s="24"/>
      <c r="F309" s="24"/>
      <c r="G309" s="24"/>
      <c r="H309" s="24"/>
      <c r="I309" s="24"/>
      <c r="J309" s="24"/>
      <c r="K309" s="24"/>
      <c r="L309" s="24"/>
      <c r="M309" s="26"/>
      <c r="N309" s="24"/>
      <c r="O309" s="24"/>
      <c r="P309" s="24"/>
      <c r="Q309" s="24"/>
      <c r="R309" s="24"/>
      <c r="S309" s="24"/>
      <c r="T309" s="24"/>
      <c r="U309" s="24"/>
      <c r="V309" s="24"/>
      <c r="W309" s="24"/>
      <c r="X309" s="24"/>
      <c r="Y309" s="24"/>
      <c r="Z309" s="26"/>
      <c r="AA309" s="26"/>
      <c r="AB309" s="15"/>
      <c r="AC309" s="15"/>
      <c r="AD309" s="16"/>
      <c r="AE309" s="16"/>
      <c r="AF309" s="16"/>
      <c r="AG309" s="16"/>
      <c r="AH309" s="18"/>
      <c r="AI309" s="18"/>
      <c r="AJ309" s="18"/>
      <c r="AK309" s="18"/>
      <c r="AL309" s="18"/>
      <c r="AM309" s="18"/>
      <c r="AN309" s="18"/>
      <c r="AO309" s="18"/>
      <c r="AP309" s="18"/>
      <c r="AQ309" s="18"/>
    </row>
    <row r="310" spans="2:43" s="2" customFormat="1" hidden="1">
      <c r="B310" s="21"/>
      <c r="C310" s="22"/>
      <c r="D310" s="24"/>
      <c r="E310" s="24"/>
      <c r="F310" s="24"/>
      <c r="G310" s="24"/>
      <c r="H310" s="24"/>
      <c r="I310" s="24"/>
      <c r="J310" s="24"/>
      <c r="K310" s="24"/>
      <c r="L310" s="24"/>
      <c r="M310" s="26"/>
      <c r="N310" s="24"/>
      <c r="O310" s="24"/>
      <c r="P310" s="24"/>
      <c r="Q310" s="24"/>
      <c r="R310" s="24"/>
      <c r="S310" s="24"/>
      <c r="T310" s="24"/>
      <c r="U310" s="24"/>
      <c r="V310" s="24"/>
      <c r="W310" s="24"/>
      <c r="X310" s="24"/>
      <c r="Y310" s="24"/>
      <c r="Z310" s="26"/>
      <c r="AA310" s="26"/>
      <c r="AB310" s="15"/>
      <c r="AC310" s="15"/>
      <c r="AD310" s="16"/>
      <c r="AE310" s="16"/>
      <c r="AF310" s="16"/>
      <c r="AG310" s="16"/>
      <c r="AH310" s="18"/>
      <c r="AI310" s="18"/>
      <c r="AJ310" s="18"/>
      <c r="AK310" s="18"/>
      <c r="AL310" s="18"/>
      <c r="AM310" s="18"/>
      <c r="AN310" s="18"/>
      <c r="AO310" s="18"/>
      <c r="AP310" s="18"/>
      <c r="AQ310" s="18"/>
    </row>
    <row r="311" spans="2:43" s="2" customFormat="1" hidden="1">
      <c r="B311" s="21"/>
      <c r="C311" s="22"/>
      <c r="D311" s="24"/>
      <c r="E311" s="24"/>
      <c r="F311" s="24"/>
      <c r="G311" s="24"/>
      <c r="H311" s="24"/>
      <c r="I311" s="24"/>
      <c r="J311" s="24"/>
      <c r="K311" s="24"/>
      <c r="L311" s="24"/>
      <c r="M311" s="26"/>
      <c r="N311" s="24"/>
      <c r="O311" s="24"/>
      <c r="P311" s="24"/>
      <c r="Q311" s="24"/>
      <c r="R311" s="24"/>
      <c r="S311" s="24"/>
      <c r="T311" s="24"/>
      <c r="U311" s="24"/>
      <c r="V311" s="24"/>
      <c r="W311" s="24"/>
      <c r="X311" s="24"/>
      <c r="Y311" s="24"/>
      <c r="Z311" s="26"/>
      <c r="AA311" s="26"/>
      <c r="AB311" s="15"/>
      <c r="AC311" s="15"/>
      <c r="AD311" s="16"/>
      <c r="AE311" s="16"/>
      <c r="AF311" s="16"/>
      <c r="AG311" s="16"/>
      <c r="AH311" s="18"/>
      <c r="AI311" s="18"/>
      <c r="AJ311" s="18"/>
      <c r="AK311" s="18"/>
      <c r="AL311" s="18"/>
      <c r="AM311" s="18"/>
      <c r="AN311" s="18"/>
      <c r="AO311" s="18"/>
      <c r="AP311" s="18"/>
      <c r="AQ311" s="18"/>
    </row>
    <row r="312" spans="2:43" s="2" customFormat="1" hidden="1">
      <c r="B312" s="21"/>
      <c r="C312" s="22"/>
      <c r="D312" s="24"/>
      <c r="E312" s="24"/>
      <c r="F312" s="24"/>
      <c r="G312" s="24"/>
      <c r="H312" s="24"/>
      <c r="I312" s="24"/>
      <c r="J312" s="24"/>
      <c r="K312" s="24"/>
      <c r="L312" s="24"/>
      <c r="M312" s="26"/>
      <c r="N312" s="24"/>
      <c r="O312" s="24"/>
      <c r="P312" s="24"/>
      <c r="Q312" s="24"/>
      <c r="R312" s="24"/>
      <c r="S312" s="24"/>
      <c r="T312" s="24"/>
      <c r="U312" s="24"/>
      <c r="V312" s="24"/>
      <c r="W312" s="24"/>
      <c r="X312" s="24"/>
      <c r="Y312" s="24"/>
      <c r="Z312" s="26"/>
      <c r="AA312" s="26"/>
      <c r="AB312" s="15"/>
      <c r="AC312" s="15"/>
      <c r="AD312" s="16"/>
      <c r="AE312" s="16"/>
      <c r="AF312" s="16"/>
      <c r="AG312" s="16"/>
      <c r="AH312" s="18"/>
      <c r="AI312" s="18"/>
      <c r="AJ312" s="18"/>
      <c r="AK312" s="18"/>
      <c r="AL312" s="18"/>
      <c r="AM312" s="18"/>
      <c r="AN312" s="18"/>
      <c r="AO312" s="18"/>
      <c r="AP312" s="18"/>
      <c r="AQ312" s="18"/>
    </row>
    <row r="313" spans="2:43" s="2" customFormat="1" hidden="1">
      <c r="B313" s="21"/>
      <c r="C313" s="22"/>
      <c r="D313" s="24"/>
      <c r="E313" s="24"/>
      <c r="F313" s="24"/>
      <c r="G313" s="24"/>
      <c r="H313" s="24"/>
      <c r="I313" s="24"/>
      <c r="J313" s="24"/>
      <c r="K313" s="24"/>
      <c r="L313" s="24"/>
      <c r="M313" s="26"/>
      <c r="N313" s="24"/>
      <c r="O313" s="24"/>
      <c r="P313" s="24"/>
      <c r="Q313" s="24"/>
      <c r="R313" s="24"/>
      <c r="S313" s="24"/>
      <c r="T313" s="24"/>
      <c r="U313" s="24"/>
      <c r="V313" s="24"/>
      <c r="W313" s="24"/>
      <c r="X313" s="24"/>
      <c r="Y313" s="24"/>
      <c r="Z313" s="26"/>
      <c r="AA313" s="26"/>
      <c r="AB313" s="15"/>
      <c r="AC313" s="15"/>
      <c r="AD313" s="16"/>
      <c r="AE313" s="16"/>
      <c r="AF313" s="16"/>
      <c r="AG313" s="16"/>
      <c r="AH313" s="18"/>
      <c r="AI313" s="18"/>
      <c r="AJ313" s="18"/>
      <c r="AK313" s="18"/>
      <c r="AL313" s="18"/>
      <c r="AM313" s="18"/>
      <c r="AN313" s="18"/>
      <c r="AO313" s="18"/>
      <c r="AP313" s="18"/>
      <c r="AQ313" s="18"/>
    </row>
    <row r="314" spans="2:43" s="2" customFormat="1" hidden="1">
      <c r="B314" s="21"/>
      <c r="C314" s="22"/>
      <c r="D314" s="24"/>
      <c r="E314" s="24"/>
      <c r="F314" s="24"/>
      <c r="G314" s="24"/>
      <c r="H314" s="24"/>
      <c r="I314" s="24"/>
      <c r="J314" s="24"/>
      <c r="K314" s="24"/>
      <c r="L314" s="24"/>
      <c r="M314" s="26"/>
      <c r="N314" s="24"/>
      <c r="O314" s="24"/>
      <c r="P314" s="24"/>
      <c r="Q314" s="24"/>
      <c r="R314" s="24"/>
      <c r="S314" s="24"/>
      <c r="T314" s="24"/>
      <c r="U314" s="24"/>
      <c r="V314" s="24"/>
      <c r="W314" s="24"/>
      <c r="X314" s="24"/>
      <c r="Y314" s="24"/>
      <c r="Z314" s="26"/>
      <c r="AA314" s="26"/>
      <c r="AB314" s="15"/>
      <c r="AC314" s="15"/>
      <c r="AD314" s="16"/>
      <c r="AE314" s="16"/>
      <c r="AF314" s="16"/>
      <c r="AG314" s="16"/>
      <c r="AH314" s="18"/>
      <c r="AI314" s="18"/>
      <c r="AJ314" s="18"/>
      <c r="AK314" s="18"/>
      <c r="AL314" s="18"/>
      <c r="AM314" s="18"/>
      <c r="AN314" s="18"/>
      <c r="AO314" s="18"/>
      <c r="AP314" s="18"/>
      <c r="AQ314" s="18"/>
    </row>
    <row r="315" spans="2:43" s="2" customFormat="1" hidden="1">
      <c r="B315" s="21"/>
      <c r="C315" s="22"/>
      <c r="D315" s="24"/>
      <c r="E315" s="24"/>
      <c r="F315" s="24"/>
      <c r="G315" s="24"/>
      <c r="H315" s="24"/>
      <c r="I315" s="24"/>
      <c r="J315" s="24"/>
      <c r="K315" s="24"/>
      <c r="L315" s="24"/>
      <c r="M315" s="26"/>
      <c r="N315" s="24"/>
      <c r="O315" s="24"/>
      <c r="P315" s="24"/>
      <c r="Q315" s="24"/>
      <c r="R315" s="24"/>
      <c r="S315" s="24"/>
      <c r="T315" s="24"/>
      <c r="U315" s="24"/>
      <c r="V315" s="24"/>
      <c r="W315" s="24"/>
      <c r="X315" s="24"/>
      <c r="Y315" s="24"/>
      <c r="Z315" s="26"/>
      <c r="AA315" s="26"/>
      <c r="AB315" s="15"/>
      <c r="AC315" s="15"/>
      <c r="AD315" s="16"/>
      <c r="AE315" s="16"/>
      <c r="AF315" s="16"/>
      <c r="AG315" s="16"/>
      <c r="AH315" s="18"/>
      <c r="AI315" s="18"/>
      <c r="AJ315" s="18"/>
      <c r="AK315" s="18"/>
      <c r="AL315" s="18"/>
      <c r="AM315" s="18"/>
      <c r="AN315" s="18"/>
      <c r="AO315" s="18"/>
      <c r="AP315" s="18"/>
      <c r="AQ315" s="18"/>
    </row>
    <row r="316" spans="2:43" s="2" customFormat="1" hidden="1">
      <c r="B316" s="21"/>
      <c r="C316" s="22"/>
      <c r="D316" s="24"/>
      <c r="E316" s="24"/>
      <c r="F316" s="24"/>
      <c r="G316" s="24"/>
      <c r="H316" s="24"/>
      <c r="I316" s="24"/>
      <c r="J316" s="24"/>
      <c r="K316" s="24"/>
      <c r="L316" s="24"/>
      <c r="M316" s="26"/>
      <c r="N316" s="24"/>
      <c r="O316" s="24"/>
      <c r="P316" s="24"/>
      <c r="Q316" s="24"/>
      <c r="R316" s="24"/>
      <c r="S316" s="24"/>
      <c r="T316" s="24"/>
      <c r="U316" s="24"/>
      <c r="V316" s="24"/>
      <c r="W316" s="24"/>
      <c r="X316" s="24"/>
      <c r="Y316" s="24"/>
      <c r="Z316" s="26"/>
      <c r="AA316" s="26"/>
      <c r="AB316" s="15"/>
      <c r="AC316" s="15"/>
      <c r="AD316" s="16"/>
      <c r="AE316" s="16"/>
      <c r="AF316" s="16"/>
      <c r="AG316" s="16"/>
      <c r="AH316" s="18"/>
      <c r="AI316" s="18"/>
      <c r="AJ316" s="18"/>
      <c r="AK316" s="18"/>
      <c r="AL316" s="18"/>
      <c r="AM316" s="18"/>
      <c r="AN316" s="18"/>
      <c r="AO316" s="18"/>
      <c r="AP316" s="18"/>
      <c r="AQ316" s="18"/>
    </row>
    <row r="317" spans="2:43" s="2" customFormat="1" hidden="1">
      <c r="B317" s="21"/>
      <c r="C317" s="22"/>
      <c r="D317" s="24"/>
      <c r="E317" s="24"/>
      <c r="F317" s="24"/>
      <c r="G317" s="24"/>
      <c r="H317" s="24"/>
      <c r="I317" s="24"/>
      <c r="J317" s="24"/>
      <c r="K317" s="24"/>
      <c r="L317" s="24"/>
      <c r="M317" s="26"/>
      <c r="N317" s="24"/>
      <c r="O317" s="24"/>
      <c r="P317" s="24"/>
      <c r="Q317" s="24"/>
      <c r="R317" s="24"/>
      <c r="S317" s="24"/>
      <c r="T317" s="24"/>
      <c r="U317" s="24"/>
      <c r="V317" s="24"/>
      <c r="W317" s="24"/>
      <c r="X317" s="24"/>
      <c r="Y317" s="24"/>
      <c r="Z317" s="26"/>
      <c r="AA317" s="26"/>
      <c r="AB317" s="15"/>
      <c r="AC317" s="15"/>
      <c r="AD317" s="16"/>
      <c r="AE317" s="16"/>
      <c r="AF317" s="16"/>
      <c r="AG317" s="16"/>
      <c r="AH317" s="18"/>
      <c r="AI317" s="18"/>
      <c r="AJ317" s="18"/>
      <c r="AK317" s="18"/>
      <c r="AL317" s="18"/>
      <c r="AM317" s="18"/>
      <c r="AN317" s="18"/>
      <c r="AO317" s="18"/>
      <c r="AP317" s="18"/>
      <c r="AQ317" s="18"/>
    </row>
    <row r="318" spans="2:43" s="2" customFormat="1" hidden="1">
      <c r="B318" s="21"/>
      <c r="C318" s="22"/>
      <c r="D318" s="24"/>
      <c r="E318" s="24"/>
      <c r="F318" s="24"/>
      <c r="G318" s="24"/>
      <c r="H318" s="24"/>
      <c r="I318" s="24"/>
      <c r="J318" s="24"/>
      <c r="K318" s="24"/>
      <c r="L318" s="24"/>
      <c r="M318" s="26"/>
      <c r="N318" s="24"/>
      <c r="O318" s="24"/>
      <c r="P318" s="24"/>
      <c r="Q318" s="24"/>
      <c r="R318" s="24"/>
      <c r="S318" s="24"/>
      <c r="T318" s="24"/>
      <c r="U318" s="24"/>
      <c r="V318" s="24"/>
      <c r="W318" s="24"/>
      <c r="X318" s="24"/>
      <c r="Y318" s="24"/>
      <c r="Z318" s="26"/>
      <c r="AA318" s="26"/>
      <c r="AB318" s="15"/>
      <c r="AC318" s="15"/>
      <c r="AD318" s="16"/>
      <c r="AE318" s="16"/>
      <c r="AF318" s="16"/>
      <c r="AG318" s="16"/>
      <c r="AH318" s="18"/>
      <c r="AI318" s="18"/>
      <c r="AJ318" s="18"/>
      <c r="AK318" s="18"/>
      <c r="AL318" s="18"/>
      <c r="AM318" s="18"/>
      <c r="AN318" s="18"/>
      <c r="AO318" s="18"/>
      <c r="AP318" s="18"/>
      <c r="AQ318" s="18"/>
    </row>
    <row r="319" spans="2:43" s="2" customFormat="1" hidden="1">
      <c r="B319" s="21"/>
      <c r="C319" s="22"/>
      <c r="D319" s="24"/>
      <c r="E319" s="24"/>
      <c r="F319" s="24"/>
      <c r="G319" s="24"/>
      <c r="H319" s="24"/>
      <c r="I319" s="24"/>
      <c r="J319" s="24"/>
      <c r="K319" s="24"/>
      <c r="L319" s="24"/>
      <c r="M319" s="26"/>
      <c r="N319" s="24"/>
      <c r="O319" s="24"/>
      <c r="P319" s="24"/>
      <c r="Q319" s="24"/>
      <c r="R319" s="24"/>
      <c r="S319" s="24"/>
      <c r="T319" s="24"/>
      <c r="U319" s="24"/>
      <c r="V319" s="24"/>
      <c r="W319" s="24"/>
      <c r="X319" s="24"/>
      <c r="Y319" s="24"/>
      <c r="Z319" s="26"/>
      <c r="AA319" s="26"/>
      <c r="AB319" s="15"/>
      <c r="AC319" s="15"/>
      <c r="AD319" s="16"/>
      <c r="AE319" s="16"/>
      <c r="AF319" s="16"/>
      <c r="AG319" s="16"/>
      <c r="AH319" s="18"/>
      <c r="AI319" s="18"/>
      <c r="AJ319" s="18"/>
      <c r="AK319" s="18"/>
      <c r="AL319" s="18"/>
      <c r="AM319" s="18"/>
      <c r="AN319" s="18"/>
      <c r="AO319" s="18"/>
      <c r="AP319" s="18"/>
      <c r="AQ319" s="18"/>
    </row>
    <row r="320" spans="2:43" s="2" customFormat="1" hidden="1">
      <c r="B320" s="21"/>
      <c r="C320" s="22"/>
      <c r="D320" s="24"/>
      <c r="E320" s="24"/>
      <c r="F320" s="24"/>
      <c r="G320" s="24"/>
      <c r="H320" s="24"/>
      <c r="I320" s="24"/>
      <c r="J320" s="24"/>
      <c r="K320" s="24"/>
      <c r="L320" s="24"/>
      <c r="M320" s="26"/>
      <c r="N320" s="24"/>
      <c r="O320" s="24"/>
      <c r="P320" s="24"/>
      <c r="Q320" s="24"/>
      <c r="R320" s="24"/>
      <c r="S320" s="24"/>
      <c r="T320" s="24"/>
      <c r="U320" s="24"/>
      <c r="V320" s="24"/>
      <c r="W320" s="24"/>
      <c r="X320" s="24"/>
      <c r="Y320" s="24"/>
      <c r="Z320" s="26"/>
      <c r="AA320" s="26"/>
      <c r="AB320" s="15"/>
      <c r="AC320" s="15"/>
      <c r="AD320" s="16"/>
      <c r="AE320" s="16"/>
      <c r="AF320" s="16"/>
      <c r="AG320" s="16"/>
      <c r="AH320" s="18"/>
      <c r="AI320" s="18"/>
      <c r="AJ320" s="18"/>
      <c r="AK320" s="18"/>
      <c r="AL320" s="18"/>
      <c r="AM320" s="18"/>
      <c r="AN320" s="18"/>
      <c r="AO320" s="18"/>
      <c r="AP320" s="18"/>
      <c r="AQ320" s="18"/>
    </row>
    <row r="321" spans="2:43" s="2" customFormat="1" hidden="1">
      <c r="B321" s="21"/>
      <c r="C321" s="22"/>
      <c r="D321" s="24"/>
      <c r="E321" s="24"/>
      <c r="F321" s="24"/>
      <c r="G321" s="24"/>
      <c r="H321" s="24"/>
      <c r="I321" s="24"/>
      <c r="J321" s="24"/>
      <c r="K321" s="24"/>
      <c r="L321" s="24"/>
      <c r="M321" s="26"/>
      <c r="N321" s="24"/>
      <c r="O321" s="24"/>
      <c r="P321" s="24"/>
      <c r="Q321" s="24"/>
      <c r="R321" s="24"/>
      <c r="S321" s="24"/>
      <c r="T321" s="24"/>
      <c r="U321" s="24"/>
      <c r="V321" s="24"/>
      <c r="W321" s="24"/>
      <c r="X321" s="24"/>
      <c r="Y321" s="24"/>
      <c r="Z321" s="26"/>
      <c r="AA321" s="26"/>
      <c r="AB321" s="15"/>
      <c r="AC321" s="15"/>
      <c r="AD321" s="16"/>
      <c r="AE321" s="16"/>
      <c r="AF321" s="16"/>
      <c r="AG321" s="16"/>
      <c r="AH321" s="18"/>
      <c r="AI321" s="18"/>
      <c r="AJ321" s="18"/>
      <c r="AK321" s="18"/>
      <c r="AL321" s="18"/>
      <c r="AM321" s="18"/>
      <c r="AN321" s="18"/>
      <c r="AO321" s="18"/>
      <c r="AP321" s="18"/>
      <c r="AQ321" s="18"/>
    </row>
    <row r="322" spans="2:43" s="2" customFormat="1" hidden="1">
      <c r="B322" s="21"/>
      <c r="C322" s="22"/>
      <c r="D322" s="24"/>
      <c r="E322" s="24"/>
      <c r="F322" s="24"/>
      <c r="G322" s="24"/>
      <c r="H322" s="24"/>
      <c r="I322" s="24"/>
      <c r="J322" s="24"/>
      <c r="K322" s="24"/>
      <c r="L322" s="24"/>
      <c r="M322" s="26"/>
      <c r="N322" s="24"/>
      <c r="O322" s="24"/>
      <c r="P322" s="24"/>
      <c r="Q322" s="24"/>
      <c r="R322" s="24"/>
      <c r="S322" s="24"/>
      <c r="T322" s="24"/>
      <c r="U322" s="24"/>
      <c r="V322" s="24"/>
      <c r="W322" s="24"/>
      <c r="X322" s="24"/>
      <c r="Y322" s="24"/>
      <c r="Z322" s="26"/>
      <c r="AA322" s="26"/>
      <c r="AB322" s="15"/>
      <c r="AC322" s="15"/>
      <c r="AD322" s="16"/>
      <c r="AE322" s="16"/>
      <c r="AF322" s="16"/>
      <c r="AG322" s="16"/>
      <c r="AH322" s="18"/>
      <c r="AI322" s="18"/>
      <c r="AJ322" s="18"/>
      <c r="AK322" s="18"/>
      <c r="AL322" s="18"/>
      <c r="AM322" s="18"/>
      <c r="AN322" s="18"/>
      <c r="AO322" s="18"/>
      <c r="AP322" s="18"/>
      <c r="AQ322" s="18"/>
    </row>
    <row r="323" spans="2:43" s="2" customFormat="1" hidden="1">
      <c r="B323" s="21"/>
      <c r="C323" s="22"/>
      <c r="D323" s="24"/>
      <c r="E323" s="24"/>
      <c r="F323" s="24"/>
      <c r="G323" s="24"/>
      <c r="H323" s="24"/>
      <c r="I323" s="24"/>
      <c r="J323" s="24"/>
      <c r="K323" s="24"/>
      <c r="L323" s="24"/>
      <c r="M323" s="26"/>
      <c r="N323" s="24"/>
      <c r="O323" s="24"/>
      <c r="P323" s="24"/>
      <c r="Q323" s="24"/>
      <c r="R323" s="24"/>
      <c r="S323" s="24"/>
      <c r="T323" s="24"/>
      <c r="U323" s="24"/>
      <c r="V323" s="24"/>
      <c r="W323" s="24"/>
      <c r="X323" s="24"/>
      <c r="Y323" s="24"/>
      <c r="Z323" s="26"/>
      <c r="AA323" s="26"/>
      <c r="AB323" s="15"/>
      <c r="AC323" s="15"/>
      <c r="AD323" s="16"/>
      <c r="AE323" s="16"/>
      <c r="AF323" s="16"/>
      <c r="AG323" s="16"/>
      <c r="AH323" s="18"/>
      <c r="AI323" s="18"/>
      <c r="AJ323" s="18"/>
      <c r="AK323" s="18"/>
      <c r="AL323" s="18"/>
      <c r="AM323" s="18"/>
      <c r="AN323" s="18"/>
      <c r="AO323" s="18"/>
      <c r="AP323" s="18"/>
      <c r="AQ323" s="18"/>
    </row>
    <row r="324" spans="2:43" s="2" customFormat="1" hidden="1">
      <c r="B324" s="21"/>
      <c r="C324" s="22"/>
      <c r="D324" s="24"/>
      <c r="E324" s="24"/>
      <c r="F324" s="24"/>
      <c r="G324" s="24"/>
      <c r="H324" s="24"/>
      <c r="I324" s="24"/>
      <c r="J324" s="24"/>
      <c r="K324" s="24"/>
      <c r="L324" s="24"/>
      <c r="M324" s="26"/>
      <c r="N324" s="24"/>
      <c r="O324" s="24"/>
      <c r="P324" s="24"/>
      <c r="Q324" s="24"/>
      <c r="R324" s="24"/>
      <c r="S324" s="24"/>
      <c r="T324" s="24"/>
      <c r="U324" s="24"/>
      <c r="V324" s="24"/>
      <c r="W324" s="24"/>
      <c r="X324" s="24"/>
      <c r="Y324" s="24"/>
      <c r="Z324" s="26"/>
      <c r="AA324" s="26"/>
      <c r="AB324" s="15"/>
      <c r="AC324" s="15"/>
      <c r="AD324" s="16"/>
      <c r="AE324" s="16"/>
      <c r="AF324" s="16"/>
      <c r="AG324" s="16"/>
      <c r="AH324" s="18"/>
      <c r="AI324" s="18"/>
      <c r="AJ324" s="18"/>
      <c r="AK324" s="18"/>
      <c r="AL324" s="18"/>
      <c r="AM324" s="18"/>
      <c r="AN324" s="18"/>
      <c r="AO324" s="18"/>
      <c r="AP324" s="18"/>
      <c r="AQ324" s="18"/>
    </row>
    <row r="325" spans="2:43" s="2" customFormat="1" hidden="1">
      <c r="B325" s="21"/>
      <c r="C325" s="22"/>
      <c r="D325" s="24"/>
      <c r="E325" s="24"/>
      <c r="F325" s="24"/>
      <c r="G325" s="24"/>
      <c r="H325" s="24"/>
      <c r="I325" s="24"/>
      <c r="J325" s="24"/>
      <c r="K325" s="24"/>
      <c r="L325" s="24"/>
      <c r="M325" s="26"/>
      <c r="N325" s="24"/>
      <c r="O325" s="24"/>
      <c r="P325" s="24"/>
      <c r="Q325" s="24"/>
      <c r="R325" s="24"/>
      <c r="S325" s="24"/>
      <c r="T325" s="24"/>
      <c r="U325" s="24"/>
      <c r="V325" s="24"/>
      <c r="W325" s="24"/>
      <c r="X325" s="24"/>
      <c r="Y325" s="24"/>
      <c r="Z325" s="26"/>
      <c r="AA325" s="26"/>
      <c r="AB325" s="15"/>
      <c r="AC325" s="15"/>
      <c r="AD325" s="16"/>
      <c r="AE325" s="16"/>
      <c r="AF325" s="16"/>
      <c r="AG325" s="16"/>
      <c r="AH325" s="18"/>
      <c r="AI325" s="18"/>
      <c r="AJ325" s="18"/>
      <c r="AK325" s="18"/>
      <c r="AL325" s="18"/>
      <c r="AM325" s="18"/>
      <c r="AN325" s="18"/>
      <c r="AO325" s="18"/>
      <c r="AP325" s="18"/>
      <c r="AQ325" s="18"/>
    </row>
    <row r="326" spans="2:43" s="2" customFormat="1" hidden="1">
      <c r="B326" s="21"/>
      <c r="C326" s="22"/>
      <c r="D326" s="24"/>
      <c r="E326" s="24"/>
      <c r="F326" s="24"/>
      <c r="G326" s="24"/>
      <c r="H326" s="24"/>
      <c r="I326" s="24"/>
      <c r="J326" s="24"/>
      <c r="K326" s="24"/>
      <c r="L326" s="24"/>
      <c r="M326" s="26"/>
      <c r="N326" s="24"/>
      <c r="O326" s="24"/>
      <c r="P326" s="24"/>
      <c r="Q326" s="24"/>
      <c r="R326" s="24"/>
      <c r="S326" s="24"/>
      <c r="T326" s="24"/>
      <c r="U326" s="24"/>
      <c r="V326" s="24"/>
      <c r="W326" s="24"/>
      <c r="X326" s="24"/>
      <c r="Y326" s="24"/>
      <c r="Z326" s="26"/>
      <c r="AA326" s="26"/>
      <c r="AB326" s="15"/>
      <c r="AC326" s="15"/>
      <c r="AD326" s="16"/>
      <c r="AE326" s="16"/>
      <c r="AF326" s="16"/>
      <c r="AG326" s="16"/>
      <c r="AH326" s="18"/>
      <c r="AI326" s="18"/>
      <c r="AJ326" s="18"/>
      <c r="AK326" s="18"/>
      <c r="AL326" s="18"/>
      <c r="AM326" s="18"/>
      <c r="AN326" s="18"/>
      <c r="AO326" s="18"/>
      <c r="AP326" s="18"/>
      <c r="AQ326" s="18"/>
    </row>
    <row r="327" spans="2:43" s="2" customFormat="1" hidden="1">
      <c r="B327" s="21"/>
      <c r="C327" s="22"/>
      <c r="D327" s="24"/>
      <c r="E327" s="24"/>
      <c r="F327" s="24"/>
      <c r="G327" s="24"/>
      <c r="H327" s="24"/>
      <c r="I327" s="24"/>
      <c r="J327" s="24"/>
      <c r="K327" s="24"/>
      <c r="L327" s="24"/>
      <c r="M327" s="26"/>
      <c r="N327" s="24"/>
      <c r="O327" s="24"/>
      <c r="P327" s="24"/>
      <c r="Q327" s="24"/>
      <c r="R327" s="24"/>
      <c r="S327" s="24"/>
      <c r="T327" s="24"/>
      <c r="U327" s="24"/>
      <c r="V327" s="24"/>
      <c r="W327" s="24"/>
      <c r="X327" s="24"/>
      <c r="Y327" s="24"/>
      <c r="Z327" s="26"/>
      <c r="AA327" s="26"/>
      <c r="AB327" s="15"/>
      <c r="AC327" s="15"/>
      <c r="AD327" s="16"/>
      <c r="AE327" s="16"/>
      <c r="AF327" s="16"/>
      <c r="AG327" s="16"/>
      <c r="AH327" s="18"/>
      <c r="AI327" s="18"/>
      <c r="AJ327" s="18"/>
      <c r="AK327" s="18"/>
      <c r="AL327" s="18"/>
      <c r="AM327" s="18"/>
      <c r="AN327" s="18"/>
      <c r="AO327" s="18"/>
      <c r="AP327" s="18"/>
      <c r="AQ327" s="18"/>
    </row>
    <row r="328" spans="2:43" s="2" customFormat="1" hidden="1">
      <c r="B328" s="21"/>
      <c r="C328" s="22"/>
      <c r="D328" s="24"/>
      <c r="E328" s="24"/>
      <c r="F328" s="24"/>
      <c r="G328" s="24"/>
      <c r="H328" s="24"/>
      <c r="I328" s="24"/>
      <c r="J328" s="24"/>
      <c r="K328" s="24"/>
      <c r="L328" s="24"/>
      <c r="M328" s="26"/>
      <c r="N328" s="24"/>
      <c r="O328" s="24"/>
      <c r="P328" s="24"/>
      <c r="Q328" s="24"/>
      <c r="R328" s="24"/>
      <c r="S328" s="24"/>
      <c r="T328" s="24"/>
      <c r="U328" s="24"/>
      <c r="V328" s="24"/>
      <c r="W328" s="24"/>
      <c r="X328" s="24"/>
      <c r="Y328" s="24"/>
      <c r="Z328" s="26"/>
      <c r="AA328" s="26"/>
      <c r="AB328" s="15"/>
      <c r="AC328" s="15"/>
      <c r="AD328" s="16"/>
      <c r="AE328" s="16"/>
      <c r="AF328" s="16"/>
      <c r="AG328" s="16"/>
      <c r="AH328" s="18"/>
      <c r="AI328" s="18"/>
      <c r="AJ328" s="18"/>
      <c r="AK328" s="18"/>
      <c r="AL328" s="18"/>
      <c r="AM328" s="18"/>
      <c r="AN328" s="18"/>
      <c r="AO328" s="18"/>
      <c r="AP328" s="18"/>
      <c r="AQ328" s="18"/>
    </row>
    <row r="329" spans="2:43" s="2" customFormat="1" hidden="1">
      <c r="B329" s="21"/>
      <c r="C329" s="22"/>
      <c r="D329" s="24"/>
      <c r="E329" s="24"/>
      <c r="F329" s="24"/>
      <c r="G329" s="24"/>
      <c r="H329" s="24"/>
      <c r="I329" s="24"/>
      <c r="J329" s="24"/>
      <c r="K329" s="24"/>
      <c r="L329" s="24"/>
      <c r="M329" s="26"/>
      <c r="N329" s="24"/>
      <c r="O329" s="24"/>
      <c r="P329" s="24"/>
      <c r="Q329" s="24"/>
      <c r="R329" s="24"/>
      <c r="S329" s="24"/>
      <c r="T329" s="24"/>
      <c r="U329" s="24"/>
      <c r="V329" s="24"/>
      <c r="W329" s="24"/>
      <c r="X329" s="24"/>
      <c r="Y329" s="24"/>
      <c r="Z329" s="26"/>
      <c r="AA329" s="26"/>
      <c r="AB329" s="15"/>
      <c r="AC329" s="15"/>
      <c r="AD329" s="16"/>
      <c r="AE329" s="16"/>
      <c r="AF329" s="16"/>
      <c r="AG329" s="16"/>
      <c r="AH329" s="18"/>
      <c r="AI329" s="18"/>
      <c r="AJ329" s="18"/>
      <c r="AK329" s="18"/>
      <c r="AL329" s="18"/>
      <c r="AM329" s="18"/>
      <c r="AN329" s="18"/>
      <c r="AO329" s="18"/>
      <c r="AP329" s="18"/>
      <c r="AQ329" s="18"/>
    </row>
    <row r="330" spans="2:43" s="2" customFormat="1" hidden="1">
      <c r="B330" s="21"/>
      <c r="C330" s="22"/>
      <c r="D330" s="24"/>
      <c r="E330" s="24"/>
      <c r="F330" s="24"/>
      <c r="G330" s="24"/>
      <c r="H330" s="24"/>
      <c r="I330" s="24"/>
      <c r="J330" s="24"/>
      <c r="K330" s="24"/>
      <c r="L330" s="24"/>
      <c r="M330" s="26"/>
      <c r="N330" s="24"/>
      <c r="O330" s="24"/>
      <c r="P330" s="24"/>
      <c r="Q330" s="24"/>
      <c r="R330" s="24"/>
      <c r="S330" s="24"/>
      <c r="T330" s="24"/>
      <c r="U330" s="24"/>
      <c r="V330" s="24"/>
      <c r="W330" s="24"/>
      <c r="X330" s="24"/>
      <c r="Y330" s="24"/>
      <c r="Z330" s="26"/>
      <c r="AA330" s="26"/>
      <c r="AB330" s="15"/>
      <c r="AC330" s="15"/>
      <c r="AD330" s="16"/>
      <c r="AE330" s="16"/>
      <c r="AF330" s="16"/>
      <c r="AG330" s="16"/>
      <c r="AH330" s="18"/>
      <c r="AI330" s="18"/>
      <c r="AJ330" s="18"/>
      <c r="AK330" s="18"/>
      <c r="AL330" s="18"/>
      <c r="AM330" s="18"/>
      <c r="AN330" s="18"/>
      <c r="AO330" s="18"/>
      <c r="AP330" s="18"/>
      <c r="AQ330" s="18"/>
    </row>
    <row r="331" spans="2:43" s="2" customFormat="1" hidden="1">
      <c r="B331" s="21"/>
      <c r="C331" s="22"/>
      <c r="D331" s="24"/>
      <c r="E331" s="24"/>
      <c r="F331" s="24"/>
      <c r="G331" s="24"/>
      <c r="H331" s="24"/>
      <c r="I331" s="24"/>
      <c r="J331" s="24"/>
      <c r="K331" s="24"/>
      <c r="L331" s="24"/>
      <c r="M331" s="26"/>
      <c r="N331" s="24"/>
      <c r="O331" s="24"/>
      <c r="P331" s="24"/>
      <c r="Q331" s="24"/>
      <c r="R331" s="24"/>
      <c r="S331" s="24"/>
      <c r="T331" s="24"/>
      <c r="U331" s="24"/>
      <c r="V331" s="24"/>
      <c r="W331" s="24"/>
      <c r="X331" s="24"/>
      <c r="Y331" s="24"/>
      <c r="Z331" s="26"/>
      <c r="AA331" s="26"/>
      <c r="AB331" s="15"/>
      <c r="AC331" s="15"/>
      <c r="AD331" s="16"/>
      <c r="AE331" s="16"/>
      <c r="AF331" s="16"/>
      <c r="AG331" s="16"/>
      <c r="AH331" s="18"/>
      <c r="AI331" s="18"/>
      <c r="AJ331" s="18"/>
      <c r="AK331" s="18"/>
      <c r="AL331" s="18"/>
      <c r="AM331" s="18"/>
      <c r="AN331" s="18"/>
      <c r="AO331" s="18"/>
      <c r="AP331" s="18"/>
      <c r="AQ331" s="18"/>
    </row>
    <row r="332" spans="2:43" s="2" customFormat="1" hidden="1">
      <c r="B332" s="21"/>
      <c r="C332" s="22"/>
      <c r="D332" s="24"/>
      <c r="E332" s="24"/>
      <c r="F332" s="24"/>
      <c r="G332" s="24"/>
      <c r="H332" s="24"/>
      <c r="I332" s="24"/>
      <c r="J332" s="24"/>
      <c r="K332" s="24"/>
      <c r="L332" s="24"/>
      <c r="M332" s="26"/>
      <c r="N332" s="24"/>
      <c r="O332" s="24"/>
      <c r="P332" s="24"/>
      <c r="Q332" s="24"/>
      <c r="R332" s="24"/>
      <c r="S332" s="24"/>
      <c r="T332" s="24"/>
      <c r="U332" s="24"/>
      <c r="V332" s="24"/>
      <c r="W332" s="24"/>
      <c r="X332" s="24"/>
      <c r="Y332" s="24"/>
      <c r="Z332" s="26"/>
      <c r="AA332" s="26"/>
      <c r="AB332" s="15"/>
      <c r="AC332" s="15"/>
      <c r="AD332" s="16"/>
      <c r="AE332" s="16"/>
      <c r="AF332" s="16"/>
      <c r="AG332" s="16"/>
      <c r="AH332" s="18"/>
      <c r="AI332" s="18"/>
      <c r="AJ332" s="18"/>
      <c r="AK332" s="18"/>
      <c r="AL332" s="18"/>
      <c r="AM332" s="18"/>
      <c r="AN332" s="18"/>
      <c r="AO332" s="18"/>
      <c r="AP332" s="18"/>
      <c r="AQ332" s="18"/>
    </row>
    <row r="333" spans="2:43" s="2" customFormat="1" hidden="1">
      <c r="B333" s="21"/>
      <c r="C333" s="22"/>
      <c r="D333" s="24"/>
      <c r="E333" s="24"/>
      <c r="F333" s="24"/>
      <c r="G333" s="24"/>
      <c r="H333" s="24"/>
      <c r="I333" s="24"/>
      <c r="J333" s="24"/>
      <c r="K333" s="24"/>
      <c r="L333" s="24"/>
      <c r="M333" s="26"/>
      <c r="N333" s="24"/>
      <c r="O333" s="24"/>
      <c r="P333" s="24"/>
      <c r="Q333" s="24"/>
      <c r="R333" s="24"/>
      <c r="S333" s="24"/>
      <c r="T333" s="24"/>
      <c r="U333" s="24"/>
      <c r="V333" s="24"/>
      <c r="W333" s="24"/>
      <c r="X333" s="24"/>
      <c r="Y333" s="24"/>
      <c r="Z333" s="26"/>
      <c r="AA333" s="26"/>
      <c r="AB333" s="15"/>
      <c r="AC333" s="15"/>
      <c r="AD333" s="16"/>
      <c r="AE333" s="16"/>
      <c r="AF333" s="16"/>
      <c r="AG333" s="16"/>
      <c r="AH333" s="18"/>
      <c r="AI333" s="18"/>
      <c r="AJ333" s="18"/>
      <c r="AK333" s="18"/>
      <c r="AL333" s="18"/>
      <c r="AM333" s="18"/>
      <c r="AN333" s="18"/>
      <c r="AO333" s="18"/>
      <c r="AP333" s="18"/>
      <c r="AQ333" s="18"/>
    </row>
    <row r="334" spans="2:43" s="2" customFormat="1" hidden="1">
      <c r="B334" s="21"/>
      <c r="C334" s="22"/>
      <c r="D334" s="24"/>
      <c r="E334" s="24"/>
      <c r="F334" s="24"/>
      <c r="G334" s="24"/>
      <c r="H334" s="24"/>
      <c r="I334" s="24"/>
      <c r="J334" s="24"/>
      <c r="K334" s="24"/>
      <c r="L334" s="24"/>
      <c r="M334" s="26"/>
      <c r="N334" s="24"/>
      <c r="O334" s="24"/>
      <c r="P334" s="24"/>
      <c r="Q334" s="24"/>
      <c r="R334" s="24"/>
      <c r="S334" s="24"/>
      <c r="T334" s="24"/>
      <c r="U334" s="24"/>
      <c r="V334" s="24"/>
      <c r="W334" s="24"/>
      <c r="X334" s="24"/>
      <c r="Y334" s="24"/>
      <c r="Z334" s="26"/>
      <c r="AA334" s="26"/>
      <c r="AB334" s="15"/>
      <c r="AC334" s="15"/>
      <c r="AD334" s="16"/>
      <c r="AE334" s="16"/>
      <c r="AF334" s="16"/>
      <c r="AG334" s="16"/>
      <c r="AH334" s="18"/>
      <c r="AI334" s="18"/>
      <c r="AJ334" s="18"/>
      <c r="AK334" s="18"/>
      <c r="AL334" s="18"/>
      <c r="AM334" s="18"/>
      <c r="AN334" s="18"/>
      <c r="AO334" s="18"/>
      <c r="AP334" s="18"/>
      <c r="AQ334" s="18"/>
    </row>
    <row r="335" spans="2:43" s="2" customFormat="1" hidden="1">
      <c r="B335" s="21"/>
      <c r="C335" s="22"/>
      <c r="D335" s="24"/>
      <c r="E335" s="24"/>
      <c r="F335" s="24"/>
      <c r="G335" s="24"/>
      <c r="H335" s="24"/>
      <c r="I335" s="24"/>
      <c r="J335" s="24"/>
      <c r="K335" s="24"/>
      <c r="L335" s="24"/>
      <c r="M335" s="26"/>
      <c r="N335" s="24"/>
      <c r="O335" s="24"/>
      <c r="P335" s="24"/>
      <c r="Q335" s="24"/>
      <c r="R335" s="24"/>
      <c r="S335" s="24"/>
      <c r="T335" s="24"/>
      <c r="U335" s="24"/>
      <c r="V335" s="24"/>
      <c r="W335" s="24"/>
      <c r="X335" s="24"/>
      <c r="Y335" s="24"/>
      <c r="Z335" s="26"/>
      <c r="AA335" s="26"/>
      <c r="AB335" s="15"/>
      <c r="AC335" s="15"/>
      <c r="AD335" s="16"/>
      <c r="AE335" s="16"/>
      <c r="AF335" s="16"/>
      <c r="AG335" s="16"/>
      <c r="AH335" s="18"/>
      <c r="AI335" s="18"/>
      <c r="AJ335" s="18"/>
      <c r="AK335" s="18"/>
      <c r="AL335" s="18"/>
      <c r="AM335" s="18"/>
      <c r="AN335" s="18"/>
      <c r="AO335" s="18"/>
      <c r="AP335" s="18"/>
      <c r="AQ335" s="18"/>
    </row>
    <row r="336" spans="2:43" s="2" customFormat="1" hidden="1">
      <c r="B336" s="21"/>
      <c r="C336" s="22"/>
      <c r="D336" s="24"/>
      <c r="E336" s="24"/>
      <c r="F336" s="24"/>
      <c r="G336" s="24"/>
      <c r="H336" s="24"/>
      <c r="I336" s="24"/>
      <c r="J336" s="24"/>
      <c r="K336" s="24"/>
      <c r="L336" s="24"/>
      <c r="M336" s="26"/>
      <c r="N336" s="24"/>
      <c r="O336" s="24"/>
      <c r="P336" s="24"/>
      <c r="Q336" s="24"/>
      <c r="R336" s="24"/>
      <c r="S336" s="24"/>
      <c r="T336" s="24"/>
      <c r="U336" s="24"/>
      <c r="V336" s="24"/>
      <c r="W336" s="24"/>
      <c r="X336" s="24"/>
      <c r="Y336" s="24"/>
      <c r="Z336" s="26"/>
      <c r="AA336" s="26"/>
      <c r="AB336" s="15"/>
      <c r="AC336" s="15"/>
      <c r="AD336" s="16"/>
      <c r="AE336" s="16"/>
      <c r="AF336" s="16"/>
      <c r="AG336" s="16"/>
      <c r="AH336" s="18"/>
      <c r="AI336" s="18"/>
      <c r="AJ336" s="18"/>
      <c r="AK336" s="18"/>
      <c r="AL336" s="18"/>
      <c r="AM336" s="18"/>
      <c r="AN336" s="18"/>
      <c r="AO336" s="18"/>
      <c r="AP336" s="18"/>
      <c r="AQ336" s="18"/>
    </row>
    <row r="337" spans="2:43" s="2" customFormat="1" hidden="1">
      <c r="B337" s="21"/>
      <c r="C337" s="22"/>
      <c r="D337" s="24"/>
      <c r="E337" s="24"/>
      <c r="F337" s="24"/>
      <c r="G337" s="24"/>
      <c r="H337" s="24"/>
      <c r="I337" s="24"/>
      <c r="J337" s="24"/>
      <c r="K337" s="24"/>
      <c r="L337" s="24"/>
      <c r="M337" s="26"/>
      <c r="N337" s="24"/>
      <c r="O337" s="24"/>
      <c r="P337" s="24"/>
      <c r="Q337" s="24"/>
      <c r="R337" s="24"/>
      <c r="S337" s="24"/>
      <c r="T337" s="24"/>
      <c r="U337" s="24"/>
      <c r="V337" s="24"/>
      <c r="W337" s="24"/>
      <c r="X337" s="24"/>
      <c r="Y337" s="24"/>
      <c r="Z337" s="26"/>
      <c r="AA337" s="26"/>
      <c r="AB337" s="15"/>
      <c r="AC337" s="15"/>
      <c r="AD337" s="16"/>
      <c r="AE337" s="16"/>
      <c r="AF337" s="16"/>
      <c r="AG337" s="16"/>
      <c r="AH337" s="18"/>
      <c r="AI337" s="18"/>
      <c r="AJ337" s="18"/>
      <c r="AK337" s="18"/>
      <c r="AL337" s="18"/>
      <c r="AM337" s="18"/>
      <c r="AN337" s="18"/>
      <c r="AO337" s="18"/>
      <c r="AP337" s="18"/>
      <c r="AQ337" s="18"/>
    </row>
    <row r="338" spans="2:43" s="2" customFormat="1" hidden="1">
      <c r="B338" s="21"/>
      <c r="C338" s="22"/>
      <c r="D338" s="24"/>
      <c r="E338" s="24"/>
      <c r="F338" s="24"/>
      <c r="G338" s="24"/>
      <c r="H338" s="24"/>
      <c r="I338" s="24"/>
      <c r="J338" s="24"/>
      <c r="K338" s="24"/>
      <c r="L338" s="24"/>
      <c r="M338" s="26"/>
      <c r="N338" s="24"/>
      <c r="O338" s="24"/>
      <c r="P338" s="24"/>
      <c r="Q338" s="24"/>
      <c r="R338" s="24"/>
      <c r="S338" s="24"/>
      <c r="T338" s="24"/>
      <c r="U338" s="24"/>
      <c r="V338" s="24"/>
      <c r="W338" s="24"/>
      <c r="X338" s="24"/>
      <c r="Y338" s="24"/>
      <c r="Z338" s="26"/>
      <c r="AA338" s="26"/>
      <c r="AB338" s="15"/>
      <c r="AC338" s="15"/>
      <c r="AD338" s="16"/>
      <c r="AE338" s="16"/>
      <c r="AF338" s="16"/>
      <c r="AG338" s="16"/>
      <c r="AH338" s="18"/>
      <c r="AI338" s="18"/>
      <c r="AJ338" s="18"/>
      <c r="AK338" s="18"/>
      <c r="AL338" s="18"/>
      <c r="AM338" s="18"/>
      <c r="AN338" s="18"/>
      <c r="AO338" s="18"/>
      <c r="AP338" s="18"/>
      <c r="AQ338" s="18"/>
    </row>
    <row r="339" spans="2:43" s="2" customFormat="1" hidden="1">
      <c r="B339" s="21"/>
      <c r="C339" s="22"/>
      <c r="D339" s="24"/>
      <c r="E339" s="24"/>
      <c r="F339" s="24"/>
      <c r="G339" s="24"/>
      <c r="H339" s="24"/>
      <c r="I339" s="24"/>
      <c r="J339" s="24"/>
      <c r="K339" s="24"/>
      <c r="L339" s="24"/>
      <c r="M339" s="26"/>
      <c r="N339" s="24"/>
      <c r="O339" s="24"/>
      <c r="P339" s="24"/>
      <c r="Q339" s="24"/>
      <c r="R339" s="24"/>
      <c r="S339" s="24"/>
      <c r="T339" s="24"/>
      <c r="U339" s="24"/>
      <c r="V339" s="24"/>
      <c r="W339" s="24"/>
      <c r="X339" s="24"/>
      <c r="Y339" s="24"/>
      <c r="Z339" s="26"/>
      <c r="AA339" s="26"/>
      <c r="AB339" s="15"/>
      <c r="AC339" s="15"/>
      <c r="AD339" s="16"/>
      <c r="AE339" s="16"/>
      <c r="AF339" s="16"/>
      <c r="AG339" s="16"/>
      <c r="AH339" s="18"/>
      <c r="AI339" s="18"/>
      <c r="AJ339" s="18"/>
      <c r="AK339" s="18"/>
      <c r="AL339" s="18"/>
      <c r="AM339" s="18"/>
      <c r="AN339" s="18"/>
      <c r="AO339" s="18"/>
      <c r="AP339" s="18"/>
      <c r="AQ339" s="18"/>
    </row>
    <row r="340" spans="2:43" s="2" customFormat="1" hidden="1">
      <c r="B340" s="21"/>
      <c r="C340" s="22"/>
      <c r="D340" s="24"/>
      <c r="E340" s="24"/>
      <c r="F340" s="24"/>
      <c r="G340" s="24"/>
      <c r="H340" s="24"/>
      <c r="I340" s="24"/>
      <c r="J340" s="24"/>
      <c r="K340" s="24"/>
      <c r="L340" s="24"/>
      <c r="M340" s="26"/>
      <c r="N340" s="24"/>
      <c r="O340" s="24"/>
      <c r="P340" s="24"/>
      <c r="Q340" s="24"/>
      <c r="R340" s="24"/>
      <c r="S340" s="24"/>
      <c r="T340" s="24"/>
      <c r="U340" s="24"/>
      <c r="V340" s="24"/>
      <c r="W340" s="24"/>
      <c r="X340" s="24"/>
      <c r="Y340" s="24"/>
      <c r="Z340" s="26"/>
      <c r="AA340" s="26"/>
      <c r="AB340" s="15"/>
      <c r="AC340" s="15"/>
      <c r="AD340" s="16"/>
      <c r="AE340" s="16"/>
      <c r="AF340" s="16"/>
      <c r="AG340" s="16"/>
      <c r="AH340" s="18"/>
      <c r="AI340" s="18"/>
      <c r="AJ340" s="18"/>
      <c r="AK340" s="18"/>
      <c r="AL340" s="18"/>
      <c r="AM340" s="18"/>
      <c r="AN340" s="18"/>
      <c r="AO340" s="18"/>
      <c r="AP340" s="18"/>
      <c r="AQ340" s="18"/>
    </row>
    <row r="341" spans="2:43" s="2" customFormat="1" hidden="1">
      <c r="B341" s="21"/>
      <c r="C341" s="22"/>
      <c r="D341" s="24"/>
      <c r="E341" s="24"/>
      <c r="F341" s="24"/>
      <c r="G341" s="24"/>
      <c r="H341" s="24"/>
      <c r="I341" s="24"/>
      <c r="J341" s="24"/>
      <c r="K341" s="24"/>
      <c r="L341" s="24"/>
      <c r="M341" s="26"/>
      <c r="N341" s="24"/>
      <c r="O341" s="24"/>
      <c r="P341" s="24"/>
      <c r="Q341" s="24"/>
      <c r="R341" s="24"/>
      <c r="S341" s="24"/>
      <c r="T341" s="24"/>
      <c r="U341" s="24"/>
      <c r="V341" s="24"/>
      <c r="W341" s="24"/>
      <c r="X341" s="24"/>
      <c r="Y341" s="24"/>
      <c r="Z341" s="26"/>
      <c r="AA341" s="26"/>
      <c r="AB341" s="15"/>
      <c r="AC341" s="15"/>
      <c r="AD341" s="16"/>
      <c r="AE341" s="16"/>
      <c r="AF341" s="16"/>
      <c r="AG341" s="16"/>
      <c r="AH341" s="18"/>
      <c r="AI341" s="18"/>
      <c r="AJ341" s="18"/>
      <c r="AK341" s="18"/>
      <c r="AL341" s="18"/>
      <c r="AM341" s="18"/>
      <c r="AN341" s="18"/>
      <c r="AO341" s="18"/>
      <c r="AP341" s="18"/>
      <c r="AQ341" s="18"/>
    </row>
    <row r="342" spans="2:43" s="2" customFormat="1" hidden="1">
      <c r="B342" s="21"/>
      <c r="C342" s="22"/>
      <c r="D342" s="24"/>
      <c r="E342" s="24"/>
      <c r="F342" s="24"/>
      <c r="G342" s="24"/>
      <c r="H342" s="24"/>
      <c r="I342" s="24"/>
      <c r="J342" s="24"/>
      <c r="K342" s="24"/>
      <c r="L342" s="24"/>
      <c r="M342" s="26"/>
      <c r="N342" s="24"/>
      <c r="O342" s="24"/>
      <c r="P342" s="24"/>
      <c r="Q342" s="24"/>
      <c r="R342" s="24"/>
      <c r="S342" s="24"/>
      <c r="T342" s="24"/>
      <c r="U342" s="24"/>
      <c r="V342" s="24"/>
      <c r="W342" s="24"/>
      <c r="X342" s="24"/>
      <c r="Y342" s="24"/>
      <c r="Z342" s="26"/>
      <c r="AA342" s="26"/>
      <c r="AB342" s="15"/>
      <c r="AC342" s="15"/>
      <c r="AD342" s="16"/>
      <c r="AE342" s="16"/>
      <c r="AF342" s="16"/>
      <c r="AG342" s="16"/>
      <c r="AH342" s="18"/>
      <c r="AI342" s="18"/>
      <c r="AJ342" s="18"/>
      <c r="AK342" s="18"/>
      <c r="AL342" s="18"/>
      <c r="AM342" s="18"/>
      <c r="AN342" s="18"/>
      <c r="AO342" s="18"/>
      <c r="AP342" s="18"/>
      <c r="AQ342" s="18"/>
    </row>
    <row r="343" spans="2:43" s="2" customFormat="1" hidden="1">
      <c r="B343" s="21"/>
      <c r="C343" s="22"/>
      <c r="D343" s="24"/>
      <c r="E343" s="24"/>
      <c r="F343" s="24"/>
      <c r="G343" s="24"/>
      <c r="H343" s="24"/>
      <c r="I343" s="24"/>
      <c r="J343" s="24"/>
      <c r="K343" s="24"/>
      <c r="L343" s="24"/>
      <c r="M343" s="26"/>
      <c r="N343" s="24"/>
      <c r="O343" s="24"/>
      <c r="P343" s="24"/>
      <c r="Q343" s="24"/>
      <c r="R343" s="24"/>
      <c r="S343" s="24"/>
      <c r="T343" s="24"/>
      <c r="U343" s="24"/>
      <c r="V343" s="24"/>
      <c r="W343" s="24"/>
      <c r="X343" s="24"/>
      <c r="Y343" s="24"/>
      <c r="Z343" s="26"/>
      <c r="AA343" s="26"/>
      <c r="AB343" s="15"/>
      <c r="AC343" s="15"/>
      <c r="AD343" s="16"/>
      <c r="AE343" s="16"/>
      <c r="AF343" s="16"/>
      <c r="AG343" s="16"/>
      <c r="AH343" s="18"/>
      <c r="AI343" s="18"/>
      <c r="AJ343" s="18"/>
      <c r="AK343" s="18"/>
      <c r="AL343" s="18"/>
      <c r="AM343" s="18"/>
      <c r="AN343" s="18"/>
      <c r="AO343" s="18"/>
      <c r="AP343" s="18"/>
      <c r="AQ343" s="18"/>
    </row>
    <row r="344" spans="2:43" s="2" customFormat="1" hidden="1">
      <c r="B344" s="21"/>
      <c r="C344" s="22"/>
      <c r="D344" s="24"/>
      <c r="E344" s="24"/>
      <c r="F344" s="24"/>
      <c r="G344" s="24"/>
      <c r="H344" s="24"/>
      <c r="I344" s="24"/>
      <c r="J344" s="24"/>
      <c r="K344" s="24"/>
      <c r="L344" s="24"/>
      <c r="M344" s="26"/>
      <c r="N344" s="24"/>
      <c r="O344" s="24"/>
      <c r="P344" s="24"/>
      <c r="Q344" s="24"/>
      <c r="R344" s="24"/>
      <c r="S344" s="24"/>
      <c r="T344" s="24"/>
      <c r="U344" s="24"/>
      <c r="V344" s="24"/>
      <c r="W344" s="24"/>
      <c r="X344" s="24"/>
      <c r="Y344" s="24"/>
      <c r="Z344" s="26"/>
      <c r="AA344" s="26"/>
      <c r="AB344" s="15"/>
      <c r="AC344" s="15"/>
      <c r="AD344" s="16"/>
      <c r="AE344" s="16"/>
      <c r="AF344" s="16"/>
      <c r="AG344" s="16"/>
      <c r="AH344" s="18"/>
      <c r="AI344" s="18"/>
      <c r="AJ344" s="18"/>
      <c r="AK344" s="18"/>
      <c r="AL344" s="18"/>
      <c r="AM344" s="18"/>
      <c r="AN344" s="18"/>
      <c r="AO344" s="18"/>
      <c r="AP344" s="18"/>
      <c r="AQ344" s="18"/>
    </row>
    <row r="345" spans="2:43" s="2" customFormat="1" hidden="1">
      <c r="B345" s="21"/>
      <c r="C345" s="22"/>
      <c r="D345" s="24"/>
      <c r="E345" s="24"/>
      <c r="F345" s="24"/>
      <c r="G345" s="24"/>
      <c r="H345" s="24"/>
      <c r="I345" s="24"/>
      <c r="J345" s="24"/>
      <c r="K345" s="24"/>
      <c r="L345" s="24"/>
      <c r="M345" s="26"/>
      <c r="N345" s="24"/>
      <c r="O345" s="24"/>
      <c r="P345" s="24"/>
      <c r="Q345" s="24"/>
      <c r="R345" s="24"/>
      <c r="S345" s="24"/>
      <c r="T345" s="24"/>
      <c r="U345" s="24"/>
      <c r="V345" s="24"/>
      <c r="W345" s="24"/>
      <c r="X345" s="24"/>
      <c r="Y345" s="24"/>
      <c r="Z345" s="26"/>
      <c r="AA345" s="26"/>
      <c r="AB345" s="15"/>
      <c r="AC345" s="15"/>
      <c r="AD345" s="16"/>
      <c r="AE345" s="16"/>
      <c r="AF345" s="16"/>
      <c r="AG345" s="16"/>
      <c r="AH345" s="18"/>
      <c r="AI345" s="18"/>
      <c r="AJ345" s="18"/>
      <c r="AK345" s="18"/>
      <c r="AL345" s="18"/>
      <c r="AM345" s="18"/>
      <c r="AN345" s="18"/>
      <c r="AO345" s="18"/>
      <c r="AP345" s="18"/>
      <c r="AQ345" s="18"/>
    </row>
    <row r="346" spans="2:43" s="2" customFormat="1" hidden="1">
      <c r="B346" s="21"/>
      <c r="C346" s="22"/>
      <c r="D346" s="24"/>
      <c r="E346" s="24"/>
      <c r="F346" s="24"/>
      <c r="G346" s="24"/>
      <c r="H346" s="24"/>
      <c r="I346" s="24"/>
      <c r="J346" s="24"/>
      <c r="K346" s="24"/>
      <c r="L346" s="24"/>
      <c r="M346" s="26"/>
      <c r="N346" s="24"/>
      <c r="O346" s="24"/>
      <c r="P346" s="24"/>
      <c r="Q346" s="24"/>
      <c r="R346" s="24"/>
      <c r="S346" s="24"/>
      <c r="T346" s="24"/>
      <c r="U346" s="24"/>
      <c r="V346" s="24"/>
      <c r="W346" s="24"/>
      <c r="X346" s="24"/>
      <c r="Y346" s="24"/>
      <c r="Z346" s="26"/>
      <c r="AA346" s="26"/>
      <c r="AB346" s="15"/>
      <c r="AC346" s="15"/>
      <c r="AD346" s="16"/>
      <c r="AE346" s="16"/>
      <c r="AF346" s="16"/>
      <c r="AG346" s="16"/>
      <c r="AH346" s="18"/>
      <c r="AI346" s="18"/>
      <c r="AJ346" s="18"/>
      <c r="AK346" s="18"/>
      <c r="AL346" s="18"/>
      <c r="AM346" s="18"/>
      <c r="AN346" s="18"/>
      <c r="AO346" s="18"/>
      <c r="AP346" s="18"/>
      <c r="AQ346" s="18"/>
    </row>
    <row r="347" spans="2:43" s="2" customFormat="1" hidden="1">
      <c r="B347" s="21"/>
      <c r="C347" s="22"/>
      <c r="D347" s="24"/>
      <c r="E347" s="24"/>
      <c r="F347" s="24"/>
      <c r="G347" s="24"/>
      <c r="H347" s="24"/>
      <c r="I347" s="24"/>
      <c r="J347" s="24"/>
      <c r="K347" s="24"/>
      <c r="L347" s="24"/>
      <c r="M347" s="26"/>
      <c r="N347" s="24"/>
      <c r="O347" s="24"/>
      <c r="P347" s="24"/>
      <c r="Q347" s="24"/>
      <c r="R347" s="24"/>
      <c r="S347" s="24"/>
      <c r="T347" s="24"/>
      <c r="U347" s="24"/>
      <c r="V347" s="24"/>
      <c r="W347" s="24"/>
      <c r="X347" s="24"/>
      <c r="Y347" s="24"/>
      <c r="Z347" s="26"/>
      <c r="AA347" s="26"/>
      <c r="AB347" s="15"/>
      <c r="AC347" s="15"/>
      <c r="AD347" s="16"/>
      <c r="AE347" s="16"/>
      <c r="AF347" s="16"/>
      <c r="AG347" s="16"/>
      <c r="AH347" s="18"/>
      <c r="AI347" s="18"/>
      <c r="AJ347" s="18"/>
      <c r="AK347" s="18"/>
      <c r="AL347" s="18"/>
      <c r="AM347" s="18"/>
      <c r="AN347" s="18"/>
      <c r="AO347" s="18"/>
      <c r="AP347" s="18"/>
      <c r="AQ347" s="18"/>
    </row>
    <row r="348" spans="2:43" s="2" customFormat="1" hidden="1">
      <c r="B348" s="21"/>
      <c r="C348" s="22"/>
      <c r="D348" s="24"/>
      <c r="E348" s="24"/>
      <c r="F348" s="24"/>
      <c r="G348" s="24"/>
      <c r="H348" s="24"/>
      <c r="I348" s="24"/>
      <c r="J348" s="24"/>
      <c r="K348" s="24"/>
      <c r="L348" s="24"/>
      <c r="M348" s="26"/>
      <c r="N348" s="24"/>
      <c r="O348" s="24"/>
      <c r="P348" s="24"/>
      <c r="Q348" s="24"/>
      <c r="R348" s="24"/>
      <c r="S348" s="24"/>
      <c r="T348" s="24"/>
      <c r="U348" s="24"/>
      <c r="V348" s="24"/>
      <c r="W348" s="24"/>
      <c r="X348" s="24"/>
      <c r="Y348" s="24"/>
      <c r="Z348" s="26"/>
      <c r="AA348" s="26"/>
      <c r="AB348" s="15"/>
      <c r="AC348" s="15"/>
      <c r="AD348" s="16"/>
      <c r="AE348" s="16"/>
      <c r="AF348" s="16"/>
      <c r="AG348" s="16"/>
      <c r="AH348" s="18"/>
      <c r="AI348" s="18"/>
      <c r="AJ348" s="18"/>
      <c r="AK348" s="18"/>
      <c r="AL348" s="18"/>
      <c r="AM348" s="18"/>
      <c r="AN348" s="18"/>
      <c r="AO348" s="18"/>
      <c r="AP348" s="18"/>
      <c r="AQ348" s="18"/>
    </row>
    <row r="349" spans="2:43" s="2" customFormat="1" hidden="1">
      <c r="B349" s="21"/>
      <c r="C349" s="22"/>
      <c r="D349" s="24"/>
      <c r="E349" s="24"/>
      <c r="F349" s="24"/>
      <c r="G349" s="24"/>
      <c r="H349" s="24"/>
      <c r="I349" s="24"/>
      <c r="J349" s="24"/>
      <c r="K349" s="24"/>
      <c r="L349" s="24"/>
      <c r="M349" s="26"/>
      <c r="N349" s="24"/>
      <c r="O349" s="24"/>
      <c r="P349" s="24"/>
      <c r="Q349" s="24"/>
      <c r="R349" s="24"/>
      <c r="S349" s="24"/>
      <c r="T349" s="24"/>
      <c r="U349" s="24"/>
      <c r="V349" s="24"/>
      <c r="W349" s="24"/>
      <c r="X349" s="24"/>
      <c r="Y349" s="24"/>
      <c r="Z349" s="26"/>
      <c r="AA349" s="26"/>
      <c r="AB349" s="15"/>
      <c r="AC349" s="15"/>
      <c r="AD349" s="16"/>
      <c r="AE349" s="16"/>
      <c r="AF349" s="16"/>
      <c r="AG349" s="16"/>
      <c r="AH349" s="18"/>
      <c r="AI349" s="18"/>
      <c r="AJ349" s="18"/>
      <c r="AK349" s="18"/>
      <c r="AL349" s="18"/>
      <c r="AM349" s="18"/>
      <c r="AN349" s="18"/>
      <c r="AO349" s="18"/>
      <c r="AP349" s="18"/>
      <c r="AQ349" s="18"/>
    </row>
    <row r="350" spans="2:43" s="2" customFormat="1" hidden="1">
      <c r="B350" s="21"/>
      <c r="C350" s="22"/>
      <c r="D350" s="24"/>
      <c r="E350" s="24"/>
      <c r="F350" s="24"/>
      <c r="G350" s="24"/>
      <c r="H350" s="24"/>
      <c r="I350" s="24"/>
      <c r="J350" s="24"/>
      <c r="K350" s="24"/>
      <c r="L350" s="24"/>
      <c r="M350" s="26"/>
      <c r="N350" s="24"/>
      <c r="O350" s="24"/>
      <c r="P350" s="24"/>
      <c r="Q350" s="24"/>
      <c r="R350" s="24"/>
      <c r="S350" s="24"/>
      <c r="T350" s="24"/>
      <c r="U350" s="24"/>
      <c r="V350" s="24"/>
      <c r="W350" s="24"/>
      <c r="X350" s="24"/>
      <c r="Y350" s="24"/>
      <c r="Z350" s="26"/>
      <c r="AA350" s="26"/>
      <c r="AB350" s="15"/>
      <c r="AC350" s="15"/>
      <c r="AD350" s="16"/>
      <c r="AE350" s="16"/>
      <c r="AF350" s="16"/>
      <c r="AG350" s="16"/>
      <c r="AH350" s="18"/>
      <c r="AI350" s="18"/>
      <c r="AJ350" s="18"/>
      <c r="AK350" s="18"/>
      <c r="AL350" s="18"/>
      <c r="AM350" s="18"/>
      <c r="AN350" s="18"/>
      <c r="AO350" s="18"/>
      <c r="AP350" s="18"/>
      <c r="AQ350" s="18"/>
    </row>
    <row r="351" spans="2:43" s="2" customFormat="1" hidden="1">
      <c r="B351" s="21"/>
      <c r="C351" s="22"/>
      <c r="D351" s="24"/>
      <c r="E351" s="24"/>
      <c r="F351" s="24"/>
      <c r="G351" s="24"/>
      <c r="H351" s="24"/>
      <c r="I351" s="24"/>
      <c r="J351" s="24"/>
      <c r="K351" s="24"/>
      <c r="L351" s="24"/>
      <c r="M351" s="26"/>
      <c r="N351" s="24"/>
      <c r="O351" s="24"/>
      <c r="P351" s="24"/>
      <c r="Q351" s="24"/>
      <c r="R351" s="24"/>
      <c r="S351" s="24"/>
      <c r="T351" s="24"/>
      <c r="U351" s="24"/>
      <c r="V351" s="24"/>
      <c r="W351" s="24"/>
      <c r="X351" s="24"/>
      <c r="Y351" s="24"/>
      <c r="Z351" s="26"/>
      <c r="AA351" s="26"/>
      <c r="AB351" s="15"/>
      <c r="AC351" s="15"/>
      <c r="AD351" s="16"/>
      <c r="AE351" s="16"/>
      <c r="AF351" s="16"/>
      <c r="AG351" s="16"/>
      <c r="AH351" s="18"/>
      <c r="AI351" s="18"/>
      <c r="AJ351" s="18"/>
      <c r="AK351" s="18"/>
      <c r="AL351" s="18"/>
      <c r="AM351" s="18"/>
      <c r="AN351" s="18"/>
      <c r="AO351" s="18"/>
      <c r="AP351" s="18"/>
      <c r="AQ351" s="18"/>
    </row>
    <row r="352" spans="2:43" s="2" customFormat="1" hidden="1">
      <c r="B352" s="21"/>
      <c r="C352" s="22"/>
      <c r="D352" s="24"/>
      <c r="E352" s="24"/>
      <c r="F352" s="24"/>
      <c r="G352" s="24"/>
      <c r="H352" s="24"/>
      <c r="I352" s="24"/>
      <c r="J352" s="24"/>
      <c r="K352" s="24"/>
      <c r="L352" s="24"/>
      <c r="M352" s="26"/>
      <c r="N352" s="24"/>
      <c r="O352" s="24"/>
      <c r="P352" s="24"/>
      <c r="Q352" s="24"/>
      <c r="R352" s="24"/>
      <c r="S352" s="24"/>
      <c r="T352" s="24"/>
      <c r="U352" s="24"/>
      <c r="V352" s="24"/>
      <c r="W352" s="24"/>
      <c r="X352" s="24"/>
      <c r="Y352" s="24"/>
      <c r="Z352" s="26"/>
      <c r="AA352" s="26"/>
      <c r="AB352" s="15"/>
      <c r="AC352" s="15"/>
      <c r="AD352" s="16"/>
      <c r="AE352" s="16"/>
      <c r="AF352" s="16"/>
      <c r="AG352" s="16"/>
      <c r="AH352" s="18"/>
      <c r="AI352" s="18"/>
      <c r="AJ352" s="18"/>
      <c r="AK352" s="18"/>
      <c r="AL352" s="18"/>
      <c r="AM352" s="18"/>
      <c r="AN352" s="18"/>
      <c r="AO352" s="18"/>
      <c r="AP352" s="18"/>
      <c r="AQ352" s="18"/>
    </row>
    <row r="353" spans="2:43" s="2" customFormat="1" hidden="1">
      <c r="B353" s="21"/>
      <c r="C353" s="22"/>
      <c r="D353" s="24"/>
      <c r="E353" s="24"/>
      <c r="F353" s="24"/>
      <c r="G353" s="24"/>
      <c r="H353" s="24"/>
      <c r="I353" s="24"/>
      <c r="J353" s="24"/>
      <c r="K353" s="24"/>
      <c r="L353" s="24"/>
      <c r="M353" s="26"/>
      <c r="N353" s="24"/>
      <c r="O353" s="24"/>
      <c r="P353" s="24"/>
      <c r="Q353" s="24"/>
      <c r="R353" s="24"/>
      <c r="S353" s="24"/>
      <c r="T353" s="24"/>
      <c r="U353" s="24"/>
      <c r="V353" s="24"/>
      <c r="W353" s="24"/>
      <c r="X353" s="24"/>
      <c r="Y353" s="24"/>
      <c r="Z353" s="26"/>
      <c r="AA353" s="26"/>
      <c r="AB353" s="15"/>
      <c r="AC353" s="15"/>
      <c r="AD353" s="16"/>
      <c r="AE353" s="16"/>
      <c r="AF353" s="16"/>
      <c r="AG353" s="16"/>
      <c r="AH353" s="18"/>
      <c r="AI353" s="18"/>
      <c r="AJ353" s="18"/>
      <c r="AK353" s="18"/>
      <c r="AL353" s="18"/>
      <c r="AM353" s="18"/>
      <c r="AN353" s="18"/>
      <c r="AO353" s="18"/>
      <c r="AP353" s="18"/>
      <c r="AQ353" s="18"/>
    </row>
    <row r="354" spans="2:43" s="2" customFormat="1" hidden="1">
      <c r="B354" s="21"/>
      <c r="C354" s="22"/>
      <c r="D354" s="24"/>
      <c r="E354" s="24"/>
      <c r="F354" s="24"/>
      <c r="G354" s="24"/>
      <c r="H354" s="24"/>
      <c r="I354" s="24"/>
      <c r="J354" s="24"/>
      <c r="K354" s="24"/>
      <c r="L354" s="24"/>
      <c r="M354" s="26"/>
      <c r="N354" s="24"/>
      <c r="O354" s="24"/>
      <c r="P354" s="24"/>
      <c r="Q354" s="24"/>
      <c r="R354" s="24"/>
      <c r="S354" s="24"/>
      <c r="T354" s="24"/>
      <c r="U354" s="24"/>
      <c r="V354" s="24"/>
      <c r="W354" s="24"/>
      <c r="X354" s="24"/>
      <c r="Y354" s="24"/>
      <c r="Z354" s="26"/>
      <c r="AA354" s="26"/>
      <c r="AB354" s="15"/>
      <c r="AC354" s="15"/>
      <c r="AD354" s="16"/>
      <c r="AE354" s="16"/>
      <c r="AF354" s="16"/>
      <c r="AG354" s="16"/>
      <c r="AH354" s="18"/>
      <c r="AI354" s="18"/>
      <c r="AJ354" s="18"/>
      <c r="AK354" s="18"/>
      <c r="AL354" s="18"/>
      <c r="AM354" s="18"/>
      <c r="AN354" s="18"/>
      <c r="AO354" s="18"/>
      <c r="AP354" s="18"/>
      <c r="AQ354" s="18"/>
    </row>
    <row r="355" spans="2:43" s="2" customFormat="1" hidden="1">
      <c r="B355" s="21"/>
      <c r="C355" s="22"/>
      <c r="D355" s="24"/>
      <c r="E355" s="24"/>
      <c r="F355" s="24"/>
      <c r="G355" s="24"/>
      <c r="H355" s="24"/>
      <c r="I355" s="24"/>
      <c r="J355" s="24"/>
      <c r="K355" s="24"/>
      <c r="L355" s="24"/>
      <c r="M355" s="26"/>
      <c r="N355" s="24"/>
      <c r="O355" s="24"/>
      <c r="P355" s="24"/>
      <c r="Q355" s="24"/>
      <c r="R355" s="24"/>
      <c r="S355" s="24"/>
      <c r="T355" s="24"/>
      <c r="U355" s="24"/>
      <c r="V355" s="24"/>
      <c r="W355" s="24"/>
      <c r="X355" s="24"/>
      <c r="Y355" s="24"/>
      <c r="Z355" s="26"/>
      <c r="AA355" s="26"/>
      <c r="AB355" s="15"/>
      <c r="AC355" s="15"/>
      <c r="AD355" s="16"/>
      <c r="AE355" s="16"/>
      <c r="AF355" s="16"/>
      <c r="AG355" s="16"/>
      <c r="AH355" s="18"/>
      <c r="AI355" s="18"/>
      <c r="AJ355" s="18"/>
      <c r="AK355" s="18"/>
      <c r="AL355" s="18"/>
      <c r="AM355" s="18"/>
      <c r="AN355" s="18"/>
      <c r="AO355" s="18"/>
      <c r="AP355" s="18"/>
      <c r="AQ355" s="18"/>
    </row>
    <row r="356" spans="2:43" s="2" customFormat="1" hidden="1">
      <c r="B356" s="21"/>
      <c r="C356" s="22"/>
      <c r="D356" s="24"/>
      <c r="E356" s="24"/>
      <c r="F356" s="24"/>
      <c r="G356" s="24"/>
      <c r="H356" s="24"/>
      <c r="I356" s="24"/>
      <c r="J356" s="24"/>
      <c r="K356" s="24"/>
      <c r="L356" s="24"/>
      <c r="M356" s="26"/>
      <c r="N356" s="24"/>
      <c r="O356" s="24"/>
      <c r="P356" s="24"/>
      <c r="Q356" s="24"/>
      <c r="R356" s="24"/>
      <c r="S356" s="24"/>
      <c r="T356" s="24"/>
      <c r="U356" s="24"/>
      <c r="V356" s="24"/>
      <c r="W356" s="24"/>
      <c r="X356" s="24"/>
      <c r="Y356" s="24"/>
      <c r="Z356" s="26"/>
      <c r="AA356" s="26"/>
      <c r="AB356" s="15"/>
      <c r="AC356" s="15"/>
      <c r="AD356" s="16"/>
      <c r="AE356" s="16"/>
      <c r="AF356" s="16"/>
      <c r="AG356" s="16"/>
      <c r="AH356" s="18"/>
      <c r="AI356" s="18"/>
      <c r="AJ356" s="18"/>
      <c r="AK356" s="18"/>
      <c r="AL356" s="18"/>
      <c r="AM356" s="18"/>
      <c r="AN356" s="18"/>
      <c r="AO356" s="18"/>
      <c r="AP356" s="18"/>
      <c r="AQ356" s="18"/>
    </row>
    <row r="357" spans="2:43" s="2" customFormat="1" hidden="1">
      <c r="B357" s="21"/>
      <c r="C357" s="22"/>
      <c r="D357" s="24"/>
      <c r="E357" s="24"/>
      <c r="F357" s="24"/>
      <c r="G357" s="24"/>
      <c r="H357" s="24"/>
      <c r="I357" s="24"/>
      <c r="J357" s="24"/>
      <c r="K357" s="24"/>
      <c r="L357" s="24"/>
      <c r="M357" s="26"/>
      <c r="N357" s="24"/>
      <c r="O357" s="24"/>
      <c r="P357" s="24"/>
      <c r="Q357" s="24"/>
      <c r="R357" s="24"/>
      <c r="S357" s="24"/>
      <c r="T357" s="24"/>
      <c r="U357" s="24"/>
      <c r="V357" s="24"/>
      <c r="W357" s="24"/>
      <c r="X357" s="24"/>
      <c r="Y357" s="24"/>
      <c r="Z357" s="26"/>
      <c r="AA357" s="26"/>
      <c r="AB357" s="15"/>
      <c r="AC357" s="15"/>
      <c r="AD357" s="16"/>
      <c r="AE357" s="16"/>
      <c r="AF357" s="16"/>
      <c r="AG357" s="16"/>
      <c r="AH357" s="18"/>
      <c r="AI357" s="18"/>
      <c r="AJ357" s="18"/>
      <c r="AK357" s="18"/>
      <c r="AL357" s="18"/>
      <c r="AM357" s="18"/>
      <c r="AN357" s="18"/>
      <c r="AO357" s="18"/>
      <c r="AP357" s="18"/>
      <c r="AQ357" s="18"/>
    </row>
    <row r="358" spans="2:43" s="2" customFormat="1" hidden="1">
      <c r="B358" s="21"/>
      <c r="C358" s="22"/>
      <c r="D358" s="24"/>
      <c r="E358" s="24"/>
      <c r="F358" s="24"/>
      <c r="G358" s="24"/>
      <c r="H358" s="24"/>
      <c r="I358" s="24"/>
      <c r="J358" s="24"/>
      <c r="K358" s="24"/>
      <c r="L358" s="24"/>
      <c r="M358" s="26"/>
      <c r="N358" s="24"/>
      <c r="O358" s="24"/>
      <c r="P358" s="24"/>
      <c r="Q358" s="24"/>
      <c r="R358" s="24"/>
      <c r="S358" s="24"/>
      <c r="T358" s="24"/>
      <c r="U358" s="24"/>
      <c r="V358" s="24"/>
      <c r="W358" s="24"/>
      <c r="X358" s="24"/>
      <c r="Y358" s="24"/>
      <c r="Z358" s="26"/>
      <c r="AA358" s="26"/>
      <c r="AB358" s="15"/>
      <c r="AC358" s="15"/>
      <c r="AD358" s="16"/>
      <c r="AE358" s="16"/>
      <c r="AF358" s="16"/>
      <c r="AG358" s="16"/>
      <c r="AH358" s="18"/>
      <c r="AI358" s="18"/>
      <c r="AJ358" s="18"/>
      <c r="AK358" s="18"/>
      <c r="AL358" s="18"/>
      <c r="AM358" s="18"/>
      <c r="AN358" s="18"/>
      <c r="AO358" s="18"/>
      <c r="AP358" s="18"/>
      <c r="AQ358" s="18"/>
    </row>
    <row r="359" spans="2:43" s="2" customFormat="1" hidden="1">
      <c r="B359" s="21"/>
      <c r="C359" s="22"/>
      <c r="D359" s="24"/>
      <c r="E359" s="24"/>
      <c r="F359" s="24"/>
      <c r="G359" s="24"/>
      <c r="H359" s="24"/>
      <c r="I359" s="24"/>
      <c r="J359" s="24"/>
      <c r="K359" s="24"/>
      <c r="L359" s="24"/>
      <c r="M359" s="26"/>
      <c r="N359" s="24"/>
      <c r="O359" s="24"/>
      <c r="P359" s="24"/>
      <c r="Q359" s="24"/>
      <c r="R359" s="24"/>
      <c r="S359" s="24"/>
      <c r="T359" s="24"/>
      <c r="U359" s="24"/>
      <c r="V359" s="24"/>
      <c r="W359" s="24"/>
      <c r="X359" s="24"/>
      <c r="Y359" s="24"/>
      <c r="Z359" s="26"/>
      <c r="AA359" s="26"/>
      <c r="AB359" s="15"/>
      <c r="AC359" s="15"/>
      <c r="AD359" s="16"/>
      <c r="AE359" s="16"/>
      <c r="AF359" s="16"/>
      <c r="AG359" s="16"/>
      <c r="AH359" s="18"/>
      <c r="AI359" s="18"/>
      <c r="AJ359" s="18"/>
      <c r="AK359" s="18"/>
      <c r="AL359" s="18"/>
      <c r="AM359" s="18"/>
      <c r="AN359" s="18"/>
      <c r="AO359" s="18"/>
      <c r="AP359" s="18"/>
      <c r="AQ359" s="18"/>
    </row>
    <row r="360" spans="2:43" s="2" customFormat="1" hidden="1">
      <c r="B360" s="21"/>
      <c r="C360" s="22"/>
      <c r="D360" s="24"/>
      <c r="E360" s="24"/>
      <c r="F360" s="24"/>
      <c r="G360" s="24"/>
      <c r="H360" s="24"/>
      <c r="I360" s="24"/>
      <c r="J360" s="24"/>
      <c r="K360" s="24"/>
      <c r="L360" s="24"/>
      <c r="M360" s="26"/>
      <c r="N360" s="24"/>
      <c r="O360" s="24"/>
      <c r="P360" s="24"/>
      <c r="Q360" s="24"/>
      <c r="R360" s="24"/>
      <c r="S360" s="24"/>
      <c r="T360" s="24"/>
      <c r="U360" s="24"/>
      <c r="V360" s="24"/>
      <c r="W360" s="24"/>
      <c r="X360" s="24"/>
      <c r="Y360" s="24"/>
      <c r="Z360" s="26"/>
      <c r="AA360" s="26"/>
      <c r="AB360" s="15"/>
      <c r="AC360" s="15"/>
      <c r="AD360" s="16"/>
      <c r="AE360" s="16"/>
      <c r="AF360" s="16"/>
      <c r="AG360" s="16"/>
      <c r="AH360" s="18"/>
      <c r="AI360" s="18"/>
      <c r="AJ360" s="18"/>
      <c r="AK360" s="18"/>
      <c r="AL360" s="18"/>
      <c r="AM360" s="18"/>
      <c r="AN360" s="18"/>
      <c r="AO360" s="18"/>
      <c r="AP360" s="18"/>
      <c r="AQ360" s="18"/>
    </row>
    <row r="361" spans="2:43" s="2" customFormat="1" hidden="1">
      <c r="B361" s="21"/>
      <c r="C361" s="22"/>
      <c r="D361" s="24"/>
      <c r="E361" s="24"/>
      <c r="F361" s="24"/>
      <c r="G361" s="24"/>
      <c r="H361" s="24"/>
      <c r="I361" s="24"/>
      <c r="J361" s="24"/>
      <c r="K361" s="24"/>
      <c r="L361" s="24"/>
      <c r="M361" s="26"/>
      <c r="N361" s="24"/>
      <c r="O361" s="24"/>
      <c r="P361" s="24"/>
      <c r="Q361" s="24"/>
      <c r="R361" s="24"/>
      <c r="S361" s="24"/>
      <c r="T361" s="24"/>
      <c r="U361" s="24"/>
      <c r="V361" s="24"/>
      <c r="W361" s="24"/>
      <c r="X361" s="24"/>
      <c r="Y361" s="24"/>
      <c r="Z361" s="26"/>
      <c r="AA361" s="26"/>
      <c r="AB361" s="15"/>
      <c r="AC361" s="15"/>
      <c r="AD361" s="16"/>
      <c r="AE361" s="16"/>
      <c r="AF361" s="16"/>
      <c r="AG361" s="16"/>
      <c r="AH361" s="18"/>
      <c r="AI361" s="18"/>
      <c r="AJ361" s="18"/>
      <c r="AK361" s="18"/>
      <c r="AL361" s="18"/>
      <c r="AM361" s="18"/>
      <c r="AN361" s="18"/>
      <c r="AO361" s="18"/>
      <c r="AP361" s="18"/>
      <c r="AQ361" s="18"/>
    </row>
    <row r="362" spans="2:43" s="2" customFormat="1" hidden="1">
      <c r="B362" s="21"/>
      <c r="C362" s="22"/>
      <c r="D362" s="24"/>
      <c r="E362" s="24"/>
      <c r="F362" s="24"/>
      <c r="G362" s="24"/>
      <c r="H362" s="24"/>
      <c r="I362" s="24"/>
      <c r="J362" s="24"/>
      <c r="K362" s="24"/>
      <c r="L362" s="24"/>
      <c r="M362" s="26"/>
      <c r="N362" s="24"/>
      <c r="O362" s="24"/>
      <c r="P362" s="24"/>
      <c r="Q362" s="24"/>
      <c r="R362" s="24"/>
      <c r="S362" s="24"/>
      <c r="T362" s="24"/>
      <c r="U362" s="24"/>
      <c r="V362" s="24"/>
      <c r="W362" s="24"/>
      <c r="X362" s="24"/>
      <c r="Y362" s="24"/>
      <c r="Z362" s="26"/>
      <c r="AA362" s="26"/>
      <c r="AB362" s="15"/>
      <c r="AC362" s="15"/>
      <c r="AD362" s="16"/>
      <c r="AE362" s="16"/>
      <c r="AF362" s="16"/>
      <c r="AG362" s="16"/>
      <c r="AH362" s="18"/>
      <c r="AI362" s="18"/>
      <c r="AJ362" s="18"/>
      <c r="AK362" s="18"/>
      <c r="AL362" s="18"/>
      <c r="AM362" s="18"/>
      <c r="AN362" s="18"/>
      <c r="AO362" s="18"/>
      <c r="AP362" s="18"/>
      <c r="AQ362" s="18"/>
    </row>
    <row r="363" spans="2:43" s="2" customFormat="1" hidden="1">
      <c r="B363" s="21"/>
      <c r="C363" s="22"/>
      <c r="D363" s="24"/>
      <c r="E363" s="24"/>
      <c r="F363" s="24"/>
      <c r="G363" s="24"/>
      <c r="H363" s="24"/>
      <c r="I363" s="24"/>
      <c r="J363" s="24"/>
      <c r="K363" s="24"/>
      <c r="L363" s="24"/>
      <c r="M363" s="26"/>
      <c r="N363" s="24"/>
      <c r="O363" s="24"/>
      <c r="P363" s="24"/>
      <c r="Q363" s="24"/>
      <c r="R363" s="24"/>
      <c r="S363" s="24"/>
      <c r="T363" s="24"/>
      <c r="U363" s="24"/>
      <c r="V363" s="24"/>
      <c r="W363" s="24"/>
      <c r="X363" s="24"/>
      <c r="Y363" s="24"/>
      <c r="Z363" s="26"/>
      <c r="AA363" s="26"/>
      <c r="AB363" s="15"/>
      <c r="AC363" s="15"/>
      <c r="AD363" s="16"/>
      <c r="AE363" s="16"/>
      <c r="AF363" s="16"/>
      <c r="AG363" s="16"/>
      <c r="AH363" s="18"/>
      <c r="AI363" s="18"/>
      <c r="AJ363" s="18"/>
      <c r="AK363" s="18"/>
      <c r="AL363" s="18"/>
      <c r="AM363" s="18"/>
      <c r="AN363" s="18"/>
      <c r="AO363" s="18"/>
      <c r="AP363" s="18"/>
      <c r="AQ363" s="18"/>
    </row>
    <row r="364" spans="2:43" s="2" customFormat="1" hidden="1">
      <c r="B364" s="21"/>
      <c r="C364" s="22"/>
      <c r="D364" s="24"/>
      <c r="E364" s="24"/>
      <c r="F364" s="24"/>
      <c r="G364" s="24"/>
      <c r="H364" s="24"/>
      <c r="I364" s="24"/>
      <c r="J364" s="24"/>
      <c r="K364" s="24"/>
      <c r="L364" s="24"/>
      <c r="M364" s="26"/>
      <c r="N364" s="24"/>
      <c r="O364" s="24"/>
      <c r="P364" s="24"/>
      <c r="Q364" s="24"/>
      <c r="R364" s="24"/>
      <c r="S364" s="24"/>
      <c r="T364" s="24"/>
      <c r="U364" s="24"/>
      <c r="V364" s="24"/>
      <c r="W364" s="24"/>
      <c r="X364" s="24"/>
      <c r="Y364" s="24"/>
      <c r="Z364" s="26"/>
      <c r="AA364" s="26"/>
      <c r="AB364" s="15"/>
      <c r="AC364" s="15"/>
      <c r="AD364" s="16"/>
      <c r="AE364" s="16"/>
      <c r="AF364" s="16"/>
      <c r="AG364" s="16"/>
      <c r="AH364" s="18"/>
      <c r="AI364" s="18"/>
      <c r="AJ364" s="18"/>
      <c r="AK364" s="18"/>
      <c r="AL364" s="18"/>
      <c r="AM364" s="18"/>
      <c r="AN364" s="18"/>
      <c r="AO364" s="18"/>
      <c r="AP364" s="18"/>
      <c r="AQ364" s="18"/>
    </row>
    <row r="365" spans="2:43" s="2" customFormat="1" hidden="1">
      <c r="B365" s="21"/>
      <c r="C365" s="22"/>
      <c r="D365" s="24"/>
      <c r="E365" s="24"/>
      <c r="F365" s="24"/>
      <c r="G365" s="24"/>
      <c r="H365" s="24"/>
      <c r="I365" s="24"/>
      <c r="J365" s="24"/>
      <c r="K365" s="24"/>
      <c r="L365" s="24"/>
      <c r="M365" s="26"/>
      <c r="N365" s="24"/>
      <c r="O365" s="24"/>
      <c r="P365" s="24"/>
      <c r="Q365" s="24"/>
      <c r="R365" s="24"/>
      <c r="S365" s="24"/>
      <c r="T365" s="24"/>
      <c r="U365" s="24"/>
      <c r="V365" s="24"/>
      <c r="W365" s="24"/>
      <c r="X365" s="24"/>
      <c r="Y365" s="24"/>
      <c r="Z365" s="26"/>
      <c r="AA365" s="26"/>
      <c r="AB365" s="15"/>
      <c r="AC365" s="15"/>
      <c r="AD365" s="16"/>
      <c r="AE365" s="16"/>
      <c r="AF365" s="16"/>
      <c r="AG365" s="16"/>
      <c r="AH365" s="18"/>
      <c r="AI365" s="18"/>
      <c r="AJ365" s="18"/>
      <c r="AK365" s="18"/>
      <c r="AL365" s="18"/>
      <c r="AM365" s="18"/>
      <c r="AN365" s="18"/>
      <c r="AO365" s="18"/>
      <c r="AP365" s="18"/>
      <c r="AQ365" s="18"/>
    </row>
    <row r="366" spans="2:43" s="2" customFormat="1" hidden="1">
      <c r="B366" s="21"/>
      <c r="C366" s="22"/>
      <c r="D366" s="24"/>
      <c r="E366" s="24"/>
      <c r="F366" s="24"/>
      <c r="G366" s="24"/>
      <c r="H366" s="24"/>
      <c r="I366" s="24"/>
      <c r="J366" s="24"/>
      <c r="K366" s="24"/>
      <c r="L366" s="24"/>
      <c r="M366" s="26"/>
      <c r="N366" s="24"/>
      <c r="O366" s="24"/>
      <c r="P366" s="24"/>
      <c r="Q366" s="24"/>
      <c r="R366" s="24"/>
      <c r="S366" s="24"/>
      <c r="T366" s="24"/>
      <c r="U366" s="24"/>
      <c r="V366" s="24"/>
      <c r="W366" s="24"/>
      <c r="X366" s="24"/>
      <c r="Y366" s="24"/>
      <c r="Z366" s="26"/>
      <c r="AA366" s="26"/>
      <c r="AB366" s="15"/>
      <c r="AC366" s="15"/>
      <c r="AD366" s="16"/>
      <c r="AE366" s="16"/>
      <c r="AF366" s="16"/>
      <c r="AG366" s="16"/>
      <c r="AH366" s="18"/>
      <c r="AI366" s="18"/>
      <c r="AJ366" s="18"/>
      <c r="AK366" s="18"/>
      <c r="AL366" s="18"/>
      <c r="AM366" s="18"/>
      <c r="AN366" s="18"/>
      <c r="AO366" s="18"/>
      <c r="AP366" s="18"/>
      <c r="AQ366" s="18"/>
    </row>
    <row r="367" spans="2:43" s="2" customFormat="1" hidden="1">
      <c r="B367" s="21"/>
      <c r="C367" s="22"/>
      <c r="D367" s="24"/>
      <c r="E367" s="24"/>
      <c r="F367" s="24"/>
      <c r="G367" s="24"/>
      <c r="H367" s="24"/>
      <c r="I367" s="24"/>
      <c r="J367" s="24"/>
      <c r="K367" s="24"/>
      <c r="L367" s="24"/>
      <c r="M367" s="26"/>
      <c r="N367" s="24"/>
      <c r="O367" s="24"/>
      <c r="P367" s="24"/>
      <c r="Q367" s="24"/>
      <c r="R367" s="24"/>
      <c r="S367" s="24"/>
      <c r="T367" s="24"/>
      <c r="U367" s="24"/>
      <c r="V367" s="24"/>
      <c r="W367" s="24"/>
      <c r="X367" s="24"/>
      <c r="Y367" s="24"/>
      <c r="Z367" s="26"/>
      <c r="AA367" s="26"/>
      <c r="AB367" s="15"/>
      <c r="AC367" s="15"/>
      <c r="AD367" s="16"/>
      <c r="AE367" s="16"/>
      <c r="AF367" s="16"/>
      <c r="AG367" s="16"/>
      <c r="AH367" s="18"/>
      <c r="AI367" s="18"/>
      <c r="AJ367" s="18"/>
      <c r="AK367" s="18"/>
      <c r="AL367" s="18"/>
      <c r="AM367" s="18"/>
      <c r="AN367" s="18"/>
      <c r="AO367" s="18"/>
      <c r="AP367" s="18"/>
      <c r="AQ367" s="18"/>
    </row>
    <row r="368" spans="2:43" s="2" customFormat="1" hidden="1">
      <c r="B368" s="21"/>
      <c r="C368" s="22"/>
      <c r="D368" s="24"/>
      <c r="E368" s="24"/>
      <c r="F368" s="24"/>
      <c r="G368" s="24"/>
      <c r="H368" s="24"/>
      <c r="I368" s="24"/>
      <c r="J368" s="24"/>
      <c r="K368" s="24"/>
      <c r="L368" s="24"/>
      <c r="M368" s="26"/>
      <c r="N368" s="24"/>
      <c r="O368" s="24"/>
      <c r="P368" s="24"/>
      <c r="Q368" s="24"/>
      <c r="R368" s="24"/>
      <c r="S368" s="24"/>
      <c r="T368" s="24"/>
      <c r="U368" s="24"/>
      <c r="V368" s="24"/>
      <c r="W368" s="24"/>
      <c r="X368" s="24"/>
      <c r="Y368" s="24"/>
      <c r="Z368" s="26"/>
      <c r="AA368" s="26"/>
      <c r="AB368" s="15"/>
      <c r="AC368" s="15"/>
      <c r="AD368" s="16"/>
      <c r="AE368" s="16"/>
      <c r="AF368" s="16"/>
      <c r="AG368" s="16"/>
      <c r="AH368" s="18"/>
      <c r="AI368" s="18"/>
      <c r="AJ368" s="18"/>
      <c r="AK368" s="18"/>
      <c r="AL368" s="18"/>
      <c r="AM368" s="18"/>
      <c r="AN368" s="18"/>
      <c r="AO368" s="18"/>
      <c r="AP368" s="18"/>
      <c r="AQ368" s="18"/>
    </row>
    <row r="369" spans="2:43" s="2" customFormat="1" hidden="1">
      <c r="B369" s="21"/>
      <c r="C369" s="22"/>
      <c r="D369" s="24"/>
      <c r="E369" s="24"/>
      <c r="F369" s="24"/>
      <c r="G369" s="24"/>
      <c r="H369" s="24"/>
      <c r="I369" s="24"/>
      <c r="J369" s="24"/>
      <c r="K369" s="24"/>
      <c r="L369" s="24"/>
      <c r="M369" s="26"/>
      <c r="N369" s="24"/>
      <c r="O369" s="24"/>
      <c r="P369" s="24"/>
      <c r="Q369" s="24"/>
      <c r="R369" s="24"/>
      <c r="S369" s="24"/>
      <c r="T369" s="24"/>
      <c r="U369" s="24"/>
      <c r="V369" s="24"/>
      <c r="W369" s="24"/>
      <c r="X369" s="24"/>
      <c r="Y369" s="24"/>
      <c r="Z369" s="26"/>
      <c r="AA369" s="26"/>
      <c r="AB369" s="15"/>
      <c r="AC369" s="15"/>
      <c r="AD369" s="16"/>
      <c r="AE369" s="16"/>
      <c r="AF369" s="16"/>
      <c r="AG369" s="16"/>
      <c r="AH369" s="18"/>
      <c r="AI369" s="18"/>
      <c r="AJ369" s="18"/>
      <c r="AK369" s="18"/>
      <c r="AL369" s="18"/>
      <c r="AM369" s="18"/>
      <c r="AN369" s="18"/>
      <c r="AO369" s="18"/>
      <c r="AP369" s="18"/>
      <c r="AQ369" s="18"/>
    </row>
    <row r="370" spans="2:43" s="2" customFormat="1" hidden="1">
      <c r="B370" s="21"/>
      <c r="C370" s="22"/>
      <c r="D370" s="24"/>
      <c r="E370" s="24"/>
      <c r="F370" s="24"/>
      <c r="G370" s="24"/>
      <c r="H370" s="24"/>
      <c r="I370" s="24"/>
      <c r="J370" s="24"/>
      <c r="K370" s="24"/>
      <c r="L370" s="24"/>
      <c r="M370" s="26"/>
      <c r="N370" s="24"/>
      <c r="O370" s="24"/>
      <c r="P370" s="24"/>
      <c r="Q370" s="24"/>
      <c r="R370" s="24"/>
      <c r="S370" s="24"/>
      <c r="T370" s="24"/>
      <c r="U370" s="24"/>
      <c r="V370" s="24"/>
      <c r="W370" s="24"/>
      <c r="X370" s="24"/>
      <c r="Y370" s="24"/>
      <c r="Z370" s="26"/>
      <c r="AA370" s="26"/>
      <c r="AB370" s="15"/>
      <c r="AC370" s="15"/>
      <c r="AD370" s="16"/>
      <c r="AE370" s="16"/>
      <c r="AF370" s="16"/>
      <c r="AG370" s="16"/>
      <c r="AH370" s="18"/>
      <c r="AI370" s="18"/>
      <c r="AJ370" s="18"/>
      <c r="AK370" s="18"/>
      <c r="AL370" s="18"/>
      <c r="AM370" s="18"/>
      <c r="AN370" s="18"/>
      <c r="AO370" s="18"/>
      <c r="AP370" s="18"/>
      <c r="AQ370" s="18"/>
    </row>
    <row r="371" spans="2:43" s="2" customFormat="1" hidden="1">
      <c r="B371" s="21"/>
      <c r="C371" s="22"/>
      <c r="D371" s="24"/>
      <c r="E371" s="24"/>
      <c r="F371" s="24"/>
      <c r="G371" s="24"/>
      <c r="H371" s="24"/>
      <c r="I371" s="24"/>
      <c r="J371" s="24"/>
      <c r="K371" s="24"/>
      <c r="L371" s="24"/>
      <c r="M371" s="26"/>
      <c r="N371" s="24"/>
      <c r="O371" s="24"/>
      <c r="P371" s="24"/>
      <c r="Q371" s="24"/>
      <c r="R371" s="24"/>
      <c r="S371" s="24"/>
      <c r="T371" s="24"/>
      <c r="U371" s="24"/>
      <c r="V371" s="24"/>
      <c r="W371" s="24"/>
      <c r="X371" s="24"/>
      <c r="Y371" s="24"/>
      <c r="Z371" s="26"/>
      <c r="AA371" s="26"/>
      <c r="AB371" s="15"/>
      <c r="AC371" s="15"/>
      <c r="AD371" s="16"/>
      <c r="AE371" s="16"/>
      <c r="AF371" s="16"/>
      <c r="AG371" s="16"/>
      <c r="AH371" s="18"/>
      <c r="AI371" s="18"/>
      <c r="AJ371" s="18"/>
      <c r="AK371" s="18"/>
      <c r="AL371" s="18"/>
      <c r="AM371" s="18"/>
      <c r="AN371" s="18"/>
      <c r="AO371" s="18"/>
      <c r="AP371" s="18"/>
      <c r="AQ371" s="18"/>
    </row>
    <row r="372" spans="2:43" s="2" customFormat="1" hidden="1">
      <c r="B372" s="21"/>
      <c r="C372" s="22"/>
      <c r="D372" s="24"/>
      <c r="E372" s="24"/>
      <c r="F372" s="24"/>
      <c r="G372" s="24"/>
      <c r="H372" s="24"/>
      <c r="I372" s="24"/>
      <c r="J372" s="24"/>
      <c r="K372" s="24"/>
      <c r="L372" s="24"/>
      <c r="M372" s="26"/>
      <c r="N372" s="24"/>
      <c r="O372" s="24"/>
      <c r="P372" s="24"/>
      <c r="Q372" s="24"/>
      <c r="R372" s="24"/>
      <c r="S372" s="24"/>
      <c r="T372" s="24"/>
      <c r="U372" s="24"/>
      <c r="V372" s="24"/>
      <c r="W372" s="24"/>
      <c r="X372" s="24"/>
      <c r="Y372" s="24"/>
      <c r="Z372" s="26"/>
      <c r="AA372" s="26"/>
      <c r="AB372" s="15"/>
      <c r="AC372" s="15"/>
      <c r="AD372" s="16"/>
      <c r="AE372" s="16"/>
      <c r="AF372" s="16"/>
      <c r="AG372" s="16"/>
      <c r="AH372" s="18"/>
      <c r="AI372" s="18"/>
      <c r="AJ372" s="18"/>
      <c r="AK372" s="18"/>
      <c r="AL372" s="18"/>
      <c r="AM372" s="18"/>
      <c r="AN372" s="18"/>
      <c r="AO372" s="18"/>
      <c r="AP372" s="18"/>
      <c r="AQ372" s="18"/>
    </row>
    <row r="373" spans="2:43" s="2" customFormat="1" hidden="1">
      <c r="B373" s="21"/>
      <c r="C373" s="22"/>
      <c r="D373" s="24"/>
      <c r="E373" s="24"/>
      <c r="F373" s="24"/>
      <c r="G373" s="24"/>
      <c r="H373" s="24"/>
      <c r="I373" s="24"/>
      <c r="J373" s="24"/>
      <c r="K373" s="24"/>
      <c r="L373" s="24"/>
      <c r="M373" s="26"/>
      <c r="N373" s="24"/>
      <c r="O373" s="24"/>
      <c r="P373" s="24"/>
      <c r="Q373" s="24"/>
      <c r="R373" s="24"/>
      <c r="S373" s="24"/>
      <c r="T373" s="24"/>
      <c r="U373" s="24"/>
      <c r="V373" s="24"/>
      <c r="W373" s="24"/>
      <c r="X373" s="24"/>
      <c r="Y373" s="24"/>
      <c r="Z373" s="26"/>
      <c r="AA373" s="26"/>
      <c r="AB373" s="15"/>
      <c r="AC373" s="15"/>
      <c r="AD373" s="16"/>
      <c r="AE373" s="16"/>
      <c r="AF373" s="16"/>
      <c r="AG373" s="16"/>
      <c r="AH373" s="18"/>
      <c r="AI373" s="18"/>
      <c r="AJ373" s="18"/>
      <c r="AK373" s="18"/>
      <c r="AL373" s="18"/>
      <c r="AM373" s="18"/>
      <c r="AN373" s="18"/>
      <c r="AO373" s="18"/>
      <c r="AP373" s="18"/>
      <c r="AQ373" s="18"/>
    </row>
    <row r="374" spans="2:43" s="2" customFormat="1" hidden="1">
      <c r="B374" s="21"/>
      <c r="C374" s="22"/>
      <c r="D374" s="24"/>
      <c r="E374" s="24"/>
      <c r="F374" s="24"/>
      <c r="G374" s="24"/>
      <c r="H374" s="24"/>
      <c r="I374" s="24"/>
      <c r="J374" s="24"/>
      <c r="K374" s="24"/>
      <c r="L374" s="24"/>
      <c r="M374" s="26"/>
      <c r="N374" s="24"/>
      <c r="O374" s="24"/>
      <c r="P374" s="24"/>
      <c r="Q374" s="24"/>
      <c r="R374" s="24"/>
      <c r="S374" s="24"/>
      <c r="T374" s="24"/>
      <c r="U374" s="24"/>
      <c r="V374" s="24"/>
      <c r="W374" s="24"/>
      <c r="X374" s="24"/>
      <c r="Y374" s="24"/>
      <c r="Z374" s="26"/>
      <c r="AA374" s="26"/>
      <c r="AB374" s="15"/>
      <c r="AC374" s="15"/>
      <c r="AD374" s="16"/>
      <c r="AE374" s="16"/>
      <c r="AF374" s="16"/>
      <c r="AG374" s="16"/>
      <c r="AH374" s="18"/>
      <c r="AI374" s="18"/>
      <c r="AJ374" s="18"/>
      <c r="AK374" s="18"/>
      <c r="AL374" s="18"/>
      <c r="AM374" s="18"/>
      <c r="AN374" s="18"/>
      <c r="AO374" s="18"/>
      <c r="AP374" s="18"/>
      <c r="AQ374" s="18"/>
    </row>
    <row r="375" spans="2:43" s="2" customFormat="1" hidden="1">
      <c r="B375" s="21"/>
      <c r="C375" s="22"/>
      <c r="D375" s="24"/>
      <c r="E375" s="24"/>
      <c r="F375" s="24"/>
      <c r="G375" s="24"/>
      <c r="H375" s="24"/>
      <c r="I375" s="24"/>
      <c r="J375" s="24"/>
      <c r="K375" s="24"/>
      <c r="L375" s="24"/>
      <c r="M375" s="26"/>
      <c r="N375" s="24"/>
      <c r="O375" s="24"/>
      <c r="P375" s="24"/>
      <c r="Q375" s="24"/>
      <c r="R375" s="24"/>
      <c r="S375" s="24"/>
      <c r="T375" s="24"/>
      <c r="U375" s="24"/>
      <c r="V375" s="24"/>
      <c r="W375" s="24"/>
      <c r="X375" s="24"/>
      <c r="Y375" s="24"/>
      <c r="Z375" s="26"/>
      <c r="AA375" s="26"/>
      <c r="AB375" s="15"/>
      <c r="AC375" s="15"/>
      <c r="AD375" s="16"/>
      <c r="AE375" s="16"/>
      <c r="AF375" s="16"/>
      <c r="AG375" s="16"/>
      <c r="AH375" s="18"/>
      <c r="AI375" s="18"/>
      <c r="AJ375" s="18"/>
      <c r="AK375" s="18"/>
      <c r="AL375" s="18"/>
      <c r="AM375" s="18"/>
      <c r="AN375" s="18"/>
      <c r="AO375" s="18"/>
      <c r="AP375" s="18"/>
      <c r="AQ375" s="18"/>
    </row>
    <row r="376" spans="2:43" s="2" customFormat="1" hidden="1">
      <c r="B376" s="21"/>
      <c r="C376" s="22"/>
      <c r="D376" s="24"/>
      <c r="E376" s="24"/>
      <c r="F376" s="24"/>
      <c r="G376" s="24"/>
      <c r="H376" s="24"/>
      <c r="I376" s="24"/>
      <c r="J376" s="24"/>
      <c r="K376" s="24"/>
      <c r="L376" s="24"/>
      <c r="M376" s="26"/>
      <c r="N376" s="24"/>
      <c r="O376" s="24"/>
      <c r="P376" s="24"/>
      <c r="Q376" s="24"/>
      <c r="R376" s="24"/>
      <c r="S376" s="24"/>
      <c r="T376" s="24"/>
      <c r="U376" s="24"/>
      <c r="V376" s="24"/>
      <c r="W376" s="24"/>
      <c r="X376" s="24"/>
      <c r="Y376" s="24"/>
      <c r="Z376" s="26"/>
      <c r="AA376" s="26"/>
      <c r="AB376" s="15"/>
      <c r="AC376" s="15"/>
      <c r="AD376" s="16"/>
      <c r="AE376" s="16"/>
      <c r="AF376" s="16"/>
      <c r="AG376" s="16"/>
      <c r="AH376" s="18"/>
      <c r="AI376" s="18"/>
      <c r="AJ376" s="18"/>
      <c r="AK376" s="18"/>
      <c r="AL376" s="18"/>
      <c r="AM376" s="18"/>
      <c r="AN376" s="18"/>
      <c r="AO376" s="18"/>
      <c r="AP376" s="18"/>
      <c r="AQ376" s="18"/>
    </row>
    <row r="377" spans="2:43" s="2" customFormat="1" hidden="1">
      <c r="B377" s="21"/>
      <c r="C377" s="22"/>
      <c r="D377" s="24"/>
      <c r="E377" s="24"/>
      <c r="F377" s="24"/>
      <c r="G377" s="24"/>
      <c r="H377" s="24"/>
      <c r="I377" s="24"/>
      <c r="J377" s="24"/>
      <c r="K377" s="24"/>
      <c r="L377" s="24"/>
      <c r="M377" s="26"/>
      <c r="N377" s="24"/>
      <c r="O377" s="24"/>
      <c r="P377" s="24"/>
      <c r="Q377" s="24"/>
      <c r="R377" s="24"/>
      <c r="S377" s="24"/>
      <c r="T377" s="24"/>
      <c r="U377" s="24"/>
      <c r="V377" s="24"/>
      <c r="W377" s="24"/>
      <c r="X377" s="24"/>
      <c r="Y377" s="24"/>
      <c r="Z377" s="26"/>
      <c r="AA377" s="26"/>
      <c r="AB377" s="15"/>
      <c r="AC377" s="15"/>
      <c r="AD377" s="16"/>
      <c r="AE377" s="16"/>
      <c r="AF377" s="16"/>
      <c r="AG377" s="16"/>
      <c r="AH377" s="18"/>
      <c r="AI377" s="18"/>
      <c r="AJ377" s="18"/>
      <c r="AK377" s="18"/>
      <c r="AL377" s="18"/>
      <c r="AM377" s="18"/>
      <c r="AN377" s="18"/>
      <c r="AO377" s="18"/>
      <c r="AP377" s="18"/>
      <c r="AQ377" s="18"/>
    </row>
    <row r="378" spans="2:43" s="2" customFormat="1" hidden="1">
      <c r="B378" s="21"/>
      <c r="C378" s="22"/>
      <c r="D378" s="24"/>
      <c r="E378" s="24"/>
      <c r="F378" s="24"/>
      <c r="G378" s="24"/>
      <c r="H378" s="24"/>
      <c r="I378" s="24"/>
      <c r="J378" s="24"/>
      <c r="K378" s="24"/>
      <c r="L378" s="24"/>
      <c r="M378" s="26"/>
      <c r="N378" s="24"/>
      <c r="O378" s="24"/>
      <c r="P378" s="24"/>
      <c r="Q378" s="24"/>
      <c r="R378" s="24"/>
      <c r="S378" s="24"/>
      <c r="T378" s="24"/>
      <c r="U378" s="24"/>
      <c r="V378" s="24"/>
      <c r="W378" s="24"/>
      <c r="X378" s="24"/>
      <c r="Y378" s="24"/>
      <c r="Z378" s="26"/>
      <c r="AA378" s="26"/>
      <c r="AB378" s="15"/>
      <c r="AC378" s="15"/>
      <c r="AD378" s="16"/>
      <c r="AE378" s="16"/>
      <c r="AF378" s="16"/>
      <c r="AG378" s="16"/>
      <c r="AH378" s="18"/>
      <c r="AI378" s="18"/>
      <c r="AJ378" s="18"/>
      <c r="AK378" s="18"/>
      <c r="AL378" s="18"/>
      <c r="AM378" s="18"/>
      <c r="AN378" s="18"/>
      <c r="AO378" s="18"/>
      <c r="AP378" s="18"/>
      <c r="AQ378" s="18"/>
    </row>
    <row r="379" spans="2:43" s="2" customFormat="1" hidden="1">
      <c r="B379" s="21"/>
      <c r="C379" s="22"/>
      <c r="D379" s="24"/>
      <c r="E379" s="24"/>
      <c r="F379" s="24"/>
      <c r="G379" s="24"/>
      <c r="H379" s="24"/>
      <c r="I379" s="24"/>
      <c r="J379" s="24"/>
      <c r="K379" s="24"/>
      <c r="L379" s="24"/>
      <c r="M379" s="26"/>
      <c r="N379" s="24"/>
      <c r="O379" s="24"/>
      <c r="P379" s="24"/>
      <c r="Q379" s="24"/>
      <c r="R379" s="24"/>
      <c r="S379" s="24"/>
      <c r="T379" s="24"/>
      <c r="U379" s="24"/>
      <c r="V379" s="24"/>
      <c r="W379" s="24"/>
      <c r="X379" s="24"/>
      <c r="Y379" s="24"/>
      <c r="Z379" s="26"/>
      <c r="AA379" s="26"/>
      <c r="AB379" s="15"/>
      <c r="AC379" s="15"/>
      <c r="AD379" s="16"/>
      <c r="AE379" s="16"/>
      <c r="AF379" s="16"/>
      <c r="AG379" s="16"/>
      <c r="AH379" s="18"/>
      <c r="AI379" s="18"/>
      <c r="AJ379" s="18"/>
      <c r="AK379" s="18"/>
      <c r="AL379" s="18"/>
      <c r="AM379" s="18"/>
      <c r="AN379" s="18"/>
      <c r="AO379" s="18"/>
      <c r="AP379" s="18"/>
      <c r="AQ379" s="18"/>
    </row>
    <row r="380" spans="2:43" s="2" customFormat="1" hidden="1">
      <c r="B380" s="21"/>
      <c r="C380" s="22"/>
      <c r="D380" s="24"/>
      <c r="E380" s="24"/>
      <c r="F380" s="24"/>
      <c r="G380" s="24"/>
      <c r="H380" s="24"/>
      <c r="I380" s="24"/>
      <c r="J380" s="24"/>
      <c r="K380" s="24"/>
      <c r="L380" s="24"/>
      <c r="M380" s="26"/>
      <c r="N380" s="24"/>
      <c r="O380" s="24"/>
      <c r="P380" s="24"/>
      <c r="Q380" s="24"/>
      <c r="R380" s="24"/>
      <c r="S380" s="24"/>
      <c r="T380" s="24"/>
      <c r="U380" s="24"/>
      <c r="V380" s="24"/>
      <c r="W380" s="24"/>
      <c r="X380" s="24"/>
      <c r="Y380" s="24"/>
      <c r="Z380" s="26"/>
      <c r="AA380" s="26"/>
      <c r="AB380" s="15"/>
      <c r="AC380" s="15"/>
      <c r="AD380" s="16"/>
      <c r="AE380" s="16"/>
      <c r="AF380" s="16"/>
      <c r="AG380" s="16"/>
      <c r="AH380" s="18"/>
      <c r="AI380" s="18"/>
      <c r="AJ380" s="18"/>
      <c r="AK380" s="18"/>
      <c r="AL380" s="18"/>
      <c r="AM380" s="18"/>
      <c r="AN380" s="18"/>
      <c r="AO380" s="18"/>
      <c r="AP380" s="18"/>
      <c r="AQ380" s="18"/>
    </row>
    <row r="381" spans="2:43" s="2" customFormat="1" hidden="1">
      <c r="B381" s="21"/>
      <c r="C381" s="22"/>
      <c r="D381" s="24"/>
      <c r="E381" s="24"/>
      <c r="F381" s="24"/>
      <c r="G381" s="24"/>
      <c r="H381" s="24"/>
      <c r="I381" s="24"/>
      <c r="J381" s="24"/>
      <c r="K381" s="24"/>
      <c r="L381" s="24"/>
      <c r="M381" s="26"/>
      <c r="N381" s="24"/>
      <c r="O381" s="24"/>
      <c r="P381" s="24"/>
      <c r="Q381" s="24"/>
      <c r="R381" s="24"/>
      <c r="S381" s="24"/>
      <c r="T381" s="24"/>
      <c r="U381" s="24"/>
      <c r="V381" s="24"/>
      <c r="W381" s="24"/>
      <c r="X381" s="24"/>
      <c r="Y381" s="24"/>
      <c r="Z381" s="26"/>
      <c r="AA381" s="26"/>
      <c r="AB381" s="15"/>
      <c r="AC381" s="15"/>
      <c r="AD381" s="16"/>
      <c r="AE381" s="16"/>
      <c r="AF381" s="16"/>
      <c r="AG381" s="16"/>
      <c r="AH381" s="18"/>
      <c r="AI381" s="18"/>
      <c r="AJ381" s="18"/>
      <c r="AK381" s="18"/>
      <c r="AL381" s="18"/>
      <c r="AM381" s="18"/>
      <c r="AN381" s="18"/>
      <c r="AO381" s="18"/>
      <c r="AP381" s="18"/>
      <c r="AQ381" s="18"/>
    </row>
    <row r="382" spans="2:43" s="2" customFormat="1" hidden="1">
      <c r="B382" s="21"/>
      <c r="C382" s="22"/>
      <c r="D382" s="24"/>
      <c r="E382" s="24"/>
      <c r="F382" s="24"/>
      <c r="G382" s="24"/>
      <c r="H382" s="24"/>
      <c r="I382" s="24"/>
      <c r="J382" s="24"/>
      <c r="K382" s="24"/>
      <c r="L382" s="24"/>
      <c r="M382" s="26"/>
      <c r="N382" s="24"/>
      <c r="O382" s="24"/>
      <c r="P382" s="24"/>
      <c r="Q382" s="24"/>
      <c r="R382" s="24"/>
      <c r="S382" s="24"/>
      <c r="T382" s="24"/>
      <c r="U382" s="24"/>
      <c r="V382" s="24"/>
      <c r="W382" s="24"/>
      <c r="X382" s="24"/>
      <c r="Y382" s="24"/>
      <c r="Z382" s="26"/>
      <c r="AA382" s="26"/>
      <c r="AB382" s="15"/>
      <c r="AC382" s="15"/>
      <c r="AD382" s="16"/>
      <c r="AE382" s="16"/>
      <c r="AF382" s="16"/>
      <c r="AG382" s="16"/>
      <c r="AH382" s="18"/>
      <c r="AI382" s="18"/>
      <c r="AJ382" s="18"/>
      <c r="AK382" s="18"/>
      <c r="AL382" s="18"/>
      <c r="AM382" s="18"/>
      <c r="AN382" s="18"/>
      <c r="AO382" s="18"/>
      <c r="AP382" s="18"/>
      <c r="AQ382" s="18"/>
    </row>
    <row r="383" spans="2:43" s="2" customFormat="1" hidden="1">
      <c r="B383" s="21"/>
      <c r="C383" s="22"/>
      <c r="D383" s="24"/>
      <c r="E383" s="24"/>
      <c r="F383" s="24"/>
      <c r="G383" s="24"/>
      <c r="H383" s="24"/>
      <c r="I383" s="24"/>
      <c r="J383" s="24"/>
      <c r="K383" s="24"/>
      <c r="L383" s="24"/>
      <c r="M383" s="26"/>
      <c r="N383" s="24"/>
      <c r="O383" s="24"/>
      <c r="P383" s="24"/>
      <c r="Q383" s="24"/>
      <c r="R383" s="24"/>
      <c r="S383" s="24"/>
      <c r="T383" s="24"/>
      <c r="U383" s="24"/>
      <c r="V383" s="24"/>
      <c r="W383" s="24"/>
      <c r="X383" s="24"/>
      <c r="Y383" s="24"/>
      <c r="Z383" s="26"/>
      <c r="AA383" s="26"/>
      <c r="AB383" s="15"/>
      <c r="AC383" s="15"/>
      <c r="AD383" s="16"/>
      <c r="AE383" s="16"/>
      <c r="AF383" s="16"/>
      <c r="AG383" s="16"/>
      <c r="AH383" s="18"/>
      <c r="AI383" s="18"/>
      <c r="AJ383" s="18"/>
      <c r="AK383" s="18"/>
      <c r="AL383" s="18"/>
      <c r="AM383" s="18"/>
      <c r="AN383" s="18"/>
      <c r="AO383" s="18"/>
      <c r="AP383" s="18"/>
      <c r="AQ383" s="18"/>
    </row>
    <row r="384" spans="2:43" s="2" customFormat="1" hidden="1">
      <c r="B384" s="21"/>
      <c r="C384" s="22"/>
      <c r="D384" s="24"/>
      <c r="E384" s="24"/>
      <c r="F384" s="24"/>
      <c r="G384" s="24"/>
      <c r="H384" s="24"/>
      <c r="I384" s="24"/>
      <c r="J384" s="24"/>
      <c r="K384" s="24"/>
      <c r="L384" s="24"/>
      <c r="M384" s="26"/>
      <c r="N384" s="24"/>
      <c r="O384" s="24"/>
      <c r="P384" s="24"/>
      <c r="Q384" s="24"/>
      <c r="R384" s="24"/>
      <c r="S384" s="24"/>
      <c r="T384" s="24"/>
      <c r="U384" s="24"/>
      <c r="V384" s="24"/>
      <c r="W384" s="24"/>
      <c r="X384" s="24"/>
      <c r="Y384" s="24"/>
      <c r="Z384" s="26"/>
      <c r="AA384" s="26"/>
      <c r="AB384" s="15"/>
      <c r="AC384" s="15"/>
      <c r="AD384" s="16"/>
      <c r="AE384" s="16"/>
      <c r="AF384" s="16"/>
      <c r="AG384" s="16"/>
      <c r="AH384" s="18"/>
      <c r="AI384" s="18"/>
      <c r="AJ384" s="18"/>
      <c r="AK384" s="18"/>
      <c r="AL384" s="18"/>
      <c r="AM384" s="18"/>
      <c r="AN384" s="18"/>
      <c r="AO384" s="18"/>
      <c r="AP384" s="18"/>
      <c r="AQ384" s="18"/>
    </row>
    <row r="385" spans="2:43" s="2" customFormat="1" hidden="1">
      <c r="B385" s="21"/>
      <c r="C385" s="22"/>
      <c r="D385" s="24"/>
      <c r="E385" s="24"/>
      <c r="F385" s="24"/>
      <c r="G385" s="24"/>
      <c r="H385" s="24"/>
      <c r="I385" s="24"/>
      <c r="J385" s="24"/>
      <c r="K385" s="24"/>
      <c r="L385" s="24"/>
      <c r="M385" s="26"/>
      <c r="N385" s="24"/>
      <c r="O385" s="24"/>
      <c r="P385" s="24"/>
      <c r="Q385" s="24"/>
      <c r="R385" s="24"/>
      <c r="S385" s="24"/>
      <c r="T385" s="24"/>
      <c r="U385" s="24"/>
      <c r="V385" s="24"/>
      <c r="W385" s="24"/>
      <c r="X385" s="24"/>
      <c r="Y385" s="24"/>
      <c r="Z385" s="26"/>
      <c r="AA385" s="26"/>
      <c r="AB385" s="15"/>
      <c r="AC385" s="15"/>
      <c r="AD385" s="16"/>
      <c r="AE385" s="16"/>
      <c r="AF385" s="16"/>
      <c r="AG385" s="16"/>
      <c r="AH385" s="18"/>
      <c r="AI385" s="18"/>
      <c r="AJ385" s="18"/>
      <c r="AK385" s="18"/>
      <c r="AL385" s="18"/>
      <c r="AM385" s="18"/>
      <c r="AN385" s="18"/>
      <c r="AO385" s="18"/>
      <c r="AP385" s="18"/>
      <c r="AQ385" s="18"/>
    </row>
    <row r="386" spans="2:43" s="2" customFormat="1" hidden="1">
      <c r="B386" s="21"/>
      <c r="C386" s="22"/>
      <c r="D386" s="24"/>
      <c r="E386" s="24"/>
      <c r="F386" s="24"/>
      <c r="G386" s="24"/>
      <c r="H386" s="24"/>
      <c r="I386" s="24"/>
      <c r="J386" s="24"/>
      <c r="K386" s="24"/>
      <c r="L386" s="24"/>
      <c r="M386" s="26"/>
      <c r="N386" s="24"/>
      <c r="O386" s="24"/>
      <c r="P386" s="24"/>
      <c r="Q386" s="24"/>
      <c r="R386" s="24"/>
      <c r="S386" s="24"/>
      <c r="T386" s="24"/>
      <c r="U386" s="24"/>
      <c r="V386" s="24"/>
      <c r="W386" s="24"/>
      <c r="X386" s="24"/>
      <c r="Y386" s="24"/>
      <c r="Z386" s="26"/>
      <c r="AA386" s="26"/>
      <c r="AB386" s="15"/>
      <c r="AC386" s="15"/>
      <c r="AD386" s="16"/>
      <c r="AE386" s="16"/>
      <c r="AF386" s="16"/>
      <c r="AG386" s="16"/>
      <c r="AH386" s="18"/>
      <c r="AI386" s="18"/>
      <c r="AJ386" s="18"/>
      <c r="AK386" s="18"/>
      <c r="AL386" s="18"/>
      <c r="AM386" s="18"/>
      <c r="AN386" s="18"/>
      <c r="AO386" s="18"/>
      <c r="AP386" s="18"/>
      <c r="AQ386" s="18"/>
    </row>
    <row r="387" spans="2:43" s="2" customFormat="1" hidden="1">
      <c r="B387" s="21"/>
      <c r="C387" s="22"/>
      <c r="D387" s="24"/>
      <c r="E387" s="24"/>
      <c r="F387" s="24"/>
      <c r="G387" s="24"/>
      <c r="H387" s="24"/>
      <c r="I387" s="24"/>
      <c r="J387" s="24"/>
      <c r="K387" s="24"/>
      <c r="L387" s="24"/>
      <c r="M387" s="26"/>
      <c r="N387" s="24"/>
      <c r="O387" s="24"/>
      <c r="P387" s="24"/>
      <c r="Q387" s="24"/>
      <c r="R387" s="24"/>
      <c r="S387" s="24"/>
      <c r="T387" s="24"/>
      <c r="U387" s="24"/>
      <c r="V387" s="24"/>
      <c r="W387" s="24"/>
      <c r="X387" s="24"/>
      <c r="Y387" s="24"/>
      <c r="Z387" s="26"/>
      <c r="AA387" s="26"/>
      <c r="AB387" s="15"/>
      <c r="AC387" s="15"/>
      <c r="AD387" s="16"/>
      <c r="AE387" s="16"/>
      <c r="AF387" s="16"/>
      <c r="AG387" s="16"/>
      <c r="AH387" s="18"/>
      <c r="AI387" s="18"/>
      <c r="AJ387" s="18"/>
      <c r="AK387" s="18"/>
      <c r="AL387" s="18"/>
      <c r="AM387" s="18"/>
      <c r="AN387" s="18"/>
      <c r="AO387" s="18"/>
      <c r="AP387" s="18"/>
      <c r="AQ387" s="18"/>
    </row>
    <row r="388" spans="2:43" s="2" customFormat="1" hidden="1">
      <c r="B388" s="21"/>
      <c r="C388" s="22"/>
      <c r="D388" s="24"/>
      <c r="E388" s="24"/>
      <c r="F388" s="24"/>
      <c r="G388" s="24"/>
      <c r="H388" s="24"/>
      <c r="I388" s="24"/>
      <c r="J388" s="24"/>
      <c r="K388" s="24"/>
      <c r="L388" s="24"/>
      <c r="M388" s="26"/>
      <c r="N388" s="24"/>
      <c r="O388" s="24"/>
      <c r="P388" s="24"/>
      <c r="Q388" s="24"/>
      <c r="R388" s="24"/>
      <c r="S388" s="24"/>
      <c r="T388" s="24"/>
      <c r="U388" s="24"/>
      <c r="V388" s="24"/>
      <c r="W388" s="24"/>
      <c r="X388" s="24"/>
      <c r="Y388" s="24"/>
      <c r="Z388" s="26"/>
      <c r="AA388" s="26"/>
      <c r="AB388" s="15"/>
      <c r="AC388" s="15"/>
      <c r="AD388" s="16"/>
      <c r="AE388" s="16"/>
      <c r="AF388" s="16"/>
      <c r="AG388" s="16"/>
      <c r="AH388" s="18"/>
      <c r="AI388" s="18"/>
      <c r="AJ388" s="18"/>
      <c r="AK388" s="18"/>
      <c r="AL388" s="18"/>
      <c r="AM388" s="18"/>
      <c r="AN388" s="18"/>
      <c r="AO388" s="18"/>
      <c r="AP388" s="18"/>
      <c r="AQ388" s="18"/>
    </row>
    <row r="389" spans="2:43" s="2" customFormat="1" hidden="1">
      <c r="B389" s="21"/>
      <c r="C389" s="22"/>
      <c r="D389" s="24"/>
      <c r="E389" s="24"/>
      <c r="F389" s="24"/>
      <c r="G389" s="24"/>
      <c r="H389" s="24"/>
      <c r="I389" s="24"/>
      <c r="J389" s="24"/>
      <c r="K389" s="24"/>
      <c r="L389" s="24"/>
      <c r="M389" s="26"/>
      <c r="N389" s="24"/>
      <c r="O389" s="24"/>
      <c r="P389" s="24"/>
      <c r="Q389" s="24"/>
      <c r="R389" s="24"/>
      <c r="S389" s="24"/>
      <c r="T389" s="24"/>
      <c r="U389" s="24"/>
      <c r="V389" s="24"/>
      <c r="W389" s="24"/>
      <c r="X389" s="24"/>
      <c r="Y389" s="24"/>
      <c r="Z389" s="26"/>
      <c r="AA389" s="26"/>
      <c r="AB389" s="15"/>
      <c r="AC389" s="15"/>
      <c r="AD389" s="16"/>
      <c r="AE389" s="16"/>
      <c r="AF389" s="16"/>
      <c r="AG389" s="16"/>
      <c r="AH389" s="18"/>
      <c r="AI389" s="18"/>
      <c r="AJ389" s="18"/>
      <c r="AK389" s="18"/>
      <c r="AL389" s="18"/>
      <c r="AM389" s="18"/>
      <c r="AN389" s="18"/>
      <c r="AO389" s="18"/>
      <c r="AP389" s="18"/>
      <c r="AQ389" s="18"/>
    </row>
    <row r="390" spans="2:43" s="2" customFormat="1" hidden="1">
      <c r="B390" s="21"/>
      <c r="C390" s="22"/>
      <c r="D390" s="24"/>
      <c r="E390" s="24"/>
      <c r="F390" s="24"/>
      <c r="G390" s="24"/>
      <c r="H390" s="24"/>
      <c r="I390" s="24"/>
      <c r="J390" s="24"/>
      <c r="K390" s="24"/>
      <c r="L390" s="24"/>
      <c r="M390" s="26"/>
      <c r="N390" s="24"/>
      <c r="O390" s="24"/>
      <c r="P390" s="24"/>
      <c r="Q390" s="24"/>
      <c r="R390" s="24"/>
      <c r="S390" s="24"/>
      <c r="T390" s="24"/>
      <c r="U390" s="24"/>
      <c r="V390" s="24"/>
      <c r="W390" s="24"/>
      <c r="X390" s="24"/>
      <c r="Y390" s="24"/>
      <c r="Z390" s="26"/>
      <c r="AA390" s="26"/>
      <c r="AB390" s="15"/>
      <c r="AC390" s="15"/>
      <c r="AD390" s="16"/>
      <c r="AE390" s="16"/>
      <c r="AF390" s="16"/>
      <c r="AG390" s="16"/>
      <c r="AH390" s="18"/>
      <c r="AI390" s="18"/>
      <c r="AJ390" s="18"/>
      <c r="AK390" s="18"/>
      <c r="AL390" s="18"/>
      <c r="AM390" s="18"/>
      <c r="AN390" s="18"/>
      <c r="AO390" s="18"/>
      <c r="AP390" s="18"/>
      <c r="AQ390" s="18"/>
    </row>
    <row r="391" spans="2:43" s="2" customFormat="1" hidden="1">
      <c r="B391" s="21"/>
      <c r="C391" s="22"/>
      <c r="D391" s="24"/>
      <c r="E391" s="24"/>
      <c r="F391" s="24"/>
      <c r="G391" s="24"/>
      <c r="H391" s="24"/>
      <c r="I391" s="24"/>
      <c r="J391" s="24"/>
      <c r="K391" s="24"/>
      <c r="L391" s="24"/>
      <c r="M391" s="26"/>
      <c r="N391" s="24"/>
      <c r="O391" s="24"/>
      <c r="P391" s="24"/>
      <c r="Q391" s="24"/>
      <c r="R391" s="24"/>
      <c r="S391" s="24"/>
      <c r="T391" s="24"/>
      <c r="U391" s="24"/>
      <c r="V391" s="24"/>
      <c r="W391" s="24"/>
      <c r="X391" s="24"/>
      <c r="Y391" s="24"/>
      <c r="Z391" s="26"/>
      <c r="AA391" s="26"/>
      <c r="AB391" s="15"/>
      <c r="AC391" s="15"/>
      <c r="AD391" s="16"/>
      <c r="AE391" s="16"/>
      <c r="AF391" s="16"/>
      <c r="AG391" s="16"/>
      <c r="AH391" s="18"/>
      <c r="AI391" s="18"/>
      <c r="AJ391" s="18"/>
      <c r="AK391" s="18"/>
      <c r="AL391" s="18"/>
      <c r="AM391" s="18"/>
      <c r="AN391" s="18"/>
      <c r="AO391" s="18"/>
      <c r="AP391" s="18"/>
      <c r="AQ391" s="18"/>
    </row>
    <row r="392" spans="2:43" s="2" customFormat="1" hidden="1">
      <c r="B392" s="21"/>
      <c r="C392" s="22"/>
      <c r="D392" s="24"/>
      <c r="E392" s="24"/>
      <c r="F392" s="24"/>
      <c r="G392" s="24"/>
      <c r="H392" s="24"/>
      <c r="I392" s="24"/>
      <c r="J392" s="24"/>
      <c r="K392" s="24"/>
      <c r="L392" s="24"/>
      <c r="M392" s="26"/>
      <c r="N392" s="24"/>
      <c r="O392" s="24"/>
      <c r="P392" s="24"/>
      <c r="Q392" s="24"/>
      <c r="R392" s="24"/>
      <c r="S392" s="24"/>
      <c r="T392" s="24"/>
      <c r="U392" s="24"/>
      <c r="V392" s="24"/>
      <c r="W392" s="24"/>
      <c r="X392" s="24"/>
      <c r="Y392" s="24"/>
      <c r="Z392" s="26"/>
      <c r="AA392" s="26"/>
      <c r="AB392" s="15"/>
      <c r="AC392" s="15"/>
      <c r="AD392" s="16"/>
      <c r="AE392" s="16"/>
      <c r="AF392" s="16"/>
      <c r="AG392" s="16"/>
      <c r="AH392" s="18"/>
      <c r="AI392" s="18"/>
      <c r="AJ392" s="18"/>
      <c r="AK392" s="18"/>
      <c r="AL392" s="18"/>
      <c r="AM392" s="18"/>
      <c r="AN392" s="18"/>
      <c r="AO392" s="18"/>
      <c r="AP392" s="18"/>
      <c r="AQ392" s="18"/>
    </row>
    <row r="393" spans="2:43" s="2" customFormat="1" hidden="1">
      <c r="B393" s="21"/>
      <c r="C393" s="22"/>
      <c r="D393" s="24"/>
      <c r="E393" s="24"/>
      <c r="F393" s="24"/>
      <c r="G393" s="24"/>
      <c r="H393" s="24"/>
      <c r="I393" s="24"/>
      <c r="J393" s="24"/>
      <c r="K393" s="24"/>
      <c r="L393" s="24"/>
      <c r="M393" s="26"/>
      <c r="N393" s="24"/>
      <c r="O393" s="24"/>
      <c r="P393" s="24"/>
      <c r="Q393" s="24"/>
      <c r="R393" s="24"/>
      <c r="S393" s="24"/>
      <c r="T393" s="24"/>
      <c r="U393" s="24"/>
      <c r="V393" s="24"/>
      <c r="W393" s="24"/>
      <c r="X393" s="24"/>
      <c r="Y393" s="24"/>
      <c r="Z393" s="26"/>
      <c r="AA393" s="26"/>
      <c r="AB393" s="15"/>
      <c r="AC393" s="15"/>
      <c r="AD393" s="16"/>
      <c r="AE393" s="16"/>
      <c r="AF393" s="16"/>
      <c r="AG393" s="16"/>
      <c r="AH393" s="18"/>
      <c r="AI393" s="18"/>
      <c r="AJ393" s="18"/>
      <c r="AK393" s="18"/>
      <c r="AL393" s="18"/>
      <c r="AM393" s="18"/>
      <c r="AN393" s="18"/>
      <c r="AO393" s="18"/>
      <c r="AP393" s="18"/>
      <c r="AQ393" s="18"/>
    </row>
    <row r="394" spans="2:43" s="2" customFormat="1" hidden="1">
      <c r="B394" s="21"/>
      <c r="C394" s="22"/>
      <c r="D394" s="24"/>
      <c r="E394" s="24"/>
      <c r="F394" s="24"/>
      <c r="G394" s="24"/>
      <c r="H394" s="24"/>
      <c r="I394" s="24"/>
      <c r="J394" s="24"/>
      <c r="K394" s="24"/>
      <c r="L394" s="24"/>
      <c r="M394" s="26"/>
      <c r="N394" s="24"/>
      <c r="O394" s="24"/>
      <c r="P394" s="24"/>
      <c r="Q394" s="24"/>
      <c r="R394" s="24"/>
      <c r="S394" s="24"/>
      <c r="T394" s="24"/>
      <c r="U394" s="24"/>
      <c r="V394" s="24"/>
      <c r="W394" s="24"/>
      <c r="X394" s="24"/>
      <c r="Y394" s="24"/>
      <c r="Z394" s="26"/>
      <c r="AA394" s="26"/>
      <c r="AB394" s="15"/>
      <c r="AC394" s="15"/>
      <c r="AD394" s="16"/>
      <c r="AE394" s="16"/>
      <c r="AF394" s="16"/>
      <c r="AG394" s="16"/>
      <c r="AH394" s="18"/>
      <c r="AI394" s="18"/>
      <c r="AJ394" s="18"/>
      <c r="AK394" s="18"/>
      <c r="AL394" s="18"/>
      <c r="AM394" s="18"/>
      <c r="AN394" s="18"/>
      <c r="AO394" s="18"/>
      <c r="AP394" s="18"/>
      <c r="AQ394" s="18"/>
    </row>
    <row r="395" spans="2:43" s="2" customFormat="1" hidden="1">
      <c r="B395" s="21"/>
      <c r="C395" s="22"/>
      <c r="D395" s="24"/>
      <c r="E395" s="24"/>
      <c r="F395" s="24"/>
      <c r="G395" s="24"/>
      <c r="H395" s="24"/>
      <c r="I395" s="24"/>
      <c r="J395" s="24"/>
      <c r="K395" s="24"/>
      <c r="L395" s="24"/>
      <c r="M395" s="26"/>
      <c r="N395" s="24"/>
      <c r="O395" s="24"/>
      <c r="P395" s="24"/>
      <c r="Q395" s="24"/>
      <c r="R395" s="24"/>
      <c r="S395" s="24"/>
      <c r="T395" s="24"/>
      <c r="U395" s="24"/>
      <c r="V395" s="24"/>
      <c r="W395" s="24"/>
      <c r="X395" s="24"/>
      <c r="Y395" s="24"/>
      <c r="Z395" s="26"/>
      <c r="AA395" s="26"/>
      <c r="AB395" s="15"/>
      <c r="AC395" s="15"/>
      <c r="AD395" s="16"/>
      <c r="AE395" s="16"/>
      <c r="AF395" s="16"/>
      <c r="AG395" s="16"/>
      <c r="AH395" s="18"/>
      <c r="AI395" s="18"/>
      <c r="AJ395" s="18"/>
      <c r="AK395" s="18"/>
      <c r="AL395" s="18"/>
      <c r="AM395" s="18"/>
      <c r="AN395" s="18"/>
      <c r="AO395" s="18"/>
      <c r="AP395" s="18"/>
      <c r="AQ395" s="18"/>
    </row>
    <row r="396" spans="2:43" s="2" customFormat="1" hidden="1">
      <c r="B396" s="21"/>
      <c r="C396" s="22"/>
      <c r="D396" s="24"/>
      <c r="E396" s="24"/>
      <c r="F396" s="24"/>
      <c r="G396" s="24"/>
      <c r="H396" s="24"/>
      <c r="I396" s="24"/>
      <c r="J396" s="24"/>
      <c r="K396" s="24"/>
      <c r="L396" s="24"/>
      <c r="M396" s="26"/>
      <c r="N396" s="24"/>
      <c r="O396" s="24"/>
      <c r="P396" s="24"/>
      <c r="Q396" s="24"/>
      <c r="R396" s="24"/>
      <c r="S396" s="24"/>
      <c r="T396" s="24"/>
      <c r="U396" s="24"/>
      <c r="V396" s="24"/>
      <c r="W396" s="24"/>
      <c r="X396" s="24"/>
      <c r="Y396" s="24"/>
      <c r="Z396" s="26"/>
      <c r="AA396" s="26"/>
      <c r="AB396" s="15"/>
      <c r="AC396" s="15"/>
      <c r="AD396" s="16"/>
      <c r="AE396" s="16"/>
      <c r="AF396" s="16"/>
      <c r="AG396" s="16"/>
      <c r="AH396" s="18"/>
      <c r="AI396" s="18"/>
      <c r="AJ396" s="18"/>
      <c r="AK396" s="18"/>
      <c r="AL396" s="18"/>
      <c r="AM396" s="18"/>
      <c r="AN396" s="18"/>
      <c r="AO396" s="18"/>
      <c r="AP396" s="18"/>
      <c r="AQ396" s="18"/>
    </row>
    <row r="397" spans="2:43" s="2" customFormat="1" hidden="1">
      <c r="B397" s="21"/>
      <c r="C397" s="22"/>
      <c r="D397" s="24"/>
      <c r="E397" s="24"/>
      <c r="F397" s="24"/>
      <c r="G397" s="24"/>
      <c r="H397" s="24"/>
      <c r="I397" s="24"/>
      <c r="J397" s="24"/>
      <c r="K397" s="24"/>
      <c r="L397" s="24"/>
      <c r="M397" s="26"/>
      <c r="N397" s="24"/>
      <c r="O397" s="24"/>
      <c r="P397" s="24"/>
      <c r="Q397" s="24"/>
      <c r="R397" s="24"/>
      <c r="S397" s="24"/>
      <c r="T397" s="24"/>
      <c r="U397" s="24"/>
      <c r="V397" s="24"/>
      <c r="W397" s="24"/>
      <c r="X397" s="24"/>
      <c r="Y397" s="24"/>
      <c r="Z397" s="26"/>
      <c r="AA397" s="26"/>
      <c r="AB397" s="15"/>
      <c r="AC397" s="15"/>
      <c r="AD397" s="16"/>
      <c r="AE397" s="16"/>
      <c r="AF397" s="16"/>
      <c r="AG397" s="16"/>
      <c r="AH397" s="18"/>
      <c r="AI397" s="18"/>
      <c r="AJ397" s="18"/>
      <c r="AK397" s="18"/>
      <c r="AL397" s="18"/>
      <c r="AM397" s="18"/>
      <c r="AN397" s="18"/>
      <c r="AO397" s="18"/>
      <c r="AP397" s="18"/>
      <c r="AQ397" s="18"/>
    </row>
    <row r="398" spans="2:43" s="2" customFormat="1" hidden="1">
      <c r="B398" s="21"/>
      <c r="C398" s="22"/>
      <c r="D398" s="24"/>
      <c r="E398" s="24"/>
      <c r="F398" s="24"/>
      <c r="G398" s="24"/>
      <c r="H398" s="24"/>
      <c r="I398" s="24"/>
      <c r="J398" s="24"/>
      <c r="K398" s="24"/>
      <c r="L398" s="24"/>
      <c r="M398" s="26"/>
      <c r="N398" s="24"/>
      <c r="O398" s="24"/>
      <c r="P398" s="24"/>
      <c r="Q398" s="24"/>
      <c r="R398" s="24"/>
      <c r="S398" s="24"/>
      <c r="T398" s="24"/>
      <c r="U398" s="24"/>
      <c r="V398" s="24"/>
      <c r="W398" s="24"/>
      <c r="X398" s="24"/>
      <c r="Y398" s="24"/>
      <c r="Z398" s="26"/>
      <c r="AA398" s="26"/>
      <c r="AB398" s="15"/>
      <c r="AC398" s="15"/>
      <c r="AD398" s="16"/>
      <c r="AE398" s="16"/>
      <c r="AF398" s="16"/>
      <c r="AG398" s="16"/>
      <c r="AH398" s="18"/>
      <c r="AI398" s="18"/>
      <c r="AJ398" s="18"/>
      <c r="AK398" s="18"/>
      <c r="AL398" s="18"/>
      <c r="AM398" s="18"/>
      <c r="AN398" s="18"/>
      <c r="AO398" s="18"/>
      <c r="AP398" s="18"/>
      <c r="AQ398" s="18"/>
    </row>
    <row r="399" spans="2:43" s="2" customFormat="1" hidden="1">
      <c r="B399" s="21"/>
      <c r="C399" s="22"/>
      <c r="D399" s="24"/>
      <c r="E399" s="24"/>
      <c r="F399" s="24"/>
      <c r="G399" s="24"/>
      <c r="H399" s="24"/>
      <c r="I399" s="24"/>
      <c r="J399" s="24"/>
      <c r="K399" s="24"/>
      <c r="L399" s="24"/>
      <c r="M399" s="26"/>
      <c r="N399" s="24"/>
      <c r="O399" s="24"/>
      <c r="P399" s="24"/>
      <c r="Q399" s="24"/>
      <c r="R399" s="24"/>
      <c r="S399" s="24"/>
      <c r="T399" s="24"/>
      <c r="U399" s="24"/>
      <c r="V399" s="24"/>
      <c r="W399" s="24"/>
      <c r="X399" s="24"/>
      <c r="Y399" s="24"/>
      <c r="Z399" s="26"/>
      <c r="AA399" s="26"/>
      <c r="AB399" s="15"/>
      <c r="AC399" s="15"/>
      <c r="AD399" s="16"/>
      <c r="AE399" s="16"/>
      <c r="AF399" s="16"/>
      <c r="AG399" s="16"/>
      <c r="AH399" s="18"/>
      <c r="AI399" s="18"/>
      <c r="AJ399" s="18"/>
      <c r="AK399" s="18"/>
      <c r="AL399" s="18"/>
      <c r="AM399" s="18"/>
      <c r="AN399" s="18"/>
      <c r="AO399" s="18"/>
      <c r="AP399" s="18"/>
      <c r="AQ399" s="18"/>
    </row>
    <row r="400" spans="2:43" s="2" customFormat="1" hidden="1">
      <c r="B400" s="21"/>
      <c r="C400" s="22"/>
      <c r="D400" s="24"/>
      <c r="E400" s="24"/>
      <c r="F400" s="24"/>
      <c r="G400" s="24"/>
      <c r="H400" s="24"/>
      <c r="I400" s="24"/>
      <c r="J400" s="24"/>
      <c r="K400" s="24"/>
      <c r="L400" s="24"/>
      <c r="M400" s="26"/>
      <c r="N400" s="24"/>
      <c r="O400" s="24"/>
      <c r="P400" s="24"/>
      <c r="Q400" s="24"/>
      <c r="R400" s="24"/>
      <c r="S400" s="24"/>
      <c r="T400" s="24"/>
      <c r="U400" s="24"/>
      <c r="V400" s="24"/>
      <c r="W400" s="24"/>
      <c r="X400" s="24"/>
      <c r="Y400" s="24"/>
      <c r="Z400" s="26"/>
      <c r="AA400" s="26"/>
      <c r="AB400" s="15"/>
      <c r="AC400" s="15"/>
      <c r="AD400" s="16"/>
      <c r="AE400" s="16"/>
      <c r="AF400" s="16"/>
      <c r="AG400" s="16"/>
      <c r="AH400" s="18"/>
      <c r="AI400" s="18"/>
      <c r="AJ400" s="18"/>
      <c r="AK400" s="18"/>
      <c r="AL400" s="18"/>
      <c r="AM400" s="18"/>
      <c r="AN400" s="18"/>
      <c r="AO400" s="18"/>
      <c r="AP400" s="18"/>
      <c r="AQ400" s="18"/>
    </row>
    <row r="401" spans="2:43" s="2" customFormat="1" hidden="1">
      <c r="B401" s="21"/>
      <c r="C401" s="22"/>
      <c r="D401" s="24"/>
      <c r="E401" s="24"/>
      <c r="F401" s="24"/>
      <c r="G401" s="24"/>
      <c r="H401" s="24"/>
      <c r="I401" s="24"/>
      <c r="J401" s="24"/>
      <c r="K401" s="24"/>
      <c r="L401" s="24"/>
      <c r="M401" s="26"/>
      <c r="N401" s="24"/>
      <c r="O401" s="24"/>
      <c r="P401" s="24"/>
      <c r="Q401" s="24"/>
      <c r="R401" s="24"/>
      <c r="S401" s="24"/>
      <c r="T401" s="24"/>
      <c r="U401" s="24"/>
      <c r="V401" s="24"/>
      <c r="W401" s="24"/>
      <c r="X401" s="24"/>
      <c r="Y401" s="24"/>
      <c r="Z401" s="26"/>
      <c r="AA401" s="26"/>
      <c r="AB401" s="15"/>
      <c r="AC401" s="15"/>
      <c r="AD401" s="16"/>
      <c r="AE401" s="16"/>
      <c r="AF401" s="16"/>
      <c r="AG401" s="16"/>
      <c r="AH401" s="18"/>
      <c r="AI401" s="18"/>
      <c r="AJ401" s="18"/>
      <c r="AK401" s="18"/>
      <c r="AL401" s="18"/>
      <c r="AM401" s="18"/>
      <c r="AN401" s="18"/>
      <c r="AO401" s="18"/>
      <c r="AP401" s="18"/>
      <c r="AQ401" s="18"/>
    </row>
    <row r="402" spans="2:43" s="2" customFormat="1" hidden="1">
      <c r="B402" s="21"/>
      <c r="C402" s="22"/>
      <c r="D402" s="24"/>
      <c r="E402" s="24"/>
      <c r="F402" s="24"/>
      <c r="G402" s="24"/>
      <c r="H402" s="24"/>
      <c r="I402" s="24"/>
      <c r="J402" s="24"/>
      <c r="K402" s="24"/>
      <c r="L402" s="24"/>
      <c r="M402" s="26"/>
      <c r="N402" s="24"/>
      <c r="O402" s="24"/>
      <c r="P402" s="24"/>
      <c r="Q402" s="24"/>
      <c r="R402" s="24"/>
      <c r="S402" s="24"/>
      <c r="T402" s="24"/>
      <c r="U402" s="24"/>
      <c r="V402" s="24"/>
      <c r="W402" s="24"/>
      <c r="X402" s="24"/>
      <c r="Y402" s="24"/>
      <c r="Z402" s="26"/>
      <c r="AA402" s="26"/>
      <c r="AB402" s="15"/>
      <c r="AC402" s="15"/>
      <c r="AD402" s="16"/>
      <c r="AE402" s="16"/>
      <c r="AF402" s="16"/>
      <c r="AG402" s="16"/>
      <c r="AH402" s="18"/>
      <c r="AI402" s="18"/>
      <c r="AJ402" s="18"/>
      <c r="AK402" s="18"/>
      <c r="AL402" s="18"/>
      <c r="AM402" s="18"/>
      <c r="AN402" s="18"/>
      <c r="AO402" s="18"/>
      <c r="AP402" s="18"/>
      <c r="AQ402" s="18"/>
    </row>
    <row r="403" spans="2:43" s="2" customFormat="1" hidden="1">
      <c r="B403" s="21"/>
      <c r="C403" s="22"/>
      <c r="D403" s="24"/>
      <c r="E403" s="24"/>
      <c r="F403" s="24"/>
      <c r="G403" s="24"/>
      <c r="H403" s="24"/>
      <c r="I403" s="24"/>
      <c r="J403" s="24"/>
      <c r="K403" s="24"/>
      <c r="L403" s="24"/>
      <c r="M403" s="26"/>
      <c r="N403" s="24"/>
      <c r="O403" s="24"/>
      <c r="P403" s="24"/>
      <c r="Q403" s="24"/>
      <c r="R403" s="24"/>
      <c r="S403" s="24"/>
      <c r="T403" s="24"/>
      <c r="U403" s="24"/>
      <c r="V403" s="24"/>
      <c r="W403" s="24"/>
      <c r="X403" s="24"/>
      <c r="Y403" s="24"/>
      <c r="Z403" s="26"/>
      <c r="AA403" s="26"/>
      <c r="AB403" s="15"/>
      <c r="AC403" s="15"/>
      <c r="AD403" s="16"/>
      <c r="AE403" s="16"/>
      <c r="AF403" s="16"/>
      <c r="AG403" s="16"/>
      <c r="AH403" s="18"/>
      <c r="AI403" s="18"/>
      <c r="AJ403" s="18"/>
      <c r="AK403" s="18"/>
      <c r="AL403" s="18"/>
      <c r="AM403" s="18"/>
      <c r="AN403" s="18"/>
      <c r="AO403" s="18"/>
      <c r="AP403" s="18"/>
      <c r="AQ403" s="18"/>
    </row>
    <row r="404" spans="2:43" s="2" customFormat="1" hidden="1">
      <c r="B404" s="21"/>
      <c r="C404" s="22"/>
      <c r="D404" s="24"/>
      <c r="E404" s="24"/>
      <c r="F404" s="24"/>
      <c r="G404" s="24"/>
      <c r="H404" s="24"/>
      <c r="I404" s="24"/>
      <c r="J404" s="24"/>
      <c r="K404" s="24"/>
      <c r="L404" s="24"/>
      <c r="M404" s="26"/>
      <c r="N404" s="24"/>
      <c r="O404" s="24"/>
      <c r="P404" s="24"/>
      <c r="Q404" s="24"/>
      <c r="R404" s="24"/>
      <c r="S404" s="24"/>
      <c r="T404" s="24"/>
      <c r="U404" s="24"/>
      <c r="V404" s="24"/>
      <c r="W404" s="24"/>
      <c r="X404" s="24"/>
      <c r="Y404" s="24"/>
      <c r="Z404" s="26"/>
      <c r="AA404" s="26"/>
      <c r="AB404" s="15"/>
      <c r="AC404" s="15"/>
      <c r="AD404" s="16"/>
      <c r="AE404" s="16"/>
      <c r="AF404" s="16"/>
      <c r="AG404" s="16"/>
      <c r="AH404" s="18"/>
      <c r="AI404" s="18"/>
      <c r="AJ404" s="18"/>
      <c r="AK404" s="18"/>
      <c r="AL404" s="18"/>
      <c r="AM404" s="18"/>
      <c r="AN404" s="18"/>
      <c r="AO404" s="18"/>
      <c r="AP404" s="18"/>
      <c r="AQ404" s="18"/>
    </row>
    <row r="405" spans="2:43" s="2" customFormat="1" hidden="1">
      <c r="B405" s="21"/>
      <c r="C405" s="22"/>
      <c r="D405" s="24"/>
      <c r="E405" s="24"/>
      <c r="F405" s="24"/>
      <c r="G405" s="24"/>
      <c r="H405" s="24"/>
      <c r="I405" s="24"/>
      <c r="J405" s="24"/>
      <c r="K405" s="24"/>
      <c r="L405" s="24"/>
      <c r="M405" s="26"/>
      <c r="N405" s="24"/>
      <c r="O405" s="24"/>
      <c r="P405" s="24"/>
      <c r="Q405" s="24"/>
      <c r="R405" s="24"/>
      <c r="S405" s="24"/>
      <c r="T405" s="24"/>
      <c r="U405" s="24"/>
      <c r="V405" s="24"/>
      <c r="W405" s="24"/>
      <c r="X405" s="24"/>
      <c r="Y405" s="24"/>
      <c r="Z405" s="26"/>
      <c r="AA405" s="26"/>
      <c r="AB405" s="15"/>
      <c r="AC405" s="15"/>
      <c r="AD405" s="16"/>
      <c r="AE405" s="16"/>
      <c r="AF405" s="16"/>
      <c r="AG405" s="16"/>
      <c r="AH405" s="18"/>
      <c r="AI405" s="18"/>
      <c r="AJ405" s="18"/>
      <c r="AK405" s="18"/>
      <c r="AL405" s="18"/>
      <c r="AM405" s="18"/>
      <c r="AN405" s="18"/>
      <c r="AO405" s="18"/>
      <c r="AP405" s="18"/>
      <c r="AQ405" s="18"/>
    </row>
    <row r="406" spans="2:43" s="2" customFormat="1" hidden="1">
      <c r="B406" s="21"/>
      <c r="C406" s="22"/>
      <c r="D406" s="24"/>
      <c r="E406" s="24"/>
      <c r="F406" s="24"/>
      <c r="G406" s="24"/>
      <c r="H406" s="24"/>
      <c r="I406" s="24"/>
      <c r="J406" s="24"/>
      <c r="K406" s="24"/>
      <c r="L406" s="24"/>
      <c r="M406" s="26"/>
      <c r="N406" s="24"/>
      <c r="O406" s="24"/>
      <c r="P406" s="24"/>
      <c r="Q406" s="24"/>
      <c r="R406" s="24"/>
      <c r="S406" s="24"/>
      <c r="T406" s="24"/>
      <c r="U406" s="24"/>
      <c r="V406" s="24"/>
      <c r="W406" s="24"/>
      <c r="X406" s="24"/>
      <c r="Y406" s="24"/>
      <c r="Z406" s="26"/>
      <c r="AA406" s="26"/>
      <c r="AB406" s="15"/>
      <c r="AC406" s="15"/>
      <c r="AD406" s="16"/>
      <c r="AE406" s="16"/>
      <c r="AF406" s="16"/>
      <c r="AG406" s="16"/>
      <c r="AH406" s="18"/>
      <c r="AI406" s="18"/>
      <c r="AJ406" s="18"/>
      <c r="AK406" s="18"/>
      <c r="AL406" s="18"/>
      <c r="AM406" s="18"/>
      <c r="AN406" s="18"/>
      <c r="AO406" s="18"/>
      <c r="AP406" s="18"/>
      <c r="AQ406" s="18"/>
    </row>
    <row r="407" spans="2:43" s="2" customFormat="1" hidden="1">
      <c r="B407" s="21"/>
      <c r="C407" s="22"/>
      <c r="D407" s="24"/>
      <c r="E407" s="24"/>
      <c r="F407" s="24"/>
      <c r="G407" s="24"/>
      <c r="H407" s="24"/>
      <c r="I407" s="24"/>
      <c r="J407" s="24"/>
      <c r="K407" s="24"/>
      <c r="L407" s="24"/>
      <c r="M407" s="26"/>
      <c r="N407" s="24"/>
      <c r="O407" s="24"/>
      <c r="P407" s="24"/>
      <c r="Q407" s="24"/>
      <c r="R407" s="24"/>
      <c r="S407" s="24"/>
      <c r="T407" s="24"/>
      <c r="U407" s="24"/>
      <c r="V407" s="24"/>
      <c r="W407" s="24"/>
      <c r="X407" s="24"/>
      <c r="Y407" s="24"/>
      <c r="Z407" s="26"/>
      <c r="AA407" s="26"/>
      <c r="AB407" s="15"/>
      <c r="AC407" s="15"/>
      <c r="AD407" s="16"/>
      <c r="AE407" s="16"/>
      <c r="AF407" s="16"/>
      <c r="AG407" s="16"/>
      <c r="AH407" s="18"/>
      <c r="AI407" s="18"/>
      <c r="AJ407" s="18"/>
      <c r="AK407" s="18"/>
      <c r="AL407" s="18"/>
      <c r="AM407" s="18"/>
      <c r="AN407" s="18"/>
      <c r="AO407" s="18"/>
      <c r="AP407" s="18"/>
      <c r="AQ407" s="18"/>
    </row>
    <row r="408" spans="2:43" s="2" customFormat="1" hidden="1">
      <c r="B408" s="21"/>
      <c r="C408" s="22"/>
      <c r="D408" s="24"/>
      <c r="E408" s="24"/>
      <c r="F408" s="24"/>
      <c r="G408" s="24"/>
      <c r="H408" s="24"/>
      <c r="I408" s="24"/>
      <c r="J408" s="24"/>
      <c r="K408" s="24"/>
      <c r="L408" s="24"/>
      <c r="M408" s="26"/>
      <c r="N408" s="24"/>
      <c r="O408" s="24"/>
      <c r="P408" s="24"/>
      <c r="Q408" s="24"/>
      <c r="R408" s="24"/>
      <c r="S408" s="24"/>
      <c r="T408" s="24"/>
      <c r="U408" s="24"/>
      <c r="V408" s="24"/>
      <c r="W408" s="24"/>
      <c r="X408" s="24"/>
      <c r="Y408" s="24"/>
      <c r="Z408" s="26"/>
      <c r="AA408" s="26"/>
      <c r="AB408" s="15"/>
      <c r="AC408" s="15"/>
      <c r="AD408" s="16"/>
      <c r="AE408" s="16"/>
      <c r="AF408" s="16"/>
      <c r="AG408" s="16"/>
      <c r="AH408" s="18"/>
      <c r="AI408" s="18"/>
      <c r="AJ408" s="18"/>
      <c r="AK408" s="18"/>
      <c r="AL408" s="18"/>
      <c r="AM408" s="18"/>
      <c r="AN408" s="18"/>
      <c r="AO408" s="18"/>
      <c r="AP408" s="18"/>
      <c r="AQ408" s="18"/>
    </row>
    <row r="409" spans="2:43" s="2" customFormat="1" hidden="1">
      <c r="B409" s="21"/>
      <c r="C409" s="22"/>
      <c r="D409" s="24"/>
      <c r="E409" s="24"/>
      <c r="F409" s="24"/>
      <c r="G409" s="24"/>
      <c r="H409" s="24"/>
      <c r="I409" s="24"/>
      <c r="J409" s="24"/>
      <c r="K409" s="24"/>
      <c r="L409" s="24"/>
      <c r="M409" s="26"/>
      <c r="N409" s="24"/>
      <c r="O409" s="24"/>
      <c r="P409" s="24"/>
      <c r="Q409" s="24"/>
      <c r="R409" s="24"/>
      <c r="S409" s="24"/>
      <c r="T409" s="24"/>
      <c r="U409" s="24"/>
      <c r="V409" s="24"/>
      <c r="W409" s="24"/>
      <c r="X409" s="24"/>
      <c r="Y409" s="24"/>
      <c r="Z409" s="26"/>
      <c r="AA409" s="26"/>
      <c r="AB409" s="15"/>
      <c r="AC409" s="15"/>
      <c r="AD409" s="16"/>
      <c r="AE409" s="16"/>
      <c r="AF409" s="16"/>
      <c r="AG409" s="16"/>
      <c r="AH409" s="18"/>
      <c r="AI409" s="18"/>
      <c r="AJ409" s="18"/>
      <c r="AK409" s="18"/>
      <c r="AL409" s="18"/>
      <c r="AM409" s="18"/>
      <c r="AN409" s="18"/>
      <c r="AO409" s="18"/>
      <c r="AP409" s="18"/>
      <c r="AQ409" s="18"/>
    </row>
    <row r="410" spans="2:43" s="2" customFormat="1" hidden="1">
      <c r="B410" s="21"/>
      <c r="C410" s="22"/>
      <c r="D410" s="24"/>
      <c r="E410" s="24"/>
      <c r="F410" s="24"/>
      <c r="G410" s="24"/>
      <c r="H410" s="24"/>
      <c r="I410" s="24"/>
      <c r="J410" s="24"/>
      <c r="K410" s="24"/>
      <c r="L410" s="24"/>
      <c r="M410" s="26"/>
      <c r="N410" s="24"/>
      <c r="O410" s="24"/>
      <c r="P410" s="24"/>
      <c r="Q410" s="24"/>
      <c r="R410" s="24"/>
      <c r="S410" s="24"/>
      <c r="T410" s="24"/>
      <c r="U410" s="24"/>
      <c r="V410" s="24"/>
      <c r="W410" s="24"/>
      <c r="X410" s="24"/>
      <c r="Y410" s="24"/>
      <c r="Z410" s="26"/>
      <c r="AA410" s="26"/>
      <c r="AB410" s="15"/>
      <c r="AC410" s="15"/>
      <c r="AD410" s="16"/>
      <c r="AE410" s="16"/>
      <c r="AF410" s="16"/>
      <c r="AG410" s="16"/>
      <c r="AH410" s="18"/>
      <c r="AI410" s="18"/>
      <c r="AJ410" s="18"/>
      <c r="AK410" s="18"/>
      <c r="AL410" s="18"/>
      <c r="AM410" s="18"/>
      <c r="AN410" s="18"/>
      <c r="AO410" s="18"/>
      <c r="AP410" s="18"/>
      <c r="AQ410" s="18"/>
    </row>
    <row r="411" spans="2:43" s="2" customFormat="1" hidden="1">
      <c r="B411" s="21"/>
      <c r="C411" s="22"/>
      <c r="D411" s="24"/>
      <c r="E411" s="24"/>
      <c r="F411" s="24"/>
      <c r="G411" s="24"/>
      <c r="H411" s="24"/>
      <c r="I411" s="24"/>
      <c r="J411" s="24"/>
      <c r="K411" s="24"/>
      <c r="L411" s="24"/>
      <c r="M411" s="26"/>
      <c r="N411" s="24"/>
      <c r="O411" s="24"/>
      <c r="P411" s="24"/>
      <c r="Q411" s="24"/>
      <c r="R411" s="24"/>
      <c r="S411" s="24"/>
      <c r="T411" s="24"/>
      <c r="U411" s="24"/>
      <c r="V411" s="24"/>
      <c r="W411" s="24"/>
      <c r="X411" s="24"/>
      <c r="Y411" s="24"/>
      <c r="Z411" s="26"/>
      <c r="AA411" s="26"/>
      <c r="AB411" s="15"/>
      <c r="AC411" s="15"/>
      <c r="AD411" s="16"/>
      <c r="AE411" s="16"/>
      <c r="AF411" s="16"/>
      <c r="AG411" s="16"/>
      <c r="AH411" s="18"/>
      <c r="AI411" s="18"/>
      <c r="AJ411" s="18"/>
      <c r="AK411" s="18"/>
      <c r="AL411" s="18"/>
      <c r="AM411" s="18"/>
      <c r="AN411" s="18"/>
      <c r="AO411" s="18"/>
      <c r="AP411" s="18"/>
      <c r="AQ411" s="18"/>
    </row>
    <row r="412" spans="2:43" s="2" customFormat="1" hidden="1">
      <c r="B412" s="21"/>
      <c r="C412" s="22"/>
      <c r="D412" s="24"/>
      <c r="E412" s="24"/>
      <c r="F412" s="24"/>
      <c r="G412" s="24"/>
      <c r="H412" s="24"/>
      <c r="I412" s="24"/>
      <c r="J412" s="24"/>
      <c r="K412" s="24"/>
      <c r="L412" s="24"/>
      <c r="M412" s="26"/>
      <c r="N412" s="24"/>
      <c r="O412" s="24"/>
      <c r="P412" s="24"/>
      <c r="Q412" s="24"/>
      <c r="R412" s="24"/>
      <c r="S412" s="24"/>
      <c r="T412" s="24"/>
      <c r="U412" s="24"/>
      <c r="V412" s="24"/>
      <c r="W412" s="24"/>
      <c r="X412" s="24"/>
      <c r="Y412" s="24"/>
      <c r="Z412" s="26"/>
      <c r="AA412" s="26"/>
      <c r="AB412" s="15"/>
      <c r="AC412" s="15"/>
      <c r="AD412" s="16"/>
      <c r="AE412" s="16"/>
      <c r="AF412" s="16"/>
      <c r="AG412" s="16"/>
      <c r="AH412" s="18"/>
      <c r="AI412" s="18"/>
      <c r="AJ412" s="18"/>
      <c r="AK412" s="18"/>
      <c r="AL412" s="18"/>
      <c r="AM412" s="18"/>
      <c r="AN412" s="18"/>
      <c r="AO412" s="18"/>
      <c r="AP412" s="18"/>
      <c r="AQ412" s="18"/>
    </row>
    <row r="413" spans="2:43" s="2" customFormat="1" hidden="1">
      <c r="B413" s="21"/>
      <c r="C413" s="22"/>
      <c r="D413" s="24"/>
      <c r="E413" s="24"/>
      <c r="F413" s="24"/>
      <c r="G413" s="24"/>
      <c r="H413" s="24"/>
      <c r="I413" s="24"/>
      <c r="J413" s="24"/>
      <c r="K413" s="24"/>
      <c r="L413" s="24"/>
      <c r="M413" s="26"/>
      <c r="N413" s="24"/>
      <c r="O413" s="24"/>
      <c r="P413" s="24"/>
      <c r="Q413" s="24"/>
      <c r="R413" s="24"/>
      <c r="S413" s="24"/>
      <c r="T413" s="24"/>
      <c r="U413" s="24"/>
      <c r="V413" s="24"/>
      <c r="W413" s="24"/>
      <c r="X413" s="24"/>
      <c r="Y413" s="24"/>
      <c r="Z413" s="26"/>
      <c r="AA413" s="26"/>
      <c r="AB413" s="15"/>
      <c r="AC413" s="15"/>
      <c r="AD413" s="16"/>
      <c r="AE413" s="16"/>
      <c r="AF413" s="16"/>
      <c r="AG413" s="16"/>
      <c r="AH413" s="18"/>
      <c r="AI413" s="18"/>
      <c r="AJ413" s="18"/>
      <c r="AK413" s="18"/>
      <c r="AL413" s="18"/>
      <c r="AM413" s="18"/>
      <c r="AN413" s="18"/>
      <c r="AO413" s="18"/>
      <c r="AP413" s="18"/>
      <c r="AQ413" s="18"/>
    </row>
    <row r="414" spans="2:43" s="2" customFormat="1" hidden="1">
      <c r="B414" s="21"/>
      <c r="C414" s="22"/>
      <c r="D414" s="24"/>
      <c r="E414" s="24"/>
      <c r="F414" s="24"/>
      <c r="G414" s="24"/>
      <c r="H414" s="24"/>
      <c r="I414" s="24"/>
      <c r="J414" s="24"/>
      <c r="K414" s="24"/>
      <c r="L414" s="24"/>
      <c r="M414" s="26"/>
      <c r="N414" s="24"/>
      <c r="O414" s="24"/>
      <c r="P414" s="24"/>
      <c r="Q414" s="24"/>
      <c r="R414" s="24"/>
      <c r="S414" s="24"/>
      <c r="T414" s="24"/>
      <c r="U414" s="24"/>
      <c r="V414" s="24"/>
      <c r="W414" s="24"/>
      <c r="X414" s="24"/>
      <c r="Y414" s="24"/>
      <c r="Z414" s="26"/>
      <c r="AA414" s="26"/>
      <c r="AB414" s="15"/>
      <c r="AC414" s="15"/>
      <c r="AD414" s="16"/>
      <c r="AE414" s="16"/>
      <c r="AF414" s="16"/>
      <c r="AG414" s="16"/>
      <c r="AH414" s="18"/>
      <c r="AI414" s="18"/>
      <c r="AJ414" s="18"/>
      <c r="AK414" s="18"/>
      <c r="AL414" s="18"/>
      <c r="AM414" s="18"/>
      <c r="AN414" s="18"/>
      <c r="AO414" s="18"/>
      <c r="AP414" s="18"/>
      <c r="AQ414" s="18"/>
    </row>
    <row r="415" spans="2:43" s="2" customFormat="1" hidden="1">
      <c r="B415" s="21"/>
      <c r="C415" s="22"/>
      <c r="D415" s="24"/>
      <c r="E415" s="24"/>
      <c r="F415" s="24"/>
      <c r="G415" s="24"/>
      <c r="H415" s="24"/>
      <c r="I415" s="24"/>
      <c r="J415" s="24"/>
      <c r="K415" s="24"/>
      <c r="L415" s="24"/>
      <c r="M415" s="26"/>
      <c r="N415" s="24"/>
      <c r="O415" s="24"/>
      <c r="P415" s="24"/>
      <c r="Q415" s="24"/>
      <c r="R415" s="24"/>
      <c r="S415" s="24"/>
      <c r="T415" s="24"/>
      <c r="U415" s="24"/>
      <c r="V415" s="24"/>
      <c r="W415" s="24"/>
      <c r="X415" s="24"/>
      <c r="Y415" s="24"/>
      <c r="Z415" s="26"/>
      <c r="AA415" s="26"/>
      <c r="AB415" s="15"/>
      <c r="AC415" s="15"/>
      <c r="AD415" s="16"/>
      <c r="AE415" s="16"/>
      <c r="AF415" s="16"/>
      <c r="AG415" s="16"/>
      <c r="AH415" s="18"/>
      <c r="AI415" s="18"/>
      <c r="AJ415" s="18"/>
      <c r="AK415" s="18"/>
      <c r="AL415" s="18"/>
      <c r="AM415" s="18"/>
      <c r="AN415" s="18"/>
      <c r="AO415" s="18"/>
      <c r="AP415" s="18"/>
      <c r="AQ415" s="18"/>
    </row>
    <row r="416" spans="2:43" s="2" customFormat="1" hidden="1">
      <c r="B416" s="21"/>
      <c r="C416" s="22"/>
      <c r="D416" s="24"/>
      <c r="E416" s="24"/>
      <c r="F416" s="24"/>
      <c r="G416" s="24"/>
      <c r="H416" s="24"/>
      <c r="I416" s="24"/>
      <c r="J416" s="24"/>
      <c r="K416" s="24"/>
      <c r="L416" s="24"/>
      <c r="M416" s="26"/>
      <c r="N416" s="24"/>
      <c r="O416" s="24"/>
      <c r="P416" s="24"/>
      <c r="Q416" s="24"/>
      <c r="R416" s="24"/>
      <c r="S416" s="24"/>
      <c r="T416" s="24"/>
      <c r="U416" s="24"/>
      <c r="V416" s="24"/>
      <c r="W416" s="24"/>
      <c r="X416" s="24"/>
      <c r="Y416" s="24"/>
      <c r="Z416" s="26"/>
      <c r="AA416" s="26"/>
      <c r="AB416" s="15"/>
      <c r="AC416" s="15"/>
      <c r="AD416" s="16"/>
      <c r="AE416" s="16"/>
      <c r="AF416" s="16"/>
      <c r="AG416" s="16"/>
      <c r="AH416" s="18"/>
      <c r="AI416" s="18"/>
      <c r="AJ416" s="18"/>
      <c r="AK416" s="18"/>
      <c r="AL416" s="18"/>
      <c r="AM416" s="18"/>
      <c r="AN416" s="18"/>
      <c r="AO416" s="18"/>
      <c r="AP416" s="18"/>
      <c r="AQ416" s="18"/>
    </row>
    <row r="417" spans="2:43" s="2" customFormat="1" hidden="1">
      <c r="B417" s="21"/>
      <c r="C417" s="22"/>
      <c r="D417" s="24"/>
      <c r="E417" s="24"/>
      <c r="F417" s="24"/>
      <c r="G417" s="24"/>
      <c r="H417" s="24"/>
      <c r="I417" s="24"/>
      <c r="J417" s="24"/>
      <c r="K417" s="24"/>
      <c r="L417" s="24"/>
      <c r="M417" s="26"/>
      <c r="N417" s="24"/>
      <c r="O417" s="24"/>
      <c r="P417" s="24"/>
      <c r="Q417" s="24"/>
      <c r="R417" s="24"/>
      <c r="S417" s="24"/>
      <c r="T417" s="24"/>
      <c r="U417" s="24"/>
      <c r="V417" s="24"/>
      <c r="W417" s="24"/>
      <c r="X417" s="24"/>
      <c r="Y417" s="24"/>
      <c r="Z417" s="26"/>
      <c r="AA417" s="26"/>
      <c r="AB417" s="15"/>
      <c r="AC417" s="15"/>
      <c r="AD417" s="16"/>
      <c r="AE417" s="16"/>
      <c r="AF417" s="16"/>
      <c r="AG417" s="16"/>
      <c r="AH417" s="18"/>
      <c r="AI417" s="18"/>
      <c r="AJ417" s="18"/>
      <c r="AK417" s="18"/>
      <c r="AL417" s="18"/>
      <c r="AM417" s="18"/>
      <c r="AN417" s="18"/>
      <c r="AO417" s="18"/>
      <c r="AP417" s="18"/>
      <c r="AQ417" s="18"/>
    </row>
    <row r="418" spans="2:43" s="2" customFormat="1" hidden="1">
      <c r="B418" s="21"/>
      <c r="C418" s="22"/>
      <c r="D418" s="24"/>
      <c r="E418" s="24"/>
      <c r="F418" s="24"/>
      <c r="G418" s="24"/>
      <c r="H418" s="24"/>
      <c r="I418" s="24"/>
      <c r="J418" s="24"/>
      <c r="K418" s="24"/>
      <c r="L418" s="24"/>
      <c r="M418" s="26"/>
      <c r="N418" s="24"/>
      <c r="O418" s="24"/>
      <c r="P418" s="24"/>
      <c r="Q418" s="24"/>
      <c r="R418" s="24"/>
      <c r="S418" s="24"/>
      <c r="T418" s="24"/>
      <c r="U418" s="24"/>
      <c r="V418" s="24"/>
      <c r="W418" s="24"/>
      <c r="X418" s="24"/>
      <c r="Y418" s="24"/>
      <c r="Z418" s="26"/>
      <c r="AA418" s="26"/>
      <c r="AB418" s="15"/>
      <c r="AC418" s="15"/>
      <c r="AD418" s="16"/>
      <c r="AE418" s="16"/>
      <c r="AF418" s="16"/>
      <c r="AG418" s="16"/>
      <c r="AH418" s="18"/>
      <c r="AI418" s="18"/>
      <c r="AJ418" s="18"/>
      <c r="AK418" s="18"/>
      <c r="AL418" s="18"/>
      <c r="AM418" s="18"/>
      <c r="AN418" s="18"/>
      <c r="AO418" s="18"/>
      <c r="AP418" s="18"/>
      <c r="AQ418" s="18"/>
    </row>
    <row r="419" spans="2:43" s="2" customFormat="1" hidden="1">
      <c r="B419" s="21"/>
      <c r="C419" s="22"/>
      <c r="D419" s="24"/>
      <c r="E419" s="24"/>
      <c r="F419" s="24"/>
      <c r="G419" s="24"/>
      <c r="H419" s="24"/>
      <c r="I419" s="24"/>
      <c r="J419" s="24"/>
      <c r="K419" s="24"/>
      <c r="L419" s="24"/>
      <c r="M419" s="26"/>
      <c r="N419" s="24"/>
      <c r="O419" s="24"/>
      <c r="P419" s="24"/>
      <c r="Q419" s="24"/>
      <c r="R419" s="24"/>
      <c r="S419" s="24"/>
      <c r="T419" s="24"/>
      <c r="U419" s="24"/>
      <c r="V419" s="24"/>
      <c r="W419" s="24"/>
      <c r="X419" s="24"/>
      <c r="Y419" s="24"/>
      <c r="Z419" s="26"/>
      <c r="AA419" s="26"/>
      <c r="AB419" s="15"/>
      <c r="AC419" s="15"/>
      <c r="AD419" s="16"/>
      <c r="AE419" s="16"/>
      <c r="AF419" s="16"/>
      <c r="AG419" s="16"/>
      <c r="AH419" s="18"/>
      <c r="AI419" s="18"/>
      <c r="AJ419" s="18"/>
      <c r="AK419" s="18"/>
      <c r="AL419" s="18"/>
      <c r="AM419" s="18"/>
      <c r="AN419" s="18"/>
      <c r="AO419" s="18"/>
      <c r="AP419" s="18"/>
      <c r="AQ419" s="18"/>
    </row>
    <row r="420" spans="2:43" s="2" customFormat="1" hidden="1">
      <c r="B420" s="21"/>
      <c r="C420" s="22"/>
      <c r="D420" s="24"/>
      <c r="E420" s="24"/>
      <c r="F420" s="24"/>
      <c r="G420" s="24"/>
      <c r="H420" s="24"/>
      <c r="I420" s="24"/>
      <c r="J420" s="24"/>
      <c r="K420" s="24"/>
      <c r="L420" s="24"/>
      <c r="M420" s="26"/>
      <c r="N420" s="24"/>
      <c r="O420" s="24"/>
      <c r="P420" s="24"/>
      <c r="Q420" s="24"/>
      <c r="R420" s="24"/>
      <c r="S420" s="24"/>
      <c r="T420" s="24"/>
      <c r="U420" s="24"/>
      <c r="V420" s="24"/>
      <c r="W420" s="24"/>
      <c r="X420" s="24"/>
      <c r="Y420" s="24"/>
      <c r="Z420" s="26"/>
      <c r="AA420" s="26"/>
      <c r="AB420" s="15"/>
      <c r="AC420" s="15"/>
      <c r="AD420" s="16"/>
      <c r="AE420" s="16"/>
      <c r="AF420" s="16"/>
      <c r="AG420" s="16"/>
      <c r="AH420" s="18"/>
      <c r="AI420" s="18"/>
      <c r="AJ420" s="18"/>
      <c r="AK420" s="18"/>
      <c r="AL420" s="18"/>
      <c r="AM420" s="18"/>
      <c r="AN420" s="18"/>
      <c r="AO420" s="18"/>
      <c r="AP420" s="18"/>
      <c r="AQ420" s="18"/>
    </row>
    <row r="421" spans="2:43" s="2" customFormat="1" hidden="1">
      <c r="B421" s="21"/>
      <c r="C421" s="22"/>
      <c r="D421" s="24"/>
      <c r="E421" s="24"/>
      <c r="F421" s="24"/>
      <c r="G421" s="24"/>
      <c r="H421" s="24"/>
      <c r="I421" s="24"/>
      <c r="J421" s="24"/>
      <c r="K421" s="24"/>
      <c r="L421" s="24"/>
      <c r="M421" s="26"/>
      <c r="N421" s="24"/>
      <c r="O421" s="24"/>
      <c r="P421" s="24"/>
      <c r="Q421" s="24"/>
      <c r="R421" s="24"/>
      <c r="S421" s="24"/>
      <c r="T421" s="24"/>
      <c r="U421" s="24"/>
      <c r="V421" s="24"/>
      <c r="W421" s="24"/>
      <c r="X421" s="24"/>
      <c r="Y421" s="24"/>
      <c r="Z421" s="26"/>
      <c r="AA421" s="26"/>
      <c r="AB421" s="15"/>
      <c r="AC421" s="15"/>
      <c r="AD421" s="16"/>
      <c r="AE421" s="16"/>
      <c r="AF421" s="16"/>
      <c r="AG421" s="16"/>
      <c r="AH421" s="18"/>
      <c r="AI421" s="18"/>
      <c r="AJ421" s="18"/>
      <c r="AK421" s="18"/>
      <c r="AL421" s="18"/>
      <c r="AM421" s="18"/>
      <c r="AN421" s="18"/>
      <c r="AO421" s="18"/>
      <c r="AP421" s="18"/>
      <c r="AQ421" s="18"/>
    </row>
    <row r="422" spans="2:43" s="2" customFormat="1" hidden="1">
      <c r="B422" s="21"/>
      <c r="C422" s="22"/>
      <c r="D422" s="24"/>
      <c r="E422" s="24"/>
      <c r="F422" s="24"/>
      <c r="G422" s="24"/>
      <c r="H422" s="24"/>
      <c r="I422" s="24"/>
      <c r="J422" s="24"/>
      <c r="K422" s="24"/>
      <c r="L422" s="24"/>
      <c r="M422" s="26"/>
      <c r="N422" s="24"/>
      <c r="O422" s="24"/>
      <c r="P422" s="24"/>
      <c r="Q422" s="24"/>
      <c r="R422" s="24"/>
      <c r="S422" s="24"/>
      <c r="T422" s="24"/>
      <c r="U422" s="24"/>
      <c r="V422" s="24"/>
      <c r="W422" s="24"/>
      <c r="X422" s="24"/>
      <c r="Y422" s="24"/>
      <c r="Z422" s="26"/>
      <c r="AA422" s="26"/>
      <c r="AB422" s="15"/>
      <c r="AC422" s="15"/>
      <c r="AD422" s="16"/>
      <c r="AE422" s="16"/>
      <c r="AF422" s="16"/>
      <c r="AG422" s="16"/>
      <c r="AH422" s="18"/>
      <c r="AI422" s="18"/>
      <c r="AJ422" s="18"/>
      <c r="AK422" s="18"/>
      <c r="AL422" s="18"/>
      <c r="AM422" s="18"/>
      <c r="AN422" s="18"/>
      <c r="AO422" s="18"/>
      <c r="AP422" s="18"/>
      <c r="AQ422" s="18"/>
    </row>
    <row r="423" spans="2:43" s="2" customFormat="1" hidden="1">
      <c r="B423" s="21"/>
      <c r="C423" s="22"/>
      <c r="D423" s="24"/>
      <c r="E423" s="24"/>
      <c r="F423" s="24"/>
      <c r="G423" s="24"/>
      <c r="H423" s="24"/>
      <c r="I423" s="24"/>
      <c r="J423" s="24"/>
      <c r="K423" s="24"/>
      <c r="L423" s="24"/>
      <c r="M423" s="26"/>
      <c r="N423" s="24"/>
      <c r="O423" s="24"/>
      <c r="P423" s="24"/>
      <c r="Q423" s="24"/>
      <c r="R423" s="24"/>
      <c r="S423" s="24"/>
      <c r="T423" s="24"/>
      <c r="U423" s="24"/>
      <c r="V423" s="24"/>
      <c r="W423" s="24"/>
      <c r="X423" s="24"/>
      <c r="Y423" s="24"/>
      <c r="Z423" s="26"/>
      <c r="AA423" s="26"/>
      <c r="AB423" s="15"/>
      <c r="AC423" s="15"/>
      <c r="AD423" s="16"/>
      <c r="AE423" s="16"/>
      <c r="AF423" s="16"/>
      <c r="AG423" s="16"/>
      <c r="AH423" s="18"/>
      <c r="AI423" s="18"/>
      <c r="AJ423" s="18"/>
      <c r="AK423" s="18"/>
      <c r="AL423" s="18"/>
      <c r="AM423" s="18"/>
      <c r="AN423" s="18"/>
      <c r="AO423" s="18"/>
      <c r="AP423" s="18"/>
      <c r="AQ423" s="18"/>
    </row>
    <row r="424" spans="2:43" s="2" customFormat="1" hidden="1">
      <c r="B424" s="21"/>
      <c r="C424" s="22"/>
      <c r="D424" s="24"/>
      <c r="E424" s="24"/>
      <c r="F424" s="24"/>
      <c r="G424" s="24"/>
      <c r="H424" s="24"/>
      <c r="I424" s="24"/>
      <c r="J424" s="24"/>
      <c r="K424" s="24"/>
      <c r="L424" s="24"/>
      <c r="M424" s="26"/>
      <c r="N424" s="24"/>
      <c r="O424" s="24"/>
      <c r="P424" s="24"/>
      <c r="Q424" s="24"/>
      <c r="R424" s="24"/>
      <c r="S424" s="24"/>
      <c r="T424" s="24"/>
      <c r="U424" s="24"/>
      <c r="V424" s="24"/>
      <c r="W424" s="24"/>
      <c r="X424" s="24"/>
      <c r="Y424" s="24"/>
      <c r="Z424" s="26"/>
      <c r="AA424" s="26"/>
      <c r="AB424" s="15"/>
      <c r="AC424" s="15"/>
      <c r="AD424" s="16"/>
      <c r="AE424" s="16"/>
      <c r="AF424" s="16"/>
      <c r="AG424" s="16"/>
      <c r="AH424" s="18"/>
      <c r="AI424" s="18"/>
      <c r="AJ424" s="18"/>
      <c r="AK424" s="18"/>
      <c r="AL424" s="18"/>
      <c r="AM424" s="18"/>
      <c r="AN424" s="18"/>
      <c r="AO424" s="18"/>
      <c r="AP424" s="18"/>
      <c r="AQ424" s="18"/>
    </row>
    <row r="425" spans="2:43" s="2" customFormat="1" hidden="1">
      <c r="B425" s="21"/>
      <c r="C425" s="22"/>
      <c r="D425" s="24"/>
      <c r="E425" s="24"/>
      <c r="F425" s="24"/>
      <c r="G425" s="24"/>
      <c r="H425" s="24"/>
      <c r="I425" s="24"/>
      <c r="J425" s="24"/>
      <c r="K425" s="24"/>
      <c r="L425" s="24"/>
      <c r="M425" s="26"/>
      <c r="N425" s="24"/>
      <c r="O425" s="24"/>
      <c r="P425" s="24"/>
      <c r="Q425" s="24"/>
      <c r="R425" s="24"/>
      <c r="S425" s="24"/>
      <c r="T425" s="24"/>
      <c r="U425" s="24"/>
      <c r="V425" s="24"/>
      <c r="W425" s="24"/>
      <c r="X425" s="24"/>
      <c r="Y425" s="24"/>
      <c r="Z425" s="26"/>
      <c r="AA425" s="26"/>
      <c r="AB425" s="15"/>
      <c r="AC425" s="15"/>
      <c r="AD425" s="16"/>
      <c r="AE425" s="16"/>
      <c r="AF425" s="16"/>
      <c r="AG425" s="16"/>
      <c r="AH425" s="18"/>
      <c r="AI425" s="18"/>
      <c r="AJ425" s="18"/>
      <c r="AK425" s="18"/>
      <c r="AL425" s="18"/>
      <c r="AM425" s="18"/>
      <c r="AN425" s="18"/>
      <c r="AO425" s="18"/>
      <c r="AP425" s="18"/>
      <c r="AQ425" s="18"/>
    </row>
    <row r="426" spans="2:43" s="2" customFormat="1" hidden="1">
      <c r="B426" s="21"/>
      <c r="C426" s="22"/>
      <c r="D426" s="24"/>
      <c r="E426" s="24"/>
      <c r="F426" s="24"/>
      <c r="G426" s="24"/>
      <c r="H426" s="24"/>
      <c r="I426" s="24"/>
      <c r="J426" s="24"/>
      <c r="K426" s="24"/>
      <c r="L426" s="24"/>
      <c r="M426" s="26"/>
      <c r="N426" s="24"/>
      <c r="O426" s="24"/>
      <c r="P426" s="24"/>
      <c r="Q426" s="24"/>
      <c r="R426" s="24"/>
      <c r="S426" s="24"/>
      <c r="T426" s="24"/>
      <c r="U426" s="24"/>
      <c r="V426" s="24"/>
      <c r="W426" s="24"/>
      <c r="X426" s="24"/>
      <c r="Y426" s="24"/>
      <c r="Z426" s="26"/>
      <c r="AA426" s="26"/>
      <c r="AB426" s="15"/>
      <c r="AC426" s="15"/>
      <c r="AD426" s="16"/>
      <c r="AE426" s="16"/>
      <c r="AF426" s="16"/>
      <c r="AG426" s="16"/>
      <c r="AH426" s="18"/>
      <c r="AI426" s="18"/>
      <c r="AJ426" s="18"/>
      <c r="AK426" s="18"/>
      <c r="AL426" s="18"/>
      <c r="AM426" s="18"/>
      <c r="AN426" s="18"/>
      <c r="AO426" s="18"/>
      <c r="AP426" s="18"/>
      <c r="AQ426" s="18"/>
    </row>
    <row r="427" spans="2:43" s="2" customFormat="1" hidden="1">
      <c r="B427" s="21"/>
      <c r="C427" s="22"/>
      <c r="D427" s="24"/>
      <c r="E427" s="24"/>
      <c r="F427" s="24"/>
      <c r="G427" s="24"/>
      <c r="H427" s="24"/>
      <c r="I427" s="24"/>
      <c r="J427" s="24"/>
      <c r="K427" s="24"/>
      <c r="L427" s="24"/>
      <c r="M427" s="26"/>
      <c r="N427" s="24"/>
      <c r="O427" s="24"/>
      <c r="P427" s="24"/>
      <c r="Q427" s="24"/>
      <c r="R427" s="24"/>
      <c r="S427" s="24"/>
      <c r="T427" s="24"/>
      <c r="U427" s="24"/>
      <c r="V427" s="24"/>
      <c r="W427" s="24"/>
      <c r="X427" s="24"/>
      <c r="Y427" s="24"/>
      <c r="Z427" s="26"/>
      <c r="AA427" s="26"/>
      <c r="AB427" s="15"/>
      <c r="AC427" s="15"/>
      <c r="AD427" s="16"/>
      <c r="AE427" s="16"/>
      <c r="AF427" s="16"/>
      <c r="AG427" s="16"/>
      <c r="AH427" s="18"/>
      <c r="AI427" s="18"/>
      <c r="AJ427" s="18"/>
      <c r="AK427" s="18"/>
      <c r="AL427" s="18"/>
      <c r="AM427" s="18"/>
      <c r="AN427" s="18"/>
      <c r="AO427" s="18"/>
      <c r="AP427" s="18"/>
      <c r="AQ427" s="18"/>
    </row>
    <row r="428" spans="2:43" s="2" customFormat="1" hidden="1">
      <c r="B428" s="21"/>
      <c r="C428" s="22"/>
      <c r="D428" s="24"/>
      <c r="E428" s="24"/>
      <c r="F428" s="24"/>
      <c r="G428" s="24"/>
      <c r="H428" s="24"/>
      <c r="I428" s="24"/>
      <c r="J428" s="24"/>
      <c r="K428" s="24"/>
      <c r="L428" s="24"/>
      <c r="M428" s="26"/>
      <c r="N428" s="24"/>
      <c r="O428" s="24"/>
      <c r="P428" s="24"/>
      <c r="Q428" s="24"/>
      <c r="R428" s="24"/>
      <c r="S428" s="24"/>
      <c r="T428" s="24"/>
      <c r="U428" s="24"/>
      <c r="V428" s="24"/>
      <c r="W428" s="24"/>
      <c r="X428" s="24"/>
      <c r="Y428" s="24"/>
      <c r="Z428" s="26"/>
      <c r="AA428" s="26"/>
      <c r="AB428" s="15"/>
      <c r="AC428" s="15"/>
      <c r="AD428" s="16"/>
      <c r="AE428" s="16"/>
      <c r="AF428" s="16"/>
      <c r="AG428" s="16"/>
      <c r="AH428" s="18"/>
      <c r="AI428" s="18"/>
      <c r="AJ428" s="18"/>
      <c r="AK428" s="18"/>
      <c r="AL428" s="18"/>
      <c r="AM428" s="18"/>
      <c r="AN428" s="18"/>
      <c r="AO428" s="18"/>
      <c r="AP428" s="18"/>
      <c r="AQ428" s="18"/>
    </row>
    <row r="429" spans="2:43" s="2" customFormat="1" hidden="1">
      <c r="B429" s="21"/>
      <c r="C429" s="22"/>
      <c r="D429" s="24"/>
      <c r="E429" s="24"/>
      <c r="F429" s="24"/>
      <c r="G429" s="24"/>
      <c r="H429" s="24"/>
      <c r="I429" s="24"/>
      <c r="J429" s="24"/>
      <c r="K429" s="24"/>
      <c r="L429" s="24"/>
      <c r="M429" s="26"/>
      <c r="N429" s="24"/>
      <c r="O429" s="24"/>
      <c r="P429" s="24"/>
      <c r="Q429" s="24"/>
      <c r="R429" s="24"/>
      <c r="S429" s="24"/>
      <c r="T429" s="24"/>
      <c r="U429" s="24"/>
      <c r="V429" s="24"/>
      <c r="W429" s="24"/>
      <c r="X429" s="24"/>
      <c r="Y429" s="24"/>
      <c r="Z429" s="26"/>
      <c r="AA429" s="26"/>
      <c r="AB429" s="15"/>
      <c r="AC429" s="15"/>
      <c r="AD429" s="16"/>
      <c r="AE429" s="16"/>
      <c r="AF429" s="16"/>
      <c r="AG429" s="16"/>
      <c r="AH429" s="18"/>
      <c r="AI429" s="18"/>
      <c r="AJ429" s="18"/>
      <c r="AK429" s="18"/>
      <c r="AL429" s="18"/>
      <c r="AM429" s="18"/>
      <c r="AN429" s="18"/>
      <c r="AO429" s="18"/>
      <c r="AP429" s="18"/>
      <c r="AQ429" s="18"/>
    </row>
    <row r="430" spans="2:43" s="2" customFormat="1" hidden="1">
      <c r="B430" s="21"/>
      <c r="C430" s="22"/>
      <c r="D430" s="24"/>
      <c r="E430" s="24"/>
      <c r="F430" s="24"/>
      <c r="G430" s="24"/>
      <c r="H430" s="24"/>
      <c r="I430" s="24"/>
      <c r="J430" s="24"/>
      <c r="K430" s="24"/>
      <c r="L430" s="24"/>
      <c r="M430" s="26"/>
      <c r="N430" s="24"/>
      <c r="O430" s="24"/>
      <c r="P430" s="24"/>
      <c r="Q430" s="24"/>
      <c r="R430" s="24"/>
      <c r="S430" s="24"/>
      <c r="T430" s="24"/>
      <c r="U430" s="24"/>
      <c r="V430" s="24"/>
      <c r="W430" s="24"/>
      <c r="X430" s="24"/>
      <c r="Y430" s="24"/>
      <c r="Z430" s="26"/>
      <c r="AA430" s="26"/>
      <c r="AB430" s="15"/>
      <c r="AC430" s="15"/>
      <c r="AD430" s="16"/>
      <c r="AE430" s="16"/>
      <c r="AF430" s="16"/>
      <c r="AG430" s="16"/>
      <c r="AH430" s="18"/>
      <c r="AI430" s="18"/>
      <c r="AJ430" s="18"/>
      <c r="AK430" s="18"/>
      <c r="AL430" s="18"/>
      <c r="AM430" s="18"/>
      <c r="AN430" s="18"/>
      <c r="AO430" s="18"/>
      <c r="AP430" s="18"/>
      <c r="AQ430" s="18"/>
    </row>
    <row r="431" spans="2:43" s="2" customFormat="1" hidden="1">
      <c r="B431" s="21"/>
      <c r="C431" s="22"/>
      <c r="D431" s="24"/>
      <c r="E431" s="24"/>
      <c r="F431" s="24"/>
      <c r="G431" s="24"/>
      <c r="H431" s="24"/>
      <c r="I431" s="24"/>
      <c r="J431" s="24"/>
      <c r="K431" s="24"/>
      <c r="L431" s="24"/>
      <c r="M431" s="26"/>
      <c r="N431" s="24"/>
      <c r="O431" s="24"/>
      <c r="P431" s="24"/>
      <c r="Q431" s="24"/>
      <c r="R431" s="24"/>
      <c r="S431" s="24"/>
      <c r="T431" s="24"/>
      <c r="U431" s="24"/>
      <c r="V431" s="24"/>
      <c r="W431" s="24"/>
      <c r="X431" s="24"/>
      <c r="Y431" s="24"/>
      <c r="Z431" s="26"/>
      <c r="AA431" s="26"/>
      <c r="AB431" s="15"/>
      <c r="AC431" s="15"/>
      <c r="AD431" s="16"/>
      <c r="AE431" s="16"/>
      <c r="AF431" s="16"/>
      <c r="AG431" s="16"/>
      <c r="AH431" s="18"/>
      <c r="AI431" s="18"/>
      <c r="AJ431" s="18"/>
      <c r="AK431" s="18"/>
      <c r="AL431" s="18"/>
      <c r="AM431" s="18"/>
      <c r="AN431" s="18"/>
      <c r="AO431" s="18"/>
      <c r="AP431" s="18"/>
      <c r="AQ431" s="18"/>
    </row>
    <row r="432" spans="2:43" s="245" customFormat="1" hidden="1">
      <c r="B432" s="239"/>
      <c r="C432" s="240"/>
      <c r="D432" s="241"/>
      <c r="E432" s="241"/>
      <c r="F432" s="241"/>
      <c r="G432" s="241"/>
      <c r="H432" s="241"/>
      <c r="I432" s="241"/>
      <c r="J432" s="241"/>
      <c r="K432" s="241"/>
      <c r="L432" s="241"/>
      <c r="M432" s="242"/>
      <c r="N432" s="241"/>
      <c r="O432" s="241"/>
      <c r="P432" s="241"/>
      <c r="Q432" s="241"/>
      <c r="R432" s="241"/>
      <c r="S432" s="241"/>
      <c r="T432" s="241"/>
      <c r="U432" s="241"/>
      <c r="V432" s="241"/>
      <c r="W432" s="241"/>
      <c r="X432" s="241"/>
      <c r="Y432" s="241"/>
      <c r="Z432" s="242"/>
      <c r="AA432" s="242"/>
      <c r="AB432" s="243"/>
      <c r="AC432" s="243"/>
      <c r="AD432" s="244"/>
      <c r="AE432" s="244"/>
      <c r="AF432" s="244"/>
      <c r="AG432" s="244"/>
    </row>
    <row r="433" spans="2:33" s="245" customFormat="1" hidden="1">
      <c r="B433" s="239"/>
      <c r="C433" s="240"/>
      <c r="D433" s="241"/>
      <c r="E433" s="241"/>
      <c r="F433" s="241"/>
      <c r="G433" s="241"/>
      <c r="H433" s="241"/>
      <c r="I433" s="241"/>
      <c r="J433" s="241"/>
      <c r="K433" s="241"/>
      <c r="L433" s="241"/>
      <c r="M433" s="242"/>
      <c r="N433" s="241"/>
      <c r="O433" s="241"/>
      <c r="P433" s="241"/>
      <c r="Q433" s="241"/>
      <c r="R433" s="241"/>
      <c r="S433" s="241"/>
      <c r="T433" s="241"/>
      <c r="U433" s="241"/>
      <c r="V433" s="241"/>
      <c r="W433" s="241"/>
      <c r="X433" s="241"/>
      <c r="Y433" s="241"/>
      <c r="Z433" s="242"/>
      <c r="AA433" s="242"/>
      <c r="AB433" s="243"/>
      <c r="AC433" s="243"/>
      <c r="AD433" s="244"/>
      <c r="AE433" s="244"/>
      <c r="AF433" s="244"/>
      <c r="AG433" s="244"/>
    </row>
    <row r="434" spans="2:33" s="245" customFormat="1" hidden="1">
      <c r="B434" s="239"/>
      <c r="C434" s="240"/>
      <c r="D434" s="241"/>
      <c r="E434" s="241"/>
      <c r="F434" s="241"/>
      <c r="G434" s="241"/>
      <c r="H434" s="241"/>
      <c r="I434" s="241"/>
      <c r="J434" s="241"/>
      <c r="K434" s="241"/>
      <c r="L434" s="241"/>
      <c r="M434" s="242"/>
      <c r="N434" s="241"/>
      <c r="O434" s="241"/>
      <c r="P434" s="241"/>
      <c r="Q434" s="241"/>
      <c r="R434" s="241"/>
      <c r="S434" s="241"/>
      <c r="T434" s="241"/>
      <c r="U434" s="241"/>
      <c r="V434" s="241"/>
      <c r="W434" s="241"/>
      <c r="X434" s="241"/>
      <c r="Y434" s="241"/>
      <c r="Z434" s="242"/>
      <c r="AA434" s="242"/>
      <c r="AB434" s="243"/>
      <c r="AC434" s="243"/>
      <c r="AD434" s="244"/>
      <c r="AE434" s="244"/>
      <c r="AF434" s="244"/>
      <c r="AG434" s="244"/>
    </row>
    <row r="435" spans="2:33" s="245" customFormat="1" hidden="1">
      <c r="B435" s="239"/>
      <c r="C435" s="240"/>
      <c r="D435" s="241"/>
      <c r="E435" s="241"/>
      <c r="F435" s="241"/>
      <c r="G435" s="241"/>
      <c r="H435" s="241"/>
      <c r="I435" s="241"/>
      <c r="J435" s="241"/>
      <c r="K435" s="241"/>
      <c r="L435" s="241"/>
      <c r="M435" s="242"/>
      <c r="N435" s="241"/>
      <c r="O435" s="241"/>
      <c r="P435" s="241"/>
      <c r="Q435" s="241"/>
      <c r="R435" s="241"/>
      <c r="S435" s="241"/>
      <c r="T435" s="241"/>
      <c r="U435" s="241"/>
      <c r="V435" s="241"/>
      <c r="W435" s="241"/>
      <c r="X435" s="241"/>
      <c r="Y435" s="241"/>
      <c r="Z435" s="242"/>
      <c r="AA435" s="242"/>
      <c r="AB435" s="243"/>
      <c r="AC435" s="243"/>
      <c r="AD435" s="244"/>
      <c r="AE435" s="244"/>
      <c r="AF435" s="244"/>
      <c r="AG435" s="244"/>
    </row>
    <row r="436" spans="2:33" s="245" customFormat="1" hidden="1">
      <c r="B436" s="239"/>
      <c r="C436" s="240"/>
      <c r="D436" s="241"/>
      <c r="E436" s="241"/>
      <c r="F436" s="241"/>
      <c r="G436" s="241"/>
      <c r="H436" s="241"/>
      <c r="I436" s="241"/>
      <c r="J436" s="241"/>
      <c r="K436" s="241"/>
      <c r="L436" s="241"/>
      <c r="M436" s="242"/>
      <c r="N436" s="241"/>
      <c r="O436" s="241"/>
      <c r="P436" s="241"/>
      <c r="Q436" s="241"/>
      <c r="R436" s="241"/>
      <c r="S436" s="241"/>
      <c r="T436" s="241"/>
      <c r="U436" s="241"/>
      <c r="V436" s="241"/>
      <c r="W436" s="241"/>
      <c r="X436" s="241"/>
      <c r="Y436" s="241"/>
      <c r="Z436" s="242"/>
      <c r="AA436" s="242"/>
      <c r="AB436" s="243"/>
      <c r="AC436" s="243"/>
      <c r="AD436" s="244"/>
      <c r="AE436" s="244"/>
      <c r="AF436" s="244"/>
      <c r="AG436" s="244"/>
    </row>
    <row r="437" spans="2:33" s="245" customFormat="1" hidden="1">
      <c r="B437" s="239"/>
      <c r="C437" s="240"/>
      <c r="D437" s="241"/>
      <c r="E437" s="241"/>
      <c r="F437" s="241"/>
      <c r="G437" s="241"/>
      <c r="H437" s="241"/>
      <c r="I437" s="241"/>
      <c r="J437" s="241"/>
      <c r="K437" s="241"/>
      <c r="L437" s="241"/>
      <c r="M437" s="242"/>
      <c r="N437" s="241"/>
      <c r="O437" s="241"/>
      <c r="P437" s="241"/>
      <c r="Q437" s="241"/>
      <c r="R437" s="241"/>
      <c r="S437" s="241"/>
      <c r="T437" s="241"/>
      <c r="U437" s="241"/>
      <c r="V437" s="241"/>
      <c r="W437" s="241"/>
      <c r="X437" s="241"/>
      <c r="Y437" s="241"/>
      <c r="Z437" s="242"/>
      <c r="AA437" s="242"/>
      <c r="AB437" s="243"/>
      <c r="AC437" s="243"/>
      <c r="AD437" s="244"/>
      <c r="AE437" s="244"/>
      <c r="AF437" s="244"/>
      <c r="AG437" s="244"/>
    </row>
    <row r="438" spans="2:33" s="245" customFormat="1" hidden="1">
      <c r="B438" s="239"/>
      <c r="C438" s="240"/>
      <c r="D438" s="241"/>
      <c r="E438" s="241"/>
      <c r="F438" s="241"/>
      <c r="G438" s="241"/>
      <c r="H438" s="241"/>
      <c r="I438" s="241"/>
      <c r="J438" s="241"/>
      <c r="K438" s="241"/>
      <c r="L438" s="241"/>
      <c r="M438" s="242"/>
      <c r="N438" s="241"/>
      <c r="O438" s="241"/>
      <c r="P438" s="241"/>
      <c r="Q438" s="241"/>
      <c r="R438" s="241"/>
      <c r="S438" s="241"/>
      <c r="T438" s="241"/>
      <c r="U438" s="241"/>
      <c r="V438" s="241"/>
      <c r="W438" s="241"/>
      <c r="X438" s="241"/>
      <c r="Y438" s="241"/>
      <c r="Z438" s="242"/>
      <c r="AA438" s="242"/>
      <c r="AB438" s="243"/>
      <c r="AC438" s="243"/>
      <c r="AD438" s="244"/>
      <c r="AE438" s="244"/>
      <c r="AF438" s="244"/>
      <c r="AG438" s="244"/>
    </row>
    <row r="439" spans="2:33" s="245" customFormat="1" hidden="1">
      <c r="B439" s="239"/>
      <c r="C439" s="240"/>
      <c r="D439" s="241"/>
      <c r="E439" s="241"/>
      <c r="F439" s="241"/>
      <c r="G439" s="241"/>
      <c r="H439" s="241"/>
      <c r="I439" s="241"/>
      <c r="J439" s="241"/>
      <c r="K439" s="241"/>
      <c r="L439" s="241"/>
      <c r="M439" s="242"/>
      <c r="N439" s="241"/>
      <c r="O439" s="241"/>
      <c r="P439" s="241"/>
      <c r="Q439" s="241"/>
      <c r="R439" s="241"/>
      <c r="S439" s="241"/>
      <c r="T439" s="241"/>
      <c r="U439" s="241"/>
      <c r="V439" s="241"/>
      <c r="W439" s="241"/>
      <c r="X439" s="241"/>
      <c r="Y439" s="241"/>
      <c r="Z439" s="242"/>
      <c r="AA439" s="242"/>
      <c r="AB439" s="243"/>
      <c r="AC439" s="243"/>
      <c r="AD439" s="244"/>
      <c r="AE439" s="244"/>
      <c r="AF439" s="244"/>
      <c r="AG439" s="244"/>
    </row>
    <row r="440" spans="2:33" s="245" customFormat="1" hidden="1">
      <c r="B440" s="239"/>
      <c r="C440" s="240"/>
      <c r="D440" s="241"/>
      <c r="E440" s="241"/>
      <c r="F440" s="241"/>
      <c r="G440" s="241"/>
      <c r="H440" s="241"/>
      <c r="I440" s="241"/>
      <c r="J440" s="241"/>
      <c r="K440" s="241"/>
      <c r="L440" s="241"/>
      <c r="M440" s="242"/>
      <c r="N440" s="241"/>
      <c r="O440" s="241"/>
      <c r="P440" s="241"/>
      <c r="Q440" s="241"/>
      <c r="R440" s="241"/>
      <c r="S440" s="241"/>
      <c r="T440" s="241"/>
      <c r="U440" s="241"/>
      <c r="V440" s="241"/>
      <c r="W440" s="241"/>
      <c r="X440" s="241"/>
      <c r="Y440" s="241"/>
      <c r="Z440" s="242"/>
      <c r="AA440" s="242"/>
      <c r="AB440" s="243"/>
      <c r="AC440" s="243"/>
      <c r="AD440" s="244"/>
      <c r="AE440" s="244"/>
      <c r="AF440" s="244"/>
      <c r="AG440" s="244"/>
    </row>
    <row r="441" spans="2:33" s="245" customFormat="1" hidden="1">
      <c r="B441" s="239"/>
      <c r="C441" s="240"/>
      <c r="D441" s="241"/>
      <c r="E441" s="241"/>
      <c r="F441" s="241"/>
      <c r="G441" s="241"/>
      <c r="H441" s="241"/>
      <c r="I441" s="241"/>
      <c r="J441" s="241"/>
      <c r="K441" s="241"/>
      <c r="L441" s="241"/>
      <c r="M441" s="242"/>
      <c r="N441" s="241"/>
      <c r="O441" s="241"/>
      <c r="P441" s="241"/>
      <c r="Q441" s="241"/>
      <c r="R441" s="241"/>
      <c r="S441" s="241"/>
      <c r="T441" s="241"/>
      <c r="U441" s="241"/>
      <c r="V441" s="241"/>
      <c r="W441" s="241"/>
      <c r="X441" s="241"/>
      <c r="Y441" s="241"/>
      <c r="Z441" s="242"/>
      <c r="AA441" s="242"/>
      <c r="AB441" s="243"/>
      <c r="AC441" s="243"/>
      <c r="AD441" s="244"/>
      <c r="AE441" s="244"/>
      <c r="AF441" s="244"/>
      <c r="AG441" s="244"/>
    </row>
    <row r="442" spans="2:33" s="245" customFormat="1" hidden="1">
      <c r="B442" s="239"/>
      <c r="C442" s="240"/>
      <c r="D442" s="241"/>
      <c r="E442" s="241"/>
      <c r="F442" s="241"/>
      <c r="G442" s="241"/>
      <c r="H442" s="241"/>
      <c r="I442" s="241"/>
      <c r="J442" s="241"/>
      <c r="K442" s="241"/>
      <c r="L442" s="241"/>
      <c r="M442" s="242"/>
      <c r="N442" s="241"/>
      <c r="O442" s="241"/>
      <c r="P442" s="241"/>
      <c r="Q442" s="241"/>
      <c r="R442" s="241"/>
      <c r="S442" s="241"/>
      <c r="T442" s="241"/>
      <c r="U442" s="241"/>
      <c r="V442" s="241"/>
      <c r="W442" s="241"/>
      <c r="X442" s="241"/>
      <c r="Y442" s="241"/>
      <c r="Z442" s="242"/>
      <c r="AA442" s="242"/>
      <c r="AB442" s="243"/>
      <c r="AC442" s="243"/>
      <c r="AD442" s="244"/>
      <c r="AE442" s="244"/>
      <c r="AF442" s="244"/>
      <c r="AG442" s="244"/>
    </row>
    <row r="443" spans="2:33" s="245" customFormat="1" hidden="1">
      <c r="B443" s="239"/>
      <c r="C443" s="240"/>
      <c r="D443" s="241"/>
      <c r="E443" s="241"/>
      <c r="F443" s="241"/>
      <c r="G443" s="241"/>
      <c r="H443" s="241"/>
      <c r="I443" s="241"/>
      <c r="J443" s="241"/>
      <c r="K443" s="241"/>
      <c r="L443" s="241"/>
      <c r="M443" s="242"/>
      <c r="N443" s="241"/>
      <c r="O443" s="241"/>
      <c r="P443" s="241"/>
      <c r="Q443" s="241"/>
      <c r="R443" s="241"/>
      <c r="S443" s="241"/>
      <c r="T443" s="241"/>
      <c r="U443" s="241"/>
      <c r="V443" s="241"/>
      <c r="W443" s="241"/>
      <c r="X443" s="241"/>
      <c r="Y443" s="241"/>
      <c r="Z443" s="242"/>
      <c r="AA443" s="242"/>
      <c r="AB443" s="243"/>
      <c r="AC443" s="243"/>
      <c r="AD443" s="244"/>
      <c r="AE443" s="244"/>
      <c r="AF443" s="244"/>
      <c r="AG443" s="244"/>
    </row>
    <row r="444" spans="2:33" s="245" customFormat="1" hidden="1">
      <c r="B444" s="239"/>
      <c r="C444" s="240"/>
      <c r="D444" s="241"/>
      <c r="E444" s="241"/>
      <c r="F444" s="241"/>
      <c r="G444" s="241"/>
      <c r="H444" s="241"/>
      <c r="I444" s="241"/>
      <c r="J444" s="241"/>
      <c r="K444" s="241"/>
      <c r="L444" s="241"/>
      <c r="M444" s="242"/>
      <c r="N444" s="241"/>
      <c r="O444" s="241"/>
      <c r="P444" s="241"/>
      <c r="Q444" s="241"/>
      <c r="R444" s="241"/>
      <c r="S444" s="241"/>
      <c r="T444" s="241"/>
      <c r="U444" s="241"/>
      <c r="V444" s="241"/>
      <c r="W444" s="241"/>
      <c r="X444" s="241"/>
      <c r="Y444" s="241"/>
      <c r="Z444" s="242"/>
      <c r="AA444" s="242"/>
      <c r="AB444" s="243"/>
      <c r="AC444" s="243"/>
      <c r="AD444" s="244"/>
      <c r="AE444" s="244"/>
      <c r="AF444" s="244"/>
      <c r="AG444" s="244"/>
    </row>
    <row r="445" spans="2:33" s="245" customFormat="1" hidden="1">
      <c r="B445" s="239"/>
      <c r="C445" s="240"/>
      <c r="D445" s="241"/>
      <c r="E445" s="241"/>
      <c r="F445" s="241"/>
      <c r="G445" s="241"/>
      <c r="H445" s="241"/>
      <c r="I445" s="241"/>
      <c r="J445" s="241"/>
      <c r="K445" s="241"/>
      <c r="L445" s="241"/>
      <c r="M445" s="242"/>
      <c r="N445" s="241"/>
      <c r="O445" s="241"/>
      <c r="P445" s="241"/>
      <c r="Q445" s="241"/>
      <c r="R445" s="241"/>
      <c r="S445" s="241"/>
      <c r="T445" s="241"/>
      <c r="U445" s="241"/>
      <c r="V445" s="241"/>
      <c r="W445" s="241"/>
      <c r="X445" s="241"/>
      <c r="Y445" s="241"/>
      <c r="Z445" s="242"/>
      <c r="AA445" s="242"/>
      <c r="AB445" s="243"/>
      <c r="AC445" s="243"/>
      <c r="AD445" s="244"/>
      <c r="AE445" s="244"/>
      <c r="AF445" s="244"/>
      <c r="AG445" s="244"/>
    </row>
    <row r="446" spans="2:33" s="245" customFormat="1" hidden="1">
      <c r="B446" s="239"/>
      <c r="C446" s="240"/>
      <c r="D446" s="241"/>
      <c r="E446" s="241"/>
      <c r="F446" s="241"/>
      <c r="G446" s="241"/>
      <c r="H446" s="241"/>
      <c r="I446" s="241"/>
      <c r="J446" s="241"/>
      <c r="K446" s="241"/>
      <c r="L446" s="241"/>
      <c r="M446" s="242"/>
      <c r="N446" s="241"/>
      <c r="O446" s="241"/>
      <c r="P446" s="241"/>
      <c r="Q446" s="241"/>
      <c r="R446" s="241"/>
      <c r="S446" s="241"/>
      <c r="T446" s="241"/>
      <c r="U446" s="241"/>
      <c r="V446" s="241"/>
      <c r="W446" s="241"/>
      <c r="X446" s="241"/>
      <c r="Y446" s="241"/>
      <c r="Z446" s="242"/>
      <c r="AA446" s="242"/>
      <c r="AB446" s="243"/>
      <c r="AC446" s="243"/>
      <c r="AD446" s="244"/>
      <c r="AE446" s="244"/>
      <c r="AF446" s="244"/>
      <c r="AG446" s="244"/>
    </row>
    <row r="447" spans="2:33" s="245" customFormat="1" hidden="1">
      <c r="B447" s="239"/>
      <c r="C447" s="240"/>
      <c r="D447" s="241"/>
      <c r="E447" s="241"/>
      <c r="F447" s="241"/>
      <c r="G447" s="241"/>
      <c r="H447" s="241"/>
      <c r="I447" s="241"/>
      <c r="J447" s="241"/>
      <c r="K447" s="241"/>
      <c r="L447" s="241"/>
      <c r="M447" s="242"/>
      <c r="N447" s="241"/>
      <c r="O447" s="241"/>
      <c r="P447" s="241"/>
      <c r="Q447" s="241"/>
      <c r="R447" s="241"/>
      <c r="S447" s="241"/>
      <c r="T447" s="241"/>
      <c r="U447" s="241"/>
      <c r="V447" s="241"/>
      <c r="W447" s="241"/>
      <c r="X447" s="241"/>
      <c r="Y447" s="241"/>
      <c r="Z447" s="242"/>
      <c r="AA447" s="242"/>
      <c r="AB447" s="243"/>
      <c r="AC447" s="243"/>
      <c r="AD447" s="244"/>
      <c r="AE447" s="244"/>
      <c r="AF447" s="244"/>
      <c r="AG447" s="244"/>
    </row>
    <row r="448" spans="2:33" s="245" customFormat="1" hidden="1">
      <c r="B448" s="239"/>
      <c r="C448" s="240"/>
      <c r="D448" s="241"/>
      <c r="E448" s="241"/>
      <c r="F448" s="241"/>
      <c r="G448" s="241"/>
      <c r="H448" s="241"/>
      <c r="I448" s="241"/>
      <c r="J448" s="241"/>
      <c r="K448" s="241"/>
      <c r="L448" s="241"/>
      <c r="M448" s="242"/>
      <c r="N448" s="241"/>
      <c r="O448" s="241"/>
      <c r="P448" s="241"/>
      <c r="Q448" s="241"/>
      <c r="R448" s="241"/>
      <c r="S448" s="241"/>
      <c r="T448" s="241"/>
      <c r="U448" s="241"/>
      <c r="V448" s="241"/>
      <c r="W448" s="241"/>
      <c r="X448" s="241"/>
      <c r="Y448" s="241"/>
      <c r="Z448" s="242"/>
      <c r="AA448" s="242"/>
      <c r="AB448" s="243"/>
      <c r="AC448" s="243"/>
      <c r="AD448" s="244"/>
      <c r="AE448" s="244"/>
      <c r="AF448" s="244"/>
      <c r="AG448" s="244"/>
    </row>
    <row r="449" spans="2:33" s="245" customFormat="1" hidden="1">
      <c r="B449" s="239"/>
      <c r="C449" s="240"/>
      <c r="D449" s="241"/>
      <c r="E449" s="241"/>
      <c r="F449" s="241"/>
      <c r="G449" s="241"/>
      <c r="H449" s="241"/>
      <c r="I449" s="241"/>
      <c r="J449" s="241"/>
      <c r="K449" s="241"/>
      <c r="L449" s="241"/>
      <c r="M449" s="242"/>
      <c r="N449" s="241"/>
      <c r="O449" s="241"/>
      <c r="P449" s="241"/>
      <c r="Q449" s="241"/>
      <c r="R449" s="241"/>
      <c r="S449" s="241"/>
      <c r="T449" s="241"/>
      <c r="U449" s="241"/>
      <c r="V449" s="241"/>
      <c r="W449" s="241"/>
      <c r="X449" s="241"/>
      <c r="Y449" s="241"/>
      <c r="Z449" s="242"/>
      <c r="AA449" s="242"/>
      <c r="AB449" s="243"/>
      <c r="AC449" s="243"/>
      <c r="AD449" s="244"/>
      <c r="AE449" s="244"/>
      <c r="AF449" s="244"/>
      <c r="AG449" s="244"/>
    </row>
    <row r="450" spans="2:33" s="245" customFormat="1" hidden="1">
      <c r="B450" s="239"/>
      <c r="C450" s="240"/>
      <c r="D450" s="241"/>
      <c r="E450" s="241"/>
      <c r="F450" s="241"/>
      <c r="G450" s="241"/>
      <c r="H450" s="241"/>
      <c r="I450" s="241"/>
      <c r="J450" s="241"/>
      <c r="K450" s="241"/>
      <c r="L450" s="241"/>
      <c r="M450" s="242"/>
      <c r="N450" s="241"/>
      <c r="O450" s="241"/>
      <c r="P450" s="241"/>
      <c r="Q450" s="241"/>
      <c r="R450" s="241"/>
      <c r="S450" s="241"/>
      <c r="T450" s="241"/>
      <c r="U450" s="241"/>
      <c r="V450" s="241"/>
      <c r="W450" s="241"/>
      <c r="X450" s="241"/>
      <c r="Y450" s="241"/>
      <c r="Z450" s="242"/>
      <c r="AA450" s="242"/>
      <c r="AB450" s="243"/>
      <c r="AC450" s="243"/>
      <c r="AD450" s="244"/>
      <c r="AE450" s="244"/>
      <c r="AF450" s="244"/>
      <c r="AG450" s="244"/>
    </row>
    <row r="451" spans="2:33" s="245" customFormat="1" hidden="1">
      <c r="B451" s="239"/>
      <c r="C451" s="240"/>
      <c r="D451" s="241"/>
      <c r="E451" s="241"/>
      <c r="F451" s="241"/>
      <c r="G451" s="241"/>
      <c r="H451" s="241"/>
      <c r="I451" s="241"/>
      <c r="J451" s="241"/>
      <c r="K451" s="241"/>
      <c r="L451" s="241"/>
      <c r="M451" s="242"/>
      <c r="N451" s="241"/>
      <c r="O451" s="241"/>
      <c r="P451" s="241"/>
      <c r="Q451" s="241"/>
      <c r="R451" s="241"/>
      <c r="S451" s="241"/>
      <c r="T451" s="241"/>
      <c r="U451" s="241"/>
      <c r="V451" s="241"/>
      <c r="W451" s="241"/>
      <c r="X451" s="241"/>
      <c r="Y451" s="241"/>
      <c r="Z451" s="242"/>
      <c r="AA451" s="242"/>
      <c r="AB451" s="243"/>
      <c r="AC451" s="243"/>
      <c r="AD451" s="244"/>
      <c r="AE451" s="244"/>
      <c r="AF451" s="244"/>
      <c r="AG451" s="244"/>
    </row>
    <row r="452" spans="2:33" s="245" customFormat="1" hidden="1">
      <c r="B452" s="239"/>
      <c r="C452" s="240"/>
      <c r="D452" s="241"/>
      <c r="E452" s="241"/>
      <c r="F452" s="241"/>
      <c r="G452" s="241"/>
      <c r="H452" s="241"/>
      <c r="I452" s="241"/>
      <c r="J452" s="241"/>
      <c r="K452" s="241"/>
      <c r="L452" s="241"/>
      <c r="M452" s="242"/>
      <c r="N452" s="241"/>
      <c r="O452" s="241"/>
      <c r="P452" s="241"/>
      <c r="Q452" s="241"/>
      <c r="R452" s="241"/>
      <c r="S452" s="241"/>
      <c r="T452" s="241"/>
      <c r="U452" s="241"/>
      <c r="V452" s="241"/>
      <c r="W452" s="241"/>
      <c r="X452" s="241"/>
      <c r="Y452" s="241"/>
      <c r="Z452" s="242"/>
      <c r="AA452" s="242"/>
      <c r="AB452" s="243"/>
      <c r="AC452" s="243"/>
      <c r="AD452" s="244"/>
      <c r="AE452" s="244"/>
      <c r="AF452" s="244"/>
      <c r="AG452" s="244"/>
    </row>
    <row r="453" spans="2:33" s="245" customFormat="1" hidden="1">
      <c r="B453" s="239"/>
      <c r="C453" s="240"/>
      <c r="D453" s="241"/>
      <c r="E453" s="241"/>
      <c r="F453" s="241"/>
      <c r="G453" s="241"/>
      <c r="H453" s="241"/>
      <c r="I453" s="241"/>
      <c r="J453" s="241"/>
      <c r="K453" s="241"/>
      <c r="L453" s="241"/>
      <c r="M453" s="242"/>
      <c r="N453" s="241"/>
      <c r="O453" s="241"/>
      <c r="P453" s="241"/>
      <c r="Q453" s="241"/>
      <c r="R453" s="241"/>
      <c r="S453" s="241"/>
      <c r="T453" s="241"/>
      <c r="U453" s="241"/>
      <c r="V453" s="241"/>
      <c r="W453" s="241"/>
      <c r="X453" s="241"/>
      <c r="Y453" s="241"/>
      <c r="Z453" s="242"/>
      <c r="AA453" s="242"/>
      <c r="AB453" s="243"/>
      <c r="AC453" s="243"/>
      <c r="AD453" s="244"/>
      <c r="AE453" s="244"/>
      <c r="AF453" s="244"/>
      <c r="AG453" s="244"/>
    </row>
    <row r="454" spans="2:33" s="245" customFormat="1" hidden="1">
      <c r="B454" s="239"/>
      <c r="C454" s="240"/>
      <c r="D454" s="241"/>
      <c r="E454" s="241"/>
      <c r="F454" s="241"/>
      <c r="G454" s="241"/>
      <c r="H454" s="241"/>
      <c r="I454" s="241"/>
      <c r="J454" s="241"/>
      <c r="K454" s="241"/>
      <c r="L454" s="241"/>
      <c r="M454" s="242"/>
      <c r="N454" s="241"/>
      <c r="O454" s="241"/>
      <c r="P454" s="241"/>
      <c r="Q454" s="241"/>
      <c r="R454" s="241"/>
      <c r="S454" s="241"/>
      <c r="T454" s="241"/>
      <c r="U454" s="241"/>
      <c r="V454" s="241"/>
      <c r="W454" s="241"/>
      <c r="X454" s="241"/>
      <c r="Y454" s="241"/>
      <c r="Z454" s="242"/>
      <c r="AA454" s="242"/>
      <c r="AB454" s="243"/>
      <c r="AC454" s="243"/>
      <c r="AD454" s="244"/>
      <c r="AE454" s="244"/>
      <c r="AF454" s="244"/>
      <c r="AG454" s="244"/>
    </row>
    <row r="455" spans="2:33" s="245" customFormat="1" hidden="1">
      <c r="B455" s="239"/>
      <c r="C455" s="240"/>
      <c r="D455" s="241"/>
      <c r="E455" s="241"/>
      <c r="F455" s="241"/>
      <c r="G455" s="241"/>
      <c r="H455" s="241"/>
      <c r="I455" s="241"/>
      <c r="J455" s="241"/>
      <c r="K455" s="241"/>
      <c r="L455" s="241"/>
      <c r="M455" s="242"/>
      <c r="N455" s="241"/>
      <c r="O455" s="241"/>
      <c r="P455" s="241"/>
      <c r="Q455" s="241"/>
      <c r="R455" s="241"/>
      <c r="S455" s="241"/>
      <c r="T455" s="241"/>
      <c r="U455" s="241"/>
      <c r="V455" s="241"/>
      <c r="W455" s="241"/>
      <c r="X455" s="241"/>
      <c r="Y455" s="241"/>
      <c r="Z455" s="242"/>
      <c r="AA455" s="242"/>
      <c r="AB455" s="243"/>
      <c r="AC455" s="243"/>
      <c r="AD455" s="244"/>
      <c r="AE455" s="244"/>
      <c r="AF455" s="244"/>
      <c r="AG455" s="244"/>
    </row>
    <row r="456" spans="2:33" s="245" customFormat="1" hidden="1">
      <c r="B456" s="239"/>
      <c r="C456" s="240"/>
      <c r="D456" s="241"/>
      <c r="E456" s="241"/>
      <c r="F456" s="241"/>
      <c r="G456" s="241"/>
      <c r="H456" s="241"/>
      <c r="I456" s="241"/>
      <c r="J456" s="241"/>
      <c r="K456" s="241"/>
      <c r="L456" s="241"/>
      <c r="M456" s="242"/>
      <c r="N456" s="241"/>
      <c r="O456" s="241"/>
      <c r="P456" s="241"/>
      <c r="Q456" s="241"/>
      <c r="R456" s="241"/>
      <c r="S456" s="241"/>
      <c r="T456" s="241"/>
      <c r="U456" s="241"/>
      <c r="V456" s="241"/>
      <c r="W456" s="241"/>
      <c r="X456" s="241"/>
      <c r="Y456" s="241"/>
      <c r="Z456" s="242"/>
      <c r="AA456" s="242"/>
      <c r="AB456" s="243"/>
      <c r="AC456" s="243"/>
      <c r="AD456" s="244"/>
      <c r="AE456" s="244"/>
      <c r="AF456" s="244"/>
      <c r="AG456" s="244"/>
    </row>
    <row r="457" spans="2:33" s="245" customFormat="1" hidden="1">
      <c r="B457" s="239"/>
      <c r="C457" s="240"/>
      <c r="D457" s="241"/>
      <c r="E457" s="241"/>
      <c r="F457" s="241"/>
      <c r="G457" s="241"/>
      <c r="H457" s="241"/>
      <c r="I457" s="241"/>
      <c r="J457" s="241"/>
      <c r="K457" s="241"/>
      <c r="L457" s="241"/>
      <c r="M457" s="242"/>
      <c r="N457" s="241"/>
      <c r="O457" s="241"/>
      <c r="P457" s="241"/>
      <c r="Q457" s="241"/>
      <c r="R457" s="241"/>
      <c r="S457" s="241"/>
      <c r="T457" s="241"/>
      <c r="U457" s="241"/>
      <c r="V457" s="241"/>
      <c r="W457" s="241"/>
      <c r="X457" s="241"/>
      <c r="Y457" s="241"/>
      <c r="Z457" s="242"/>
      <c r="AA457" s="242"/>
      <c r="AB457" s="243"/>
      <c r="AC457" s="243"/>
      <c r="AD457" s="244"/>
      <c r="AE457" s="244"/>
      <c r="AF457" s="244"/>
      <c r="AG457" s="244"/>
    </row>
    <row r="458" spans="2:33" s="245" customFormat="1" hidden="1">
      <c r="B458" s="239"/>
      <c r="C458" s="240"/>
      <c r="D458" s="241"/>
      <c r="E458" s="241"/>
      <c r="F458" s="241"/>
      <c r="G458" s="241"/>
      <c r="H458" s="241"/>
      <c r="I458" s="241"/>
      <c r="J458" s="241"/>
      <c r="K458" s="241"/>
      <c r="L458" s="241"/>
      <c r="M458" s="242"/>
      <c r="N458" s="241"/>
      <c r="O458" s="241"/>
      <c r="P458" s="241"/>
      <c r="Q458" s="241"/>
      <c r="R458" s="241"/>
      <c r="S458" s="241"/>
      <c r="T458" s="241"/>
      <c r="U458" s="241"/>
      <c r="V458" s="241"/>
      <c r="W458" s="241"/>
      <c r="X458" s="241"/>
      <c r="Y458" s="241"/>
      <c r="Z458" s="242"/>
      <c r="AA458" s="242"/>
      <c r="AB458" s="243"/>
      <c r="AC458" s="243"/>
      <c r="AD458" s="244"/>
      <c r="AE458" s="244"/>
      <c r="AF458" s="244"/>
      <c r="AG458" s="244"/>
    </row>
    <row r="459" spans="2:33" s="245" customFormat="1" hidden="1">
      <c r="B459" s="239"/>
      <c r="C459" s="240"/>
      <c r="D459" s="241"/>
      <c r="E459" s="241"/>
      <c r="F459" s="241"/>
      <c r="G459" s="241"/>
      <c r="H459" s="241"/>
      <c r="I459" s="241"/>
      <c r="J459" s="241"/>
      <c r="K459" s="241"/>
      <c r="L459" s="241"/>
      <c r="M459" s="242"/>
      <c r="N459" s="241"/>
      <c r="O459" s="241"/>
      <c r="P459" s="241"/>
      <c r="Q459" s="241"/>
      <c r="R459" s="241"/>
      <c r="S459" s="241"/>
      <c r="T459" s="241"/>
      <c r="U459" s="241"/>
      <c r="V459" s="241"/>
      <c r="W459" s="241"/>
      <c r="X459" s="241"/>
      <c r="Y459" s="241"/>
      <c r="Z459" s="242"/>
      <c r="AA459" s="242"/>
      <c r="AB459" s="243"/>
      <c r="AC459" s="243"/>
      <c r="AD459" s="244"/>
      <c r="AE459" s="244"/>
      <c r="AF459" s="244"/>
      <c r="AG459" s="244"/>
    </row>
    <row r="460" spans="2:33" s="245" customFormat="1" hidden="1">
      <c r="B460" s="239"/>
      <c r="C460" s="240"/>
      <c r="D460" s="241"/>
      <c r="E460" s="241"/>
      <c r="F460" s="241"/>
      <c r="G460" s="241"/>
      <c r="H460" s="241"/>
      <c r="I460" s="241"/>
      <c r="J460" s="241"/>
      <c r="K460" s="241"/>
      <c r="L460" s="241"/>
      <c r="M460" s="242"/>
      <c r="N460" s="241"/>
      <c r="O460" s="241"/>
      <c r="P460" s="241"/>
      <c r="Q460" s="241"/>
      <c r="R460" s="241"/>
      <c r="S460" s="241"/>
      <c r="T460" s="241"/>
      <c r="U460" s="241"/>
      <c r="V460" s="241"/>
      <c r="W460" s="241"/>
      <c r="X460" s="241"/>
      <c r="Y460" s="241"/>
      <c r="Z460" s="242"/>
      <c r="AA460" s="242"/>
      <c r="AB460" s="243"/>
      <c r="AC460" s="243"/>
      <c r="AD460" s="244"/>
      <c r="AE460" s="244"/>
      <c r="AF460" s="244"/>
      <c r="AG460" s="244"/>
    </row>
    <row r="461" spans="2:33" s="245" customFormat="1" hidden="1">
      <c r="B461" s="239"/>
      <c r="C461" s="240"/>
      <c r="D461" s="241"/>
      <c r="E461" s="241"/>
      <c r="F461" s="241"/>
      <c r="G461" s="241"/>
      <c r="H461" s="241"/>
      <c r="I461" s="241"/>
      <c r="J461" s="241"/>
      <c r="K461" s="241"/>
      <c r="L461" s="241"/>
      <c r="M461" s="242"/>
      <c r="N461" s="241"/>
      <c r="O461" s="241"/>
      <c r="P461" s="241"/>
      <c r="Q461" s="241"/>
      <c r="R461" s="241"/>
      <c r="S461" s="241"/>
      <c r="T461" s="241"/>
      <c r="U461" s="241"/>
      <c r="V461" s="241"/>
      <c r="W461" s="241"/>
      <c r="X461" s="241"/>
      <c r="Y461" s="241"/>
      <c r="Z461" s="242"/>
      <c r="AA461" s="242"/>
      <c r="AB461" s="243"/>
      <c r="AC461" s="243"/>
      <c r="AD461" s="244"/>
      <c r="AE461" s="244"/>
      <c r="AF461" s="244"/>
      <c r="AG461" s="244"/>
    </row>
    <row r="462" spans="2:33" s="245" customFormat="1" hidden="1">
      <c r="B462" s="239"/>
      <c r="C462" s="240"/>
      <c r="D462" s="241"/>
      <c r="E462" s="241"/>
      <c r="F462" s="241"/>
      <c r="G462" s="241"/>
      <c r="H462" s="241"/>
      <c r="I462" s="241"/>
      <c r="J462" s="241"/>
      <c r="K462" s="241"/>
      <c r="L462" s="241"/>
      <c r="M462" s="242"/>
      <c r="N462" s="241"/>
      <c r="O462" s="241"/>
      <c r="P462" s="241"/>
      <c r="Q462" s="241"/>
      <c r="R462" s="241"/>
      <c r="S462" s="241"/>
      <c r="T462" s="241"/>
      <c r="U462" s="241"/>
      <c r="V462" s="241"/>
      <c r="W462" s="241"/>
      <c r="X462" s="241"/>
      <c r="Y462" s="241"/>
      <c r="Z462" s="242"/>
      <c r="AA462" s="242"/>
      <c r="AB462" s="243"/>
      <c r="AC462" s="243"/>
      <c r="AD462" s="244"/>
      <c r="AE462" s="244"/>
      <c r="AF462" s="244"/>
      <c r="AG462" s="244"/>
    </row>
    <row r="463" spans="2:33" s="245" customFormat="1" hidden="1">
      <c r="B463" s="239"/>
      <c r="C463" s="240"/>
      <c r="D463" s="241"/>
      <c r="E463" s="241"/>
      <c r="F463" s="241"/>
      <c r="G463" s="241"/>
      <c r="H463" s="241"/>
      <c r="I463" s="241"/>
      <c r="J463" s="241"/>
      <c r="K463" s="241"/>
      <c r="L463" s="241"/>
      <c r="M463" s="242"/>
      <c r="N463" s="241"/>
      <c r="O463" s="241"/>
      <c r="P463" s="241"/>
      <c r="Q463" s="241"/>
      <c r="R463" s="241"/>
      <c r="S463" s="241"/>
      <c r="T463" s="241"/>
      <c r="U463" s="241"/>
      <c r="V463" s="241"/>
      <c r="W463" s="241"/>
      <c r="X463" s="241"/>
      <c r="Y463" s="241"/>
      <c r="Z463" s="242"/>
      <c r="AA463" s="242"/>
      <c r="AB463" s="243"/>
      <c r="AC463" s="243"/>
      <c r="AD463" s="244"/>
      <c r="AE463" s="244"/>
      <c r="AF463" s="244"/>
      <c r="AG463" s="244"/>
    </row>
    <row r="464" spans="2:33" s="245" customFormat="1" hidden="1">
      <c r="B464" s="239"/>
      <c r="C464" s="240"/>
      <c r="D464" s="241"/>
      <c r="E464" s="241"/>
      <c r="F464" s="241"/>
      <c r="G464" s="241"/>
      <c r="H464" s="241"/>
      <c r="I464" s="241"/>
      <c r="J464" s="241"/>
      <c r="K464" s="241"/>
      <c r="L464" s="241"/>
      <c r="M464" s="242"/>
      <c r="N464" s="241"/>
      <c r="O464" s="241"/>
      <c r="P464" s="241"/>
      <c r="Q464" s="241"/>
      <c r="R464" s="241"/>
      <c r="S464" s="241"/>
      <c r="T464" s="241"/>
      <c r="U464" s="241"/>
      <c r="V464" s="241"/>
      <c r="W464" s="241"/>
      <c r="X464" s="241"/>
      <c r="Y464" s="241"/>
      <c r="Z464" s="242"/>
      <c r="AA464" s="242"/>
      <c r="AB464" s="243"/>
      <c r="AC464" s="243"/>
      <c r="AD464" s="244"/>
      <c r="AE464" s="244"/>
      <c r="AF464" s="244"/>
      <c r="AG464" s="244"/>
    </row>
    <row r="465" spans="2:33" s="245" customFormat="1" hidden="1">
      <c r="B465" s="239"/>
      <c r="C465" s="240"/>
      <c r="D465" s="241"/>
      <c r="E465" s="241"/>
      <c r="F465" s="241"/>
      <c r="G465" s="241"/>
      <c r="H465" s="241"/>
      <c r="I465" s="241"/>
      <c r="J465" s="241"/>
      <c r="K465" s="241"/>
      <c r="L465" s="241"/>
      <c r="M465" s="242"/>
      <c r="N465" s="241"/>
      <c r="O465" s="241"/>
      <c r="P465" s="241"/>
      <c r="Q465" s="241"/>
      <c r="R465" s="241"/>
      <c r="S465" s="241"/>
      <c r="T465" s="241"/>
      <c r="U465" s="241"/>
      <c r="V465" s="241"/>
      <c r="W465" s="241"/>
      <c r="X465" s="241"/>
      <c r="Y465" s="241"/>
      <c r="Z465" s="242"/>
      <c r="AA465" s="242"/>
      <c r="AB465" s="243"/>
      <c r="AC465" s="243"/>
      <c r="AD465" s="244"/>
      <c r="AE465" s="244"/>
      <c r="AF465" s="244"/>
      <c r="AG465" s="244"/>
    </row>
    <row r="466" spans="2:33" s="245" customFormat="1" hidden="1">
      <c r="B466" s="239"/>
      <c r="C466" s="240"/>
      <c r="D466" s="241"/>
      <c r="E466" s="241"/>
      <c r="F466" s="241"/>
      <c r="G466" s="241"/>
      <c r="H466" s="241"/>
      <c r="I466" s="241"/>
      <c r="J466" s="241"/>
      <c r="K466" s="241"/>
      <c r="L466" s="241"/>
      <c r="M466" s="242"/>
      <c r="N466" s="241"/>
      <c r="O466" s="241"/>
      <c r="P466" s="241"/>
      <c r="Q466" s="241"/>
      <c r="R466" s="241"/>
      <c r="S466" s="241"/>
      <c r="T466" s="241"/>
      <c r="U466" s="241"/>
      <c r="V466" s="241"/>
      <c r="W466" s="241"/>
      <c r="X466" s="241"/>
      <c r="Y466" s="241"/>
      <c r="Z466" s="242"/>
      <c r="AA466" s="242"/>
      <c r="AB466" s="243"/>
      <c r="AC466" s="243"/>
      <c r="AD466" s="244"/>
      <c r="AE466" s="244"/>
      <c r="AF466" s="244"/>
      <c r="AG466" s="244"/>
    </row>
    <row r="467" spans="2:33" s="245" customFormat="1" hidden="1">
      <c r="B467" s="239"/>
      <c r="C467" s="240"/>
      <c r="D467" s="241"/>
      <c r="E467" s="241"/>
      <c r="F467" s="241"/>
      <c r="G467" s="241"/>
      <c r="H467" s="241"/>
      <c r="I467" s="241"/>
      <c r="J467" s="241"/>
      <c r="K467" s="241"/>
      <c r="L467" s="241"/>
      <c r="M467" s="242"/>
      <c r="N467" s="241"/>
      <c r="O467" s="241"/>
      <c r="P467" s="241"/>
      <c r="Q467" s="241"/>
      <c r="R467" s="241"/>
      <c r="S467" s="241"/>
      <c r="T467" s="241"/>
      <c r="U467" s="241"/>
      <c r="V467" s="241"/>
      <c r="W467" s="241"/>
      <c r="X467" s="241"/>
      <c r="Y467" s="241"/>
      <c r="Z467" s="242"/>
      <c r="AA467" s="242"/>
      <c r="AB467" s="243"/>
      <c r="AC467" s="243"/>
      <c r="AD467" s="244"/>
      <c r="AE467" s="244"/>
      <c r="AF467" s="244"/>
      <c r="AG467" s="244"/>
    </row>
    <row r="468" spans="2:33" s="245" customFormat="1" hidden="1">
      <c r="B468" s="239"/>
      <c r="C468" s="240"/>
      <c r="D468" s="241"/>
      <c r="E468" s="241"/>
      <c r="F468" s="241"/>
      <c r="G468" s="241"/>
      <c r="H468" s="241"/>
      <c r="I468" s="241"/>
      <c r="J468" s="241"/>
      <c r="K468" s="241"/>
      <c r="L468" s="241"/>
      <c r="M468" s="242"/>
      <c r="N468" s="241"/>
      <c r="O468" s="241"/>
      <c r="P468" s="241"/>
      <c r="Q468" s="241"/>
      <c r="R468" s="241"/>
      <c r="S468" s="241"/>
      <c r="T468" s="241"/>
      <c r="U468" s="241"/>
      <c r="V468" s="241"/>
      <c r="W468" s="241"/>
      <c r="X468" s="241"/>
      <c r="Y468" s="241"/>
      <c r="Z468" s="242"/>
      <c r="AA468" s="242"/>
      <c r="AB468" s="243"/>
      <c r="AC468" s="243"/>
      <c r="AD468" s="244"/>
      <c r="AE468" s="244"/>
      <c r="AF468" s="244"/>
      <c r="AG468" s="244"/>
    </row>
    <row r="469" spans="2:33" s="245" customFormat="1" hidden="1">
      <c r="B469" s="239"/>
      <c r="C469" s="240"/>
      <c r="D469" s="241"/>
      <c r="E469" s="241"/>
      <c r="F469" s="241"/>
      <c r="G469" s="241"/>
      <c r="H469" s="241"/>
      <c r="I469" s="241"/>
      <c r="J469" s="241"/>
      <c r="K469" s="241"/>
      <c r="L469" s="241"/>
      <c r="M469" s="242"/>
      <c r="N469" s="241"/>
      <c r="O469" s="241"/>
      <c r="P469" s="241"/>
      <c r="Q469" s="241"/>
      <c r="R469" s="241"/>
      <c r="S469" s="241"/>
      <c r="T469" s="241"/>
      <c r="U469" s="241"/>
      <c r="V469" s="241"/>
      <c r="W469" s="241"/>
      <c r="X469" s="241"/>
      <c r="Y469" s="241"/>
      <c r="Z469" s="242"/>
      <c r="AA469" s="242"/>
      <c r="AB469" s="243"/>
      <c r="AC469" s="243"/>
      <c r="AD469" s="244"/>
      <c r="AE469" s="244"/>
      <c r="AF469" s="244"/>
      <c r="AG469" s="244"/>
    </row>
    <row r="470" spans="2:33" s="245" customFormat="1" hidden="1">
      <c r="B470" s="239"/>
      <c r="C470" s="240"/>
      <c r="D470" s="241"/>
      <c r="E470" s="241"/>
      <c r="F470" s="241"/>
      <c r="G470" s="241"/>
      <c r="H470" s="241"/>
      <c r="I470" s="241"/>
      <c r="J470" s="241"/>
      <c r="K470" s="241"/>
      <c r="L470" s="241"/>
      <c r="M470" s="242"/>
      <c r="N470" s="241"/>
      <c r="O470" s="241"/>
      <c r="P470" s="241"/>
      <c r="Q470" s="241"/>
      <c r="R470" s="241"/>
      <c r="S470" s="241"/>
      <c r="T470" s="241"/>
      <c r="U470" s="241"/>
      <c r="V470" s="241"/>
      <c r="W470" s="241"/>
      <c r="X470" s="241"/>
      <c r="Y470" s="241"/>
      <c r="Z470" s="242"/>
      <c r="AA470" s="242"/>
      <c r="AB470" s="243"/>
      <c r="AC470" s="243"/>
      <c r="AD470" s="244"/>
      <c r="AE470" s="244"/>
      <c r="AF470" s="244"/>
      <c r="AG470" s="244"/>
    </row>
    <row r="471" spans="2:33" s="245" customFormat="1" hidden="1">
      <c r="B471" s="239"/>
      <c r="C471" s="240"/>
      <c r="D471" s="241"/>
      <c r="E471" s="241"/>
      <c r="F471" s="241"/>
      <c r="G471" s="241"/>
      <c r="H471" s="241"/>
      <c r="I471" s="241"/>
      <c r="J471" s="241"/>
      <c r="K471" s="241"/>
      <c r="L471" s="241"/>
      <c r="M471" s="242"/>
      <c r="N471" s="241"/>
      <c r="O471" s="241"/>
      <c r="P471" s="241"/>
      <c r="Q471" s="241"/>
      <c r="R471" s="241"/>
      <c r="S471" s="241"/>
      <c r="T471" s="241"/>
      <c r="U471" s="241"/>
      <c r="V471" s="241"/>
      <c r="W471" s="241"/>
      <c r="X471" s="241"/>
      <c r="Y471" s="241"/>
      <c r="Z471" s="242"/>
      <c r="AA471" s="242"/>
      <c r="AB471" s="243"/>
      <c r="AC471" s="243"/>
      <c r="AD471" s="244"/>
      <c r="AE471" s="244"/>
      <c r="AF471" s="244"/>
      <c r="AG471" s="244"/>
    </row>
    <row r="472" spans="2:33" s="245" customFormat="1" hidden="1">
      <c r="B472" s="239"/>
      <c r="C472" s="240"/>
      <c r="D472" s="241"/>
      <c r="E472" s="241"/>
      <c r="F472" s="241"/>
      <c r="G472" s="241"/>
      <c r="H472" s="241"/>
      <c r="I472" s="241"/>
      <c r="J472" s="241"/>
      <c r="K472" s="241"/>
      <c r="L472" s="241"/>
      <c r="M472" s="242"/>
      <c r="N472" s="241"/>
      <c r="O472" s="241"/>
      <c r="P472" s="241"/>
      <c r="Q472" s="241"/>
      <c r="R472" s="241"/>
      <c r="S472" s="241"/>
      <c r="T472" s="241"/>
      <c r="U472" s="241"/>
      <c r="V472" s="241"/>
      <c r="W472" s="241"/>
      <c r="X472" s="241"/>
      <c r="Y472" s="241"/>
      <c r="Z472" s="242"/>
      <c r="AA472" s="242"/>
      <c r="AB472" s="243"/>
      <c r="AC472" s="243"/>
      <c r="AD472" s="244"/>
      <c r="AE472" s="244"/>
      <c r="AF472" s="244"/>
      <c r="AG472" s="244"/>
    </row>
    <row r="473" spans="2:33" s="245" customFormat="1" hidden="1">
      <c r="B473" s="239"/>
      <c r="C473" s="240"/>
      <c r="D473" s="241"/>
      <c r="E473" s="241"/>
      <c r="F473" s="241"/>
      <c r="G473" s="241"/>
      <c r="H473" s="241"/>
      <c r="I473" s="241"/>
      <c r="J473" s="241"/>
      <c r="K473" s="241"/>
      <c r="L473" s="241"/>
      <c r="M473" s="242"/>
      <c r="N473" s="241"/>
      <c r="O473" s="241"/>
      <c r="P473" s="241"/>
      <c r="Q473" s="241"/>
      <c r="R473" s="241"/>
      <c r="S473" s="241"/>
      <c r="T473" s="241"/>
      <c r="U473" s="241"/>
      <c r="V473" s="241"/>
      <c r="W473" s="241"/>
      <c r="X473" s="241"/>
      <c r="Y473" s="241"/>
      <c r="Z473" s="242"/>
      <c r="AA473" s="242"/>
      <c r="AB473" s="243"/>
      <c r="AC473" s="243"/>
      <c r="AD473" s="244"/>
      <c r="AE473" s="244"/>
      <c r="AF473" s="244"/>
      <c r="AG473" s="244"/>
    </row>
    <row r="474" spans="2:33" s="245" customFormat="1" hidden="1">
      <c r="B474" s="239"/>
      <c r="C474" s="240"/>
      <c r="D474" s="241"/>
      <c r="E474" s="241"/>
      <c r="F474" s="241"/>
      <c r="G474" s="241"/>
      <c r="H474" s="241"/>
      <c r="I474" s="241"/>
      <c r="J474" s="241"/>
      <c r="K474" s="241"/>
      <c r="L474" s="241"/>
      <c r="M474" s="242"/>
      <c r="N474" s="241"/>
      <c r="O474" s="241"/>
      <c r="P474" s="241"/>
      <c r="Q474" s="241"/>
      <c r="R474" s="241"/>
      <c r="S474" s="241"/>
      <c r="T474" s="241"/>
      <c r="U474" s="241"/>
      <c r="V474" s="241"/>
      <c r="W474" s="241"/>
      <c r="X474" s="241"/>
      <c r="Y474" s="241"/>
      <c r="Z474" s="242"/>
      <c r="AA474" s="242"/>
      <c r="AB474" s="243"/>
      <c r="AC474" s="243"/>
      <c r="AD474" s="244"/>
      <c r="AE474" s="244"/>
      <c r="AF474" s="244"/>
      <c r="AG474" s="244"/>
    </row>
    <row r="475" spans="2:33" s="245" customFormat="1" hidden="1">
      <c r="B475" s="239"/>
      <c r="C475" s="240"/>
      <c r="D475" s="241"/>
      <c r="E475" s="241"/>
      <c r="F475" s="241"/>
      <c r="G475" s="241"/>
      <c r="H475" s="241"/>
      <c r="I475" s="241"/>
      <c r="J475" s="241"/>
      <c r="K475" s="241"/>
      <c r="L475" s="241"/>
      <c r="M475" s="242"/>
      <c r="N475" s="241"/>
      <c r="O475" s="241"/>
      <c r="P475" s="241"/>
      <c r="Q475" s="241"/>
      <c r="R475" s="241"/>
      <c r="S475" s="241"/>
      <c r="T475" s="241"/>
      <c r="U475" s="241"/>
      <c r="V475" s="241"/>
      <c r="W475" s="241"/>
      <c r="X475" s="241"/>
      <c r="Y475" s="241"/>
      <c r="Z475" s="242"/>
      <c r="AA475" s="242"/>
      <c r="AB475" s="243"/>
      <c r="AC475" s="243"/>
      <c r="AD475" s="244"/>
      <c r="AE475" s="244"/>
      <c r="AF475" s="244"/>
      <c r="AG475" s="244"/>
    </row>
    <row r="476" spans="2:33" s="245" customFormat="1" hidden="1">
      <c r="B476" s="239"/>
      <c r="C476" s="240"/>
      <c r="D476" s="241"/>
      <c r="E476" s="241"/>
      <c r="F476" s="241"/>
      <c r="G476" s="241"/>
      <c r="H476" s="241"/>
      <c r="I476" s="241"/>
      <c r="J476" s="241"/>
      <c r="K476" s="241"/>
      <c r="L476" s="241"/>
      <c r="M476" s="242"/>
      <c r="N476" s="241"/>
      <c r="O476" s="241"/>
      <c r="P476" s="241"/>
      <c r="Q476" s="241"/>
      <c r="R476" s="241"/>
      <c r="S476" s="241"/>
      <c r="T476" s="241"/>
      <c r="U476" s="241"/>
      <c r="V476" s="241"/>
      <c r="W476" s="241"/>
      <c r="X476" s="241"/>
      <c r="Y476" s="241"/>
      <c r="Z476" s="242"/>
      <c r="AA476" s="242"/>
      <c r="AB476" s="243"/>
      <c r="AC476" s="243"/>
      <c r="AD476" s="244"/>
      <c r="AE476" s="244"/>
      <c r="AF476" s="244"/>
      <c r="AG476" s="244"/>
    </row>
    <row r="477" spans="2:33" s="245" customFormat="1" hidden="1">
      <c r="B477" s="239"/>
      <c r="C477" s="240"/>
      <c r="D477" s="241"/>
      <c r="E477" s="241"/>
      <c r="F477" s="241"/>
      <c r="G477" s="241"/>
      <c r="H477" s="241"/>
      <c r="I477" s="241"/>
      <c r="J477" s="241"/>
      <c r="K477" s="241"/>
      <c r="L477" s="241"/>
      <c r="M477" s="242"/>
      <c r="N477" s="241"/>
      <c r="O477" s="241"/>
      <c r="P477" s="241"/>
      <c r="Q477" s="241"/>
      <c r="R477" s="241"/>
      <c r="S477" s="241"/>
      <c r="T477" s="241"/>
      <c r="U477" s="241"/>
      <c r="V477" s="241"/>
      <c r="W477" s="241"/>
      <c r="X477" s="241"/>
      <c r="Y477" s="241"/>
      <c r="Z477" s="242"/>
      <c r="AA477" s="242"/>
      <c r="AB477" s="243"/>
      <c r="AC477" s="243"/>
      <c r="AD477" s="244"/>
      <c r="AE477" s="244"/>
      <c r="AF477" s="244"/>
      <c r="AG477" s="244"/>
    </row>
    <row r="478" spans="2:33" s="245" customFormat="1" hidden="1">
      <c r="B478" s="239"/>
      <c r="C478" s="240"/>
      <c r="D478" s="241"/>
      <c r="E478" s="241"/>
      <c r="F478" s="241"/>
      <c r="G478" s="241"/>
      <c r="H478" s="241"/>
      <c r="I478" s="241"/>
      <c r="J478" s="241"/>
      <c r="K478" s="241"/>
      <c r="L478" s="241"/>
      <c r="M478" s="242"/>
      <c r="N478" s="241"/>
      <c r="O478" s="241"/>
      <c r="P478" s="241"/>
      <c r="Q478" s="241"/>
      <c r="R478" s="241"/>
      <c r="S478" s="241"/>
      <c r="T478" s="241"/>
      <c r="U478" s="241"/>
      <c r="V478" s="241"/>
      <c r="W478" s="241"/>
      <c r="X478" s="241"/>
      <c r="Y478" s="241"/>
      <c r="Z478" s="242"/>
      <c r="AA478" s="242"/>
      <c r="AB478" s="243"/>
      <c r="AC478" s="243"/>
      <c r="AD478" s="244"/>
      <c r="AE478" s="244"/>
      <c r="AF478" s="244"/>
      <c r="AG478" s="244"/>
    </row>
    <row r="479" spans="2:33" s="245" customFormat="1" hidden="1">
      <c r="B479" s="239"/>
      <c r="C479" s="240"/>
      <c r="D479" s="241"/>
      <c r="E479" s="241"/>
      <c r="F479" s="241"/>
      <c r="G479" s="241"/>
      <c r="H479" s="241"/>
      <c r="I479" s="241"/>
      <c r="J479" s="241"/>
      <c r="K479" s="241"/>
      <c r="L479" s="241"/>
      <c r="M479" s="242"/>
      <c r="N479" s="241"/>
      <c r="O479" s="241"/>
      <c r="P479" s="241"/>
      <c r="Q479" s="241"/>
      <c r="R479" s="241"/>
      <c r="S479" s="241"/>
      <c r="T479" s="241"/>
      <c r="U479" s="241"/>
      <c r="V479" s="241"/>
      <c r="W479" s="241"/>
      <c r="X479" s="241"/>
      <c r="Y479" s="241"/>
      <c r="Z479" s="242"/>
      <c r="AA479" s="242"/>
      <c r="AB479" s="243"/>
      <c r="AC479" s="243"/>
      <c r="AD479" s="244"/>
      <c r="AE479" s="244"/>
      <c r="AF479" s="244"/>
      <c r="AG479" s="244"/>
    </row>
    <row r="480" spans="2:33" s="245" customFormat="1" hidden="1">
      <c r="B480" s="239"/>
      <c r="C480" s="240"/>
      <c r="D480" s="241"/>
      <c r="E480" s="241"/>
      <c r="F480" s="241"/>
      <c r="G480" s="241"/>
      <c r="H480" s="241"/>
      <c r="I480" s="241"/>
      <c r="J480" s="241"/>
      <c r="K480" s="241"/>
      <c r="L480" s="241"/>
      <c r="M480" s="242"/>
      <c r="N480" s="241"/>
      <c r="O480" s="241"/>
      <c r="P480" s="241"/>
      <c r="Q480" s="241"/>
      <c r="R480" s="241"/>
      <c r="S480" s="241"/>
      <c r="T480" s="241"/>
      <c r="U480" s="241"/>
      <c r="V480" s="241"/>
      <c r="W480" s="241"/>
      <c r="X480" s="241"/>
      <c r="Y480" s="241"/>
      <c r="Z480" s="242"/>
      <c r="AA480" s="242"/>
      <c r="AB480" s="243"/>
      <c r="AC480" s="243"/>
      <c r="AD480" s="244"/>
      <c r="AE480" s="244"/>
      <c r="AF480" s="244"/>
      <c r="AG480" s="244"/>
    </row>
    <row r="481" spans="2:33" s="245" customFormat="1" hidden="1">
      <c r="B481" s="239"/>
      <c r="C481" s="240"/>
      <c r="D481" s="241"/>
      <c r="E481" s="241"/>
      <c r="F481" s="241"/>
      <c r="G481" s="241"/>
      <c r="H481" s="241"/>
      <c r="I481" s="241"/>
      <c r="J481" s="241"/>
      <c r="K481" s="241"/>
      <c r="L481" s="241"/>
      <c r="M481" s="242"/>
      <c r="N481" s="241"/>
      <c r="O481" s="241"/>
      <c r="P481" s="241"/>
      <c r="Q481" s="241"/>
      <c r="R481" s="241"/>
      <c r="S481" s="241"/>
      <c r="T481" s="241"/>
      <c r="U481" s="241"/>
      <c r="V481" s="241"/>
      <c r="W481" s="241"/>
      <c r="X481" s="241"/>
      <c r="Y481" s="241"/>
      <c r="Z481" s="242"/>
      <c r="AA481" s="242"/>
      <c r="AB481" s="243"/>
      <c r="AC481" s="243"/>
      <c r="AD481" s="244"/>
      <c r="AE481" s="244"/>
      <c r="AF481" s="244"/>
      <c r="AG481" s="244"/>
    </row>
    <row r="482" spans="2:33" s="245" customFormat="1" hidden="1">
      <c r="B482" s="239"/>
      <c r="C482" s="240"/>
      <c r="D482" s="241"/>
      <c r="E482" s="241"/>
      <c r="F482" s="241"/>
      <c r="G482" s="241"/>
      <c r="H482" s="241"/>
      <c r="I482" s="241"/>
      <c r="J482" s="241"/>
      <c r="K482" s="241"/>
      <c r="L482" s="241"/>
      <c r="M482" s="242"/>
      <c r="N482" s="241"/>
      <c r="O482" s="241"/>
      <c r="P482" s="241"/>
      <c r="Q482" s="241"/>
      <c r="R482" s="241"/>
      <c r="S482" s="241"/>
      <c r="T482" s="241"/>
      <c r="U482" s="241"/>
      <c r="V482" s="241"/>
      <c r="W482" s="241"/>
      <c r="X482" s="241"/>
      <c r="Y482" s="241"/>
      <c r="Z482" s="242"/>
      <c r="AA482" s="242"/>
      <c r="AB482" s="243"/>
      <c r="AC482" s="243"/>
      <c r="AD482" s="244"/>
      <c r="AE482" s="244"/>
      <c r="AF482" s="244"/>
      <c r="AG482" s="244"/>
    </row>
    <row r="483" spans="2:33" s="245" customFormat="1" hidden="1">
      <c r="B483" s="239"/>
      <c r="C483" s="240"/>
      <c r="D483" s="241"/>
      <c r="E483" s="241"/>
      <c r="F483" s="241"/>
      <c r="G483" s="241"/>
      <c r="H483" s="241"/>
      <c r="I483" s="241"/>
      <c r="J483" s="241"/>
      <c r="K483" s="241"/>
      <c r="L483" s="241"/>
      <c r="M483" s="242"/>
      <c r="N483" s="241"/>
      <c r="O483" s="241"/>
      <c r="P483" s="241"/>
      <c r="Q483" s="241"/>
      <c r="R483" s="241"/>
      <c r="S483" s="241"/>
      <c r="T483" s="241"/>
      <c r="U483" s="241"/>
      <c r="V483" s="241"/>
      <c r="W483" s="241"/>
      <c r="X483" s="241"/>
      <c r="Y483" s="241"/>
      <c r="Z483" s="242"/>
      <c r="AA483" s="242"/>
      <c r="AB483" s="243"/>
      <c r="AC483" s="243"/>
      <c r="AD483" s="244"/>
      <c r="AE483" s="244"/>
      <c r="AF483" s="244"/>
      <c r="AG483" s="244"/>
    </row>
    <row r="484" spans="2:33" s="245" customFormat="1" hidden="1">
      <c r="B484" s="239"/>
      <c r="C484" s="240"/>
      <c r="D484" s="241"/>
      <c r="E484" s="241"/>
      <c r="F484" s="241"/>
      <c r="G484" s="241"/>
      <c r="H484" s="241"/>
      <c r="I484" s="241"/>
      <c r="J484" s="241"/>
      <c r="K484" s="241"/>
      <c r="L484" s="241"/>
      <c r="M484" s="242"/>
      <c r="N484" s="241"/>
      <c r="O484" s="241"/>
      <c r="P484" s="241"/>
      <c r="Q484" s="241"/>
      <c r="R484" s="241"/>
      <c r="S484" s="241"/>
      <c r="T484" s="241"/>
      <c r="U484" s="241"/>
      <c r="V484" s="241"/>
      <c r="W484" s="241"/>
      <c r="X484" s="241"/>
      <c r="Y484" s="241"/>
      <c r="Z484" s="242"/>
      <c r="AA484" s="242"/>
      <c r="AB484" s="243"/>
      <c r="AC484" s="243"/>
      <c r="AD484" s="244"/>
      <c r="AE484" s="244"/>
      <c r="AF484" s="244"/>
      <c r="AG484" s="244"/>
    </row>
    <row r="485" spans="2:33" s="245" customFormat="1" hidden="1">
      <c r="B485" s="239"/>
      <c r="C485" s="240"/>
      <c r="D485" s="241"/>
      <c r="E485" s="241"/>
      <c r="F485" s="241"/>
      <c r="G485" s="241"/>
      <c r="H485" s="241"/>
      <c r="I485" s="241"/>
      <c r="J485" s="241"/>
      <c r="K485" s="241"/>
      <c r="L485" s="241"/>
      <c r="M485" s="242"/>
      <c r="N485" s="241"/>
      <c r="O485" s="241"/>
      <c r="P485" s="241"/>
      <c r="Q485" s="241"/>
      <c r="R485" s="241"/>
      <c r="S485" s="241"/>
      <c r="T485" s="241"/>
      <c r="U485" s="241"/>
      <c r="V485" s="241"/>
      <c r="W485" s="241"/>
      <c r="X485" s="241"/>
      <c r="Y485" s="241"/>
      <c r="Z485" s="242"/>
      <c r="AA485" s="242"/>
      <c r="AB485" s="243"/>
      <c r="AC485" s="243"/>
      <c r="AD485" s="244"/>
      <c r="AE485" s="244"/>
      <c r="AF485" s="244"/>
      <c r="AG485" s="244"/>
    </row>
    <row r="486" spans="2:33" s="245" customFormat="1" hidden="1">
      <c r="B486" s="239"/>
      <c r="C486" s="240"/>
      <c r="D486" s="241"/>
      <c r="E486" s="241"/>
      <c r="F486" s="241"/>
      <c r="G486" s="241"/>
      <c r="H486" s="241"/>
      <c r="I486" s="241"/>
      <c r="J486" s="241"/>
      <c r="K486" s="241"/>
      <c r="L486" s="241"/>
      <c r="M486" s="242"/>
      <c r="N486" s="241"/>
      <c r="O486" s="241"/>
      <c r="P486" s="241"/>
      <c r="Q486" s="241"/>
      <c r="R486" s="241"/>
      <c r="S486" s="241"/>
      <c r="T486" s="241"/>
      <c r="U486" s="241"/>
      <c r="V486" s="241"/>
      <c r="W486" s="241"/>
      <c r="X486" s="241"/>
      <c r="Y486" s="241"/>
      <c r="Z486" s="242"/>
      <c r="AA486" s="242"/>
      <c r="AB486" s="243"/>
      <c r="AC486" s="243"/>
      <c r="AD486" s="244"/>
      <c r="AE486" s="244"/>
      <c r="AF486" s="244"/>
      <c r="AG486" s="244"/>
    </row>
    <row r="487" spans="2:33" s="245" customFormat="1" hidden="1">
      <c r="B487" s="239"/>
      <c r="C487" s="240"/>
      <c r="D487" s="241"/>
      <c r="E487" s="241"/>
      <c r="F487" s="241"/>
      <c r="G487" s="241"/>
      <c r="H487" s="241"/>
      <c r="I487" s="241"/>
      <c r="J487" s="241"/>
      <c r="K487" s="241"/>
      <c r="L487" s="241"/>
      <c r="M487" s="242"/>
      <c r="N487" s="241"/>
      <c r="O487" s="241"/>
      <c r="P487" s="241"/>
      <c r="Q487" s="241"/>
      <c r="R487" s="241"/>
      <c r="S487" s="241"/>
      <c r="T487" s="241"/>
      <c r="U487" s="241"/>
      <c r="V487" s="241"/>
      <c r="W487" s="241"/>
      <c r="X487" s="241"/>
      <c r="Y487" s="241"/>
      <c r="Z487" s="242"/>
      <c r="AA487" s="242"/>
      <c r="AB487" s="243"/>
      <c r="AC487" s="243"/>
      <c r="AD487" s="244"/>
      <c r="AE487" s="244"/>
      <c r="AF487" s="244"/>
      <c r="AG487" s="244"/>
    </row>
    <row r="488" spans="2:33" s="245" customFormat="1" hidden="1">
      <c r="B488" s="239"/>
      <c r="C488" s="240"/>
      <c r="D488" s="241"/>
      <c r="E488" s="241"/>
      <c r="F488" s="241"/>
      <c r="G488" s="241"/>
      <c r="H488" s="241"/>
      <c r="I488" s="241"/>
      <c r="J488" s="241"/>
      <c r="K488" s="241"/>
      <c r="L488" s="241"/>
      <c r="M488" s="242"/>
      <c r="N488" s="241"/>
      <c r="O488" s="241"/>
      <c r="P488" s="241"/>
      <c r="Q488" s="241"/>
      <c r="R488" s="241"/>
      <c r="S488" s="241"/>
      <c r="T488" s="241"/>
      <c r="U488" s="241"/>
      <c r="V488" s="241"/>
      <c r="W488" s="241"/>
      <c r="X488" s="241"/>
      <c r="Y488" s="241"/>
      <c r="Z488" s="242"/>
      <c r="AA488" s="242"/>
      <c r="AB488" s="243"/>
      <c r="AC488" s="243"/>
      <c r="AD488" s="244"/>
      <c r="AE488" s="244"/>
      <c r="AF488" s="244"/>
      <c r="AG488" s="244"/>
    </row>
    <row r="489" spans="2:33" s="245" customFormat="1" hidden="1">
      <c r="B489" s="239"/>
      <c r="C489" s="240"/>
      <c r="D489" s="241"/>
      <c r="E489" s="241"/>
      <c r="F489" s="241"/>
      <c r="G489" s="241"/>
      <c r="H489" s="241"/>
      <c r="I489" s="241"/>
      <c r="J489" s="241"/>
      <c r="K489" s="241"/>
      <c r="L489" s="241"/>
      <c r="M489" s="242"/>
      <c r="N489" s="241"/>
      <c r="O489" s="241"/>
      <c r="P489" s="241"/>
      <c r="Q489" s="241"/>
      <c r="R489" s="241"/>
      <c r="S489" s="241"/>
      <c r="T489" s="241"/>
      <c r="U489" s="241"/>
      <c r="V489" s="241"/>
      <c r="W489" s="241"/>
      <c r="X489" s="241"/>
      <c r="Y489" s="241"/>
      <c r="Z489" s="242"/>
      <c r="AA489" s="242"/>
      <c r="AB489" s="243"/>
      <c r="AC489" s="243"/>
      <c r="AD489" s="244"/>
      <c r="AE489" s="244"/>
      <c r="AF489" s="244"/>
      <c r="AG489" s="244"/>
    </row>
    <row r="490" spans="2:33" s="245" customFormat="1" hidden="1">
      <c r="B490" s="239"/>
      <c r="C490" s="240"/>
      <c r="D490" s="241"/>
      <c r="E490" s="241"/>
      <c r="F490" s="241"/>
      <c r="G490" s="241"/>
      <c r="H490" s="241"/>
      <c r="I490" s="241"/>
      <c r="J490" s="241"/>
      <c r="K490" s="241"/>
      <c r="L490" s="241"/>
      <c r="M490" s="242"/>
      <c r="N490" s="241"/>
      <c r="O490" s="241"/>
      <c r="P490" s="241"/>
      <c r="Q490" s="241"/>
      <c r="R490" s="241"/>
      <c r="S490" s="241"/>
      <c r="T490" s="241"/>
      <c r="U490" s="241"/>
      <c r="V490" s="241"/>
      <c r="W490" s="241"/>
      <c r="X490" s="241"/>
      <c r="Y490" s="241"/>
      <c r="Z490" s="242"/>
      <c r="AA490" s="242"/>
      <c r="AB490" s="243"/>
      <c r="AC490" s="243"/>
      <c r="AD490" s="244"/>
      <c r="AE490" s="244"/>
      <c r="AF490" s="244"/>
      <c r="AG490" s="244"/>
    </row>
    <row r="491" spans="2:33" s="245" customFormat="1" hidden="1">
      <c r="B491" s="239"/>
      <c r="C491" s="240"/>
      <c r="D491" s="241"/>
      <c r="E491" s="241"/>
      <c r="F491" s="241"/>
      <c r="G491" s="241"/>
      <c r="H491" s="241"/>
      <c r="I491" s="241"/>
      <c r="J491" s="241"/>
      <c r="K491" s="241"/>
      <c r="L491" s="241"/>
      <c r="M491" s="242"/>
      <c r="N491" s="241"/>
      <c r="O491" s="241"/>
      <c r="P491" s="241"/>
      <c r="Q491" s="241"/>
      <c r="R491" s="241"/>
      <c r="S491" s="241"/>
      <c r="T491" s="241"/>
      <c r="U491" s="241"/>
      <c r="V491" s="241"/>
      <c r="W491" s="241"/>
      <c r="X491" s="241"/>
      <c r="Y491" s="241"/>
      <c r="Z491" s="242"/>
      <c r="AA491" s="242"/>
      <c r="AB491" s="243"/>
      <c r="AC491" s="243"/>
      <c r="AD491" s="244"/>
      <c r="AE491" s="244"/>
      <c r="AF491" s="244"/>
      <c r="AG491" s="244"/>
    </row>
    <row r="492" spans="2:33" s="245" customFormat="1" hidden="1">
      <c r="B492" s="239"/>
      <c r="C492" s="240"/>
      <c r="D492" s="241"/>
      <c r="E492" s="241"/>
      <c r="F492" s="241"/>
      <c r="G492" s="241"/>
      <c r="H492" s="241"/>
      <c r="I492" s="241"/>
      <c r="J492" s="241"/>
      <c r="K492" s="241"/>
      <c r="L492" s="241"/>
      <c r="M492" s="242"/>
      <c r="N492" s="241"/>
      <c r="O492" s="241"/>
      <c r="P492" s="241"/>
      <c r="Q492" s="241"/>
      <c r="R492" s="241"/>
      <c r="S492" s="241"/>
      <c r="T492" s="241"/>
      <c r="U492" s="241"/>
      <c r="V492" s="241"/>
      <c r="W492" s="241"/>
      <c r="X492" s="241"/>
      <c r="Y492" s="241"/>
      <c r="Z492" s="242"/>
      <c r="AA492" s="242"/>
      <c r="AB492" s="243"/>
      <c r="AC492" s="243"/>
      <c r="AD492" s="244"/>
      <c r="AE492" s="244"/>
      <c r="AF492" s="244"/>
      <c r="AG492" s="244"/>
    </row>
    <row r="493" spans="2:33" s="245" customFormat="1" hidden="1">
      <c r="B493" s="239"/>
      <c r="C493" s="240"/>
      <c r="D493" s="241"/>
      <c r="E493" s="241"/>
      <c r="F493" s="241"/>
      <c r="G493" s="241"/>
      <c r="H493" s="241"/>
      <c r="I493" s="241"/>
      <c r="J493" s="241"/>
      <c r="K493" s="241"/>
      <c r="L493" s="241"/>
      <c r="M493" s="242"/>
      <c r="N493" s="241"/>
      <c r="O493" s="241"/>
      <c r="P493" s="241"/>
      <c r="Q493" s="241"/>
      <c r="R493" s="241"/>
      <c r="S493" s="241"/>
      <c r="T493" s="241"/>
      <c r="U493" s="241"/>
      <c r="V493" s="241"/>
      <c r="W493" s="241"/>
      <c r="X493" s="241"/>
      <c r="Y493" s="241"/>
      <c r="Z493" s="242"/>
      <c r="AA493" s="242"/>
      <c r="AB493" s="243"/>
      <c r="AC493" s="243"/>
      <c r="AD493" s="244"/>
      <c r="AE493" s="244"/>
      <c r="AF493" s="244"/>
      <c r="AG493" s="244"/>
    </row>
    <row r="494" spans="2:33" s="245" customFormat="1" hidden="1">
      <c r="B494" s="239"/>
      <c r="C494" s="240"/>
      <c r="D494" s="241"/>
      <c r="E494" s="241"/>
      <c r="F494" s="241"/>
      <c r="G494" s="241"/>
      <c r="H494" s="241"/>
      <c r="I494" s="241"/>
      <c r="J494" s="241"/>
      <c r="K494" s="241"/>
      <c r="L494" s="241"/>
      <c r="M494" s="242"/>
      <c r="N494" s="241"/>
      <c r="O494" s="241"/>
      <c r="P494" s="241"/>
      <c r="Q494" s="241"/>
      <c r="R494" s="241"/>
      <c r="S494" s="241"/>
      <c r="T494" s="241"/>
      <c r="U494" s="241"/>
      <c r="V494" s="241"/>
      <c r="W494" s="241"/>
      <c r="X494" s="241"/>
      <c r="Y494" s="241"/>
      <c r="Z494" s="242"/>
      <c r="AA494" s="242"/>
      <c r="AB494" s="243"/>
      <c r="AC494" s="243"/>
      <c r="AD494" s="244"/>
      <c r="AE494" s="244"/>
      <c r="AF494" s="244"/>
      <c r="AG494" s="244"/>
    </row>
    <row r="495" spans="2:33" s="245" customFormat="1" hidden="1">
      <c r="B495" s="239"/>
      <c r="C495" s="240"/>
      <c r="D495" s="241"/>
      <c r="E495" s="241"/>
      <c r="F495" s="241"/>
      <c r="G495" s="241"/>
      <c r="H495" s="241"/>
      <c r="I495" s="241"/>
      <c r="J495" s="241"/>
      <c r="K495" s="241"/>
      <c r="L495" s="241"/>
      <c r="M495" s="242"/>
      <c r="N495" s="241"/>
      <c r="O495" s="241"/>
      <c r="P495" s="241"/>
      <c r="Q495" s="241"/>
      <c r="R495" s="241"/>
      <c r="S495" s="241"/>
      <c r="T495" s="241"/>
      <c r="U495" s="241"/>
      <c r="V495" s="241"/>
      <c r="W495" s="241"/>
      <c r="X495" s="241"/>
      <c r="Y495" s="241"/>
      <c r="Z495" s="242"/>
      <c r="AA495" s="242"/>
      <c r="AB495" s="243"/>
      <c r="AC495" s="243"/>
      <c r="AD495" s="244"/>
      <c r="AE495" s="244"/>
      <c r="AF495" s="244"/>
      <c r="AG495" s="244"/>
    </row>
    <row r="496" spans="2:33" s="245" customFormat="1" hidden="1">
      <c r="B496" s="239"/>
      <c r="C496" s="240"/>
      <c r="D496" s="241"/>
      <c r="E496" s="241"/>
      <c r="F496" s="241"/>
      <c r="G496" s="241"/>
      <c r="H496" s="241"/>
      <c r="I496" s="241"/>
      <c r="J496" s="241"/>
      <c r="K496" s="241"/>
      <c r="L496" s="241"/>
      <c r="M496" s="242"/>
      <c r="N496" s="241"/>
      <c r="O496" s="241"/>
      <c r="P496" s="241"/>
      <c r="Q496" s="241"/>
      <c r="R496" s="241"/>
      <c r="S496" s="241"/>
      <c r="T496" s="241"/>
      <c r="U496" s="241"/>
      <c r="V496" s="241"/>
      <c r="W496" s="241"/>
      <c r="X496" s="241"/>
      <c r="Y496" s="241"/>
      <c r="Z496" s="242"/>
      <c r="AA496" s="242"/>
      <c r="AB496" s="243"/>
      <c r="AC496" s="243"/>
      <c r="AD496" s="244"/>
      <c r="AE496" s="244"/>
      <c r="AF496" s="244"/>
      <c r="AG496" s="244"/>
    </row>
    <row r="497" spans="2:33" s="245" customFormat="1" hidden="1">
      <c r="B497" s="239"/>
      <c r="C497" s="240"/>
      <c r="D497" s="241"/>
      <c r="E497" s="241"/>
      <c r="F497" s="241"/>
      <c r="G497" s="241"/>
      <c r="H497" s="241"/>
      <c r="I497" s="241"/>
      <c r="J497" s="241"/>
      <c r="K497" s="241"/>
      <c r="L497" s="241"/>
      <c r="M497" s="242"/>
      <c r="N497" s="241"/>
      <c r="O497" s="241"/>
      <c r="P497" s="241"/>
      <c r="Q497" s="241"/>
      <c r="R497" s="241"/>
      <c r="S497" s="241"/>
      <c r="T497" s="241"/>
      <c r="U497" s="241"/>
      <c r="V497" s="241"/>
      <c r="W497" s="241"/>
      <c r="X497" s="241"/>
      <c r="Y497" s="241"/>
      <c r="Z497" s="242"/>
      <c r="AA497" s="242"/>
      <c r="AB497" s="243"/>
      <c r="AC497" s="243"/>
      <c r="AD497" s="244"/>
      <c r="AE497" s="244"/>
      <c r="AF497" s="244"/>
      <c r="AG497" s="244"/>
    </row>
    <row r="498" spans="2:33" s="245" customFormat="1" hidden="1">
      <c r="B498" s="239"/>
      <c r="C498" s="240"/>
      <c r="D498" s="241"/>
      <c r="E498" s="241"/>
      <c r="F498" s="241"/>
      <c r="G498" s="241"/>
      <c r="H498" s="241"/>
      <c r="I498" s="241"/>
      <c r="J498" s="241"/>
      <c r="K498" s="241"/>
      <c r="L498" s="241"/>
      <c r="M498" s="242"/>
      <c r="N498" s="241"/>
      <c r="O498" s="241"/>
      <c r="P498" s="241"/>
      <c r="Q498" s="241"/>
      <c r="R498" s="241"/>
      <c r="S498" s="241"/>
      <c r="T498" s="241"/>
      <c r="U498" s="241"/>
      <c r="V498" s="241"/>
      <c r="W498" s="241"/>
      <c r="X498" s="241"/>
      <c r="Y498" s="241"/>
      <c r="Z498" s="242"/>
      <c r="AA498" s="242"/>
      <c r="AB498" s="243"/>
      <c r="AC498" s="243"/>
      <c r="AD498" s="244"/>
      <c r="AE498" s="244"/>
      <c r="AF498" s="244"/>
      <c r="AG498" s="244"/>
    </row>
    <row r="499" spans="2:33" s="245" customFormat="1" hidden="1">
      <c r="B499" s="239"/>
      <c r="C499" s="240"/>
      <c r="D499" s="241"/>
      <c r="E499" s="241"/>
      <c r="F499" s="241"/>
      <c r="G499" s="241"/>
      <c r="H499" s="241"/>
      <c r="I499" s="241"/>
      <c r="J499" s="241"/>
      <c r="K499" s="241"/>
      <c r="L499" s="241"/>
      <c r="M499" s="242"/>
      <c r="N499" s="241"/>
      <c r="O499" s="241"/>
      <c r="P499" s="241"/>
      <c r="Q499" s="241"/>
      <c r="R499" s="241"/>
      <c r="S499" s="241"/>
      <c r="T499" s="241"/>
      <c r="U499" s="241"/>
      <c r="V499" s="241"/>
      <c r="W499" s="241"/>
      <c r="X499" s="241"/>
      <c r="Y499" s="241"/>
      <c r="Z499" s="242"/>
      <c r="AA499" s="242"/>
      <c r="AB499" s="243"/>
      <c r="AC499" s="243"/>
      <c r="AD499" s="244"/>
      <c r="AE499" s="244"/>
      <c r="AF499" s="244"/>
      <c r="AG499" s="244"/>
    </row>
    <row r="500" spans="2:33" s="245" customFormat="1" hidden="1">
      <c r="B500" s="239"/>
      <c r="C500" s="240"/>
      <c r="D500" s="241"/>
      <c r="E500" s="241"/>
      <c r="F500" s="241"/>
      <c r="G500" s="241"/>
      <c r="H500" s="241"/>
      <c r="I500" s="241"/>
      <c r="J500" s="241"/>
      <c r="K500" s="241"/>
      <c r="L500" s="241"/>
      <c r="M500" s="242"/>
      <c r="N500" s="241"/>
      <c r="O500" s="241"/>
      <c r="P500" s="241"/>
      <c r="Q500" s="241"/>
      <c r="R500" s="241"/>
      <c r="S500" s="241"/>
      <c r="T500" s="241"/>
      <c r="U500" s="241"/>
      <c r="V500" s="241"/>
      <c r="W500" s="241"/>
      <c r="X500" s="241"/>
      <c r="Y500" s="241"/>
      <c r="Z500" s="242"/>
      <c r="AA500" s="242"/>
      <c r="AB500" s="243"/>
      <c r="AC500" s="243"/>
      <c r="AD500" s="244"/>
      <c r="AE500" s="244"/>
      <c r="AF500" s="244"/>
      <c r="AG500" s="244"/>
    </row>
    <row r="501" spans="2:33" s="245" customFormat="1" hidden="1">
      <c r="B501" s="239"/>
      <c r="C501" s="240"/>
      <c r="D501" s="241"/>
      <c r="E501" s="241"/>
      <c r="F501" s="241"/>
      <c r="G501" s="241"/>
      <c r="H501" s="241"/>
      <c r="I501" s="241"/>
      <c r="J501" s="241"/>
      <c r="K501" s="241"/>
      <c r="L501" s="241"/>
      <c r="M501" s="242"/>
      <c r="N501" s="241"/>
      <c r="O501" s="241"/>
      <c r="P501" s="241"/>
      <c r="Q501" s="241"/>
      <c r="R501" s="241"/>
      <c r="S501" s="241"/>
      <c r="T501" s="241"/>
      <c r="U501" s="241"/>
      <c r="V501" s="241"/>
      <c r="W501" s="241"/>
      <c r="X501" s="241"/>
      <c r="Y501" s="241"/>
      <c r="Z501" s="242"/>
      <c r="AA501" s="242"/>
      <c r="AB501" s="243"/>
      <c r="AC501" s="243"/>
      <c r="AD501" s="244"/>
      <c r="AE501" s="244"/>
      <c r="AF501" s="244"/>
      <c r="AG501" s="244"/>
    </row>
    <row r="502" spans="2:33" s="245" customFormat="1" hidden="1">
      <c r="B502" s="239"/>
      <c r="C502" s="240"/>
      <c r="D502" s="241"/>
      <c r="E502" s="241"/>
      <c r="F502" s="241"/>
      <c r="G502" s="241"/>
      <c r="H502" s="241"/>
      <c r="I502" s="241"/>
      <c r="J502" s="241"/>
      <c r="K502" s="241"/>
      <c r="L502" s="241"/>
      <c r="M502" s="242"/>
      <c r="N502" s="241"/>
      <c r="O502" s="241"/>
      <c r="P502" s="241"/>
      <c r="Q502" s="241"/>
      <c r="R502" s="241"/>
      <c r="S502" s="241"/>
      <c r="T502" s="241"/>
      <c r="U502" s="241"/>
      <c r="V502" s="241"/>
      <c r="W502" s="241"/>
      <c r="X502" s="241"/>
      <c r="Y502" s="241"/>
      <c r="Z502" s="242"/>
      <c r="AA502" s="242"/>
      <c r="AB502" s="243"/>
      <c r="AC502" s="243"/>
      <c r="AD502" s="244"/>
      <c r="AE502" s="244"/>
      <c r="AF502" s="244"/>
      <c r="AG502" s="244"/>
    </row>
    <row r="503" spans="2:33" s="245" customFormat="1" hidden="1">
      <c r="B503" s="239"/>
      <c r="C503" s="240"/>
      <c r="D503" s="241"/>
      <c r="E503" s="241"/>
      <c r="F503" s="241"/>
      <c r="G503" s="241"/>
      <c r="H503" s="241"/>
      <c r="I503" s="241"/>
      <c r="J503" s="241"/>
      <c r="K503" s="241"/>
      <c r="L503" s="241"/>
      <c r="M503" s="242"/>
      <c r="N503" s="241"/>
      <c r="O503" s="241"/>
      <c r="P503" s="241"/>
      <c r="Q503" s="241"/>
      <c r="R503" s="241"/>
      <c r="S503" s="241"/>
      <c r="T503" s="241"/>
      <c r="U503" s="241"/>
      <c r="V503" s="241"/>
      <c r="W503" s="241"/>
      <c r="X503" s="241"/>
      <c r="Y503" s="241"/>
      <c r="Z503" s="242"/>
      <c r="AA503" s="242"/>
      <c r="AB503" s="243"/>
      <c r="AC503" s="243"/>
      <c r="AD503" s="244"/>
      <c r="AE503" s="244"/>
      <c r="AF503" s="244"/>
      <c r="AG503" s="244"/>
    </row>
    <row r="504" spans="2:33" s="245" customFormat="1" hidden="1">
      <c r="B504" s="239"/>
      <c r="C504" s="240"/>
      <c r="D504" s="241"/>
      <c r="E504" s="241"/>
      <c r="F504" s="241"/>
      <c r="G504" s="241"/>
      <c r="H504" s="241"/>
      <c r="I504" s="241"/>
      <c r="J504" s="241"/>
      <c r="K504" s="241"/>
      <c r="L504" s="241"/>
      <c r="M504" s="242"/>
      <c r="N504" s="241"/>
      <c r="O504" s="241"/>
      <c r="P504" s="241"/>
      <c r="Q504" s="241"/>
      <c r="R504" s="241"/>
      <c r="S504" s="241"/>
      <c r="T504" s="241"/>
      <c r="U504" s="241"/>
      <c r="V504" s="241"/>
      <c r="W504" s="241"/>
      <c r="X504" s="241"/>
      <c r="Y504" s="241"/>
      <c r="Z504" s="242"/>
      <c r="AA504" s="242"/>
      <c r="AB504" s="243"/>
      <c r="AC504" s="243"/>
      <c r="AD504" s="244"/>
      <c r="AE504" s="244"/>
      <c r="AF504" s="244"/>
      <c r="AG504" s="244"/>
    </row>
    <row r="505" spans="2:33" s="245" customFormat="1" hidden="1">
      <c r="B505" s="239"/>
      <c r="C505" s="240"/>
      <c r="D505" s="241"/>
      <c r="E505" s="241"/>
      <c r="F505" s="241"/>
      <c r="G505" s="241"/>
      <c r="H505" s="241"/>
      <c r="I505" s="241"/>
      <c r="J505" s="241"/>
      <c r="K505" s="241"/>
      <c r="L505" s="241"/>
      <c r="M505" s="242"/>
      <c r="N505" s="241"/>
      <c r="O505" s="241"/>
      <c r="P505" s="241"/>
      <c r="Q505" s="241"/>
      <c r="R505" s="241"/>
      <c r="S505" s="241"/>
      <c r="T505" s="241"/>
      <c r="U505" s="241"/>
      <c r="V505" s="241"/>
      <c r="W505" s="241"/>
      <c r="X505" s="241"/>
      <c r="Y505" s="241"/>
      <c r="Z505" s="242"/>
      <c r="AA505" s="242"/>
      <c r="AB505" s="243"/>
      <c r="AC505" s="243"/>
      <c r="AD505" s="244"/>
      <c r="AE505" s="244"/>
      <c r="AF505" s="244"/>
      <c r="AG505" s="244"/>
    </row>
    <row r="506" spans="2:33" s="245" customFormat="1" hidden="1">
      <c r="B506" s="239"/>
      <c r="C506" s="240"/>
      <c r="D506" s="241"/>
      <c r="E506" s="241"/>
      <c r="F506" s="241"/>
      <c r="G506" s="241"/>
      <c r="H506" s="241"/>
      <c r="I506" s="241"/>
      <c r="J506" s="241"/>
      <c r="K506" s="241"/>
      <c r="L506" s="241"/>
      <c r="M506" s="242"/>
      <c r="N506" s="241"/>
      <c r="O506" s="241"/>
      <c r="P506" s="241"/>
      <c r="Q506" s="241"/>
      <c r="R506" s="241"/>
      <c r="S506" s="241"/>
      <c r="T506" s="241"/>
      <c r="U506" s="241"/>
      <c r="V506" s="241"/>
      <c r="W506" s="241"/>
      <c r="X506" s="241"/>
      <c r="Y506" s="241"/>
      <c r="Z506" s="242"/>
      <c r="AA506" s="242"/>
      <c r="AB506" s="243"/>
      <c r="AC506" s="243"/>
      <c r="AD506" s="244"/>
      <c r="AE506" s="244"/>
      <c r="AF506" s="244"/>
      <c r="AG506" s="244"/>
    </row>
    <row r="507" spans="2:33" s="245" customFormat="1" hidden="1">
      <c r="B507" s="239"/>
      <c r="C507" s="240"/>
      <c r="D507" s="241"/>
      <c r="E507" s="241"/>
      <c r="F507" s="241"/>
      <c r="G507" s="241"/>
      <c r="H507" s="241"/>
      <c r="I507" s="241"/>
      <c r="J507" s="241"/>
      <c r="K507" s="241"/>
      <c r="L507" s="241"/>
      <c r="M507" s="242"/>
      <c r="N507" s="241"/>
      <c r="O507" s="241"/>
      <c r="P507" s="241"/>
      <c r="Q507" s="241"/>
      <c r="R507" s="241"/>
      <c r="S507" s="241"/>
      <c r="T507" s="241"/>
      <c r="U507" s="241"/>
      <c r="V507" s="241"/>
      <c r="W507" s="241"/>
      <c r="X507" s="241"/>
      <c r="Y507" s="241"/>
      <c r="Z507" s="242"/>
      <c r="AA507" s="242"/>
      <c r="AB507" s="243"/>
      <c r="AC507" s="243"/>
      <c r="AD507" s="244"/>
      <c r="AE507" s="244"/>
      <c r="AF507" s="244"/>
      <c r="AG507" s="244"/>
    </row>
    <row r="508" spans="2:33" s="245" customFormat="1" hidden="1">
      <c r="B508" s="239"/>
      <c r="C508" s="240"/>
      <c r="D508" s="241"/>
      <c r="E508" s="241"/>
      <c r="F508" s="241"/>
      <c r="G508" s="241"/>
      <c r="H508" s="241"/>
      <c r="I508" s="241"/>
      <c r="J508" s="241"/>
      <c r="K508" s="241"/>
      <c r="L508" s="241"/>
      <c r="M508" s="242"/>
      <c r="N508" s="241"/>
      <c r="O508" s="241"/>
      <c r="P508" s="241"/>
      <c r="Q508" s="241"/>
      <c r="R508" s="241"/>
      <c r="S508" s="241"/>
      <c r="T508" s="241"/>
      <c r="U508" s="241"/>
      <c r="V508" s="241"/>
      <c r="W508" s="241"/>
      <c r="X508" s="241"/>
      <c r="Y508" s="241"/>
      <c r="Z508" s="242"/>
      <c r="AA508" s="242"/>
      <c r="AB508" s="243"/>
      <c r="AC508" s="243"/>
      <c r="AD508" s="244"/>
      <c r="AE508" s="244"/>
      <c r="AF508" s="244"/>
      <c r="AG508" s="244"/>
    </row>
    <row r="509" spans="2:33" s="245" customFormat="1" hidden="1">
      <c r="B509" s="239"/>
      <c r="C509" s="240"/>
      <c r="D509" s="241"/>
      <c r="E509" s="241"/>
      <c r="F509" s="241"/>
      <c r="G509" s="241"/>
      <c r="H509" s="241"/>
      <c r="I509" s="241"/>
      <c r="J509" s="241"/>
      <c r="K509" s="241"/>
      <c r="L509" s="241"/>
      <c r="M509" s="242"/>
      <c r="N509" s="241"/>
      <c r="O509" s="241"/>
      <c r="P509" s="241"/>
      <c r="Q509" s="241"/>
      <c r="R509" s="241"/>
      <c r="S509" s="241"/>
      <c r="T509" s="241"/>
      <c r="U509" s="241"/>
      <c r="V509" s="241"/>
      <c r="W509" s="241"/>
      <c r="X509" s="241"/>
      <c r="Y509" s="241"/>
      <c r="Z509" s="242"/>
      <c r="AA509" s="242"/>
      <c r="AB509" s="243"/>
      <c r="AC509" s="243"/>
      <c r="AD509" s="244"/>
      <c r="AE509" s="244"/>
      <c r="AF509" s="244"/>
      <c r="AG509" s="244"/>
    </row>
    <row r="510" spans="2:33" s="245" customFormat="1" hidden="1">
      <c r="B510" s="239"/>
      <c r="C510" s="240"/>
      <c r="D510" s="241"/>
      <c r="E510" s="241"/>
      <c r="F510" s="241"/>
      <c r="G510" s="241"/>
      <c r="H510" s="241"/>
      <c r="I510" s="241"/>
      <c r="J510" s="241"/>
      <c r="K510" s="241"/>
      <c r="L510" s="241"/>
      <c r="M510" s="242"/>
      <c r="N510" s="241"/>
      <c r="O510" s="241"/>
      <c r="P510" s="241"/>
      <c r="Q510" s="241"/>
      <c r="R510" s="241"/>
      <c r="S510" s="241"/>
      <c r="T510" s="241"/>
      <c r="U510" s="241"/>
      <c r="V510" s="241"/>
      <c r="W510" s="241"/>
      <c r="X510" s="241"/>
      <c r="Y510" s="241"/>
      <c r="Z510" s="242"/>
      <c r="AA510" s="242"/>
      <c r="AB510" s="243"/>
      <c r="AC510" s="243"/>
      <c r="AD510" s="244"/>
      <c r="AE510" s="244"/>
      <c r="AF510" s="244"/>
      <c r="AG510" s="244"/>
    </row>
    <row r="511" spans="2:33" s="245" customFormat="1" hidden="1">
      <c r="B511" s="239"/>
      <c r="C511" s="240"/>
      <c r="D511" s="241"/>
      <c r="E511" s="241"/>
      <c r="F511" s="241"/>
      <c r="G511" s="241"/>
      <c r="H511" s="241"/>
      <c r="I511" s="241"/>
      <c r="J511" s="241"/>
      <c r="K511" s="241"/>
      <c r="L511" s="241"/>
      <c r="M511" s="242"/>
      <c r="N511" s="241"/>
      <c r="O511" s="241"/>
      <c r="P511" s="241"/>
      <c r="Q511" s="241"/>
      <c r="R511" s="241"/>
      <c r="S511" s="241"/>
      <c r="T511" s="241"/>
      <c r="U511" s="241"/>
      <c r="V511" s="241"/>
      <c r="W511" s="241"/>
      <c r="X511" s="241"/>
      <c r="Y511" s="241"/>
      <c r="Z511" s="242"/>
      <c r="AA511" s="242"/>
      <c r="AB511" s="243"/>
      <c r="AC511" s="243"/>
      <c r="AD511" s="244"/>
      <c r="AE511" s="244"/>
      <c r="AF511" s="244"/>
      <c r="AG511" s="244"/>
    </row>
    <row r="512" spans="2:33" s="245" customFormat="1" hidden="1">
      <c r="B512" s="239"/>
      <c r="C512" s="240"/>
      <c r="D512" s="241"/>
      <c r="E512" s="241"/>
      <c r="F512" s="241"/>
      <c r="G512" s="241"/>
      <c r="H512" s="241"/>
      <c r="I512" s="241"/>
      <c r="J512" s="241"/>
      <c r="K512" s="241"/>
      <c r="L512" s="241"/>
      <c r="M512" s="242"/>
      <c r="N512" s="241"/>
      <c r="O512" s="241"/>
      <c r="P512" s="241"/>
      <c r="Q512" s="241"/>
      <c r="R512" s="241"/>
      <c r="S512" s="241"/>
      <c r="T512" s="241"/>
      <c r="U512" s="241"/>
      <c r="V512" s="241"/>
      <c r="W512" s="241"/>
      <c r="X512" s="241"/>
      <c r="Y512" s="241"/>
      <c r="Z512" s="242"/>
      <c r="AA512" s="242"/>
      <c r="AB512" s="243"/>
      <c r="AC512" s="243"/>
      <c r="AD512" s="244"/>
      <c r="AE512" s="244"/>
      <c r="AF512" s="244"/>
      <c r="AG512" s="244"/>
    </row>
    <row r="513" spans="2:33" s="245" customFormat="1" hidden="1">
      <c r="B513" s="239"/>
      <c r="C513" s="240"/>
      <c r="D513" s="241"/>
      <c r="E513" s="241"/>
      <c r="F513" s="241"/>
      <c r="G513" s="241"/>
      <c r="H513" s="241"/>
      <c r="I513" s="241"/>
      <c r="J513" s="241"/>
      <c r="K513" s="241"/>
      <c r="L513" s="241"/>
      <c r="M513" s="242"/>
      <c r="N513" s="241"/>
      <c r="O513" s="241"/>
      <c r="P513" s="241"/>
      <c r="Q513" s="241"/>
      <c r="R513" s="241"/>
      <c r="S513" s="241"/>
      <c r="T513" s="241"/>
      <c r="U513" s="241"/>
      <c r="V513" s="241"/>
      <c r="W513" s="241"/>
      <c r="X513" s="241"/>
      <c r="Y513" s="241"/>
      <c r="Z513" s="242"/>
      <c r="AA513" s="242"/>
      <c r="AB513" s="243"/>
      <c r="AC513" s="243"/>
      <c r="AD513" s="244"/>
      <c r="AE513" s="244"/>
      <c r="AF513" s="244"/>
      <c r="AG513" s="244"/>
    </row>
    <row r="514" spans="2:33" s="245" customFormat="1" hidden="1">
      <c r="B514" s="239"/>
      <c r="C514" s="240"/>
      <c r="D514" s="241"/>
      <c r="E514" s="241"/>
      <c r="F514" s="241"/>
      <c r="G514" s="241"/>
      <c r="H514" s="241"/>
      <c r="I514" s="241"/>
      <c r="J514" s="241"/>
      <c r="K514" s="241"/>
      <c r="L514" s="241"/>
      <c r="M514" s="242"/>
      <c r="N514" s="241"/>
      <c r="O514" s="241"/>
      <c r="P514" s="241"/>
      <c r="Q514" s="241"/>
      <c r="R514" s="241"/>
      <c r="S514" s="241"/>
      <c r="T514" s="241"/>
      <c r="U514" s="241"/>
      <c r="V514" s="241"/>
      <c r="W514" s="241"/>
      <c r="X514" s="241"/>
      <c r="Y514" s="241"/>
      <c r="Z514" s="242"/>
      <c r="AA514" s="242"/>
      <c r="AB514" s="243"/>
      <c r="AC514" s="243"/>
      <c r="AD514" s="244"/>
      <c r="AE514" s="244"/>
      <c r="AF514" s="244"/>
      <c r="AG514" s="244"/>
    </row>
    <row r="515" spans="2:33" s="245" customFormat="1" hidden="1">
      <c r="B515" s="239"/>
      <c r="C515" s="240"/>
      <c r="D515" s="241"/>
      <c r="E515" s="241"/>
      <c r="F515" s="241"/>
      <c r="G515" s="241"/>
      <c r="H515" s="241"/>
      <c r="I515" s="241"/>
      <c r="J515" s="241"/>
      <c r="K515" s="241"/>
      <c r="L515" s="241"/>
      <c r="M515" s="242"/>
      <c r="N515" s="241"/>
      <c r="O515" s="241"/>
      <c r="P515" s="241"/>
      <c r="Q515" s="241"/>
      <c r="R515" s="241"/>
      <c r="S515" s="241"/>
      <c r="T515" s="241"/>
      <c r="U515" s="241"/>
      <c r="V515" s="241"/>
      <c r="W515" s="241"/>
      <c r="X515" s="241"/>
      <c r="Y515" s="241"/>
      <c r="Z515" s="242"/>
      <c r="AA515" s="242"/>
      <c r="AB515" s="243"/>
      <c r="AC515" s="243"/>
      <c r="AD515" s="244"/>
      <c r="AE515" s="244"/>
      <c r="AF515" s="244"/>
      <c r="AG515" s="244"/>
    </row>
    <row r="516" spans="2:33" s="245" customFormat="1" hidden="1">
      <c r="B516" s="239"/>
      <c r="C516" s="240"/>
      <c r="D516" s="241"/>
      <c r="E516" s="241"/>
      <c r="F516" s="241"/>
      <c r="G516" s="241"/>
      <c r="H516" s="241"/>
      <c r="I516" s="241"/>
      <c r="J516" s="241"/>
      <c r="K516" s="241"/>
      <c r="L516" s="241"/>
      <c r="M516" s="242"/>
      <c r="N516" s="241"/>
      <c r="O516" s="241"/>
      <c r="P516" s="241"/>
      <c r="Q516" s="241"/>
      <c r="R516" s="241"/>
      <c r="S516" s="241"/>
      <c r="T516" s="241"/>
      <c r="U516" s="241"/>
      <c r="V516" s="241"/>
      <c r="W516" s="241"/>
      <c r="X516" s="241"/>
      <c r="Y516" s="241"/>
      <c r="Z516" s="242"/>
      <c r="AA516" s="242"/>
      <c r="AB516" s="243"/>
      <c r="AC516" s="243"/>
      <c r="AD516" s="244"/>
      <c r="AE516" s="244"/>
      <c r="AF516" s="244"/>
      <c r="AG516" s="244"/>
    </row>
    <row r="517" spans="2:33" s="245" customFormat="1" hidden="1">
      <c r="B517" s="239"/>
      <c r="C517" s="240"/>
      <c r="D517" s="241"/>
      <c r="E517" s="241"/>
      <c r="F517" s="241"/>
      <c r="G517" s="241"/>
      <c r="H517" s="241"/>
      <c r="I517" s="241"/>
      <c r="J517" s="241"/>
      <c r="K517" s="241"/>
      <c r="L517" s="241"/>
      <c r="M517" s="242"/>
      <c r="N517" s="241"/>
      <c r="O517" s="241"/>
      <c r="P517" s="241"/>
      <c r="Q517" s="241"/>
      <c r="R517" s="241"/>
      <c r="S517" s="241"/>
      <c r="T517" s="241"/>
      <c r="U517" s="241"/>
      <c r="V517" s="241"/>
      <c r="W517" s="241"/>
      <c r="X517" s="241"/>
      <c r="Y517" s="241"/>
      <c r="Z517" s="242"/>
      <c r="AA517" s="242"/>
      <c r="AB517" s="243"/>
      <c r="AC517" s="243"/>
      <c r="AD517" s="244"/>
      <c r="AE517" s="244"/>
      <c r="AF517" s="244"/>
      <c r="AG517" s="244"/>
    </row>
    <row r="518" spans="2:33" s="245" customFormat="1" hidden="1">
      <c r="B518" s="239"/>
      <c r="C518" s="240"/>
      <c r="D518" s="241"/>
      <c r="E518" s="241"/>
      <c r="F518" s="241"/>
      <c r="G518" s="241"/>
      <c r="H518" s="241"/>
      <c r="I518" s="241"/>
      <c r="J518" s="241"/>
      <c r="K518" s="241"/>
      <c r="L518" s="241"/>
      <c r="M518" s="242"/>
      <c r="N518" s="241"/>
      <c r="O518" s="241"/>
      <c r="P518" s="241"/>
      <c r="Q518" s="241"/>
      <c r="R518" s="241"/>
      <c r="S518" s="241"/>
      <c r="T518" s="241"/>
      <c r="U518" s="241"/>
      <c r="V518" s="241"/>
      <c r="W518" s="241"/>
      <c r="X518" s="241"/>
      <c r="Y518" s="241"/>
      <c r="Z518" s="242"/>
      <c r="AA518" s="242"/>
      <c r="AB518" s="243"/>
      <c r="AC518" s="243"/>
      <c r="AD518" s="244"/>
      <c r="AE518" s="244"/>
      <c r="AF518" s="244"/>
      <c r="AG518" s="244"/>
    </row>
    <row r="519" spans="2:33" s="245" customFormat="1" hidden="1">
      <c r="B519" s="239"/>
      <c r="C519" s="240"/>
      <c r="D519" s="241"/>
      <c r="E519" s="241"/>
      <c r="F519" s="241"/>
      <c r="G519" s="241"/>
      <c r="H519" s="241"/>
      <c r="I519" s="241"/>
      <c r="J519" s="241"/>
      <c r="K519" s="241"/>
      <c r="L519" s="241"/>
      <c r="M519" s="242"/>
      <c r="N519" s="241"/>
      <c r="O519" s="241"/>
      <c r="P519" s="241"/>
      <c r="Q519" s="241"/>
      <c r="R519" s="241"/>
      <c r="S519" s="241"/>
      <c r="T519" s="241"/>
      <c r="U519" s="241"/>
      <c r="V519" s="241"/>
      <c r="W519" s="241"/>
      <c r="X519" s="241"/>
      <c r="Y519" s="241"/>
      <c r="Z519" s="242"/>
      <c r="AA519" s="242"/>
      <c r="AB519" s="243"/>
      <c r="AC519" s="243"/>
      <c r="AD519" s="244"/>
      <c r="AE519" s="244"/>
      <c r="AF519" s="244"/>
      <c r="AG519" s="244"/>
    </row>
    <row r="520" spans="2:33" s="245" customFormat="1" hidden="1">
      <c r="B520" s="239"/>
      <c r="C520" s="240"/>
      <c r="D520" s="241"/>
      <c r="E520" s="241"/>
      <c r="F520" s="241"/>
      <c r="G520" s="241"/>
      <c r="H520" s="241"/>
      <c r="I520" s="241"/>
      <c r="J520" s="241"/>
      <c r="K520" s="241"/>
      <c r="L520" s="241"/>
      <c r="M520" s="242"/>
      <c r="N520" s="241"/>
      <c r="O520" s="241"/>
      <c r="P520" s="241"/>
      <c r="Q520" s="241"/>
      <c r="R520" s="241"/>
      <c r="S520" s="241"/>
      <c r="T520" s="241"/>
      <c r="U520" s="241"/>
      <c r="V520" s="241"/>
      <c r="W520" s="241"/>
      <c r="X520" s="241"/>
      <c r="Y520" s="241"/>
      <c r="Z520" s="242"/>
      <c r="AA520" s="242"/>
      <c r="AB520" s="243"/>
      <c r="AC520" s="243"/>
      <c r="AD520" s="244"/>
      <c r="AE520" s="244"/>
      <c r="AF520" s="244"/>
      <c r="AG520" s="244"/>
    </row>
    <row r="521" spans="2:33" s="245" customFormat="1" hidden="1">
      <c r="B521" s="239"/>
      <c r="C521" s="240"/>
      <c r="D521" s="241"/>
      <c r="E521" s="241"/>
      <c r="F521" s="241"/>
      <c r="G521" s="241"/>
      <c r="H521" s="241"/>
      <c r="I521" s="241"/>
      <c r="J521" s="241"/>
      <c r="K521" s="241"/>
      <c r="L521" s="241"/>
      <c r="M521" s="242"/>
      <c r="N521" s="241"/>
      <c r="O521" s="241"/>
      <c r="P521" s="241"/>
      <c r="Q521" s="241"/>
      <c r="R521" s="241"/>
      <c r="S521" s="241"/>
      <c r="T521" s="241"/>
      <c r="U521" s="241"/>
      <c r="V521" s="241"/>
      <c r="W521" s="241"/>
      <c r="X521" s="241"/>
      <c r="Y521" s="241"/>
      <c r="Z521" s="242"/>
      <c r="AA521" s="242"/>
      <c r="AB521" s="243"/>
      <c r="AC521" s="243"/>
      <c r="AD521" s="244"/>
      <c r="AE521" s="244"/>
      <c r="AF521" s="244"/>
      <c r="AG521" s="244"/>
    </row>
    <row r="522" spans="2:33" s="245" customFormat="1" hidden="1">
      <c r="B522" s="239"/>
      <c r="C522" s="240"/>
      <c r="D522" s="241"/>
      <c r="E522" s="241"/>
      <c r="F522" s="241"/>
      <c r="G522" s="241"/>
      <c r="H522" s="241"/>
      <c r="I522" s="241"/>
      <c r="J522" s="241"/>
      <c r="K522" s="241"/>
      <c r="L522" s="241"/>
      <c r="M522" s="242"/>
      <c r="N522" s="241"/>
      <c r="O522" s="241"/>
      <c r="P522" s="241"/>
      <c r="Q522" s="241"/>
      <c r="R522" s="241"/>
      <c r="S522" s="241"/>
      <c r="T522" s="241"/>
      <c r="U522" s="241"/>
      <c r="V522" s="241"/>
      <c r="W522" s="241"/>
      <c r="X522" s="241"/>
      <c r="Y522" s="241"/>
      <c r="Z522" s="242"/>
      <c r="AA522" s="242"/>
      <c r="AB522" s="243"/>
      <c r="AC522" s="243"/>
      <c r="AD522" s="244"/>
      <c r="AE522" s="244"/>
      <c r="AF522" s="244"/>
      <c r="AG522" s="244"/>
    </row>
    <row r="523" spans="2:33" s="245" customFormat="1" hidden="1">
      <c r="B523" s="239"/>
      <c r="C523" s="240"/>
      <c r="D523" s="241"/>
      <c r="E523" s="241"/>
      <c r="F523" s="241"/>
      <c r="G523" s="241"/>
      <c r="H523" s="241"/>
      <c r="I523" s="241"/>
      <c r="J523" s="241"/>
      <c r="K523" s="241"/>
      <c r="L523" s="241"/>
      <c r="M523" s="242"/>
      <c r="N523" s="241"/>
      <c r="O523" s="241"/>
      <c r="P523" s="241"/>
      <c r="Q523" s="241"/>
      <c r="R523" s="241"/>
      <c r="S523" s="241"/>
      <c r="T523" s="241"/>
      <c r="U523" s="241"/>
      <c r="V523" s="241"/>
      <c r="W523" s="241"/>
      <c r="X523" s="241"/>
      <c r="Y523" s="241"/>
      <c r="Z523" s="242"/>
      <c r="AA523" s="242"/>
      <c r="AB523" s="243"/>
      <c r="AC523" s="243"/>
      <c r="AD523" s="244"/>
      <c r="AE523" s="244"/>
      <c r="AF523" s="244"/>
      <c r="AG523" s="244"/>
    </row>
    <row r="524" spans="2:33" s="245" customFormat="1" hidden="1">
      <c r="B524" s="239"/>
      <c r="C524" s="240"/>
      <c r="D524" s="241"/>
      <c r="E524" s="241"/>
      <c r="F524" s="241"/>
      <c r="G524" s="241"/>
      <c r="H524" s="241"/>
      <c r="I524" s="241"/>
      <c r="J524" s="241"/>
      <c r="K524" s="241"/>
      <c r="L524" s="241"/>
      <c r="M524" s="242"/>
      <c r="N524" s="241"/>
      <c r="O524" s="241"/>
      <c r="P524" s="241"/>
      <c r="Q524" s="241"/>
      <c r="R524" s="241"/>
      <c r="S524" s="241"/>
      <c r="T524" s="241"/>
      <c r="U524" s="241"/>
      <c r="V524" s="241"/>
      <c r="W524" s="241"/>
      <c r="X524" s="241"/>
      <c r="Y524" s="241"/>
      <c r="Z524" s="242"/>
      <c r="AA524" s="242"/>
      <c r="AB524" s="243"/>
      <c r="AC524" s="243"/>
      <c r="AD524" s="244"/>
      <c r="AE524" s="244"/>
      <c r="AF524" s="244"/>
      <c r="AG524" s="244"/>
    </row>
    <row r="525" spans="2:33" s="245" customFormat="1" hidden="1">
      <c r="B525" s="239"/>
      <c r="C525" s="240"/>
      <c r="D525" s="241"/>
      <c r="E525" s="241"/>
      <c r="F525" s="241"/>
      <c r="G525" s="241"/>
      <c r="H525" s="241"/>
      <c r="I525" s="241"/>
      <c r="J525" s="241"/>
      <c r="K525" s="241"/>
      <c r="L525" s="241"/>
      <c r="M525" s="242"/>
      <c r="N525" s="241"/>
      <c r="O525" s="241"/>
      <c r="P525" s="241"/>
      <c r="Q525" s="241"/>
      <c r="R525" s="241"/>
      <c r="S525" s="241"/>
      <c r="T525" s="241"/>
      <c r="U525" s="241"/>
      <c r="V525" s="241"/>
      <c r="W525" s="241"/>
      <c r="X525" s="241"/>
      <c r="Y525" s="241"/>
      <c r="Z525" s="242"/>
      <c r="AA525" s="242"/>
      <c r="AB525" s="243"/>
      <c r="AC525" s="243"/>
      <c r="AD525" s="244"/>
      <c r="AE525" s="244"/>
      <c r="AF525" s="244"/>
      <c r="AG525" s="244"/>
    </row>
    <row r="526" spans="2:33" s="245" customFormat="1" hidden="1">
      <c r="B526" s="239"/>
      <c r="C526" s="240"/>
      <c r="D526" s="241"/>
      <c r="E526" s="241"/>
      <c r="F526" s="241"/>
      <c r="G526" s="241"/>
      <c r="H526" s="241"/>
      <c r="I526" s="241"/>
      <c r="J526" s="241"/>
      <c r="K526" s="241"/>
      <c r="L526" s="241"/>
      <c r="M526" s="242"/>
      <c r="N526" s="241"/>
      <c r="O526" s="241"/>
      <c r="P526" s="241"/>
      <c r="Q526" s="241"/>
      <c r="R526" s="241"/>
      <c r="S526" s="241"/>
      <c r="T526" s="241"/>
      <c r="U526" s="241"/>
      <c r="V526" s="241"/>
      <c r="W526" s="241"/>
      <c r="X526" s="241"/>
      <c r="Y526" s="241"/>
      <c r="Z526" s="242"/>
      <c r="AA526" s="242"/>
      <c r="AB526" s="243"/>
      <c r="AC526" s="243"/>
      <c r="AD526" s="244"/>
      <c r="AE526" s="244"/>
      <c r="AF526" s="244"/>
      <c r="AG526" s="244"/>
    </row>
    <row r="527" spans="2:33" s="245" customFormat="1" hidden="1">
      <c r="B527" s="239"/>
      <c r="C527" s="240"/>
      <c r="D527" s="241"/>
      <c r="E527" s="241"/>
      <c r="F527" s="241"/>
      <c r="G527" s="241"/>
      <c r="H527" s="241"/>
      <c r="I527" s="241"/>
      <c r="J527" s="241"/>
      <c r="K527" s="241"/>
      <c r="L527" s="241"/>
      <c r="M527" s="242"/>
      <c r="N527" s="241"/>
      <c r="O527" s="241"/>
      <c r="P527" s="241"/>
      <c r="Q527" s="241"/>
      <c r="R527" s="241"/>
      <c r="S527" s="241"/>
      <c r="T527" s="241"/>
      <c r="U527" s="241"/>
      <c r="V527" s="241"/>
      <c r="W527" s="241"/>
      <c r="X527" s="241"/>
      <c r="Y527" s="241"/>
      <c r="Z527" s="242"/>
      <c r="AA527" s="242"/>
      <c r="AB527" s="243"/>
      <c r="AC527" s="243"/>
      <c r="AD527" s="244"/>
      <c r="AE527" s="244"/>
      <c r="AF527" s="244"/>
      <c r="AG527" s="244"/>
    </row>
    <row r="528" spans="2:33" s="245" customFormat="1" hidden="1">
      <c r="B528" s="239"/>
      <c r="C528" s="240"/>
      <c r="D528" s="241"/>
      <c r="E528" s="241"/>
      <c r="F528" s="241"/>
      <c r="G528" s="241"/>
      <c r="H528" s="241"/>
      <c r="I528" s="241"/>
      <c r="J528" s="241"/>
      <c r="K528" s="241"/>
      <c r="L528" s="241"/>
      <c r="M528" s="242"/>
      <c r="N528" s="241"/>
      <c r="O528" s="241"/>
      <c r="P528" s="241"/>
      <c r="Q528" s="241"/>
      <c r="R528" s="241"/>
      <c r="S528" s="241"/>
      <c r="T528" s="241"/>
      <c r="U528" s="241"/>
      <c r="V528" s="241"/>
      <c r="W528" s="241"/>
      <c r="X528" s="241"/>
      <c r="Y528" s="241"/>
      <c r="Z528" s="242"/>
      <c r="AA528" s="242"/>
      <c r="AB528" s="243"/>
      <c r="AC528" s="243"/>
      <c r="AD528" s="244"/>
      <c r="AE528" s="244"/>
      <c r="AF528" s="244"/>
      <c r="AG528" s="244"/>
    </row>
    <row r="529" spans="2:33" s="245" customFormat="1" hidden="1">
      <c r="B529" s="239"/>
      <c r="C529" s="240"/>
      <c r="D529" s="241"/>
      <c r="E529" s="241"/>
      <c r="F529" s="241"/>
      <c r="G529" s="241"/>
      <c r="H529" s="241"/>
      <c r="I529" s="241"/>
      <c r="J529" s="241"/>
      <c r="K529" s="241"/>
      <c r="L529" s="241"/>
      <c r="M529" s="242"/>
      <c r="N529" s="241"/>
      <c r="O529" s="241"/>
      <c r="P529" s="241"/>
      <c r="Q529" s="241"/>
      <c r="R529" s="241"/>
      <c r="S529" s="241"/>
      <c r="T529" s="241"/>
      <c r="U529" s="241"/>
      <c r="V529" s="241"/>
      <c r="W529" s="241"/>
      <c r="X529" s="241"/>
      <c r="Y529" s="241"/>
      <c r="Z529" s="242"/>
      <c r="AA529" s="242"/>
      <c r="AB529" s="243"/>
      <c r="AC529" s="243"/>
      <c r="AD529" s="244"/>
      <c r="AE529" s="244"/>
      <c r="AF529" s="244"/>
      <c r="AG529" s="244"/>
    </row>
    <row r="530" spans="2:33" s="245" customFormat="1" hidden="1">
      <c r="B530" s="239"/>
      <c r="C530" s="240"/>
      <c r="D530" s="241"/>
      <c r="E530" s="241"/>
      <c r="F530" s="241"/>
      <c r="G530" s="241"/>
      <c r="H530" s="241"/>
      <c r="I530" s="241"/>
      <c r="J530" s="241"/>
      <c r="K530" s="241"/>
      <c r="L530" s="241"/>
      <c r="M530" s="242"/>
      <c r="N530" s="241"/>
      <c r="O530" s="241"/>
      <c r="P530" s="241"/>
      <c r="Q530" s="241"/>
      <c r="R530" s="241"/>
      <c r="S530" s="241"/>
      <c r="T530" s="241"/>
      <c r="U530" s="241"/>
      <c r="V530" s="241"/>
      <c r="W530" s="241"/>
      <c r="X530" s="241"/>
      <c r="Y530" s="241"/>
      <c r="Z530" s="242"/>
      <c r="AA530" s="242"/>
      <c r="AB530" s="243"/>
      <c r="AC530" s="243"/>
      <c r="AD530" s="244"/>
      <c r="AE530" s="244"/>
      <c r="AF530" s="244"/>
      <c r="AG530" s="244"/>
    </row>
    <row r="531" spans="2:33" s="245" customFormat="1" hidden="1">
      <c r="B531" s="239"/>
      <c r="C531" s="240"/>
      <c r="D531" s="241"/>
      <c r="E531" s="241"/>
      <c r="F531" s="241"/>
      <c r="G531" s="241"/>
      <c r="H531" s="241"/>
      <c r="I531" s="241"/>
      <c r="J531" s="241"/>
      <c r="K531" s="241"/>
      <c r="L531" s="241"/>
      <c r="M531" s="242"/>
      <c r="N531" s="241"/>
      <c r="O531" s="241"/>
      <c r="P531" s="241"/>
      <c r="Q531" s="241"/>
      <c r="R531" s="241"/>
      <c r="S531" s="241"/>
      <c r="T531" s="241"/>
      <c r="U531" s="241"/>
      <c r="V531" s="241"/>
      <c r="W531" s="241"/>
      <c r="X531" s="241"/>
      <c r="Y531" s="241"/>
      <c r="Z531" s="242"/>
      <c r="AA531" s="242"/>
      <c r="AB531" s="243"/>
      <c r="AC531" s="243"/>
      <c r="AD531" s="244"/>
      <c r="AE531" s="244"/>
      <c r="AF531" s="244"/>
      <c r="AG531" s="244"/>
    </row>
    <row r="532" spans="2:33" s="245" customFormat="1" hidden="1">
      <c r="B532" s="239"/>
      <c r="C532" s="240"/>
      <c r="D532" s="241"/>
      <c r="E532" s="241"/>
      <c r="F532" s="241"/>
      <c r="G532" s="241"/>
      <c r="H532" s="241"/>
      <c r="I532" s="241"/>
      <c r="J532" s="241"/>
      <c r="K532" s="241"/>
      <c r="L532" s="241"/>
      <c r="M532" s="242"/>
      <c r="N532" s="241"/>
      <c r="O532" s="241"/>
      <c r="P532" s="241"/>
      <c r="Q532" s="241"/>
      <c r="R532" s="241"/>
      <c r="S532" s="241"/>
      <c r="T532" s="241"/>
      <c r="U532" s="241"/>
      <c r="V532" s="241"/>
      <c r="W532" s="241"/>
      <c r="X532" s="241"/>
      <c r="Y532" s="241"/>
      <c r="Z532" s="242"/>
      <c r="AA532" s="242"/>
      <c r="AB532" s="243"/>
      <c r="AC532" s="243"/>
      <c r="AD532" s="244"/>
      <c r="AE532" s="244"/>
      <c r="AF532" s="244"/>
      <c r="AG532" s="244"/>
    </row>
    <row r="533" spans="2:33" s="245" customFormat="1" hidden="1">
      <c r="B533" s="239"/>
      <c r="C533" s="240"/>
      <c r="D533" s="241"/>
      <c r="E533" s="241"/>
      <c r="F533" s="241"/>
      <c r="G533" s="241"/>
      <c r="H533" s="241"/>
      <c r="I533" s="241"/>
      <c r="J533" s="241"/>
      <c r="K533" s="241"/>
      <c r="L533" s="241"/>
      <c r="M533" s="242"/>
      <c r="N533" s="241"/>
      <c r="O533" s="241"/>
      <c r="P533" s="241"/>
      <c r="Q533" s="241"/>
      <c r="R533" s="241"/>
      <c r="S533" s="241"/>
      <c r="T533" s="241"/>
      <c r="U533" s="241"/>
      <c r="V533" s="241"/>
      <c r="W533" s="241"/>
      <c r="X533" s="241"/>
      <c r="Y533" s="241"/>
      <c r="Z533" s="242"/>
      <c r="AA533" s="242"/>
      <c r="AB533" s="243"/>
      <c r="AC533" s="243"/>
      <c r="AD533" s="244"/>
      <c r="AE533" s="244"/>
      <c r="AF533" s="244"/>
      <c r="AG533" s="244"/>
    </row>
    <row r="534" spans="2:33" s="245" customFormat="1" hidden="1">
      <c r="B534" s="239"/>
      <c r="C534" s="240"/>
      <c r="D534" s="241"/>
      <c r="E534" s="241"/>
      <c r="F534" s="241"/>
      <c r="G534" s="241"/>
      <c r="H534" s="241"/>
      <c r="I534" s="241"/>
      <c r="J534" s="241"/>
      <c r="K534" s="241"/>
      <c r="L534" s="241"/>
      <c r="M534" s="242"/>
      <c r="N534" s="241"/>
      <c r="O534" s="241"/>
      <c r="P534" s="241"/>
      <c r="Q534" s="241"/>
      <c r="R534" s="241"/>
      <c r="S534" s="241"/>
      <c r="T534" s="241"/>
      <c r="U534" s="241"/>
      <c r="V534" s="241"/>
      <c r="W534" s="241"/>
      <c r="X534" s="241"/>
      <c r="Y534" s="241"/>
      <c r="Z534" s="242"/>
      <c r="AA534" s="242"/>
      <c r="AB534" s="243"/>
      <c r="AC534" s="243"/>
      <c r="AD534" s="244"/>
      <c r="AE534" s="244"/>
      <c r="AF534" s="244"/>
      <c r="AG534" s="244"/>
    </row>
    <row r="535" spans="2:33" s="245" customFormat="1" hidden="1">
      <c r="B535" s="239"/>
      <c r="C535" s="240"/>
      <c r="D535" s="241"/>
      <c r="E535" s="241"/>
      <c r="F535" s="241"/>
      <c r="G535" s="241"/>
      <c r="H535" s="241"/>
      <c r="I535" s="241"/>
      <c r="J535" s="241"/>
      <c r="K535" s="241"/>
      <c r="L535" s="241"/>
      <c r="M535" s="242"/>
      <c r="N535" s="241"/>
      <c r="O535" s="241"/>
      <c r="P535" s="241"/>
      <c r="Q535" s="241"/>
      <c r="R535" s="241"/>
      <c r="S535" s="241"/>
      <c r="T535" s="241"/>
      <c r="U535" s="241"/>
      <c r="V535" s="241"/>
      <c r="W535" s="241"/>
      <c r="X535" s="241"/>
      <c r="Y535" s="241"/>
      <c r="Z535" s="242"/>
      <c r="AA535" s="242"/>
      <c r="AB535" s="243"/>
      <c r="AC535" s="243"/>
      <c r="AD535" s="244"/>
      <c r="AE535" s="244"/>
      <c r="AF535" s="244"/>
      <c r="AG535" s="244"/>
    </row>
    <row r="536" spans="2:33" s="245" customFormat="1" hidden="1">
      <c r="B536" s="239"/>
      <c r="C536" s="240"/>
      <c r="D536" s="241"/>
      <c r="E536" s="241"/>
      <c r="F536" s="241"/>
      <c r="G536" s="241"/>
      <c r="H536" s="241"/>
      <c r="I536" s="241"/>
      <c r="J536" s="241"/>
      <c r="K536" s="241"/>
      <c r="L536" s="241"/>
      <c r="M536" s="242"/>
      <c r="N536" s="241"/>
      <c r="O536" s="241"/>
      <c r="P536" s="241"/>
      <c r="Q536" s="241"/>
      <c r="R536" s="241"/>
      <c r="S536" s="241"/>
      <c r="T536" s="241"/>
      <c r="U536" s="241"/>
      <c r="V536" s="241"/>
      <c r="W536" s="241"/>
      <c r="X536" s="241"/>
      <c r="Y536" s="241"/>
      <c r="Z536" s="242"/>
      <c r="AA536" s="242"/>
      <c r="AB536" s="243"/>
      <c r="AC536" s="243"/>
      <c r="AD536" s="244"/>
      <c r="AE536" s="244"/>
      <c r="AF536" s="244"/>
      <c r="AG536" s="244"/>
    </row>
    <row r="537" spans="2:33" s="245" customFormat="1" hidden="1">
      <c r="B537" s="239"/>
      <c r="C537" s="240"/>
      <c r="D537" s="241"/>
      <c r="E537" s="241"/>
      <c r="F537" s="241"/>
      <c r="G537" s="241"/>
      <c r="H537" s="241"/>
      <c r="I537" s="241"/>
      <c r="J537" s="241"/>
      <c r="K537" s="241"/>
      <c r="L537" s="241"/>
      <c r="M537" s="242"/>
      <c r="N537" s="241"/>
      <c r="O537" s="241"/>
      <c r="P537" s="241"/>
      <c r="Q537" s="241"/>
      <c r="R537" s="241"/>
      <c r="S537" s="241"/>
      <c r="T537" s="241"/>
      <c r="U537" s="241"/>
      <c r="V537" s="241"/>
      <c r="W537" s="241"/>
      <c r="X537" s="241"/>
      <c r="Y537" s="241"/>
      <c r="Z537" s="242"/>
      <c r="AA537" s="242"/>
      <c r="AB537" s="243"/>
      <c r="AC537" s="243"/>
      <c r="AD537" s="244"/>
      <c r="AE537" s="244"/>
      <c r="AF537" s="244"/>
      <c r="AG537" s="244"/>
    </row>
    <row r="538" spans="2:33" s="245" customFormat="1" hidden="1">
      <c r="B538" s="239"/>
      <c r="C538" s="240"/>
      <c r="D538" s="241"/>
      <c r="E538" s="241"/>
      <c r="F538" s="241"/>
      <c r="G538" s="241"/>
      <c r="H538" s="241"/>
      <c r="I538" s="241"/>
      <c r="J538" s="241"/>
      <c r="K538" s="241"/>
      <c r="L538" s="241"/>
      <c r="M538" s="242"/>
      <c r="N538" s="241"/>
      <c r="O538" s="241"/>
      <c r="P538" s="241"/>
      <c r="Q538" s="241"/>
      <c r="R538" s="241"/>
      <c r="S538" s="241"/>
      <c r="T538" s="241"/>
      <c r="U538" s="241"/>
      <c r="V538" s="241"/>
      <c r="W538" s="241"/>
      <c r="X538" s="241"/>
      <c r="Y538" s="241"/>
      <c r="Z538" s="242"/>
      <c r="AA538" s="242"/>
      <c r="AB538" s="243"/>
      <c r="AC538" s="243"/>
      <c r="AD538" s="244"/>
      <c r="AE538" s="244"/>
      <c r="AF538" s="244"/>
      <c r="AG538" s="244"/>
    </row>
    <row r="539" spans="2:33" s="245" customFormat="1" hidden="1">
      <c r="B539" s="239"/>
      <c r="C539" s="240"/>
      <c r="D539" s="241"/>
      <c r="E539" s="241"/>
      <c r="F539" s="241"/>
      <c r="G539" s="241"/>
      <c r="H539" s="241"/>
      <c r="I539" s="241"/>
      <c r="J539" s="241"/>
      <c r="K539" s="241"/>
      <c r="L539" s="241"/>
      <c r="M539" s="242"/>
      <c r="N539" s="241"/>
      <c r="O539" s="241"/>
      <c r="P539" s="241"/>
      <c r="Q539" s="241"/>
      <c r="R539" s="241"/>
      <c r="S539" s="241"/>
      <c r="T539" s="241"/>
      <c r="U539" s="241"/>
      <c r="V539" s="241"/>
      <c r="W539" s="241"/>
      <c r="X539" s="241"/>
      <c r="Y539" s="241"/>
      <c r="Z539" s="242"/>
      <c r="AA539" s="242"/>
      <c r="AB539" s="243"/>
      <c r="AC539" s="243"/>
      <c r="AD539" s="244"/>
      <c r="AE539" s="244"/>
      <c r="AF539" s="244"/>
      <c r="AG539" s="244"/>
    </row>
    <row r="540" spans="2:33" s="245" customFormat="1" hidden="1">
      <c r="B540" s="239"/>
      <c r="C540" s="240"/>
      <c r="D540" s="241"/>
      <c r="E540" s="241"/>
      <c r="F540" s="241"/>
      <c r="G540" s="241"/>
      <c r="H540" s="241"/>
      <c r="I540" s="241"/>
      <c r="J540" s="241"/>
      <c r="K540" s="241"/>
      <c r="L540" s="241"/>
      <c r="M540" s="242"/>
      <c r="N540" s="241"/>
      <c r="O540" s="241"/>
      <c r="P540" s="241"/>
      <c r="Q540" s="241"/>
      <c r="R540" s="241"/>
      <c r="S540" s="241"/>
      <c r="T540" s="241"/>
      <c r="U540" s="241"/>
      <c r="V540" s="241"/>
      <c r="W540" s="241"/>
      <c r="X540" s="241"/>
      <c r="Y540" s="241"/>
      <c r="Z540" s="242"/>
      <c r="AA540" s="242"/>
      <c r="AB540" s="243"/>
      <c r="AC540" s="243"/>
      <c r="AD540" s="244"/>
      <c r="AE540" s="244"/>
      <c r="AF540" s="244"/>
      <c r="AG540" s="244"/>
    </row>
    <row r="541" spans="2:33" s="245" customFormat="1" hidden="1">
      <c r="B541" s="239"/>
      <c r="C541" s="240"/>
      <c r="D541" s="241"/>
      <c r="E541" s="241"/>
      <c r="F541" s="241"/>
      <c r="G541" s="241"/>
      <c r="H541" s="241"/>
      <c r="I541" s="241"/>
      <c r="J541" s="241"/>
      <c r="K541" s="241"/>
      <c r="L541" s="241"/>
      <c r="M541" s="242"/>
      <c r="N541" s="241"/>
      <c r="O541" s="241"/>
      <c r="P541" s="241"/>
      <c r="Q541" s="241"/>
      <c r="R541" s="241"/>
      <c r="S541" s="241"/>
      <c r="T541" s="241"/>
      <c r="U541" s="241"/>
      <c r="V541" s="241"/>
      <c r="W541" s="241"/>
      <c r="X541" s="241"/>
      <c r="Y541" s="241"/>
      <c r="Z541" s="242"/>
      <c r="AA541" s="242"/>
      <c r="AB541" s="243"/>
      <c r="AC541" s="243"/>
      <c r="AD541" s="244"/>
      <c r="AE541" s="244"/>
      <c r="AF541" s="244"/>
      <c r="AG541" s="244"/>
    </row>
    <row r="542" spans="2:33" s="245" customFormat="1" hidden="1">
      <c r="B542" s="239"/>
      <c r="C542" s="240"/>
      <c r="D542" s="241"/>
      <c r="E542" s="241"/>
      <c r="F542" s="241"/>
      <c r="G542" s="241"/>
      <c r="H542" s="241"/>
      <c r="I542" s="241"/>
      <c r="J542" s="241"/>
      <c r="K542" s="241"/>
      <c r="L542" s="241"/>
      <c r="M542" s="242"/>
      <c r="N542" s="241"/>
      <c r="O542" s="241"/>
      <c r="P542" s="241"/>
      <c r="Q542" s="241"/>
      <c r="R542" s="241"/>
      <c r="S542" s="241"/>
      <c r="T542" s="241"/>
      <c r="U542" s="241"/>
      <c r="V542" s="241"/>
      <c r="W542" s="241"/>
      <c r="X542" s="241"/>
      <c r="Y542" s="241"/>
      <c r="Z542" s="242"/>
      <c r="AA542" s="242"/>
      <c r="AB542" s="243"/>
      <c r="AC542" s="243"/>
      <c r="AD542" s="244"/>
      <c r="AE542" s="244"/>
      <c r="AF542" s="244"/>
      <c r="AG542" s="244"/>
    </row>
    <row r="543" spans="2:33" s="245" customFormat="1" hidden="1">
      <c r="B543" s="239"/>
      <c r="C543" s="240"/>
      <c r="D543" s="241"/>
      <c r="E543" s="241"/>
      <c r="F543" s="241"/>
      <c r="G543" s="241"/>
      <c r="H543" s="241"/>
      <c r="I543" s="241"/>
      <c r="J543" s="241"/>
      <c r="K543" s="241"/>
      <c r="L543" s="241"/>
      <c r="M543" s="242"/>
      <c r="N543" s="241"/>
      <c r="O543" s="241"/>
      <c r="P543" s="241"/>
      <c r="Q543" s="241"/>
      <c r="R543" s="241"/>
      <c r="S543" s="241"/>
      <c r="T543" s="241"/>
      <c r="U543" s="241"/>
      <c r="V543" s="241"/>
      <c r="W543" s="241"/>
      <c r="X543" s="241"/>
      <c r="Y543" s="241"/>
      <c r="Z543" s="242"/>
      <c r="AA543" s="242"/>
      <c r="AB543" s="243"/>
      <c r="AC543" s="243"/>
      <c r="AD543" s="244"/>
      <c r="AE543" s="244"/>
      <c r="AF543" s="244"/>
      <c r="AG543" s="244"/>
    </row>
    <row r="544" spans="2:33" s="245" customFormat="1" hidden="1">
      <c r="B544" s="239"/>
      <c r="C544" s="240"/>
      <c r="D544" s="241"/>
      <c r="E544" s="241"/>
      <c r="F544" s="241"/>
      <c r="G544" s="241"/>
      <c r="H544" s="241"/>
      <c r="I544" s="241"/>
      <c r="J544" s="241"/>
      <c r="K544" s="241"/>
      <c r="L544" s="241"/>
      <c r="M544" s="242"/>
      <c r="N544" s="241"/>
      <c r="O544" s="241"/>
      <c r="P544" s="241"/>
      <c r="Q544" s="241"/>
      <c r="R544" s="241"/>
      <c r="S544" s="241"/>
      <c r="T544" s="241"/>
      <c r="U544" s="241"/>
      <c r="V544" s="241"/>
      <c r="W544" s="241"/>
      <c r="X544" s="241"/>
      <c r="Y544" s="241"/>
      <c r="Z544" s="242"/>
      <c r="AA544" s="242"/>
      <c r="AB544" s="243"/>
      <c r="AC544" s="243"/>
      <c r="AD544" s="244"/>
      <c r="AE544" s="244"/>
      <c r="AF544" s="244"/>
      <c r="AG544" s="244"/>
    </row>
    <row r="545" spans="2:33" s="245" customFormat="1" hidden="1">
      <c r="B545" s="239"/>
      <c r="C545" s="240"/>
      <c r="D545" s="241"/>
      <c r="E545" s="241"/>
      <c r="F545" s="241"/>
      <c r="G545" s="241"/>
      <c r="H545" s="241"/>
      <c r="I545" s="241"/>
      <c r="J545" s="241"/>
      <c r="K545" s="241"/>
      <c r="L545" s="241"/>
      <c r="M545" s="242"/>
      <c r="N545" s="241"/>
      <c r="O545" s="241"/>
      <c r="P545" s="241"/>
      <c r="Q545" s="241"/>
      <c r="R545" s="241"/>
      <c r="S545" s="241"/>
      <c r="T545" s="241"/>
      <c r="U545" s="241"/>
      <c r="V545" s="241"/>
      <c r="W545" s="241"/>
      <c r="X545" s="241"/>
      <c r="Y545" s="241"/>
      <c r="Z545" s="242"/>
      <c r="AA545" s="242"/>
      <c r="AB545" s="243"/>
      <c r="AC545" s="243"/>
      <c r="AD545" s="244"/>
      <c r="AE545" s="244"/>
      <c r="AF545" s="244"/>
      <c r="AG545" s="244"/>
    </row>
    <row r="546" spans="2:33" s="245" customFormat="1" hidden="1">
      <c r="B546" s="239"/>
      <c r="C546" s="240"/>
      <c r="D546" s="241"/>
      <c r="E546" s="241"/>
      <c r="F546" s="241"/>
      <c r="G546" s="241"/>
      <c r="H546" s="241"/>
      <c r="I546" s="241"/>
      <c r="J546" s="241"/>
      <c r="K546" s="241"/>
      <c r="L546" s="241"/>
      <c r="M546" s="242"/>
      <c r="N546" s="241"/>
      <c r="O546" s="241"/>
      <c r="P546" s="241"/>
      <c r="Q546" s="241"/>
      <c r="R546" s="241"/>
      <c r="S546" s="241"/>
      <c r="T546" s="241"/>
      <c r="U546" s="241"/>
      <c r="V546" s="241"/>
      <c r="W546" s="241"/>
      <c r="X546" s="241"/>
      <c r="Y546" s="241"/>
      <c r="Z546" s="242"/>
      <c r="AA546" s="242"/>
      <c r="AB546" s="243"/>
      <c r="AC546" s="243"/>
      <c r="AD546" s="244"/>
      <c r="AE546" s="244"/>
      <c r="AF546" s="244"/>
      <c r="AG546" s="244"/>
    </row>
    <row r="547" spans="2:33" s="245" customFormat="1" hidden="1">
      <c r="B547" s="239"/>
      <c r="C547" s="240"/>
      <c r="D547" s="241"/>
      <c r="E547" s="241"/>
      <c r="F547" s="241"/>
      <c r="G547" s="241"/>
      <c r="H547" s="241"/>
      <c r="I547" s="241"/>
      <c r="J547" s="241"/>
      <c r="K547" s="241"/>
      <c r="L547" s="241"/>
      <c r="M547" s="242"/>
      <c r="N547" s="241"/>
      <c r="O547" s="241"/>
      <c r="P547" s="241"/>
      <c r="Q547" s="241"/>
      <c r="R547" s="241"/>
      <c r="S547" s="241"/>
      <c r="T547" s="241"/>
      <c r="U547" s="241"/>
      <c r="V547" s="241"/>
      <c r="W547" s="241"/>
      <c r="X547" s="241"/>
      <c r="Y547" s="241"/>
      <c r="Z547" s="242"/>
      <c r="AA547" s="242"/>
      <c r="AB547" s="243"/>
      <c r="AC547" s="243"/>
      <c r="AD547" s="244"/>
      <c r="AE547" s="244"/>
      <c r="AF547" s="244"/>
      <c r="AG547" s="244"/>
    </row>
    <row r="548" spans="2:33" s="245" customFormat="1" hidden="1">
      <c r="B548" s="239"/>
      <c r="C548" s="240"/>
      <c r="D548" s="241"/>
      <c r="E548" s="241"/>
      <c r="F548" s="241"/>
      <c r="G548" s="241"/>
      <c r="H548" s="241"/>
      <c r="I548" s="241"/>
      <c r="J548" s="241"/>
      <c r="K548" s="241"/>
      <c r="L548" s="241"/>
      <c r="M548" s="242"/>
      <c r="N548" s="241"/>
      <c r="O548" s="241"/>
      <c r="P548" s="241"/>
      <c r="Q548" s="241"/>
      <c r="R548" s="241"/>
      <c r="S548" s="241"/>
      <c r="T548" s="241"/>
      <c r="U548" s="241"/>
      <c r="V548" s="241"/>
      <c r="W548" s="241"/>
      <c r="X548" s="241"/>
      <c r="Y548" s="241"/>
      <c r="Z548" s="242"/>
      <c r="AA548" s="242"/>
      <c r="AB548" s="243"/>
      <c r="AC548" s="243"/>
      <c r="AD548" s="244"/>
      <c r="AE548" s="244"/>
      <c r="AF548" s="244"/>
      <c r="AG548" s="244"/>
    </row>
    <row r="549" spans="2:33" s="245" customFormat="1" hidden="1">
      <c r="B549" s="239"/>
      <c r="C549" s="240"/>
      <c r="D549" s="241"/>
      <c r="E549" s="241"/>
      <c r="F549" s="241"/>
      <c r="G549" s="241"/>
      <c r="H549" s="241"/>
      <c r="I549" s="241"/>
      <c r="J549" s="241"/>
      <c r="K549" s="241"/>
      <c r="L549" s="241"/>
      <c r="M549" s="242"/>
      <c r="N549" s="241"/>
      <c r="O549" s="241"/>
      <c r="P549" s="241"/>
      <c r="Q549" s="241"/>
      <c r="R549" s="241"/>
      <c r="S549" s="241"/>
      <c r="T549" s="241"/>
      <c r="U549" s="241"/>
      <c r="V549" s="241"/>
      <c r="W549" s="241"/>
      <c r="X549" s="241"/>
      <c r="Y549" s="241"/>
      <c r="Z549" s="242"/>
      <c r="AA549" s="242"/>
      <c r="AB549" s="243"/>
      <c r="AC549" s="243"/>
      <c r="AD549" s="244"/>
      <c r="AE549" s="244"/>
      <c r="AF549" s="244"/>
      <c r="AG549" s="244"/>
    </row>
    <row r="550" spans="2:33" s="245" customFormat="1" hidden="1">
      <c r="B550" s="239"/>
      <c r="C550" s="240"/>
      <c r="D550" s="241"/>
      <c r="E550" s="241"/>
      <c r="F550" s="241"/>
      <c r="G550" s="241"/>
      <c r="H550" s="241"/>
      <c r="I550" s="241"/>
      <c r="J550" s="241"/>
      <c r="K550" s="241"/>
      <c r="L550" s="241"/>
      <c r="M550" s="242"/>
      <c r="N550" s="241"/>
      <c r="O550" s="241"/>
      <c r="P550" s="241"/>
      <c r="Q550" s="241"/>
      <c r="R550" s="241"/>
      <c r="S550" s="241"/>
      <c r="T550" s="241"/>
      <c r="U550" s="241"/>
      <c r="V550" s="241"/>
      <c r="W550" s="241"/>
      <c r="X550" s="241"/>
      <c r="Y550" s="241"/>
      <c r="Z550" s="242"/>
      <c r="AA550" s="242"/>
      <c r="AB550" s="243"/>
      <c r="AC550" s="243"/>
      <c r="AD550" s="244"/>
      <c r="AE550" s="244"/>
      <c r="AF550" s="244"/>
      <c r="AG550" s="244"/>
    </row>
    <row r="551" spans="2:33" s="245" customFormat="1" hidden="1">
      <c r="B551" s="239"/>
      <c r="C551" s="240"/>
      <c r="D551" s="241"/>
      <c r="E551" s="241"/>
      <c r="F551" s="241"/>
      <c r="G551" s="241"/>
      <c r="H551" s="241"/>
      <c r="I551" s="241"/>
      <c r="J551" s="241"/>
      <c r="K551" s="241"/>
      <c r="L551" s="241"/>
      <c r="M551" s="242"/>
      <c r="N551" s="241"/>
      <c r="O551" s="241"/>
      <c r="P551" s="241"/>
      <c r="Q551" s="241"/>
      <c r="R551" s="241"/>
      <c r="S551" s="241"/>
      <c r="T551" s="241"/>
      <c r="U551" s="241"/>
      <c r="V551" s="241"/>
      <c r="W551" s="241"/>
      <c r="X551" s="241"/>
      <c r="Y551" s="241"/>
      <c r="Z551" s="242"/>
      <c r="AA551" s="242"/>
      <c r="AB551" s="243"/>
      <c r="AC551" s="243"/>
      <c r="AD551" s="244"/>
      <c r="AE551" s="244"/>
      <c r="AF551" s="244"/>
      <c r="AG551" s="244"/>
    </row>
    <row r="552" spans="2:33" s="245" customFormat="1" hidden="1">
      <c r="B552" s="239"/>
      <c r="C552" s="240"/>
      <c r="D552" s="241"/>
      <c r="E552" s="241"/>
      <c r="F552" s="241"/>
      <c r="G552" s="241"/>
      <c r="H552" s="241"/>
      <c r="I552" s="241"/>
      <c r="J552" s="241"/>
      <c r="K552" s="241"/>
      <c r="L552" s="241"/>
      <c r="M552" s="242"/>
      <c r="N552" s="241"/>
      <c r="O552" s="241"/>
      <c r="P552" s="241"/>
      <c r="Q552" s="241"/>
      <c r="R552" s="241"/>
      <c r="S552" s="241"/>
      <c r="T552" s="241"/>
      <c r="U552" s="241"/>
      <c r="V552" s="241"/>
      <c r="W552" s="241"/>
      <c r="X552" s="241"/>
      <c r="Y552" s="241"/>
      <c r="Z552" s="242"/>
      <c r="AA552" s="242"/>
      <c r="AB552" s="243"/>
      <c r="AC552" s="243"/>
      <c r="AD552" s="244"/>
      <c r="AE552" s="244"/>
      <c r="AF552" s="244"/>
      <c r="AG552" s="244"/>
    </row>
    <row r="553" spans="2:33" s="245" customFormat="1" hidden="1">
      <c r="B553" s="239"/>
      <c r="C553" s="240"/>
      <c r="D553" s="241"/>
      <c r="E553" s="241"/>
      <c r="F553" s="241"/>
      <c r="G553" s="241"/>
      <c r="H553" s="241"/>
      <c r="I553" s="241"/>
      <c r="J553" s="241"/>
      <c r="K553" s="241"/>
      <c r="L553" s="241"/>
      <c r="M553" s="242"/>
      <c r="N553" s="241"/>
      <c r="O553" s="241"/>
      <c r="P553" s="241"/>
      <c r="Q553" s="241"/>
      <c r="R553" s="241"/>
      <c r="S553" s="241"/>
      <c r="T553" s="241"/>
      <c r="U553" s="241"/>
      <c r="V553" s="241"/>
      <c r="W553" s="241"/>
      <c r="X553" s="241"/>
      <c r="Y553" s="241"/>
      <c r="Z553" s="242"/>
      <c r="AA553" s="242"/>
      <c r="AB553" s="243"/>
      <c r="AC553" s="243"/>
      <c r="AD553" s="244"/>
      <c r="AE553" s="244"/>
      <c r="AF553" s="244"/>
      <c r="AG553" s="244"/>
    </row>
    <row r="554" spans="2:33" s="245" customFormat="1" hidden="1">
      <c r="B554" s="239"/>
      <c r="C554" s="240"/>
      <c r="D554" s="241"/>
      <c r="E554" s="241"/>
      <c r="F554" s="241"/>
      <c r="G554" s="241"/>
      <c r="H554" s="241"/>
      <c r="I554" s="241"/>
      <c r="J554" s="241"/>
      <c r="K554" s="241"/>
      <c r="L554" s="241"/>
      <c r="M554" s="242"/>
      <c r="N554" s="241"/>
      <c r="O554" s="241"/>
      <c r="P554" s="241"/>
      <c r="Q554" s="241"/>
      <c r="R554" s="241"/>
      <c r="S554" s="241"/>
      <c r="T554" s="241"/>
      <c r="U554" s="241"/>
      <c r="V554" s="241"/>
      <c r="W554" s="241"/>
      <c r="X554" s="241"/>
      <c r="Y554" s="241"/>
      <c r="Z554" s="242"/>
      <c r="AA554" s="242"/>
      <c r="AB554" s="243"/>
      <c r="AC554" s="243"/>
      <c r="AD554" s="244"/>
      <c r="AE554" s="244"/>
      <c r="AF554" s="244"/>
      <c r="AG554" s="244"/>
    </row>
    <row r="555" spans="2:33" s="245" customFormat="1" hidden="1">
      <c r="B555" s="239"/>
      <c r="C555" s="240"/>
      <c r="D555" s="241"/>
      <c r="E555" s="241"/>
      <c r="F555" s="241"/>
      <c r="G555" s="241"/>
      <c r="H555" s="241"/>
      <c r="I555" s="241"/>
      <c r="J555" s="241"/>
      <c r="K555" s="241"/>
      <c r="L555" s="241"/>
      <c r="M555" s="242"/>
      <c r="N555" s="241"/>
      <c r="O555" s="241"/>
      <c r="P555" s="241"/>
      <c r="Q555" s="241"/>
      <c r="R555" s="241"/>
      <c r="S555" s="241"/>
      <c r="T555" s="241"/>
      <c r="U555" s="241"/>
      <c r="V555" s="241"/>
      <c r="W555" s="241"/>
      <c r="X555" s="241"/>
      <c r="Y555" s="241"/>
      <c r="Z555" s="242"/>
      <c r="AA555" s="242"/>
      <c r="AB555" s="243"/>
      <c r="AC555" s="243"/>
      <c r="AD555" s="244"/>
      <c r="AE555" s="244"/>
      <c r="AF555" s="244"/>
      <c r="AG555" s="244"/>
    </row>
    <row r="556" spans="2:33" s="245" customFormat="1" hidden="1">
      <c r="B556" s="239"/>
      <c r="C556" s="240"/>
      <c r="D556" s="241"/>
      <c r="E556" s="241"/>
      <c r="F556" s="241"/>
      <c r="G556" s="241"/>
      <c r="H556" s="241"/>
      <c r="I556" s="241"/>
      <c r="J556" s="241"/>
      <c r="K556" s="241"/>
      <c r="L556" s="241"/>
      <c r="M556" s="242"/>
      <c r="N556" s="241"/>
      <c r="O556" s="241"/>
      <c r="P556" s="241"/>
      <c r="Q556" s="241"/>
      <c r="R556" s="241"/>
      <c r="S556" s="241"/>
      <c r="T556" s="241"/>
      <c r="U556" s="241"/>
      <c r="V556" s="241"/>
      <c r="W556" s="241"/>
      <c r="X556" s="241"/>
      <c r="Y556" s="241"/>
      <c r="Z556" s="242"/>
      <c r="AA556" s="242"/>
      <c r="AB556" s="243"/>
      <c r="AC556" s="243"/>
      <c r="AD556" s="244"/>
      <c r="AE556" s="244"/>
      <c r="AF556" s="244"/>
      <c r="AG556" s="244"/>
    </row>
    <row r="557" spans="2:33" s="245" customFormat="1" hidden="1">
      <c r="B557" s="239"/>
      <c r="C557" s="240"/>
      <c r="D557" s="241"/>
      <c r="E557" s="241"/>
      <c r="F557" s="241"/>
      <c r="G557" s="241"/>
      <c r="H557" s="241"/>
      <c r="I557" s="241"/>
      <c r="J557" s="241"/>
      <c r="K557" s="241"/>
      <c r="L557" s="241"/>
      <c r="M557" s="242"/>
      <c r="N557" s="241"/>
      <c r="O557" s="241"/>
      <c r="P557" s="241"/>
      <c r="Q557" s="241"/>
      <c r="R557" s="241"/>
      <c r="S557" s="241"/>
      <c r="T557" s="241"/>
      <c r="U557" s="241"/>
      <c r="V557" s="241"/>
      <c r="W557" s="241"/>
      <c r="X557" s="241"/>
      <c r="Y557" s="241"/>
      <c r="Z557" s="242"/>
      <c r="AA557" s="242"/>
      <c r="AB557" s="243"/>
      <c r="AC557" s="243"/>
      <c r="AD557" s="244"/>
      <c r="AE557" s="244"/>
      <c r="AF557" s="244"/>
      <c r="AG557" s="244"/>
    </row>
    <row r="558" spans="2:33" s="245" customFormat="1" hidden="1">
      <c r="B558" s="239"/>
      <c r="C558" s="240"/>
      <c r="D558" s="241"/>
      <c r="E558" s="241"/>
      <c r="F558" s="241"/>
      <c r="G558" s="241"/>
      <c r="H558" s="241"/>
      <c r="I558" s="241"/>
      <c r="J558" s="241"/>
      <c r="K558" s="241"/>
      <c r="L558" s="241"/>
      <c r="M558" s="242"/>
      <c r="N558" s="241"/>
      <c r="O558" s="241"/>
      <c r="P558" s="241"/>
      <c r="Q558" s="241"/>
      <c r="R558" s="241"/>
      <c r="S558" s="241"/>
      <c r="T558" s="241"/>
      <c r="U558" s="241"/>
      <c r="V558" s="241"/>
      <c r="W558" s="241"/>
      <c r="X558" s="241"/>
      <c r="Y558" s="241"/>
      <c r="Z558" s="242"/>
      <c r="AA558" s="242"/>
      <c r="AB558" s="243"/>
      <c r="AC558" s="243"/>
      <c r="AD558" s="244"/>
      <c r="AE558" s="244"/>
      <c r="AF558" s="244"/>
      <c r="AG558" s="244"/>
    </row>
    <row r="559" spans="2:33" s="245" customFormat="1" hidden="1">
      <c r="B559" s="239"/>
      <c r="C559" s="240"/>
      <c r="D559" s="241"/>
      <c r="E559" s="241"/>
      <c r="F559" s="241"/>
      <c r="G559" s="241"/>
      <c r="H559" s="241"/>
      <c r="I559" s="241"/>
      <c r="J559" s="241"/>
      <c r="K559" s="241"/>
      <c r="L559" s="241"/>
      <c r="M559" s="242"/>
      <c r="N559" s="241"/>
      <c r="O559" s="241"/>
      <c r="P559" s="241"/>
      <c r="Q559" s="241"/>
      <c r="R559" s="241"/>
      <c r="S559" s="241"/>
      <c r="T559" s="241"/>
      <c r="U559" s="241"/>
      <c r="V559" s="241"/>
      <c r="W559" s="241"/>
      <c r="X559" s="241"/>
      <c r="Y559" s="241"/>
      <c r="Z559" s="242"/>
      <c r="AA559" s="242"/>
      <c r="AB559" s="243"/>
      <c r="AC559" s="243"/>
      <c r="AD559" s="244"/>
      <c r="AE559" s="244"/>
      <c r="AF559" s="244"/>
      <c r="AG559" s="244"/>
    </row>
    <row r="560" spans="2:33" s="245" customFormat="1" hidden="1">
      <c r="B560" s="239"/>
      <c r="C560" s="240"/>
      <c r="D560" s="241"/>
      <c r="E560" s="241"/>
      <c r="F560" s="241"/>
      <c r="G560" s="241"/>
      <c r="H560" s="241"/>
      <c r="I560" s="241"/>
      <c r="J560" s="241"/>
      <c r="K560" s="241"/>
      <c r="L560" s="241"/>
      <c r="M560" s="242"/>
      <c r="N560" s="241"/>
      <c r="O560" s="241"/>
      <c r="P560" s="241"/>
      <c r="Q560" s="241"/>
      <c r="R560" s="241"/>
      <c r="S560" s="241"/>
      <c r="T560" s="241"/>
      <c r="U560" s="241"/>
      <c r="V560" s="241"/>
      <c r="W560" s="241"/>
      <c r="X560" s="241"/>
      <c r="Y560" s="241"/>
      <c r="Z560" s="242"/>
      <c r="AA560" s="242"/>
      <c r="AB560" s="243"/>
      <c r="AC560" s="243"/>
      <c r="AD560" s="244"/>
      <c r="AE560" s="244"/>
      <c r="AF560" s="244"/>
      <c r="AG560" s="244"/>
    </row>
    <row r="561" spans="2:33" s="245" customFormat="1" hidden="1">
      <c r="B561" s="239"/>
      <c r="C561" s="240"/>
      <c r="D561" s="241"/>
      <c r="E561" s="241"/>
      <c r="F561" s="241"/>
      <c r="G561" s="241"/>
      <c r="H561" s="241"/>
      <c r="I561" s="241"/>
      <c r="J561" s="241"/>
      <c r="K561" s="241"/>
      <c r="L561" s="241"/>
      <c r="M561" s="242"/>
      <c r="N561" s="241"/>
      <c r="O561" s="241"/>
      <c r="P561" s="241"/>
      <c r="Q561" s="241"/>
      <c r="R561" s="241"/>
      <c r="S561" s="241"/>
      <c r="T561" s="241"/>
      <c r="U561" s="241"/>
      <c r="V561" s="241"/>
      <c r="W561" s="241"/>
      <c r="X561" s="241"/>
      <c r="Y561" s="241"/>
      <c r="Z561" s="242"/>
      <c r="AA561" s="242"/>
      <c r="AB561" s="243"/>
      <c r="AC561" s="243"/>
      <c r="AD561" s="244"/>
      <c r="AE561" s="244"/>
      <c r="AF561" s="244"/>
      <c r="AG561" s="244"/>
    </row>
    <row r="562" spans="2:33" s="245" customFormat="1" hidden="1">
      <c r="B562" s="239"/>
      <c r="C562" s="240"/>
      <c r="D562" s="241"/>
      <c r="E562" s="241"/>
      <c r="F562" s="241"/>
      <c r="G562" s="241"/>
      <c r="H562" s="241"/>
      <c r="I562" s="241"/>
      <c r="J562" s="241"/>
      <c r="K562" s="241"/>
      <c r="L562" s="241"/>
      <c r="M562" s="242"/>
      <c r="N562" s="241"/>
      <c r="O562" s="241"/>
      <c r="P562" s="241"/>
      <c r="Q562" s="241"/>
      <c r="R562" s="241"/>
      <c r="S562" s="241"/>
      <c r="T562" s="241"/>
      <c r="U562" s="241"/>
      <c r="V562" s="241"/>
      <c r="W562" s="241"/>
      <c r="X562" s="241"/>
      <c r="Y562" s="241"/>
      <c r="Z562" s="242"/>
      <c r="AA562" s="242"/>
      <c r="AB562" s="243"/>
      <c r="AC562" s="243"/>
      <c r="AD562" s="244"/>
      <c r="AE562" s="244"/>
      <c r="AF562" s="244"/>
      <c r="AG562" s="244"/>
    </row>
    <row r="563" spans="2:33" s="245" customFormat="1" hidden="1">
      <c r="B563" s="239"/>
      <c r="C563" s="240"/>
      <c r="D563" s="241"/>
      <c r="E563" s="241"/>
      <c r="F563" s="241"/>
      <c r="G563" s="241"/>
      <c r="H563" s="241"/>
      <c r="I563" s="241"/>
      <c r="J563" s="241"/>
      <c r="K563" s="241"/>
      <c r="L563" s="241"/>
      <c r="M563" s="242"/>
      <c r="N563" s="241"/>
      <c r="O563" s="241"/>
      <c r="P563" s="241"/>
      <c r="Q563" s="241"/>
      <c r="R563" s="241"/>
      <c r="S563" s="241"/>
      <c r="T563" s="241"/>
      <c r="U563" s="241"/>
      <c r="V563" s="241"/>
      <c r="W563" s="241"/>
      <c r="X563" s="241"/>
      <c r="Y563" s="241"/>
      <c r="Z563" s="242"/>
      <c r="AA563" s="242"/>
      <c r="AB563" s="243"/>
      <c r="AC563" s="243"/>
      <c r="AD563" s="244"/>
      <c r="AE563" s="244"/>
      <c r="AF563" s="244"/>
      <c r="AG563" s="244"/>
    </row>
    <row r="564" spans="2:33" s="245" customFormat="1" hidden="1">
      <c r="B564" s="239"/>
      <c r="C564" s="240"/>
      <c r="D564" s="241"/>
      <c r="E564" s="241"/>
      <c r="F564" s="241"/>
      <c r="G564" s="241"/>
      <c r="H564" s="241"/>
      <c r="I564" s="241"/>
      <c r="J564" s="241"/>
      <c r="K564" s="241"/>
      <c r="L564" s="241"/>
      <c r="M564" s="242"/>
      <c r="N564" s="241"/>
      <c r="O564" s="241"/>
      <c r="P564" s="241"/>
      <c r="Q564" s="241"/>
      <c r="R564" s="241"/>
      <c r="S564" s="241"/>
      <c r="T564" s="241"/>
      <c r="U564" s="241"/>
      <c r="V564" s="241"/>
      <c r="W564" s="241"/>
      <c r="X564" s="241"/>
      <c r="Y564" s="241"/>
      <c r="Z564" s="242"/>
      <c r="AA564" s="242"/>
      <c r="AB564" s="243"/>
      <c r="AC564" s="243"/>
      <c r="AD564" s="244"/>
      <c r="AE564" s="244"/>
      <c r="AF564" s="244"/>
      <c r="AG564" s="244"/>
    </row>
    <row r="565" spans="2:33" s="245" customFormat="1" hidden="1">
      <c r="B565" s="239"/>
      <c r="C565" s="240"/>
      <c r="D565" s="241"/>
      <c r="E565" s="241"/>
      <c r="F565" s="241"/>
      <c r="G565" s="241"/>
      <c r="H565" s="241"/>
      <c r="I565" s="241"/>
      <c r="J565" s="241"/>
      <c r="K565" s="241"/>
      <c r="L565" s="241"/>
      <c r="M565" s="242"/>
      <c r="N565" s="241"/>
      <c r="O565" s="241"/>
      <c r="P565" s="241"/>
      <c r="Q565" s="241"/>
      <c r="R565" s="241"/>
      <c r="S565" s="241"/>
      <c r="T565" s="241"/>
      <c r="U565" s="241"/>
      <c r="V565" s="241"/>
      <c r="W565" s="241"/>
      <c r="X565" s="241"/>
      <c r="Y565" s="241"/>
      <c r="Z565" s="242"/>
      <c r="AA565" s="242"/>
      <c r="AB565" s="243"/>
      <c r="AC565" s="243"/>
      <c r="AD565" s="244"/>
      <c r="AE565" s="244"/>
      <c r="AF565" s="244"/>
      <c r="AG565" s="244"/>
    </row>
    <row r="566" spans="2:33" s="245" customFormat="1" hidden="1">
      <c r="B566" s="239"/>
      <c r="C566" s="240"/>
      <c r="D566" s="241"/>
      <c r="E566" s="241"/>
      <c r="F566" s="241"/>
      <c r="G566" s="241"/>
      <c r="H566" s="241"/>
      <c r="I566" s="241"/>
      <c r="J566" s="241"/>
      <c r="K566" s="241"/>
      <c r="L566" s="241"/>
      <c r="M566" s="242"/>
      <c r="N566" s="241"/>
      <c r="O566" s="241"/>
      <c r="P566" s="241"/>
      <c r="Q566" s="241"/>
      <c r="R566" s="241"/>
      <c r="S566" s="241"/>
      <c r="T566" s="241"/>
      <c r="U566" s="241"/>
      <c r="V566" s="241"/>
      <c r="W566" s="241"/>
      <c r="X566" s="241"/>
      <c r="Y566" s="241"/>
      <c r="Z566" s="242"/>
      <c r="AA566" s="242"/>
      <c r="AB566" s="243"/>
      <c r="AC566" s="243"/>
      <c r="AD566" s="244"/>
      <c r="AE566" s="244"/>
      <c r="AF566" s="244"/>
      <c r="AG566" s="244"/>
    </row>
    <row r="567" spans="2:33" s="245" customFormat="1" hidden="1">
      <c r="B567" s="239"/>
      <c r="C567" s="240"/>
      <c r="D567" s="241"/>
      <c r="E567" s="241"/>
      <c r="F567" s="241"/>
      <c r="G567" s="241"/>
      <c r="H567" s="241"/>
      <c r="I567" s="241"/>
      <c r="J567" s="241"/>
      <c r="K567" s="241"/>
      <c r="L567" s="241"/>
      <c r="M567" s="242"/>
      <c r="N567" s="241"/>
      <c r="O567" s="241"/>
      <c r="P567" s="241"/>
      <c r="Q567" s="241"/>
      <c r="R567" s="241"/>
      <c r="S567" s="241"/>
      <c r="T567" s="241"/>
      <c r="U567" s="241"/>
      <c r="V567" s="241"/>
      <c r="W567" s="241"/>
      <c r="X567" s="241"/>
      <c r="Y567" s="241"/>
      <c r="Z567" s="242"/>
      <c r="AA567" s="242"/>
      <c r="AB567" s="243"/>
      <c r="AC567" s="243"/>
      <c r="AD567" s="244"/>
      <c r="AE567" s="244"/>
      <c r="AF567" s="244"/>
      <c r="AG567" s="244"/>
    </row>
    <row r="568" spans="2:33" s="245" customFormat="1" hidden="1">
      <c r="B568" s="239"/>
      <c r="C568" s="240"/>
      <c r="D568" s="241"/>
      <c r="E568" s="241"/>
      <c r="F568" s="241"/>
      <c r="G568" s="241"/>
      <c r="H568" s="241"/>
      <c r="I568" s="241"/>
      <c r="J568" s="241"/>
      <c r="K568" s="241"/>
      <c r="L568" s="241"/>
      <c r="M568" s="242"/>
      <c r="N568" s="241"/>
      <c r="O568" s="241"/>
      <c r="P568" s="241"/>
      <c r="Q568" s="241"/>
      <c r="R568" s="241"/>
      <c r="S568" s="241"/>
      <c r="T568" s="241"/>
      <c r="U568" s="241"/>
      <c r="V568" s="241"/>
      <c r="W568" s="241"/>
      <c r="X568" s="241"/>
      <c r="Y568" s="241"/>
      <c r="Z568" s="242"/>
      <c r="AA568" s="242"/>
      <c r="AB568" s="243"/>
      <c r="AC568" s="243"/>
      <c r="AD568" s="244"/>
      <c r="AE568" s="244"/>
      <c r="AF568" s="244"/>
      <c r="AG568" s="244"/>
    </row>
    <row r="569" spans="2:33" s="245" customFormat="1" hidden="1">
      <c r="B569" s="239"/>
      <c r="C569" s="240"/>
      <c r="D569" s="241"/>
      <c r="E569" s="241"/>
      <c r="F569" s="241"/>
      <c r="G569" s="241"/>
      <c r="H569" s="241"/>
      <c r="I569" s="241"/>
      <c r="J569" s="241"/>
      <c r="K569" s="241"/>
      <c r="L569" s="241"/>
      <c r="M569" s="242"/>
      <c r="N569" s="241"/>
      <c r="O569" s="241"/>
      <c r="P569" s="241"/>
      <c r="Q569" s="241"/>
      <c r="R569" s="241"/>
      <c r="S569" s="241"/>
      <c r="T569" s="241"/>
      <c r="U569" s="241"/>
      <c r="V569" s="241"/>
      <c r="W569" s="241"/>
      <c r="X569" s="241"/>
      <c r="Y569" s="241"/>
      <c r="Z569" s="242"/>
      <c r="AA569" s="242"/>
      <c r="AB569" s="243"/>
      <c r="AC569" s="243"/>
      <c r="AD569" s="244"/>
      <c r="AE569" s="244"/>
      <c r="AF569" s="244"/>
      <c r="AG569" s="244"/>
    </row>
    <row r="570" spans="2:33" s="245" customFormat="1" hidden="1">
      <c r="B570" s="239"/>
      <c r="C570" s="240"/>
      <c r="D570" s="241"/>
      <c r="E570" s="241"/>
      <c r="F570" s="241"/>
      <c r="G570" s="241"/>
      <c r="H570" s="241"/>
      <c r="I570" s="241"/>
      <c r="J570" s="241"/>
      <c r="K570" s="241"/>
      <c r="L570" s="241"/>
      <c r="M570" s="242"/>
      <c r="N570" s="241"/>
      <c r="O570" s="241"/>
      <c r="P570" s="241"/>
      <c r="Q570" s="241"/>
      <c r="R570" s="241"/>
      <c r="S570" s="241"/>
      <c r="T570" s="241"/>
      <c r="U570" s="241"/>
      <c r="V570" s="241"/>
      <c r="W570" s="241"/>
      <c r="X570" s="241"/>
      <c r="Y570" s="241"/>
      <c r="Z570" s="242"/>
      <c r="AA570" s="242"/>
      <c r="AB570" s="243"/>
      <c r="AC570" s="243"/>
      <c r="AD570" s="244"/>
      <c r="AE570" s="244"/>
      <c r="AF570" s="244"/>
      <c r="AG570" s="244"/>
    </row>
    <row r="571" spans="2:33" s="245" customFormat="1" hidden="1">
      <c r="B571" s="239"/>
      <c r="C571" s="240"/>
      <c r="D571" s="241"/>
      <c r="E571" s="241"/>
      <c r="F571" s="241"/>
      <c r="G571" s="241"/>
      <c r="H571" s="241"/>
      <c r="I571" s="241"/>
      <c r="J571" s="241"/>
      <c r="K571" s="241"/>
      <c r="L571" s="241"/>
      <c r="M571" s="242"/>
      <c r="N571" s="241"/>
      <c r="O571" s="241"/>
      <c r="P571" s="241"/>
      <c r="Q571" s="241"/>
      <c r="R571" s="241"/>
      <c r="S571" s="241"/>
      <c r="T571" s="241"/>
      <c r="U571" s="241"/>
      <c r="V571" s="241"/>
      <c r="W571" s="241"/>
      <c r="X571" s="241"/>
      <c r="Y571" s="241"/>
      <c r="Z571" s="242"/>
      <c r="AA571" s="242"/>
      <c r="AB571" s="243"/>
      <c r="AC571" s="243"/>
      <c r="AD571" s="244"/>
      <c r="AE571" s="244"/>
      <c r="AF571" s="244"/>
      <c r="AG571" s="244"/>
    </row>
    <row r="572" spans="2:33" s="245" customFormat="1" hidden="1">
      <c r="B572" s="239"/>
      <c r="C572" s="240"/>
      <c r="D572" s="241"/>
      <c r="E572" s="241"/>
      <c r="F572" s="241"/>
      <c r="G572" s="241"/>
      <c r="H572" s="241"/>
      <c r="I572" s="241"/>
      <c r="J572" s="241"/>
      <c r="K572" s="241"/>
      <c r="L572" s="241"/>
      <c r="M572" s="242"/>
      <c r="N572" s="241"/>
      <c r="O572" s="241"/>
      <c r="P572" s="241"/>
      <c r="Q572" s="241"/>
      <c r="R572" s="241"/>
      <c r="S572" s="241"/>
      <c r="T572" s="241"/>
      <c r="U572" s="241"/>
      <c r="V572" s="241"/>
      <c r="W572" s="241"/>
      <c r="X572" s="241"/>
      <c r="Y572" s="241"/>
      <c r="Z572" s="242"/>
      <c r="AA572" s="242"/>
      <c r="AB572" s="243"/>
      <c r="AC572" s="243"/>
      <c r="AD572" s="244"/>
      <c r="AE572" s="244"/>
      <c r="AF572" s="244"/>
      <c r="AG572" s="244"/>
    </row>
    <row r="573" spans="2:33" s="245" customFormat="1" hidden="1">
      <c r="B573" s="239"/>
      <c r="C573" s="240"/>
      <c r="D573" s="241"/>
      <c r="E573" s="241"/>
      <c r="F573" s="241"/>
      <c r="G573" s="241"/>
      <c r="H573" s="241"/>
      <c r="I573" s="241"/>
      <c r="J573" s="241"/>
      <c r="K573" s="241"/>
      <c r="L573" s="241"/>
      <c r="M573" s="242"/>
      <c r="N573" s="241"/>
      <c r="O573" s="241"/>
      <c r="P573" s="241"/>
      <c r="Q573" s="241"/>
      <c r="R573" s="241"/>
      <c r="S573" s="241"/>
      <c r="T573" s="241"/>
      <c r="U573" s="241"/>
      <c r="V573" s="241"/>
      <c r="W573" s="241"/>
      <c r="X573" s="241"/>
      <c r="Y573" s="241"/>
      <c r="Z573" s="242"/>
      <c r="AA573" s="242"/>
      <c r="AB573" s="243"/>
      <c r="AC573" s="243"/>
      <c r="AD573" s="244"/>
      <c r="AE573" s="244"/>
      <c r="AF573" s="244"/>
      <c r="AG573" s="244"/>
    </row>
    <row r="574" spans="2:33" s="245" customFormat="1" hidden="1">
      <c r="B574" s="239"/>
      <c r="C574" s="240"/>
      <c r="D574" s="241"/>
      <c r="E574" s="241"/>
      <c r="F574" s="241"/>
      <c r="G574" s="241"/>
      <c r="H574" s="241"/>
      <c r="I574" s="241"/>
      <c r="J574" s="241"/>
      <c r="K574" s="241"/>
      <c r="L574" s="241"/>
      <c r="M574" s="242"/>
      <c r="N574" s="241"/>
      <c r="O574" s="241"/>
      <c r="P574" s="241"/>
      <c r="Q574" s="241"/>
      <c r="R574" s="241"/>
      <c r="S574" s="241"/>
      <c r="T574" s="241"/>
      <c r="U574" s="241"/>
      <c r="V574" s="241"/>
      <c r="W574" s="241"/>
      <c r="X574" s="241"/>
      <c r="Y574" s="241"/>
      <c r="Z574" s="242"/>
      <c r="AA574" s="242"/>
      <c r="AB574" s="243"/>
      <c r="AC574" s="243"/>
      <c r="AD574" s="244"/>
      <c r="AE574" s="244"/>
      <c r="AF574" s="244"/>
      <c r="AG574" s="244"/>
    </row>
    <row r="575" spans="2:33" s="245" customFormat="1" hidden="1">
      <c r="B575" s="239"/>
      <c r="C575" s="240"/>
      <c r="D575" s="241"/>
      <c r="E575" s="241"/>
      <c r="F575" s="241"/>
      <c r="G575" s="241"/>
      <c r="H575" s="241"/>
      <c r="I575" s="241"/>
      <c r="J575" s="241"/>
      <c r="K575" s="241"/>
      <c r="L575" s="241"/>
      <c r="M575" s="242"/>
      <c r="N575" s="241"/>
      <c r="O575" s="241"/>
      <c r="P575" s="241"/>
      <c r="Q575" s="241"/>
      <c r="R575" s="241"/>
      <c r="S575" s="241"/>
      <c r="T575" s="241"/>
      <c r="U575" s="241"/>
      <c r="V575" s="241"/>
      <c r="W575" s="241"/>
      <c r="X575" s="241"/>
      <c r="Y575" s="241"/>
      <c r="Z575" s="242"/>
      <c r="AA575" s="242"/>
      <c r="AB575" s="243"/>
      <c r="AC575" s="243"/>
      <c r="AD575" s="244"/>
      <c r="AE575" s="244"/>
      <c r="AF575" s="244"/>
      <c r="AG575" s="244"/>
    </row>
    <row r="576" spans="2:33" s="245" customFormat="1" hidden="1">
      <c r="B576" s="239"/>
      <c r="C576" s="240"/>
      <c r="D576" s="241"/>
      <c r="E576" s="241"/>
      <c r="F576" s="241"/>
      <c r="G576" s="241"/>
      <c r="H576" s="241"/>
      <c r="I576" s="241"/>
      <c r="J576" s="241"/>
      <c r="K576" s="241"/>
      <c r="L576" s="241"/>
      <c r="M576" s="242"/>
      <c r="N576" s="241"/>
      <c r="O576" s="241"/>
      <c r="P576" s="241"/>
      <c r="Q576" s="241"/>
      <c r="R576" s="241"/>
      <c r="S576" s="241"/>
      <c r="T576" s="241"/>
      <c r="U576" s="241"/>
      <c r="V576" s="241"/>
      <c r="W576" s="241"/>
      <c r="X576" s="241"/>
      <c r="Y576" s="241"/>
      <c r="Z576" s="242"/>
      <c r="AA576" s="242"/>
      <c r="AB576" s="243"/>
      <c r="AC576" s="243"/>
      <c r="AD576" s="244"/>
      <c r="AE576" s="244"/>
      <c r="AF576" s="244"/>
      <c r="AG576" s="244"/>
    </row>
    <row r="577" spans="2:33" s="245" customFormat="1" hidden="1">
      <c r="B577" s="239"/>
      <c r="C577" s="240"/>
      <c r="D577" s="241"/>
      <c r="E577" s="241"/>
      <c r="F577" s="241"/>
      <c r="G577" s="241"/>
      <c r="H577" s="241"/>
      <c r="I577" s="241"/>
      <c r="J577" s="241"/>
      <c r="K577" s="241"/>
      <c r="L577" s="241"/>
      <c r="M577" s="242"/>
      <c r="N577" s="241"/>
      <c r="O577" s="241"/>
      <c r="P577" s="241"/>
      <c r="Q577" s="241"/>
      <c r="R577" s="241"/>
      <c r="S577" s="241"/>
      <c r="T577" s="241"/>
      <c r="U577" s="241"/>
      <c r="V577" s="241"/>
      <c r="W577" s="241"/>
      <c r="X577" s="241"/>
      <c r="Y577" s="241"/>
      <c r="Z577" s="242"/>
      <c r="AA577" s="242"/>
      <c r="AB577" s="243"/>
      <c r="AC577" s="243"/>
      <c r="AD577" s="244"/>
      <c r="AE577" s="244"/>
      <c r="AF577" s="244"/>
      <c r="AG577" s="244"/>
    </row>
    <row r="578" spans="2:33" s="245" customFormat="1" hidden="1">
      <c r="B578" s="239"/>
      <c r="C578" s="240"/>
      <c r="D578" s="241"/>
      <c r="E578" s="241"/>
      <c r="F578" s="241"/>
      <c r="G578" s="241"/>
      <c r="H578" s="241"/>
      <c r="I578" s="241"/>
      <c r="J578" s="241"/>
      <c r="K578" s="241"/>
      <c r="L578" s="241"/>
      <c r="M578" s="242"/>
      <c r="N578" s="241"/>
      <c r="O578" s="241"/>
      <c r="P578" s="241"/>
      <c r="Q578" s="241"/>
      <c r="R578" s="241"/>
      <c r="S578" s="241"/>
      <c r="T578" s="241"/>
      <c r="U578" s="241"/>
      <c r="V578" s="241"/>
      <c r="W578" s="241"/>
      <c r="X578" s="241"/>
      <c r="Y578" s="241"/>
      <c r="Z578" s="242"/>
      <c r="AA578" s="242"/>
      <c r="AB578" s="243"/>
      <c r="AC578" s="243"/>
      <c r="AD578" s="244"/>
      <c r="AE578" s="244"/>
      <c r="AF578" s="244"/>
      <c r="AG578" s="244"/>
    </row>
    <row r="579" spans="2:33" s="245" customFormat="1" hidden="1">
      <c r="B579" s="239"/>
      <c r="C579" s="240"/>
      <c r="D579" s="241"/>
      <c r="E579" s="241"/>
      <c r="F579" s="241"/>
      <c r="G579" s="241"/>
      <c r="H579" s="241"/>
      <c r="I579" s="241"/>
      <c r="J579" s="241"/>
      <c r="K579" s="241"/>
      <c r="L579" s="241"/>
      <c r="M579" s="242"/>
      <c r="N579" s="241"/>
      <c r="O579" s="241"/>
      <c r="P579" s="241"/>
      <c r="Q579" s="241"/>
      <c r="R579" s="241"/>
      <c r="S579" s="241"/>
      <c r="T579" s="241"/>
      <c r="U579" s="241"/>
      <c r="V579" s="241"/>
      <c r="W579" s="241"/>
      <c r="X579" s="241"/>
      <c r="Y579" s="241"/>
      <c r="Z579" s="242"/>
      <c r="AA579" s="242"/>
      <c r="AB579" s="243"/>
      <c r="AC579" s="243"/>
      <c r="AD579" s="244"/>
      <c r="AE579" s="244"/>
      <c r="AF579" s="244"/>
      <c r="AG579" s="244"/>
    </row>
    <row r="580" spans="2:33" s="245" customFormat="1" hidden="1">
      <c r="B580" s="239"/>
      <c r="C580" s="240"/>
      <c r="D580" s="241"/>
      <c r="E580" s="241"/>
      <c r="F580" s="241"/>
      <c r="G580" s="241"/>
      <c r="H580" s="241"/>
      <c r="I580" s="241"/>
      <c r="J580" s="241"/>
      <c r="K580" s="241"/>
      <c r="L580" s="241"/>
      <c r="M580" s="242"/>
      <c r="N580" s="241"/>
      <c r="O580" s="241"/>
      <c r="P580" s="241"/>
      <c r="Q580" s="241"/>
      <c r="R580" s="241"/>
      <c r="S580" s="241"/>
      <c r="T580" s="241"/>
      <c r="U580" s="241"/>
      <c r="V580" s="241"/>
      <c r="W580" s="241"/>
      <c r="X580" s="241"/>
      <c r="Y580" s="241"/>
      <c r="Z580" s="242"/>
      <c r="AA580" s="242"/>
      <c r="AB580" s="243"/>
      <c r="AC580" s="243"/>
      <c r="AD580" s="244"/>
      <c r="AE580" s="244"/>
      <c r="AF580" s="244"/>
      <c r="AG580" s="244"/>
    </row>
    <row r="581" spans="2:33" s="245" customFormat="1" hidden="1">
      <c r="B581" s="239"/>
      <c r="C581" s="240"/>
      <c r="D581" s="241"/>
      <c r="E581" s="241"/>
      <c r="F581" s="241"/>
      <c r="G581" s="241"/>
      <c r="H581" s="241"/>
      <c r="I581" s="241"/>
      <c r="J581" s="241"/>
      <c r="K581" s="241"/>
      <c r="L581" s="241"/>
      <c r="M581" s="242"/>
      <c r="N581" s="241"/>
      <c r="O581" s="241"/>
      <c r="P581" s="241"/>
      <c r="Q581" s="241"/>
      <c r="R581" s="241"/>
      <c r="S581" s="241"/>
      <c r="T581" s="241"/>
      <c r="U581" s="241"/>
      <c r="V581" s="241"/>
      <c r="W581" s="241"/>
      <c r="X581" s="241"/>
      <c r="Y581" s="241"/>
      <c r="Z581" s="242"/>
      <c r="AA581" s="242"/>
      <c r="AB581" s="243"/>
      <c r="AC581" s="243"/>
      <c r="AD581" s="244"/>
      <c r="AE581" s="244"/>
      <c r="AF581" s="244"/>
      <c r="AG581" s="244"/>
    </row>
    <row r="582" spans="2:33" s="245" customFormat="1" hidden="1">
      <c r="B582" s="239"/>
      <c r="C582" s="240"/>
      <c r="D582" s="241"/>
      <c r="E582" s="241"/>
      <c r="F582" s="241"/>
      <c r="G582" s="241"/>
      <c r="H582" s="241"/>
      <c r="I582" s="241"/>
      <c r="J582" s="241"/>
      <c r="K582" s="241"/>
      <c r="L582" s="241"/>
      <c r="M582" s="242"/>
      <c r="N582" s="241"/>
      <c r="O582" s="241"/>
      <c r="P582" s="241"/>
      <c r="Q582" s="241"/>
      <c r="R582" s="241"/>
      <c r="S582" s="241"/>
      <c r="T582" s="241"/>
      <c r="U582" s="241"/>
      <c r="V582" s="241"/>
      <c r="W582" s="241"/>
      <c r="X582" s="241"/>
      <c r="Y582" s="241"/>
      <c r="Z582" s="242"/>
      <c r="AA582" s="242"/>
      <c r="AB582" s="243"/>
      <c r="AC582" s="243"/>
      <c r="AD582" s="244"/>
      <c r="AE582" s="244"/>
      <c r="AF582" s="244"/>
      <c r="AG582" s="244"/>
    </row>
    <row r="583" spans="2:33" s="245" customFormat="1" hidden="1">
      <c r="B583" s="239"/>
      <c r="C583" s="240"/>
      <c r="D583" s="241"/>
      <c r="E583" s="241"/>
      <c r="F583" s="241"/>
      <c r="G583" s="241"/>
      <c r="H583" s="241"/>
      <c r="I583" s="241"/>
      <c r="J583" s="241"/>
      <c r="K583" s="241"/>
      <c r="L583" s="241"/>
      <c r="M583" s="242"/>
      <c r="N583" s="241"/>
      <c r="O583" s="241"/>
      <c r="P583" s="241"/>
      <c r="Q583" s="241"/>
      <c r="R583" s="241"/>
      <c r="S583" s="241"/>
      <c r="T583" s="241"/>
      <c r="U583" s="241"/>
      <c r="V583" s="241"/>
      <c r="W583" s="241"/>
      <c r="X583" s="241"/>
      <c r="Y583" s="241"/>
      <c r="Z583" s="242"/>
      <c r="AA583" s="242"/>
      <c r="AB583" s="243"/>
      <c r="AC583" s="243"/>
      <c r="AD583" s="244"/>
      <c r="AE583" s="244"/>
      <c r="AF583" s="244"/>
      <c r="AG583" s="244"/>
    </row>
    <row r="584" spans="2:33" s="245" customFormat="1" hidden="1">
      <c r="B584" s="239"/>
      <c r="C584" s="240"/>
      <c r="D584" s="241"/>
      <c r="E584" s="241"/>
      <c r="F584" s="241"/>
      <c r="G584" s="241"/>
      <c r="H584" s="241"/>
      <c r="I584" s="241"/>
      <c r="J584" s="241"/>
      <c r="K584" s="241"/>
      <c r="L584" s="241"/>
      <c r="M584" s="242"/>
      <c r="N584" s="241"/>
      <c r="O584" s="241"/>
      <c r="P584" s="241"/>
      <c r="Q584" s="241"/>
      <c r="R584" s="241"/>
      <c r="S584" s="241"/>
      <c r="T584" s="241"/>
      <c r="U584" s="241"/>
      <c r="V584" s="241"/>
      <c r="W584" s="241"/>
      <c r="X584" s="241"/>
      <c r="Y584" s="241"/>
      <c r="Z584" s="242"/>
      <c r="AA584" s="242"/>
      <c r="AB584" s="243"/>
      <c r="AC584" s="243"/>
      <c r="AD584" s="244"/>
      <c r="AE584" s="244"/>
      <c r="AF584" s="244"/>
      <c r="AG584" s="244"/>
    </row>
    <row r="585" spans="2:33" s="245" customFormat="1" hidden="1">
      <c r="B585" s="239"/>
      <c r="C585" s="240"/>
      <c r="D585" s="241"/>
      <c r="E585" s="241"/>
      <c r="F585" s="241"/>
      <c r="G585" s="241"/>
      <c r="H585" s="241"/>
      <c r="I585" s="241"/>
      <c r="J585" s="241"/>
      <c r="K585" s="241"/>
      <c r="L585" s="241"/>
      <c r="M585" s="242"/>
      <c r="N585" s="241"/>
      <c r="O585" s="241"/>
      <c r="P585" s="241"/>
      <c r="Q585" s="241"/>
      <c r="R585" s="241"/>
      <c r="S585" s="241"/>
      <c r="T585" s="241"/>
      <c r="U585" s="241"/>
      <c r="V585" s="241"/>
      <c r="W585" s="241"/>
      <c r="X585" s="241"/>
      <c r="Y585" s="241"/>
      <c r="Z585" s="242"/>
      <c r="AA585" s="242"/>
      <c r="AB585" s="243"/>
      <c r="AC585" s="243"/>
      <c r="AD585" s="244"/>
      <c r="AE585" s="244"/>
      <c r="AF585" s="244"/>
      <c r="AG585" s="244"/>
    </row>
    <row r="586" spans="2:33" s="245" customFormat="1" hidden="1">
      <c r="B586" s="239"/>
      <c r="C586" s="240"/>
      <c r="D586" s="241"/>
      <c r="E586" s="241"/>
      <c r="F586" s="241"/>
      <c r="G586" s="241"/>
      <c r="H586" s="241"/>
      <c r="I586" s="241"/>
      <c r="J586" s="241"/>
      <c r="K586" s="241"/>
      <c r="L586" s="241"/>
      <c r="M586" s="242"/>
      <c r="N586" s="241"/>
      <c r="O586" s="241"/>
      <c r="P586" s="241"/>
      <c r="Q586" s="241"/>
      <c r="R586" s="241"/>
      <c r="S586" s="241"/>
      <c r="T586" s="241"/>
      <c r="U586" s="241"/>
      <c r="V586" s="241"/>
      <c r="W586" s="241"/>
      <c r="X586" s="241"/>
      <c r="Y586" s="241"/>
      <c r="Z586" s="242"/>
      <c r="AA586" s="242"/>
      <c r="AB586" s="243"/>
      <c r="AC586" s="243"/>
      <c r="AD586" s="244"/>
      <c r="AE586" s="244"/>
      <c r="AF586" s="244"/>
      <c r="AG586" s="244"/>
    </row>
    <row r="587" spans="2:33" s="245" customFormat="1" hidden="1">
      <c r="B587" s="239"/>
      <c r="C587" s="240"/>
      <c r="D587" s="241"/>
      <c r="E587" s="241"/>
      <c r="F587" s="241"/>
      <c r="G587" s="241"/>
      <c r="H587" s="241"/>
      <c r="I587" s="241"/>
      <c r="J587" s="241"/>
      <c r="K587" s="241"/>
      <c r="L587" s="241"/>
      <c r="M587" s="242"/>
      <c r="N587" s="241"/>
      <c r="O587" s="241"/>
      <c r="P587" s="241"/>
      <c r="Q587" s="241"/>
      <c r="R587" s="241"/>
      <c r="S587" s="241"/>
      <c r="T587" s="241"/>
      <c r="U587" s="241"/>
      <c r="V587" s="241"/>
      <c r="W587" s="241"/>
      <c r="X587" s="241"/>
      <c r="Y587" s="241"/>
      <c r="Z587" s="242"/>
      <c r="AA587" s="242"/>
      <c r="AB587" s="243"/>
      <c r="AC587" s="243"/>
      <c r="AD587" s="244"/>
      <c r="AE587" s="244"/>
      <c r="AF587" s="244"/>
      <c r="AG587" s="244"/>
    </row>
    <row r="588" spans="2:33" s="245" customFormat="1" hidden="1">
      <c r="B588" s="239"/>
      <c r="C588" s="240"/>
      <c r="D588" s="241"/>
      <c r="E588" s="241"/>
      <c r="F588" s="241"/>
      <c r="G588" s="241"/>
      <c r="H588" s="241"/>
      <c r="I588" s="241"/>
      <c r="J588" s="241"/>
      <c r="K588" s="241"/>
      <c r="L588" s="241"/>
      <c r="M588" s="242"/>
      <c r="N588" s="241"/>
      <c r="O588" s="241"/>
      <c r="P588" s="241"/>
      <c r="Q588" s="241"/>
      <c r="R588" s="241"/>
      <c r="S588" s="241"/>
      <c r="T588" s="241"/>
      <c r="U588" s="241"/>
      <c r="V588" s="241"/>
      <c r="W588" s="241"/>
      <c r="X588" s="241"/>
      <c r="Y588" s="241"/>
      <c r="Z588" s="242"/>
      <c r="AA588" s="242"/>
      <c r="AB588" s="243"/>
      <c r="AC588" s="243"/>
      <c r="AD588" s="244"/>
      <c r="AE588" s="244"/>
      <c r="AF588" s="244"/>
      <c r="AG588" s="244"/>
    </row>
    <row r="589" spans="2:33" s="245" customFormat="1" hidden="1">
      <c r="B589" s="239"/>
      <c r="C589" s="240"/>
      <c r="D589" s="241"/>
      <c r="E589" s="241"/>
      <c r="F589" s="241"/>
      <c r="G589" s="241"/>
      <c r="H589" s="241"/>
      <c r="I589" s="241"/>
      <c r="J589" s="241"/>
      <c r="K589" s="241"/>
      <c r="L589" s="241"/>
      <c r="M589" s="242"/>
      <c r="N589" s="241"/>
      <c r="O589" s="241"/>
      <c r="P589" s="241"/>
      <c r="Q589" s="241"/>
      <c r="R589" s="241"/>
      <c r="S589" s="241"/>
      <c r="T589" s="241"/>
      <c r="U589" s="241"/>
      <c r="V589" s="241"/>
      <c r="W589" s="241"/>
      <c r="X589" s="241"/>
      <c r="Y589" s="241"/>
      <c r="Z589" s="242"/>
      <c r="AA589" s="242"/>
      <c r="AB589" s="243"/>
      <c r="AC589" s="243"/>
      <c r="AD589" s="244"/>
      <c r="AE589" s="244"/>
      <c r="AF589" s="244"/>
      <c r="AG589" s="244"/>
    </row>
    <row r="590" spans="2:33" s="245" customFormat="1" hidden="1">
      <c r="B590" s="239"/>
      <c r="C590" s="240"/>
      <c r="D590" s="241"/>
      <c r="E590" s="241"/>
      <c r="F590" s="241"/>
      <c r="G590" s="241"/>
      <c r="H590" s="241"/>
      <c r="I590" s="241"/>
      <c r="J590" s="241"/>
      <c r="K590" s="241"/>
      <c r="L590" s="241"/>
      <c r="M590" s="242"/>
      <c r="N590" s="241"/>
      <c r="O590" s="241"/>
      <c r="P590" s="241"/>
      <c r="Q590" s="241"/>
      <c r="R590" s="241"/>
      <c r="S590" s="241"/>
      <c r="T590" s="241"/>
      <c r="U590" s="241"/>
      <c r="V590" s="241"/>
      <c r="W590" s="241"/>
      <c r="X590" s="241"/>
      <c r="Y590" s="241"/>
      <c r="Z590" s="242"/>
      <c r="AA590" s="242"/>
      <c r="AB590" s="243"/>
      <c r="AC590" s="243"/>
      <c r="AD590" s="244"/>
      <c r="AE590" s="244"/>
      <c r="AF590" s="244"/>
      <c r="AG590" s="244"/>
    </row>
    <row r="591" spans="2:33" s="245" customFormat="1" hidden="1">
      <c r="B591" s="239"/>
      <c r="C591" s="240"/>
      <c r="D591" s="241"/>
      <c r="E591" s="241"/>
      <c r="F591" s="241"/>
      <c r="G591" s="241"/>
      <c r="H591" s="241"/>
      <c r="I591" s="241"/>
      <c r="J591" s="241"/>
      <c r="K591" s="241"/>
      <c r="L591" s="241"/>
      <c r="M591" s="242"/>
      <c r="N591" s="241"/>
      <c r="O591" s="241"/>
      <c r="P591" s="241"/>
      <c r="Q591" s="241"/>
      <c r="R591" s="241"/>
      <c r="S591" s="241"/>
      <c r="T591" s="241"/>
      <c r="U591" s="241"/>
      <c r="V591" s="241"/>
      <c r="W591" s="241"/>
      <c r="X591" s="241"/>
      <c r="Y591" s="241"/>
      <c r="Z591" s="242"/>
      <c r="AA591" s="242"/>
      <c r="AB591" s="243"/>
      <c r="AC591" s="243"/>
      <c r="AD591" s="244"/>
      <c r="AE591" s="244"/>
      <c r="AF591" s="244"/>
      <c r="AG591" s="244"/>
    </row>
    <row r="592" spans="2:33" s="245" customFormat="1" hidden="1">
      <c r="B592" s="239"/>
      <c r="C592" s="240"/>
      <c r="D592" s="241"/>
      <c r="E592" s="241"/>
      <c r="F592" s="241"/>
      <c r="G592" s="241"/>
      <c r="H592" s="241"/>
      <c r="I592" s="241"/>
      <c r="J592" s="241"/>
      <c r="K592" s="241"/>
      <c r="L592" s="241"/>
      <c r="M592" s="242"/>
      <c r="N592" s="241"/>
      <c r="O592" s="241"/>
      <c r="P592" s="241"/>
      <c r="Q592" s="241"/>
      <c r="R592" s="241"/>
      <c r="S592" s="241"/>
      <c r="T592" s="241"/>
      <c r="U592" s="241"/>
      <c r="V592" s="241"/>
      <c r="W592" s="241"/>
      <c r="X592" s="241"/>
      <c r="Y592" s="241"/>
      <c r="Z592" s="242"/>
      <c r="AA592" s="242"/>
      <c r="AB592" s="243"/>
      <c r="AC592" s="243"/>
      <c r="AD592" s="244"/>
      <c r="AE592" s="244"/>
      <c r="AF592" s="244"/>
      <c r="AG592" s="244"/>
    </row>
    <row r="593" spans="2:33" s="245" customFormat="1" hidden="1">
      <c r="B593" s="239"/>
      <c r="C593" s="240"/>
      <c r="D593" s="241"/>
      <c r="E593" s="241"/>
      <c r="F593" s="241"/>
      <c r="G593" s="241"/>
      <c r="H593" s="241"/>
      <c r="I593" s="241"/>
      <c r="J593" s="241"/>
      <c r="K593" s="241"/>
      <c r="L593" s="241"/>
      <c r="M593" s="242"/>
      <c r="N593" s="241"/>
      <c r="O593" s="241"/>
      <c r="P593" s="241"/>
      <c r="Q593" s="241"/>
      <c r="R593" s="241"/>
      <c r="S593" s="241"/>
      <c r="T593" s="241"/>
      <c r="U593" s="241"/>
      <c r="V593" s="241"/>
      <c r="W593" s="241"/>
      <c r="X593" s="241"/>
      <c r="Y593" s="241"/>
      <c r="Z593" s="242"/>
      <c r="AA593" s="242"/>
      <c r="AB593" s="243"/>
      <c r="AC593" s="243"/>
      <c r="AD593" s="244"/>
      <c r="AE593" s="244"/>
      <c r="AF593" s="244"/>
      <c r="AG593" s="244"/>
    </row>
    <row r="594" spans="2:33" s="245" customFormat="1" hidden="1">
      <c r="B594" s="239"/>
      <c r="C594" s="240"/>
      <c r="D594" s="241"/>
      <c r="E594" s="241"/>
      <c r="F594" s="241"/>
      <c r="G594" s="241"/>
      <c r="H594" s="241"/>
      <c r="I594" s="241"/>
      <c r="J594" s="241"/>
      <c r="K594" s="241"/>
      <c r="L594" s="241"/>
      <c r="M594" s="242"/>
      <c r="N594" s="241"/>
      <c r="O594" s="241"/>
      <c r="P594" s="241"/>
      <c r="Q594" s="241"/>
      <c r="R594" s="241"/>
      <c r="S594" s="241"/>
      <c r="T594" s="241"/>
      <c r="U594" s="241"/>
      <c r="V594" s="241"/>
      <c r="W594" s="241"/>
      <c r="X594" s="241"/>
      <c r="Y594" s="241"/>
      <c r="Z594" s="242"/>
      <c r="AA594" s="242"/>
      <c r="AB594" s="243"/>
      <c r="AC594" s="243"/>
      <c r="AD594" s="244"/>
      <c r="AE594" s="244"/>
      <c r="AF594" s="244"/>
      <c r="AG594" s="244"/>
    </row>
    <row r="595" spans="2:33" s="245" customFormat="1" hidden="1">
      <c r="B595" s="239"/>
      <c r="C595" s="240"/>
      <c r="D595" s="241"/>
      <c r="E595" s="241"/>
      <c r="F595" s="241"/>
      <c r="G595" s="241"/>
      <c r="H595" s="241"/>
      <c r="I595" s="241"/>
      <c r="J595" s="241"/>
      <c r="K595" s="241"/>
      <c r="L595" s="241"/>
      <c r="M595" s="242"/>
      <c r="N595" s="241"/>
      <c r="O595" s="241"/>
      <c r="P595" s="241"/>
      <c r="Q595" s="241"/>
      <c r="R595" s="241"/>
      <c r="S595" s="241"/>
      <c r="T595" s="241"/>
      <c r="U595" s="241"/>
      <c r="V595" s="241"/>
      <c r="W595" s="241"/>
      <c r="X595" s="241"/>
      <c r="Y595" s="241"/>
      <c r="Z595" s="242"/>
      <c r="AA595" s="242"/>
      <c r="AB595" s="243"/>
      <c r="AC595" s="243"/>
      <c r="AD595" s="244"/>
      <c r="AE595" s="244"/>
      <c r="AF595" s="244"/>
      <c r="AG595" s="244"/>
    </row>
    <row r="596" spans="2:33" s="245" customFormat="1" hidden="1">
      <c r="B596" s="239"/>
      <c r="C596" s="240"/>
      <c r="D596" s="241"/>
      <c r="E596" s="241"/>
      <c r="F596" s="241"/>
      <c r="G596" s="241"/>
      <c r="H596" s="241"/>
      <c r="I596" s="241"/>
      <c r="J596" s="241"/>
      <c r="K596" s="241"/>
      <c r="L596" s="241"/>
      <c r="M596" s="242"/>
      <c r="N596" s="241"/>
      <c r="O596" s="241"/>
      <c r="P596" s="241"/>
      <c r="Q596" s="241"/>
      <c r="R596" s="241"/>
      <c r="S596" s="241"/>
      <c r="T596" s="241"/>
      <c r="U596" s="241"/>
      <c r="V596" s="241"/>
      <c r="W596" s="241"/>
      <c r="X596" s="241"/>
      <c r="Y596" s="241"/>
      <c r="Z596" s="242"/>
      <c r="AA596" s="242"/>
      <c r="AB596" s="243"/>
      <c r="AC596" s="243"/>
      <c r="AD596" s="244"/>
      <c r="AE596" s="244"/>
      <c r="AF596" s="244"/>
      <c r="AG596" s="244"/>
    </row>
    <row r="597" spans="2:33" s="245" customFormat="1" hidden="1">
      <c r="B597" s="239"/>
      <c r="C597" s="240"/>
      <c r="D597" s="241"/>
      <c r="E597" s="241"/>
      <c r="F597" s="241"/>
      <c r="G597" s="241"/>
      <c r="H597" s="241"/>
      <c r="I597" s="241"/>
      <c r="J597" s="241"/>
      <c r="K597" s="241"/>
      <c r="L597" s="241"/>
      <c r="M597" s="242"/>
      <c r="N597" s="241"/>
      <c r="O597" s="241"/>
      <c r="P597" s="241"/>
      <c r="Q597" s="241"/>
      <c r="R597" s="241"/>
      <c r="S597" s="241"/>
      <c r="T597" s="241"/>
      <c r="U597" s="241"/>
      <c r="V597" s="241"/>
      <c r="W597" s="241"/>
      <c r="X597" s="241"/>
      <c r="Y597" s="241"/>
      <c r="Z597" s="242"/>
      <c r="AA597" s="242"/>
      <c r="AB597" s="243"/>
      <c r="AC597" s="243"/>
      <c r="AD597" s="244"/>
      <c r="AE597" s="244"/>
      <c r="AF597" s="244"/>
      <c r="AG597" s="244"/>
    </row>
    <row r="598" spans="2:33" s="245" customFormat="1" hidden="1">
      <c r="B598" s="239"/>
      <c r="C598" s="240"/>
      <c r="D598" s="241"/>
      <c r="E598" s="241"/>
      <c r="F598" s="241"/>
      <c r="G598" s="241"/>
      <c r="H598" s="241"/>
      <c r="I598" s="241"/>
      <c r="J598" s="241"/>
      <c r="K598" s="241"/>
      <c r="L598" s="241"/>
      <c r="M598" s="242"/>
      <c r="N598" s="241"/>
      <c r="O598" s="241"/>
      <c r="P598" s="241"/>
      <c r="Q598" s="241"/>
      <c r="R598" s="241"/>
      <c r="S598" s="241"/>
      <c r="T598" s="241"/>
      <c r="U598" s="241"/>
      <c r="V598" s="241"/>
      <c r="W598" s="241"/>
      <c r="X598" s="241"/>
      <c r="Y598" s="241"/>
      <c r="Z598" s="242"/>
      <c r="AA598" s="242"/>
      <c r="AB598" s="243"/>
      <c r="AC598" s="243"/>
      <c r="AD598" s="244"/>
      <c r="AE598" s="244"/>
      <c r="AF598" s="244"/>
      <c r="AG598" s="244"/>
    </row>
    <row r="599" spans="2:33" s="245" customFormat="1" hidden="1">
      <c r="B599" s="239"/>
      <c r="C599" s="240"/>
      <c r="D599" s="241"/>
      <c r="E599" s="241"/>
      <c r="F599" s="241"/>
      <c r="G599" s="241"/>
      <c r="H599" s="241"/>
      <c r="I599" s="241"/>
      <c r="J599" s="241"/>
      <c r="K599" s="241"/>
      <c r="L599" s="241"/>
      <c r="M599" s="242"/>
      <c r="N599" s="241"/>
      <c r="O599" s="241"/>
      <c r="P599" s="241"/>
      <c r="Q599" s="241"/>
      <c r="R599" s="241"/>
      <c r="S599" s="241"/>
      <c r="T599" s="241"/>
      <c r="U599" s="241"/>
      <c r="V599" s="241"/>
      <c r="W599" s="241"/>
      <c r="X599" s="241"/>
      <c r="Y599" s="241"/>
      <c r="Z599" s="242"/>
      <c r="AA599" s="242"/>
      <c r="AB599" s="243"/>
      <c r="AC599" s="243"/>
      <c r="AD599" s="244"/>
      <c r="AE599" s="244"/>
      <c r="AF599" s="244"/>
      <c r="AG599" s="244"/>
    </row>
    <row r="600" spans="2:33" s="245" customFormat="1" hidden="1">
      <c r="B600" s="239"/>
      <c r="C600" s="240"/>
      <c r="D600" s="241"/>
      <c r="E600" s="241"/>
      <c r="F600" s="241"/>
      <c r="G600" s="241"/>
      <c r="H600" s="241"/>
      <c r="I600" s="241"/>
      <c r="J600" s="241"/>
      <c r="K600" s="241"/>
      <c r="L600" s="241"/>
      <c r="M600" s="242"/>
      <c r="N600" s="241"/>
      <c r="O600" s="241"/>
      <c r="P600" s="241"/>
      <c r="Q600" s="241"/>
      <c r="R600" s="241"/>
      <c r="S600" s="241"/>
      <c r="T600" s="241"/>
      <c r="U600" s="241"/>
      <c r="V600" s="241"/>
      <c r="W600" s="241"/>
      <c r="X600" s="241"/>
      <c r="Y600" s="241"/>
      <c r="Z600" s="242"/>
      <c r="AA600" s="242"/>
      <c r="AB600" s="243"/>
      <c r="AC600" s="243"/>
      <c r="AD600" s="244"/>
      <c r="AE600" s="244"/>
      <c r="AF600" s="244"/>
      <c r="AG600" s="244"/>
    </row>
    <row r="601" spans="2:33" s="245" customFormat="1" hidden="1">
      <c r="B601" s="239"/>
      <c r="C601" s="240"/>
      <c r="D601" s="241"/>
      <c r="E601" s="241"/>
      <c r="F601" s="241"/>
      <c r="G601" s="241"/>
      <c r="H601" s="241"/>
      <c r="I601" s="241"/>
      <c r="J601" s="241"/>
      <c r="K601" s="241"/>
      <c r="L601" s="241"/>
      <c r="M601" s="242"/>
      <c r="N601" s="241"/>
      <c r="O601" s="241"/>
      <c r="P601" s="241"/>
      <c r="Q601" s="241"/>
      <c r="R601" s="241"/>
      <c r="S601" s="241"/>
      <c r="T601" s="241"/>
      <c r="U601" s="241"/>
      <c r="V601" s="241"/>
      <c r="W601" s="241"/>
      <c r="X601" s="241"/>
      <c r="Y601" s="241"/>
      <c r="Z601" s="242"/>
      <c r="AA601" s="242"/>
      <c r="AB601" s="243"/>
      <c r="AC601" s="243"/>
      <c r="AD601" s="244"/>
      <c r="AE601" s="244"/>
      <c r="AF601" s="244"/>
      <c r="AG601" s="244"/>
    </row>
    <row r="602" spans="2:33" s="245" customFormat="1" hidden="1">
      <c r="B602" s="239"/>
      <c r="C602" s="240"/>
      <c r="D602" s="241"/>
      <c r="E602" s="241"/>
      <c r="F602" s="241"/>
      <c r="G602" s="241"/>
      <c r="H602" s="241"/>
      <c r="I602" s="241"/>
      <c r="J602" s="241"/>
      <c r="K602" s="241"/>
      <c r="L602" s="241"/>
      <c r="M602" s="242"/>
      <c r="N602" s="241"/>
      <c r="O602" s="241"/>
      <c r="P602" s="241"/>
      <c r="Q602" s="241"/>
      <c r="R602" s="241"/>
      <c r="S602" s="241"/>
      <c r="T602" s="241"/>
      <c r="U602" s="241"/>
      <c r="V602" s="241"/>
      <c r="W602" s="241"/>
      <c r="X602" s="241"/>
      <c r="Y602" s="241"/>
      <c r="Z602" s="242"/>
      <c r="AA602" s="242"/>
      <c r="AB602" s="243"/>
      <c r="AC602" s="243"/>
      <c r="AD602" s="244"/>
      <c r="AE602" s="244"/>
      <c r="AF602" s="244"/>
      <c r="AG602" s="244"/>
    </row>
    <row r="603" spans="2:33" s="245" customFormat="1" hidden="1">
      <c r="B603" s="239"/>
      <c r="C603" s="240"/>
      <c r="D603" s="241"/>
      <c r="E603" s="241"/>
      <c r="F603" s="241"/>
      <c r="G603" s="241"/>
      <c r="H603" s="241"/>
      <c r="I603" s="241"/>
      <c r="J603" s="241"/>
      <c r="K603" s="241"/>
      <c r="L603" s="241"/>
      <c r="M603" s="242"/>
      <c r="N603" s="241"/>
      <c r="O603" s="241"/>
      <c r="P603" s="241"/>
      <c r="Q603" s="241"/>
      <c r="R603" s="241"/>
      <c r="S603" s="241"/>
      <c r="T603" s="241"/>
      <c r="U603" s="241"/>
      <c r="V603" s="241"/>
      <c r="W603" s="241"/>
      <c r="X603" s="241"/>
      <c r="Y603" s="241"/>
      <c r="Z603" s="242"/>
      <c r="AA603" s="242"/>
      <c r="AB603" s="243"/>
      <c r="AC603" s="243"/>
      <c r="AD603" s="244"/>
      <c r="AE603" s="244"/>
      <c r="AF603" s="244"/>
      <c r="AG603" s="244"/>
    </row>
    <row r="604" spans="2:33" s="245" customFormat="1" hidden="1">
      <c r="B604" s="239"/>
      <c r="C604" s="240"/>
      <c r="D604" s="241"/>
      <c r="E604" s="241"/>
      <c r="F604" s="241"/>
      <c r="G604" s="241"/>
      <c r="H604" s="241"/>
      <c r="I604" s="241"/>
      <c r="J604" s="241"/>
      <c r="K604" s="241"/>
      <c r="L604" s="241"/>
      <c r="M604" s="242"/>
      <c r="N604" s="241"/>
      <c r="O604" s="241"/>
      <c r="P604" s="241"/>
      <c r="Q604" s="241"/>
      <c r="R604" s="241"/>
      <c r="S604" s="241"/>
      <c r="T604" s="241"/>
      <c r="U604" s="241"/>
      <c r="V604" s="241"/>
      <c r="W604" s="241"/>
      <c r="X604" s="241"/>
      <c r="Y604" s="241"/>
      <c r="Z604" s="242"/>
      <c r="AA604" s="242"/>
      <c r="AB604" s="243"/>
      <c r="AC604" s="243"/>
      <c r="AD604" s="244"/>
      <c r="AE604" s="244"/>
      <c r="AF604" s="244"/>
      <c r="AG604" s="244"/>
    </row>
    <row r="605" spans="2:33" s="245" customFormat="1" hidden="1">
      <c r="B605" s="239"/>
      <c r="C605" s="240"/>
      <c r="D605" s="241"/>
      <c r="E605" s="241"/>
      <c r="F605" s="241"/>
      <c r="G605" s="241"/>
      <c r="H605" s="241"/>
      <c r="I605" s="241"/>
      <c r="J605" s="241"/>
      <c r="K605" s="241"/>
      <c r="L605" s="241"/>
      <c r="M605" s="242"/>
      <c r="N605" s="241"/>
      <c r="O605" s="241"/>
      <c r="P605" s="241"/>
      <c r="Q605" s="241"/>
      <c r="R605" s="241"/>
      <c r="S605" s="241"/>
      <c r="T605" s="241"/>
      <c r="U605" s="241"/>
      <c r="V605" s="241"/>
      <c r="W605" s="241"/>
      <c r="X605" s="241"/>
      <c r="Y605" s="241"/>
      <c r="Z605" s="242"/>
      <c r="AA605" s="242"/>
      <c r="AB605" s="243"/>
      <c r="AC605" s="243"/>
      <c r="AD605" s="244"/>
      <c r="AE605" s="244"/>
      <c r="AF605" s="244"/>
      <c r="AG605" s="244"/>
    </row>
    <row r="606" spans="2:33" s="245" customFormat="1" hidden="1">
      <c r="B606" s="239"/>
      <c r="C606" s="240"/>
      <c r="D606" s="241"/>
      <c r="E606" s="241"/>
      <c r="F606" s="241"/>
      <c r="G606" s="241"/>
      <c r="H606" s="241"/>
      <c r="I606" s="241"/>
      <c r="J606" s="241"/>
      <c r="K606" s="241"/>
      <c r="L606" s="241"/>
      <c r="M606" s="242"/>
      <c r="N606" s="241"/>
      <c r="O606" s="241"/>
      <c r="P606" s="241"/>
      <c r="Q606" s="241"/>
      <c r="R606" s="241"/>
      <c r="S606" s="241"/>
      <c r="T606" s="241"/>
      <c r="U606" s="241"/>
      <c r="V606" s="241"/>
      <c r="W606" s="241"/>
      <c r="X606" s="241"/>
      <c r="Y606" s="241"/>
      <c r="Z606" s="242"/>
      <c r="AA606" s="242"/>
      <c r="AB606" s="243"/>
      <c r="AC606" s="243"/>
      <c r="AD606" s="244"/>
      <c r="AE606" s="244"/>
      <c r="AF606" s="244"/>
      <c r="AG606" s="244"/>
    </row>
    <row r="607" spans="2:33" s="245" customFormat="1" hidden="1">
      <c r="B607" s="239"/>
      <c r="C607" s="240"/>
      <c r="D607" s="241"/>
      <c r="E607" s="241"/>
      <c r="F607" s="241"/>
      <c r="G607" s="241"/>
      <c r="H607" s="241"/>
      <c r="I607" s="241"/>
      <c r="J607" s="241"/>
      <c r="K607" s="241"/>
      <c r="L607" s="241"/>
      <c r="M607" s="242"/>
      <c r="N607" s="241"/>
      <c r="O607" s="241"/>
      <c r="P607" s="241"/>
      <c r="Q607" s="241"/>
      <c r="R607" s="241"/>
      <c r="S607" s="241"/>
      <c r="T607" s="241"/>
      <c r="U607" s="241"/>
      <c r="V607" s="241"/>
      <c r="W607" s="241"/>
      <c r="X607" s="241"/>
      <c r="Y607" s="241"/>
      <c r="Z607" s="242"/>
      <c r="AA607" s="242"/>
      <c r="AB607" s="243"/>
      <c r="AC607" s="243"/>
      <c r="AD607" s="244"/>
      <c r="AE607" s="244"/>
      <c r="AF607" s="244"/>
      <c r="AG607" s="244"/>
    </row>
    <row r="608" spans="2:33" s="245" customFormat="1" hidden="1">
      <c r="B608" s="239"/>
      <c r="C608" s="240"/>
      <c r="D608" s="241"/>
      <c r="E608" s="241"/>
      <c r="F608" s="241"/>
      <c r="G608" s="241"/>
      <c r="H608" s="241"/>
      <c r="I608" s="241"/>
      <c r="J608" s="241"/>
      <c r="K608" s="241"/>
      <c r="L608" s="241"/>
      <c r="M608" s="242"/>
      <c r="N608" s="241"/>
      <c r="O608" s="241"/>
      <c r="P608" s="241"/>
      <c r="Q608" s="241"/>
      <c r="R608" s="241"/>
      <c r="S608" s="241"/>
      <c r="T608" s="241"/>
      <c r="U608" s="241"/>
      <c r="V608" s="241"/>
      <c r="W608" s="241"/>
      <c r="X608" s="241"/>
      <c r="Y608" s="241"/>
      <c r="Z608" s="242"/>
      <c r="AA608" s="242"/>
      <c r="AB608" s="243"/>
      <c r="AC608" s="243"/>
      <c r="AD608" s="244"/>
      <c r="AE608" s="244"/>
      <c r="AF608" s="244"/>
      <c r="AG608" s="244"/>
    </row>
    <row r="609" spans="2:33" s="245" customFormat="1" hidden="1">
      <c r="B609" s="239"/>
      <c r="C609" s="240"/>
      <c r="D609" s="241"/>
      <c r="E609" s="241"/>
      <c r="F609" s="241"/>
      <c r="G609" s="241"/>
      <c r="H609" s="241"/>
      <c r="I609" s="241"/>
      <c r="J609" s="241"/>
      <c r="K609" s="241"/>
      <c r="L609" s="241"/>
      <c r="M609" s="242"/>
      <c r="N609" s="241"/>
      <c r="O609" s="241"/>
      <c r="P609" s="241"/>
      <c r="Q609" s="241"/>
      <c r="R609" s="241"/>
      <c r="S609" s="241"/>
      <c r="T609" s="241"/>
      <c r="U609" s="241"/>
      <c r="V609" s="241"/>
      <c r="W609" s="241"/>
      <c r="X609" s="241"/>
      <c r="Y609" s="241"/>
      <c r="Z609" s="242"/>
      <c r="AA609" s="242"/>
      <c r="AB609" s="243"/>
      <c r="AC609" s="243"/>
      <c r="AD609" s="244"/>
      <c r="AE609" s="244"/>
      <c r="AF609" s="244"/>
      <c r="AG609" s="244"/>
    </row>
    <row r="610" spans="2:33" s="245" customFormat="1" hidden="1">
      <c r="B610" s="239"/>
      <c r="C610" s="240"/>
      <c r="D610" s="241"/>
      <c r="E610" s="241"/>
      <c r="F610" s="241"/>
      <c r="G610" s="241"/>
      <c r="H610" s="241"/>
      <c r="I610" s="241"/>
      <c r="J610" s="241"/>
      <c r="K610" s="241"/>
      <c r="L610" s="241"/>
      <c r="M610" s="242"/>
      <c r="N610" s="241"/>
      <c r="O610" s="241"/>
      <c r="P610" s="241"/>
      <c r="Q610" s="241"/>
      <c r="R610" s="241"/>
      <c r="S610" s="241"/>
      <c r="T610" s="241"/>
      <c r="U610" s="241"/>
      <c r="V610" s="241"/>
      <c r="W610" s="241"/>
      <c r="X610" s="241"/>
      <c r="Y610" s="241"/>
      <c r="Z610" s="242"/>
      <c r="AA610" s="242"/>
      <c r="AB610" s="243"/>
      <c r="AC610" s="243"/>
      <c r="AD610" s="244"/>
      <c r="AE610" s="244"/>
      <c r="AF610" s="244"/>
      <c r="AG610" s="244"/>
    </row>
    <row r="611" spans="2:33" s="245" customFormat="1" hidden="1">
      <c r="B611" s="239"/>
      <c r="C611" s="240"/>
      <c r="D611" s="241"/>
      <c r="E611" s="241"/>
      <c r="F611" s="241"/>
      <c r="G611" s="241"/>
      <c r="H611" s="241"/>
      <c r="I611" s="241"/>
      <c r="J611" s="241"/>
      <c r="K611" s="241"/>
      <c r="L611" s="241"/>
      <c r="M611" s="242"/>
      <c r="N611" s="241"/>
      <c r="O611" s="241"/>
      <c r="P611" s="241"/>
      <c r="Q611" s="241"/>
      <c r="R611" s="241"/>
      <c r="S611" s="241"/>
      <c r="T611" s="241"/>
      <c r="U611" s="241"/>
      <c r="V611" s="241"/>
      <c r="W611" s="241"/>
      <c r="X611" s="241"/>
      <c r="Y611" s="241"/>
      <c r="Z611" s="242"/>
      <c r="AA611" s="242"/>
      <c r="AB611" s="243"/>
      <c r="AC611" s="243"/>
      <c r="AD611" s="244"/>
      <c r="AE611" s="244"/>
      <c r="AF611" s="244"/>
      <c r="AG611" s="244"/>
    </row>
    <row r="612" spans="2:33" s="245" customFormat="1" hidden="1">
      <c r="B612" s="239"/>
      <c r="C612" s="240"/>
      <c r="D612" s="241"/>
      <c r="E612" s="241"/>
      <c r="F612" s="241"/>
      <c r="G612" s="241"/>
      <c r="H612" s="241"/>
      <c r="I612" s="241"/>
      <c r="J612" s="241"/>
      <c r="K612" s="241"/>
      <c r="L612" s="241"/>
      <c r="M612" s="242"/>
      <c r="N612" s="241"/>
      <c r="O612" s="241"/>
      <c r="P612" s="241"/>
      <c r="Q612" s="241"/>
      <c r="R612" s="241"/>
      <c r="S612" s="241"/>
      <c r="T612" s="241"/>
      <c r="U612" s="241"/>
      <c r="V612" s="241"/>
      <c r="W612" s="241"/>
      <c r="X612" s="241"/>
      <c r="Y612" s="241"/>
      <c r="Z612" s="242"/>
      <c r="AA612" s="242"/>
      <c r="AB612" s="243"/>
      <c r="AC612" s="243"/>
      <c r="AD612" s="244"/>
      <c r="AE612" s="244"/>
      <c r="AF612" s="244"/>
      <c r="AG612" s="244"/>
    </row>
    <row r="613" spans="2:33" s="245" customFormat="1" hidden="1">
      <c r="B613" s="239"/>
      <c r="C613" s="240"/>
      <c r="D613" s="241"/>
      <c r="E613" s="241"/>
      <c r="F613" s="241"/>
      <c r="G613" s="241"/>
      <c r="H613" s="241"/>
      <c r="I613" s="241"/>
      <c r="J613" s="241"/>
      <c r="K613" s="241"/>
      <c r="L613" s="241"/>
      <c r="M613" s="242"/>
      <c r="N613" s="241"/>
      <c r="O613" s="241"/>
      <c r="P613" s="241"/>
      <c r="Q613" s="241"/>
      <c r="R613" s="241"/>
      <c r="S613" s="241"/>
      <c r="T613" s="241"/>
      <c r="U613" s="241"/>
      <c r="V613" s="241"/>
      <c r="W613" s="241"/>
      <c r="X613" s="241"/>
      <c r="Y613" s="241"/>
      <c r="Z613" s="242"/>
      <c r="AA613" s="242"/>
      <c r="AB613" s="243"/>
      <c r="AC613" s="243"/>
      <c r="AD613" s="244"/>
      <c r="AE613" s="244"/>
      <c r="AF613" s="244"/>
      <c r="AG613" s="244"/>
    </row>
    <row r="614" spans="2:33" s="245" customFormat="1" hidden="1">
      <c r="B614" s="239"/>
      <c r="C614" s="240"/>
      <c r="D614" s="241"/>
      <c r="E614" s="241"/>
      <c r="F614" s="241"/>
      <c r="G614" s="241"/>
      <c r="H614" s="241"/>
      <c r="I614" s="241"/>
      <c r="J614" s="241"/>
      <c r="K614" s="241"/>
      <c r="L614" s="241"/>
      <c r="M614" s="242"/>
      <c r="N614" s="241"/>
      <c r="O614" s="241"/>
      <c r="P614" s="241"/>
      <c r="Q614" s="241"/>
      <c r="R614" s="241"/>
      <c r="S614" s="241"/>
      <c r="T614" s="241"/>
      <c r="U614" s="241"/>
      <c r="V614" s="241"/>
      <c r="W614" s="241"/>
      <c r="X614" s="241"/>
      <c r="Y614" s="241"/>
      <c r="Z614" s="242"/>
      <c r="AA614" s="242"/>
      <c r="AB614" s="243"/>
      <c r="AC614" s="243"/>
      <c r="AD614" s="244"/>
      <c r="AE614" s="244"/>
      <c r="AF614" s="244"/>
      <c r="AG614" s="244"/>
    </row>
    <row r="615" spans="2:33" s="245" customFormat="1" hidden="1">
      <c r="B615" s="239"/>
      <c r="C615" s="240"/>
      <c r="D615" s="241"/>
      <c r="E615" s="241"/>
      <c r="F615" s="241"/>
      <c r="G615" s="241"/>
      <c r="H615" s="241"/>
      <c r="I615" s="241"/>
      <c r="J615" s="241"/>
      <c r="K615" s="241"/>
      <c r="L615" s="241"/>
      <c r="M615" s="242"/>
      <c r="N615" s="241"/>
      <c r="O615" s="241"/>
      <c r="P615" s="241"/>
      <c r="Q615" s="241"/>
      <c r="R615" s="241"/>
      <c r="S615" s="241"/>
      <c r="T615" s="241"/>
      <c r="U615" s="241"/>
      <c r="V615" s="241"/>
      <c r="W615" s="241"/>
      <c r="X615" s="241"/>
      <c r="Y615" s="241"/>
      <c r="Z615" s="242"/>
      <c r="AA615" s="242"/>
      <c r="AB615" s="243"/>
      <c r="AC615" s="243"/>
      <c r="AD615" s="244"/>
      <c r="AE615" s="244"/>
      <c r="AF615" s="244"/>
      <c r="AG615" s="244"/>
    </row>
    <row r="616" spans="2:33" s="245" customFormat="1" hidden="1">
      <c r="B616" s="239"/>
      <c r="C616" s="240"/>
      <c r="D616" s="241"/>
      <c r="E616" s="241"/>
      <c r="F616" s="241"/>
      <c r="G616" s="241"/>
      <c r="H616" s="241"/>
      <c r="I616" s="241"/>
      <c r="J616" s="241"/>
      <c r="K616" s="241"/>
      <c r="L616" s="241"/>
      <c r="M616" s="242"/>
      <c r="N616" s="241"/>
      <c r="O616" s="241"/>
      <c r="P616" s="241"/>
      <c r="Q616" s="241"/>
      <c r="R616" s="241"/>
      <c r="S616" s="241"/>
      <c r="T616" s="241"/>
      <c r="U616" s="241"/>
      <c r="V616" s="241"/>
      <c r="W616" s="241"/>
      <c r="X616" s="241"/>
      <c r="Y616" s="241"/>
      <c r="Z616" s="242"/>
      <c r="AA616" s="242"/>
      <c r="AB616" s="243"/>
      <c r="AC616" s="243"/>
      <c r="AD616" s="244"/>
      <c r="AE616" s="244"/>
      <c r="AF616" s="244"/>
      <c r="AG616" s="244"/>
    </row>
    <row r="617" spans="2:33" s="245" customFormat="1" hidden="1">
      <c r="B617" s="239"/>
      <c r="C617" s="240"/>
      <c r="D617" s="241"/>
      <c r="E617" s="241"/>
      <c r="F617" s="241"/>
      <c r="G617" s="241"/>
      <c r="H617" s="241"/>
      <c r="I617" s="241"/>
      <c r="J617" s="241"/>
      <c r="K617" s="241"/>
      <c r="L617" s="241"/>
      <c r="M617" s="242"/>
      <c r="N617" s="241"/>
      <c r="O617" s="241"/>
      <c r="P617" s="241"/>
      <c r="Q617" s="241"/>
      <c r="R617" s="241"/>
      <c r="S617" s="241"/>
      <c r="T617" s="241"/>
      <c r="U617" s="241"/>
      <c r="V617" s="241"/>
      <c r="W617" s="241"/>
      <c r="X617" s="241"/>
      <c r="Y617" s="241"/>
      <c r="Z617" s="242"/>
      <c r="AA617" s="242"/>
      <c r="AB617" s="243"/>
      <c r="AC617" s="243"/>
      <c r="AD617" s="244"/>
      <c r="AE617" s="244"/>
      <c r="AF617" s="244"/>
      <c r="AG617" s="244"/>
    </row>
    <row r="618" spans="2:33" s="245" customFormat="1" hidden="1">
      <c r="B618" s="239"/>
      <c r="C618" s="240"/>
      <c r="D618" s="241"/>
      <c r="E618" s="241"/>
      <c r="F618" s="241"/>
      <c r="G618" s="241"/>
      <c r="H618" s="241"/>
      <c r="I618" s="241"/>
      <c r="J618" s="241"/>
      <c r="K618" s="241"/>
      <c r="L618" s="241"/>
      <c r="M618" s="242"/>
      <c r="N618" s="241"/>
      <c r="O618" s="241"/>
      <c r="P618" s="241"/>
      <c r="Q618" s="241"/>
      <c r="R618" s="241"/>
      <c r="S618" s="241"/>
      <c r="T618" s="241"/>
      <c r="U618" s="241"/>
      <c r="V618" s="241"/>
      <c r="W618" s="241"/>
      <c r="X618" s="241"/>
      <c r="Y618" s="241"/>
      <c r="Z618" s="242"/>
      <c r="AA618" s="242"/>
      <c r="AB618" s="243"/>
      <c r="AC618" s="243"/>
      <c r="AD618" s="244"/>
      <c r="AE618" s="244"/>
      <c r="AF618" s="244"/>
      <c r="AG618" s="244"/>
    </row>
    <row r="619" spans="2:33" s="245" customFormat="1" hidden="1">
      <c r="B619" s="239"/>
      <c r="C619" s="240"/>
      <c r="D619" s="241"/>
      <c r="E619" s="241"/>
      <c r="F619" s="241"/>
      <c r="G619" s="241"/>
      <c r="H619" s="241"/>
      <c r="I619" s="241"/>
      <c r="J619" s="241"/>
      <c r="K619" s="241"/>
      <c r="L619" s="241"/>
      <c r="M619" s="242"/>
      <c r="N619" s="241"/>
      <c r="O619" s="241"/>
      <c r="P619" s="241"/>
      <c r="Q619" s="241"/>
      <c r="R619" s="241"/>
      <c r="S619" s="241"/>
      <c r="T619" s="241"/>
      <c r="U619" s="241"/>
      <c r="V619" s="241"/>
      <c r="W619" s="241"/>
      <c r="X619" s="241"/>
      <c r="Y619" s="241"/>
      <c r="Z619" s="242"/>
      <c r="AA619" s="242"/>
      <c r="AB619" s="243"/>
      <c r="AC619" s="243"/>
      <c r="AD619" s="244"/>
      <c r="AE619" s="244"/>
      <c r="AF619" s="244"/>
      <c r="AG619" s="244"/>
    </row>
    <row r="620" spans="2:33" s="245" customFormat="1" hidden="1">
      <c r="B620" s="239"/>
      <c r="C620" s="240"/>
      <c r="D620" s="241"/>
      <c r="E620" s="241"/>
      <c r="F620" s="241"/>
      <c r="G620" s="241"/>
      <c r="H620" s="241"/>
      <c r="I620" s="241"/>
      <c r="J620" s="241"/>
      <c r="K620" s="241"/>
      <c r="L620" s="241"/>
      <c r="M620" s="242"/>
      <c r="N620" s="241"/>
      <c r="O620" s="241"/>
      <c r="P620" s="241"/>
      <c r="Q620" s="241"/>
      <c r="R620" s="241"/>
      <c r="S620" s="241"/>
      <c r="T620" s="241"/>
      <c r="U620" s="241"/>
      <c r="V620" s="241"/>
      <c r="W620" s="241"/>
      <c r="X620" s="241"/>
      <c r="Y620" s="241"/>
      <c r="Z620" s="242"/>
      <c r="AA620" s="242"/>
      <c r="AB620" s="243"/>
      <c r="AC620" s="243"/>
      <c r="AD620" s="244"/>
      <c r="AE620" s="244"/>
      <c r="AF620" s="244"/>
      <c r="AG620" s="244"/>
    </row>
    <row r="621" spans="2:33" s="245" customFormat="1" hidden="1">
      <c r="B621" s="239"/>
      <c r="C621" s="240"/>
      <c r="D621" s="241"/>
      <c r="E621" s="241"/>
      <c r="F621" s="241"/>
      <c r="G621" s="241"/>
      <c r="H621" s="241"/>
      <c r="I621" s="241"/>
      <c r="J621" s="241"/>
      <c r="K621" s="241"/>
      <c r="L621" s="241"/>
      <c r="M621" s="242"/>
      <c r="N621" s="241"/>
      <c r="O621" s="241"/>
      <c r="P621" s="241"/>
      <c r="Q621" s="241"/>
      <c r="R621" s="241"/>
      <c r="S621" s="241"/>
      <c r="T621" s="241"/>
      <c r="U621" s="241"/>
      <c r="V621" s="241"/>
      <c r="W621" s="241"/>
      <c r="X621" s="241"/>
      <c r="Y621" s="241"/>
      <c r="Z621" s="242"/>
      <c r="AA621" s="242"/>
      <c r="AB621" s="243"/>
      <c r="AC621" s="243"/>
      <c r="AD621" s="244"/>
      <c r="AE621" s="244"/>
      <c r="AF621" s="244"/>
      <c r="AG621" s="244"/>
    </row>
    <row r="622" spans="2:33" s="245" customFormat="1" hidden="1">
      <c r="B622" s="239"/>
      <c r="C622" s="240"/>
      <c r="D622" s="241"/>
      <c r="E622" s="241"/>
      <c r="F622" s="241"/>
      <c r="G622" s="241"/>
      <c r="H622" s="241"/>
      <c r="I622" s="241"/>
      <c r="J622" s="241"/>
      <c r="K622" s="241"/>
      <c r="L622" s="241"/>
      <c r="M622" s="242"/>
      <c r="N622" s="241"/>
      <c r="O622" s="241"/>
      <c r="P622" s="241"/>
      <c r="Q622" s="241"/>
      <c r="R622" s="241"/>
      <c r="S622" s="241"/>
      <c r="T622" s="241"/>
      <c r="U622" s="241"/>
      <c r="V622" s="241"/>
      <c r="W622" s="241"/>
      <c r="X622" s="241"/>
      <c r="Y622" s="241"/>
      <c r="Z622" s="242"/>
      <c r="AA622" s="242"/>
      <c r="AB622" s="243"/>
      <c r="AC622" s="243"/>
      <c r="AD622" s="244"/>
      <c r="AE622" s="244"/>
      <c r="AF622" s="244"/>
      <c r="AG622" s="244"/>
    </row>
    <row r="623" spans="2:33" s="245" customFormat="1" hidden="1">
      <c r="B623" s="239"/>
      <c r="C623" s="240"/>
      <c r="D623" s="241"/>
      <c r="E623" s="241"/>
      <c r="F623" s="241"/>
      <c r="G623" s="241"/>
      <c r="H623" s="241"/>
      <c r="I623" s="241"/>
      <c r="J623" s="241"/>
      <c r="K623" s="241"/>
      <c r="L623" s="241"/>
      <c r="M623" s="242"/>
      <c r="N623" s="241"/>
      <c r="O623" s="241"/>
      <c r="P623" s="241"/>
      <c r="Q623" s="241"/>
      <c r="R623" s="241"/>
      <c r="S623" s="241"/>
      <c r="T623" s="241"/>
      <c r="U623" s="241"/>
      <c r="V623" s="241"/>
      <c r="W623" s="241"/>
      <c r="X623" s="241"/>
      <c r="Y623" s="241"/>
      <c r="Z623" s="242"/>
      <c r="AA623" s="242"/>
      <c r="AB623" s="243"/>
      <c r="AC623" s="243"/>
      <c r="AD623" s="244"/>
      <c r="AE623" s="244"/>
      <c r="AF623" s="244"/>
      <c r="AG623" s="244"/>
    </row>
    <row r="624" spans="2:33" s="245" customFormat="1" hidden="1">
      <c r="B624" s="239"/>
      <c r="C624" s="240"/>
      <c r="D624" s="241"/>
      <c r="E624" s="241"/>
      <c r="F624" s="241"/>
      <c r="G624" s="241"/>
      <c r="H624" s="241"/>
      <c r="I624" s="241"/>
      <c r="J624" s="241"/>
      <c r="K624" s="241"/>
      <c r="L624" s="241"/>
      <c r="M624" s="242"/>
      <c r="N624" s="241"/>
      <c r="O624" s="241"/>
      <c r="P624" s="241"/>
      <c r="Q624" s="241"/>
      <c r="R624" s="241"/>
      <c r="S624" s="241"/>
      <c r="T624" s="241"/>
      <c r="U624" s="241"/>
      <c r="V624" s="241"/>
      <c r="W624" s="241"/>
      <c r="X624" s="241"/>
      <c r="Y624" s="241"/>
      <c r="Z624" s="242"/>
      <c r="AA624" s="242"/>
      <c r="AB624" s="243"/>
      <c r="AC624" s="243"/>
      <c r="AD624" s="244"/>
      <c r="AE624" s="244"/>
      <c r="AF624" s="244"/>
      <c r="AG624" s="244"/>
    </row>
    <row r="625" spans="2:33" s="245" customFormat="1" hidden="1">
      <c r="B625" s="239"/>
      <c r="C625" s="240"/>
      <c r="D625" s="241"/>
      <c r="E625" s="241"/>
      <c r="F625" s="241"/>
      <c r="G625" s="241"/>
      <c r="H625" s="241"/>
      <c r="I625" s="241"/>
      <c r="J625" s="241"/>
      <c r="K625" s="241"/>
      <c r="L625" s="241"/>
      <c r="M625" s="242"/>
      <c r="N625" s="241"/>
      <c r="O625" s="241"/>
      <c r="P625" s="241"/>
      <c r="Q625" s="241"/>
      <c r="R625" s="241"/>
      <c r="S625" s="241"/>
      <c r="T625" s="241"/>
      <c r="U625" s="241"/>
      <c r="V625" s="241"/>
      <c r="W625" s="241"/>
      <c r="X625" s="241"/>
      <c r="Y625" s="241"/>
      <c r="Z625" s="242"/>
      <c r="AA625" s="242"/>
      <c r="AB625" s="243"/>
      <c r="AC625" s="243"/>
      <c r="AD625" s="244"/>
      <c r="AE625" s="244"/>
      <c r="AF625" s="244"/>
      <c r="AG625" s="244"/>
    </row>
    <row r="626" spans="2:33" s="245" customFormat="1" hidden="1">
      <c r="B626" s="239"/>
      <c r="C626" s="240"/>
      <c r="D626" s="241"/>
      <c r="E626" s="241"/>
      <c r="F626" s="241"/>
      <c r="G626" s="241"/>
      <c r="H626" s="241"/>
      <c r="I626" s="241"/>
      <c r="J626" s="241"/>
      <c r="K626" s="241"/>
      <c r="L626" s="241"/>
      <c r="M626" s="242"/>
      <c r="N626" s="241"/>
      <c r="O626" s="241"/>
      <c r="P626" s="241"/>
      <c r="Q626" s="241"/>
      <c r="R626" s="241"/>
      <c r="S626" s="241"/>
      <c r="T626" s="241"/>
      <c r="U626" s="241"/>
      <c r="V626" s="241"/>
      <c r="W626" s="241"/>
      <c r="X626" s="241"/>
      <c r="Y626" s="241"/>
      <c r="Z626" s="242"/>
      <c r="AA626" s="242"/>
      <c r="AB626" s="243"/>
      <c r="AC626" s="243"/>
      <c r="AD626" s="244"/>
      <c r="AE626" s="244"/>
      <c r="AF626" s="244"/>
      <c r="AG626" s="244"/>
    </row>
    <row r="627" spans="2:33" s="245" customFormat="1" hidden="1">
      <c r="B627" s="239"/>
      <c r="C627" s="240"/>
      <c r="D627" s="241"/>
      <c r="E627" s="241"/>
      <c r="F627" s="241"/>
      <c r="G627" s="241"/>
      <c r="H627" s="241"/>
      <c r="I627" s="241"/>
      <c r="J627" s="241"/>
      <c r="K627" s="241"/>
      <c r="L627" s="241"/>
      <c r="M627" s="242"/>
      <c r="N627" s="241"/>
      <c r="O627" s="241"/>
      <c r="P627" s="241"/>
      <c r="Q627" s="241"/>
      <c r="R627" s="241"/>
      <c r="S627" s="241"/>
      <c r="T627" s="241"/>
      <c r="U627" s="241"/>
      <c r="V627" s="241"/>
      <c r="W627" s="241"/>
      <c r="X627" s="241"/>
      <c r="Y627" s="241"/>
      <c r="Z627" s="242"/>
      <c r="AA627" s="242"/>
      <c r="AB627" s="243"/>
      <c r="AC627" s="243"/>
      <c r="AD627" s="244"/>
      <c r="AE627" s="244"/>
      <c r="AF627" s="244"/>
      <c r="AG627" s="244"/>
    </row>
    <row r="628" spans="2:33" s="245" customFormat="1" hidden="1">
      <c r="B628" s="239"/>
      <c r="C628" s="240"/>
      <c r="D628" s="241"/>
      <c r="E628" s="241"/>
      <c r="F628" s="241"/>
      <c r="G628" s="241"/>
      <c r="H628" s="241"/>
      <c r="I628" s="241"/>
      <c r="J628" s="241"/>
      <c r="K628" s="241"/>
      <c r="L628" s="241"/>
      <c r="M628" s="242"/>
      <c r="N628" s="241"/>
      <c r="O628" s="241"/>
      <c r="P628" s="241"/>
      <c r="Q628" s="241"/>
      <c r="R628" s="241"/>
      <c r="S628" s="241"/>
      <c r="T628" s="241"/>
      <c r="U628" s="241"/>
      <c r="V628" s="241"/>
      <c r="W628" s="241"/>
      <c r="X628" s="241"/>
      <c r="Y628" s="241"/>
      <c r="Z628" s="242"/>
      <c r="AA628" s="242"/>
      <c r="AB628" s="243"/>
      <c r="AC628" s="243"/>
      <c r="AD628" s="244"/>
      <c r="AE628" s="244"/>
      <c r="AF628" s="244"/>
      <c r="AG628" s="244"/>
    </row>
    <row r="629" spans="2:33" s="245" customFormat="1" hidden="1">
      <c r="B629" s="239"/>
      <c r="C629" s="240"/>
      <c r="D629" s="241"/>
      <c r="E629" s="241"/>
      <c r="F629" s="241"/>
      <c r="G629" s="241"/>
      <c r="H629" s="241"/>
      <c r="I629" s="241"/>
      <c r="J629" s="241"/>
      <c r="K629" s="241"/>
      <c r="L629" s="241"/>
      <c r="M629" s="242"/>
      <c r="N629" s="241"/>
      <c r="O629" s="241"/>
      <c r="P629" s="241"/>
      <c r="Q629" s="241"/>
      <c r="R629" s="241"/>
      <c r="S629" s="241"/>
      <c r="T629" s="241"/>
      <c r="U629" s="241"/>
      <c r="V629" s="241"/>
      <c r="W629" s="241"/>
      <c r="X629" s="241"/>
      <c r="Y629" s="241"/>
      <c r="Z629" s="242"/>
      <c r="AA629" s="242"/>
      <c r="AB629" s="243"/>
      <c r="AC629" s="243"/>
      <c r="AD629" s="244"/>
      <c r="AE629" s="244"/>
      <c r="AF629" s="244"/>
      <c r="AG629" s="244"/>
    </row>
    <row r="630" spans="2:33" s="245" customFormat="1" hidden="1">
      <c r="B630" s="239"/>
      <c r="C630" s="240"/>
      <c r="D630" s="241"/>
      <c r="E630" s="241"/>
      <c r="F630" s="241"/>
      <c r="G630" s="241"/>
      <c r="H630" s="241"/>
      <c r="I630" s="241"/>
      <c r="J630" s="241"/>
      <c r="K630" s="241"/>
      <c r="L630" s="241"/>
      <c r="M630" s="242"/>
      <c r="N630" s="241"/>
      <c r="O630" s="241"/>
      <c r="P630" s="241"/>
      <c r="Q630" s="241"/>
      <c r="R630" s="241"/>
      <c r="S630" s="241"/>
      <c r="T630" s="241"/>
      <c r="U630" s="241"/>
      <c r="V630" s="241"/>
      <c r="W630" s="241"/>
      <c r="X630" s="241"/>
      <c r="Y630" s="241"/>
      <c r="Z630" s="242"/>
      <c r="AA630" s="242"/>
      <c r="AB630" s="243"/>
      <c r="AC630" s="243"/>
      <c r="AD630" s="244"/>
      <c r="AE630" s="244"/>
      <c r="AF630" s="244"/>
      <c r="AG630" s="244"/>
    </row>
    <row r="631" spans="2:33" s="245" customFormat="1" hidden="1">
      <c r="B631" s="239"/>
      <c r="C631" s="240"/>
      <c r="D631" s="241"/>
      <c r="E631" s="241"/>
      <c r="F631" s="241"/>
      <c r="G631" s="241"/>
      <c r="H631" s="241"/>
      <c r="I631" s="241"/>
      <c r="J631" s="241"/>
      <c r="K631" s="241"/>
      <c r="L631" s="241"/>
      <c r="M631" s="242"/>
      <c r="N631" s="241"/>
      <c r="O631" s="241"/>
      <c r="P631" s="241"/>
      <c r="Q631" s="241"/>
      <c r="R631" s="241"/>
      <c r="S631" s="241"/>
      <c r="T631" s="241"/>
      <c r="U631" s="241"/>
      <c r="V631" s="241"/>
      <c r="W631" s="241"/>
      <c r="X631" s="241"/>
      <c r="Y631" s="241"/>
      <c r="Z631" s="242"/>
      <c r="AA631" s="242"/>
      <c r="AB631" s="243"/>
      <c r="AC631" s="243"/>
      <c r="AD631" s="244"/>
      <c r="AE631" s="244"/>
      <c r="AF631" s="244"/>
      <c r="AG631" s="244"/>
    </row>
    <row r="632" spans="2:33" s="245" customFormat="1" hidden="1">
      <c r="B632" s="239"/>
      <c r="C632" s="240"/>
      <c r="D632" s="241"/>
      <c r="E632" s="241"/>
      <c r="F632" s="241"/>
      <c r="G632" s="241"/>
      <c r="H632" s="241"/>
      <c r="I632" s="241"/>
      <c r="J632" s="241"/>
      <c r="K632" s="241"/>
      <c r="L632" s="241"/>
      <c r="M632" s="242"/>
      <c r="N632" s="241"/>
      <c r="O632" s="241"/>
      <c r="P632" s="241"/>
      <c r="Q632" s="241"/>
      <c r="R632" s="241"/>
      <c r="S632" s="241"/>
      <c r="T632" s="241"/>
      <c r="U632" s="241"/>
      <c r="V632" s="241"/>
      <c r="W632" s="241"/>
      <c r="X632" s="241"/>
      <c r="Y632" s="241"/>
      <c r="Z632" s="242"/>
      <c r="AA632" s="242"/>
      <c r="AB632" s="243"/>
      <c r="AC632" s="243"/>
      <c r="AD632" s="244"/>
      <c r="AE632" s="244"/>
      <c r="AF632" s="244"/>
      <c r="AG632" s="244"/>
    </row>
    <row r="633" spans="2:33" s="245" customFormat="1" hidden="1">
      <c r="B633" s="239"/>
      <c r="C633" s="240"/>
      <c r="D633" s="241"/>
      <c r="E633" s="241"/>
      <c r="F633" s="241"/>
      <c r="G633" s="241"/>
      <c r="H633" s="241"/>
      <c r="I633" s="241"/>
      <c r="J633" s="241"/>
      <c r="K633" s="241"/>
      <c r="L633" s="241"/>
      <c r="M633" s="242"/>
      <c r="N633" s="241"/>
      <c r="O633" s="241"/>
      <c r="P633" s="241"/>
      <c r="Q633" s="241"/>
      <c r="R633" s="241"/>
      <c r="S633" s="241"/>
      <c r="T633" s="241"/>
      <c r="U633" s="241"/>
      <c r="V633" s="241"/>
      <c r="W633" s="241"/>
      <c r="X633" s="241"/>
      <c r="Y633" s="241"/>
      <c r="Z633" s="242"/>
      <c r="AA633" s="242"/>
      <c r="AB633" s="243"/>
      <c r="AC633" s="243"/>
      <c r="AD633" s="244"/>
      <c r="AE633" s="244"/>
      <c r="AF633" s="244"/>
      <c r="AG633" s="244"/>
    </row>
    <row r="634" spans="2:33" s="245" customFormat="1" hidden="1">
      <c r="B634" s="239"/>
      <c r="C634" s="240"/>
      <c r="D634" s="241"/>
      <c r="E634" s="241"/>
      <c r="F634" s="241"/>
      <c r="G634" s="241"/>
      <c r="H634" s="241"/>
      <c r="I634" s="241"/>
      <c r="J634" s="241"/>
      <c r="K634" s="241"/>
      <c r="L634" s="241"/>
      <c r="M634" s="242"/>
      <c r="N634" s="241"/>
      <c r="O634" s="241"/>
      <c r="P634" s="241"/>
      <c r="Q634" s="241"/>
      <c r="R634" s="241"/>
      <c r="S634" s="241"/>
      <c r="T634" s="241"/>
      <c r="U634" s="241"/>
      <c r="V634" s="241"/>
      <c r="W634" s="241"/>
      <c r="X634" s="241"/>
      <c r="Y634" s="241"/>
      <c r="Z634" s="242"/>
      <c r="AA634" s="242"/>
      <c r="AB634" s="243"/>
      <c r="AC634" s="243"/>
      <c r="AD634" s="244"/>
      <c r="AE634" s="244"/>
      <c r="AF634" s="244"/>
      <c r="AG634" s="244"/>
    </row>
    <row r="635" spans="2:33" s="245" customFormat="1" hidden="1">
      <c r="B635" s="239"/>
      <c r="C635" s="240"/>
      <c r="D635" s="241"/>
      <c r="E635" s="241"/>
      <c r="F635" s="241"/>
      <c r="G635" s="241"/>
      <c r="H635" s="241"/>
      <c r="I635" s="241"/>
      <c r="J635" s="241"/>
      <c r="K635" s="241"/>
      <c r="L635" s="241"/>
      <c r="M635" s="242"/>
      <c r="N635" s="241"/>
      <c r="O635" s="241"/>
      <c r="P635" s="241"/>
      <c r="Q635" s="241"/>
      <c r="R635" s="241"/>
      <c r="S635" s="241"/>
      <c r="T635" s="241"/>
      <c r="U635" s="241"/>
      <c r="V635" s="241"/>
      <c r="W635" s="241"/>
      <c r="X635" s="241"/>
      <c r="Y635" s="241"/>
      <c r="Z635" s="242"/>
      <c r="AA635" s="242"/>
      <c r="AB635" s="243"/>
      <c r="AC635" s="243"/>
      <c r="AD635" s="244"/>
      <c r="AE635" s="244"/>
      <c r="AF635" s="244"/>
      <c r="AG635" s="244"/>
    </row>
    <row r="636" spans="2:33" s="245" customFormat="1" hidden="1">
      <c r="B636" s="239"/>
      <c r="C636" s="240"/>
      <c r="D636" s="241"/>
      <c r="E636" s="241"/>
      <c r="F636" s="241"/>
      <c r="G636" s="241"/>
      <c r="H636" s="241"/>
      <c r="I636" s="241"/>
      <c r="J636" s="241"/>
      <c r="K636" s="241"/>
      <c r="L636" s="241"/>
      <c r="M636" s="242"/>
      <c r="N636" s="241"/>
      <c r="O636" s="241"/>
      <c r="P636" s="241"/>
      <c r="Q636" s="241"/>
      <c r="R636" s="241"/>
      <c r="S636" s="241"/>
      <c r="T636" s="241"/>
      <c r="U636" s="241"/>
      <c r="V636" s="241"/>
      <c r="W636" s="241"/>
      <c r="X636" s="241"/>
      <c r="Y636" s="241"/>
      <c r="Z636" s="242"/>
      <c r="AA636" s="242"/>
      <c r="AB636" s="243"/>
      <c r="AC636" s="243"/>
      <c r="AD636" s="244"/>
      <c r="AE636" s="244"/>
      <c r="AF636" s="244"/>
      <c r="AG636" s="244"/>
    </row>
    <row r="637" spans="2:33" s="245" customFormat="1" hidden="1">
      <c r="B637" s="239"/>
      <c r="C637" s="240"/>
      <c r="D637" s="241"/>
      <c r="E637" s="241"/>
      <c r="F637" s="241"/>
      <c r="G637" s="241"/>
      <c r="H637" s="241"/>
      <c r="I637" s="241"/>
      <c r="J637" s="241"/>
      <c r="K637" s="241"/>
      <c r="L637" s="241"/>
      <c r="M637" s="242"/>
      <c r="N637" s="241"/>
      <c r="O637" s="241"/>
      <c r="P637" s="241"/>
      <c r="Q637" s="241"/>
      <c r="R637" s="241"/>
      <c r="S637" s="241"/>
      <c r="T637" s="241"/>
      <c r="U637" s="241"/>
      <c r="V637" s="241"/>
      <c r="W637" s="241"/>
      <c r="X637" s="241"/>
      <c r="Y637" s="241"/>
      <c r="Z637" s="242"/>
      <c r="AA637" s="242"/>
      <c r="AB637" s="243"/>
      <c r="AC637" s="243"/>
      <c r="AD637" s="244"/>
      <c r="AE637" s="244"/>
      <c r="AF637" s="244"/>
      <c r="AG637" s="244"/>
    </row>
    <row r="638" spans="2:33" s="245" customFormat="1" hidden="1">
      <c r="B638" s="239"/>
      <c r="C638" s="240"/>
      <c r="D638" s="241"/>
      <c r="E638" s="241"/>
      <c r="F638" s="241"/>
      <c r="G638" s="241"/>
      <c r="H638" s="241"/>
      <c r="I638" s="241"/>
      <c r="J638" s="241"/>
      <c r="K638" s="241"/>
      <c r="L638" s="241"/>
      <c r="M638" s="242"/>
      <c r="N638" s="241"/>
      <c r="O638" s="241"/>
      <c r="P638" s="241"/>
      <c r="Q638" s="241"/>
      <c r="R638" s="241"/>
      <c r="S638" s="241"/>
      <c r="T638" s="241"/>
      <c r="U638" s="241"/>
      <c r="V638" s="241"/>
      <c r="W638" s="241"/>
      <c r="X638" s="241"/>
      <c r="Y638" s="241"/>
      <c r="Z638" s="242"/>
      <c r="AA638" s="242"/>
      <c r="AB638" s="243"/>
      <c r="AC638" s="243"/>
      <c r="AD638" s="244"/>
      <c r="AE638" s="244"/>
      <c r="AF638" s="244"/>
      <c r="AG638" s="244"/>
    </row>
    <row r="639" spans="2:33" s="245" customFormat="1" hidden="1">
      <c r="B639" s="239"/>
      <c r="C639" s="240"/>
      <c r="D639" s="241"/>
      <c r="E639" s="241"/>
      <c r="F639" s="241"/>
      <c r="G639" s="241"/>
      <c r="H639" s="241"/>
      <c r="I639" s="241"/>
      <c r="J639" s="241"/>
      <c r="K639" s="241"/>
      <c r="L639" s="241"/>
      <c r="M639" s="242"/>
      <c r="N639" s="241"/>
      <c r="O639" s="241"/>
      <c r="P639" s="241"/>
      <c r="Q639" s="241"/>
      <c r="R639" s="241"/>
      <c r="S639" s="241"/>
      <c r="T639" s="241"/>
      <c r="U639" s="241"/>
      <c r="V639" s="241"/>
      <c r="W639" s="241"/>
      <c r="X639" s="241"/>
      <c r="Y639" s="241"/>
      <c r="Z639" s="242"/>
      <c r="AA639" s="242"/>
      <c r="AB639" s="243"/>
      <c r="AC639" s="243"/>
      <c r="AD639" s="244"/>
      <c r="AE639" s="244"/>
      <c r="AF639" s="244"/>
      <c r="AG639" s="244"/>
    </row>
    <row r="640" spans="2:33" s="245" customFormat="1" hidden="1">
      <c r="B640" s="239"/>
      <c r="C640" s="240"/>
      <c r="D640" s="241"/>
      <c r="E640" s="241"/>
      <c r="F640" s="241"/>
      <c r="G640" s="241"/>
      <c r="H640" s="241"/>
      <c r="I640" s="241"/>
      <c r="J640" s="241"/>
      <c r="K640" s="241"/>
      <c r="L640" s="241"/>
      <c r="M640" s="242"/>
      <c r="N640" s="241"/>
      <c r="O640" s="241"/>
      <c r="P640" s="241"/>
      <c r="Q640" s="241"/>
      <c r="R640" s="241"/>
      <c r="S640" s="241"/>
      <c r="T640" s="241"/>
      <c r="U640" s="241"/>
      <c r="V640" s="241"/>
      <c r="W640" s="241"/>
      <c r="X640" s="241"/>
      <c r="Y640" s="241"/>
      <c r="Z640" s="242"/>
      <c r="AA640" s="242"/>
      <c r="AB640" s="243"/>
      <c r="AC640" s="243"/>
      <c r="AD640" s="244"/>
      <c r="AE640" s="244"/>
      <c r="AF640" s="244"/>
      <c r="AG640" s="244"/>
    </row>
    <row r="641" spans="2:33" s="245" customFormat="1" hidden="1">
      <c r="B641" s="239"/>
      <c r="C641" s="240"/>
      <c r="D641" s="241"/>
      <c r="E641" s="241"/>
      <c r="F641" s="241"/>
      <c r="G641" s="241"/>
      <c r="H641" s="241"/>
      <c r="I641" s="241"/>
      <c r="J641" s="241"/>
      <c r="K641" s="241"/>
      <c r="L641" s="241"/>
      <c r="M641" s="242"/>
      <c r="N641" s="241"/>
      <c r="O641" s="241"/>
      <c r="P641" s="241"/>
      <c r="Q641" s="241"/>
      <c r="R641" s="241"/>
      <c r="S641" s="241"/>
      <c r="T641" s="241"/>
      <c r="U641" s="241"/>
      <c r="V641" s="241"/>
      <c r="W641" s="241"/>
      <c r="X641" s="241"/>
      <c r="Y641" s="241"/>
      <c r="Z641" s="242"/>
      <c r="AA641" s="242"/>
      <c r="AB641" s="243"/>
      <c r="AC641" s="243"/>
      <c r="AD641" s="244"/>
      <c r="AE641" s="244"/>
      <c r="AF641" s="244"/>
      <c r="AG641" s="244"/>
    </row>
    <row r="642" spans="2:33" s="245" customFormat="1" hidden="1">
      <c r="B642" s="239"/>
      <c r="C642" s="240"/>
      <c r="D642" s="241"/>
      <c r="E642" s="241"/>
      <c r="F642" s="241"/>
      <c r="G642" s="241"/>
      <c r="H642" s="241"/>
      <c r="I642" s="241"/>
      <c r="J642" s="241"/>
      <c r="K642" s="241"/>
      <c r="L642" s="241"/>
      <c r="M642" s="242"/>
      <c r="N642" s="241"/>
      <c r="O642" s="241"/>
      <c r="P642" s="241"/>
      <c r="Q642" s="241"/>
      <c r="R642" s="241"/>
      <c r="S642" s="241"/>
      <c r="T642" s="241"/>
      <c r="U642" s="241"/>
      <c r="V642" s="241"/>
      <c r="W642" s="241"/>
      <c r="X642" s="241"/>
      <c r="Y642" s="241"/>
      <c r="Z642" s="242"/>
      <c r="AA642" s="242"/>
      <c r="AB642" s="243"/>
      <c r="AC642" s="243"/>
      <c r="AD642" s="244"/>
      <c r="AE642" s="244"/>
      <c r="AF642" s="244"/>
      <c r="AG642" s="244"/>
    </row>
    <row r="643" spans="2:33" s="245" customFormat="1" hidden="1">
      <c r="B643" s="239"/>
      <c r="C643" s="240"/>
      <c r="D643" s="241"/>
      <c r="E643" s="241"/>
      <c r="F643" s="241"/>
      <c r="G643" s="241"/>
      <c r="H643" s="241"/>
      <c r="I643" s="241"/>
      <c r="J643" s="241"/>
      <c r="K643" s="241"/>
      <c r="L643" s="241"/>
      <c r="M643" s="242"/>
      <c r="N643" s="241"/>
      <c r="O643" s="241"/>
      <c r="P643" s="241"/>
      <c r="Q643" s="241"/>
      <c r="R643" s="241"/>
      <c r="S643" s="241"/>
      <c r="T643" s="241"/>
      <c r="U643" s="241"/>
      <c r="V643" s="241"/>
      <c r="W643" s="241"/>
      <c r="X643" s="241"/>
      <c r="Y643" s="241"/>
      <c r="Z643" s="242"/>
      <c r="AA643" s="242"/>
      <c r="AB643" s="243"/>
      <c r="AC643" s="243"/>
      <c r="AD643" s="244"/>
      <c r="AE643" s="244"/>
      <c r="AF643" s="244"/>
      <c r="AG643" s="244"/>
    </row>
    <row r="644" spans="2:33" s="245" customFormat="1" hidden="1">
      <c r="B644" s="239"/>
      <c r="C644" s="240"/>
      <c r="D644" s="241"/>
      <c r="E644" s="241"/>
      <c r="F644" s="241"/>
      <c r="G644" s="241"/>
      <c r="H644" s="241"/>
      <c r="I644" s="241"/>
      <c r="J644" s="241"/>
      <c r="K644" s="241"/>
      <c r="L644" s="241"/>
      <c r="M644" s="242"/>
      <c r="N644" s="241"/>
      <c r="O644" s="241"/>
      <c r="P644" s="241"/>
      <c r="Q644" s="241"/>
      <c r="R644" s="241"/>
      <c r="S644" s="241"/>
      <c r="T644" s="241"/>
      <c r="U644" s="241"/>
      <c r="V644" s="241"/>
      <c r="W644" s="241"/>
      <c r="X644" s="241"/>
      <c r="Y644" s="241"/>
      <c r="Z644" s="242"/>
      <c r="AA644" s="242"/>
      <c r="AB644" s="243"/>
      <c r="AC644" s="243"/>
      <c r="AD644" s="244"/>
      <c r="AE644" s="244"/>
      <c r="AF644" s="244"/>
      <c r="AG644" s="244"/>
    </row>
    <row r="645" spans="2:33" s="245" customFormat="1" hidden="1">
      <c r="B645" s="239"/>
      <c r="C645" s="240"/>
      <c r="D645" s="241"/>
      <c r="E645" s="241"/>
      <c r="F645" s="241"/>
      <c r="G645" s="241"/>
      <c r="H645" s="241"/>
      <c r="I645" s="241"/>
      <c r="J645" s="241"/>
      <c r="K645" s="241"/>
      <c r="L645" s="241"/>
      <c r="M645" s="242"/>
      <c r="N645" s="241"/>
      <c r="O645" s="241"/>
      <c r="P645" s="241"/>
      <c r="Q645" s="241"/>
      <c r="R645" s="241"/>
      <c r="S645" s="241"/>
      <c r="T645" s="241"/>
      <c r="U645" s="241"/>
      <c r="V645" s="241"/>
      <c r="W645" s="241"/>
      <c r="X645" s="241"/>
      <c r="Y645" s="241"/>
      <c r="Z645" s="242"/>
      <c r="AA645" s="242"/>
      <c r="AB645" s="243"/>
      <c r="AC645" s="243"/>
      <c r="AD645" s="244"/>
      <c r="AE645" s="244"/>
      <c r="AF645" s="244"/>
      <c r="AG645" s="244"/>
    </row>
    <row r="646" spans="2:33" s="245" customFormat="1" hidden="1">
      <c r="B646" s="239"/>
      <c r="C646" s="240"/>
      <c r="D646" s="241"/>
      <c r="E646" s="241"/>
      <c r="F646" s="241"/>
      <c r="G646" s="241"/>
      <c r="H646" s="241"/>
      <c r="I646" s="241"/>
      <c r="J646" s="241"/>
      <c r="K646" s="241"/>
      <c r="L646" s="241"/>
      <c r="M646" s="242"/>
      <c r="N646" s="241"/>
      <c r="O646" s="241"/>
      <c r="P646" s="241"/>
      <c r="Q646" s="241"/>
      <c r="R646" s="241"/>
      <c r="S646" s="241"/>
      <c r="T646" s="241"/>
      <c r="U646" s="241"/>
      <c r="V646" s="241"/>
      <c r="W646" s="241"/>
      <c r="X646" s="241"/>
      <c r="Y646" s="241"/>
      <c r="Z646" s="242"/>
      <c r="AA646" s="242"/>
      <c r="AB646" s="243"/>
      <c r="AC646" s="243"/>
      <c r="AD646" s="244"/>
      <c r="AE646" s="244"/>
      <c r="AF646" s="244"/>
      <c r="AG646" s="244"/>
    </row>
    <row r="647" spans="2:33" s="245" customFormat="1" hidden="1">
      <c r="B647" s="239"/>
      <c r="C647" s="240"/>
      <c r="D647" s="241"/>
      <c r="E647" s="241"/>
      <c r="F647" s="241"/>
      <c r="G647" s="241"/>
      <c r="H647" s="241"/>
      <c r="I647" s="241"/>
      <c r="J647" s="241"/>
      <c r="K647" s="241"/>
      <c r="L647" s="241"/>
      <c r="M647" s="242"/>
      <c r="N647" s="241"/>
      <c r="O647" s="241"/>
      <c r="P647" s="241"/>
      <c r="Q647" s="241"/>
      <c r="R647" s="241"/>
      <c r="S647" s="241"/>
      <c r="T647" s="241"/>
      <c r="U647" s="241"/>
      <c r="V647" s="241"/>
      <c r="W647" s="241"/>
      <c r="X647" s="241"/>
      <c r="Y647" s="241"/>
      <c r="Z647" s="242"/>
      <c r="AA647" s="242"/>
      <c r="AB647" s="243"/>
      <c r="AC647" s="243"/>
      <c r="AD647" s="244"/>
      <c r="AE647" s="244"/>
      <c r="AF647" s="244"/>
      <c r="AG647" s="244"/>
    </row>
    <row r="648" spans="2:33" s="245" customFormat="1" hidden="1">
      <c r="B648" s="239"/>
      <c r="C648" s="240"/>
      <c r="D648" s="241"/>
      <c r="E648" s="241"/>
      <c r="F648" s="241"/>
      <c r="G648" s="241"/>
      <c r="H648" s="241"/>
      <c r="I648" s="241"/>
      <c r="J648" s="241"/>
      <c r="K648" s="241"/>
      <c r="L648" s="241"/>
      <c r="M648" s="242"/>
      <c r="N648" s="241"/>
      <c r="O648" s="241"/>
      <c r="P648" s="241"/>
      <c r="Q648" s="241"/>
      <c r="R648" s="241"/>
      <c r="S648" s="241"/>
      <c r="T648" s="241"/>
      <c r="U648" s="241"/>
      <c r="V648" s="241"/>
      <c r="W648" s="241"/>
      <c r="X648" s="241"/>
      <c r="Y648" s="241"/>
      <c r="Z648" s="242"/>
      <c r="AA648" s="242"/>
      <c r="AB648" s="243"/>
      <c r="AC648" s="243"/>
      <c r="AD648" s="244"/>
      <c r="AE648" s="244"/>
      <c r="AF648" s="244"/>
      <c r="AG648" s="244"/>
    </row>
    <row r="649" spans="2:33" s="245" customFormat="1" hidden="1">
      <c r="B649" s="239"/>
      <c r="C649" s="240"/>
      <c r="D649" s="241"/>
      <c r="E649" s="241"/>
      <c r="F649" s="241"/>
      <c r="G649" s="241"/>
      <c r="H649" s="241"/>
      <c r="I649" s="241"/>
      <c r="J649" s="241"/>
      <c r="K649" s="241"/>
      <c r="L649" s="241"/>
      <c r="M649" s="242"/>
      <c r="N649" s="241"/>
      <c r="O649" s="241"/>
      <c r="P649" s="241"/>
      <c r="Q649" s="241"/>
      <c r="R649" s="241"/>
      <c r="S649" s="241"/>
      <c r="T649" s="241"/>
      <c r="U649" s="241"/>
      <c r="V649" s="241"/>
      <c r="W649" s="241"/>
      <c r="X649" s="241"/>
      <c r="Y649" s="241"/>
      <c r="Z649" s="242"/>
      <c r="AA649" s="242"/>
      <c r="AB649" s="243"/>
      <c r="AC649" s="243"/>
      <c r="AD649" s="244"/>
      <c r="AE649" s="244"/>
      <c r="AF649" s="244"/>
      <c r="AG649" s="244"/>
    </row>
    <row r="650" spans="2:33" s="245" customFormat="1" hidden="1">
      <c r="B650" s="239"/>
      <c r="C650" s="240"/>
      <c r="D650" s="241"/>
      <c r="E650" s="241"/>
      <c r="F650" s="241"/>
      <c r="G650" s="241"/>
      <c r="H650" s="241"/>
      <c r="I650" s="241"/>
      <c r="J650" s="241"/>
      <c r="K650" s="241"/>
      <c r="L650" s="241"/>
      <c r="M650" s="242"/>
      <c r="N650" s="241"/>
      <c r="O650" s="241"/>
      <c r="P650" s="241"/>
      <c r="Q650" s="241"/>
      <c r="R650" s="241"/>
      <c r="S650" s="241"/>
      <c r="T650" s="241"/>
      <c r="U650" s="241"/>
      <c r="V650" s="241"/>
      <c r="W650" s="241"/>
      <c r="X650" s="241"/>
      <c r="Y650" s="241"/>
      <c r="Z650" s="242"/>
      <c r="AA650" s="242"/>
      <c r="AB650" s="243"/>
      <c r="AC650" s="243"/>
      <c r="AD650" s="244"/>
      <c r="AE650" s="244"/>
      <c r="AF650" s="244"/>
      <c r="AG650" s="244"/>
    </row>
    <row r="651" spans="2:33" s="245" customFormat="1" hidden="1">
      <c r="B651" s="239"/>
      <c r="C651" s="240"/>
      <c r="D651" s="241"/>
      <c r="E651" s="241"/>
      <c r="F651" s="241"/>
      <c r="G651" s="241"/>
      <c r="H651" s="241"/>
      <c r="I651" s="241"/>
      <c r="J651" s="241"/>
      <c r="K651" s="241"/>
      <c r="L651" s="241"/>
      <c r="M651" s="242"/>
      <c r="N651" s="241"/>
      <c r="O651" s="241"/>
      <c r="P651" s="241"/>
      <c r="Q651" s="241"/>
      <c r="R651" s="241"/>
      <c r="S651" s="241"/>
      <c r="T651" s="241"/>
      <c r="U651" s="241"/>
      <c r="V651" s="241"/>
      <c r="W651" s="241"/>
      <c r="X651" s="241"/>
      <c r="Y651" s="241"/>
      <c r="Z651" s="242"/>
      <c r="AA651" s="242"/>
      <c r="AB651" s="243"/>
      <c r="AC651" s="243"/>
      <c r="AD651" s="244"/>
      <c r="AE651" s="244"/>
      <c r="AF651" s="244"/>
      <c r="AG651" s="244"/>
    </row>
    <row r="652" spans="2:33" s="245" customFormat="1" hidden="1">
      <c r="B652" s="239"/>
      <c r="C652" s="240"/>
      <c r="D652" s="241"/>
      <c r="E652" s="241"/>
      <c r="F652" s="241"/>
      <c r="G652" s="241"/>
      <c r="H652" s="241"/>
      <c r="I652" s="241"/>
      <c r="J652" s="241"/>
      <c r="K652" s="241"/>
      <c r="L652" s="241"/>
      <c r="M652" s="242"/>
      <c r="N652" s="241"/>
      <c r="O652" s="241"/>
      <c r="P652" s="241"/>
      <c r="Q652" s="241"/>
      <c r="R652" s="241"/>
      <c r="S652" s="241"/>
      <c r="T652" s="241"/>
      <c r="U652" s="241"/>
      <c r="V652" s="241"/>
      <c r="W652" s="241"/>
      <c r="X652" s="241"/>
      <c r="Y652" s="241"/>
      <c r="Z652" s="242"/>
      <c r="AA652" s="242"/>
      <c r="AB652" s="243"/>
      <c r="AC652" s="243"/>
      <c r="AD652" s="244"/>
      <c r="AE652" s="244"/>
      <c r="AF652" s="244"/>
      <c r="AG652" s="244"/>
    </row>
    <row r="653" spans="2:33" s="245" customFormat="1" hidden="1">
      <c r="B653" s="239"/>
      <c r="C653" s="240"/>
      <c r="D653" s="241"/>
      <c r="E653" s="241"/>
      <c r="F653" s="241"/>
      <c r="G653" s="241"/>
      <c r="H653" s="241"/>
      <c r="I653" s="241"/>
      <c r="J653" s="241"/>
      <c r="K653" s="241"/>
      <c r="L653" s="241"/>
      <c r="M653" s="242"/>
      <c r="N653" s="241"/>
      <c r="O653" s="241"/>
      <c r="P653" s="241"/>
      <c r="Q653" s="241"/>
      <c r="R653" s="241"/>
      <c r="S653" s="241"/>
      <c r="T653" s="241"/>
      <c r="U653" s="241"/>
      <c r="V653" s="241"/>
      <c r="W653" s="241"/>
      <c r="X653" s="241"/>
      <c r="Y653" s="241"/>
      <c r="Z653" s="242"/>
      <c r="AA653" s="242"/>
      <c r="AB653" s="243"/>
      <c r="AC653" s="243"/>
      <c r="AD653" s="244"/>
      <c r="AE653" s="244"/>
      <c r="AF653" s="244"/>
      <c r="AG653" s="244"/>
    </row>
    <row r="654" spans="2:33" s="245" customFormat="1" hidden="1">
      <c r="B654" s="239"/>
      <c r="C654" s="240"/>
      <c r="D654" s="241"/>
      <c r="E654" s="241"/>
      <c r="F654" s="241"/>
      <c r="G654" s="241"/>
      <c r="H654" s="241"/>
      <c r="I654" s="241"/>
      <c r="J654" s="241"/>
      <c r="K654" s="241"/>
      <c r="L654" s="241"/>
      <c r="M654" s="242"/>
      <c r="N654" s="241"/>
      <c r="O654" s="241"/>
      <c r="P654" s="241"/>
      <c r="Q654" s="241"/>
      <c r="R654" s="241"/>
      <c r="S654" s="241"/>
      <c r="T654" s="241"/>
      <c r="U654" s="241"/>
      <c r="V654" s="241"/>
      <c r="W654" s="241"/>
      <c r="X654" s="241"/>
      <c r="Y654" s="241"/>
      <c r="Z654" s="242"/>
      <c r="AA654" s="242"/>
      <c r="AB654" s="243"/>
      <c r="AC654" s="243"/>
      <c r="AD654" s="244"/>
      <c r="AE654" s="244"/>
      <c r="AF654" s="244"/>
      <c r="AG654" s="244"/>
    </row>
    <row r="655" spans="2:33" s="245" customFormat="1" hidden="1">
      <c r="B655" s="239"/>
      <c r="C655" s="240"/>
      <c r="D655" s="241"/>
      <c r="E655" s="241"/>
      <c r="F655" s="241"/>
      <c r="G655" s="241"/>
      <c r="H655" s="241"/>
      <c r="I655" s="241"/>
      <c r="J655" s="241"/>
      <c r="K655" s="241"/>
      <c r="L655" s="241"/>
      <c r="M655" s="242"/>
      <c r="N655" s="241"/>
      <c r="O655" s="241"/>
      <c r="P655" s="241"/>
      <c r="Q655" s="241"/>
      <c r="R655" s="241"/>
      <c r="S655" s="241"/>
      <c r="T655" s="241"/>
      <c r="U655" s="241"/>
      <c r="V655" s="241"/>
      <c r="W655" s="241"/>
      <c r="X655" s="241"/>
      <c r="Y655" s="241"/>
      <c r="Z655" s="242"/>
      <c r="AA655" s="242"/>
      <c r="AB655" s="243"/>
      <c r="AC655" s="243"/>
      <c r="AD655" s="244"/>
      <c r="AE655" s="244"/>
      <c r="AF655" s="244"/>
      <c r="AG655" s="244"/>
    </row>
    <row r="656" spans="2:33" s="245" customFormat="1" hidden="1">
      <c r="B656" s="239"/>
      <c r="C656" s="240"/>
      <c r="D656" s="241"/>
      <c r="E656" s="241"/>
      <c r="F656" s="241"/>
      <c r="G656" s="241"/>
      <c r="H656" s="241"/>
      <c r="I656" s="241"/>
      <c r="J656" s="241"/>
      <c r="K656" s="241"/>
      <c r="L656" s="241"/>
      <c r="M656" s="242"/>
      <c r="N656" s="241"/>
      <c r="O656" s="241"/>
      <c r="P656" s="241"/>
      <c r="Q656" s="241"/>
      <c r="R656" s="241"/>
      <c r="S656" s="241"/>
      <c r="T656" s="241"/>
      <c r="U656" s="241"/>
      <c r="V656" s="241"/>
      <c r="W656" s="241"/>
      <c r="X656" s="241"/>
      <c r="Y656" s="241"/>
      <c r="Z656" s="242"/>
      <c r="AA656" s="242"/>
      <c r="AB656" s="243"/>
      <c r="AC656" s="243"/>
      <c r="AD656" s="244"/>
      <c r="AE656" s="244"/>
      <c r="AF656" s="244"/>
      <c r="AG656" s="244"/>
    </row>
    <row r="657" spans="2:33" s="245" customFormat="1" hidden="1">
      <c r="B657" s="239"/>
      <c r="C657" s="240"/>
      <c r="D657" s="241"/>
      <c r="E657" s="241"/>
      <c r="F657" s="241"/>
      <c r="G657" s="241"/>
      <c r="H657" s="241"/>
      <c r="I657" s="241"/>
      <c r="J657" s="241"/>
      <c r="K657" s="241"/>
      <c r="L657" s="241"/>
      <c r="M657" s="242"/>
      <c r="N657" s="241"/>
      <c r="O657" s="241"/>
      <c r="P657" s="241"/>
      <c r="Q657" s="241"/>
      <c r="R657" s="241"/>
      <c r="S657" s="241"/>
      <c r="T657" s="241"/>
      <c r="U657" s="241"/>
      <c r="V657" s="241"/>
      <c r="W657" s="241"/>
      <c r="X657" s="241"/>
      <c r="Y657" s="241"/>
      <c r="Z657" s="242"/>
      <c r="AA657" s="242"/>
      <c r="AB657" s="243"/>
      <c r="AC657" s="243"/>
      <c r="AD657" s="244"/>
      <c r="AE657" s="244"/>
      <c r="AF657" s="244"/>
      <c r="AG657" s="244"/>
    </row>
    <row r="658" spans="2:33" s="245" customFormat="1" hidden="1">
      <c r="B658" s="239"/>
      <c r="C658" s="240"/>
      <c r="D658" s="241"/>
      <c r="E658" s="241"/>
      <c r="F658" s="241"/>
      <c r="G658" s="241"/>
      <c r="H658" s="241"/>
      <c r="I658" s="241"/>
      <c r="J658" s="241"/>
      <c r="K658" s="241"/>
      <c r="L658" s="241"/>
      <c r="M658" s="242"/>
      <c r="N658" s="241"/>
      <c r="O658" s="241"/>
      <c r="P658" s="241"/>
      <c r="Q658" s="241"/>
      <c r="R658" s="241"/>
      <c r="S658" s="241"/>
      <c r="T658" s="241"/>
      <c r="U658" s="241"/>
      <c r="V658" s="241"/>
      <c r="W658" s="241"/>
      <c r="X658" s="241"/>
      <c r="Y658" s="241"/>
      <c r="Z658" s="242"/>
      <c r="AA658" s="242"/>
      <c r="AB658" s="243"/>
      <c r="AC658" s="243"/>
      <c r="AD658" s="244"/>
      <c r="AE658" s="244"/>
      <c r="AF658" s="244"/>
      <c r="AG658" s="244"/>
    </row>
    <row r="659" spans="2:33" s="245" customFormat="1" hidden="1">
      <c r="B659" s="239"/>
      <c r="C659" s="240"/>
      <c r="D659" s="241"/>
      <c r="E659" s="241"/>
      <c r="F659" s="241"/>
      <c r="G659" s="241"/>
      <c r="H659" s="241"/>
      <c r="I659" s="241"/>
      <c r="J659" s="241"/>
      <c r="K659" s="241"/>
      <c r="L659" s="241"/>
      <c r="M659" s="242"/>
      <c r="N659" s="241"/>
      <c r="O659" s="241"/>
      <c r="P659" s="241"/>
      <c r="Q659" s="241"/>
      <c r="R659" s="241"/>
      <c r="S659" s="241"/>
      <c r="T659" s="241"/>
      <c r="U659" s="241"/>
      <c r="V659" s="241"/>
      <c r="W659" s="241"/>
      <c r="X659" s="241"/>
      <c r="Y659" s="241"/>
      <c r="Z659" s="242"/>
      <c r="AA659" s="242"/>
      <c r="AB659" s="243"/>
      <c r="AC659" s="243"/>
      <c r="AD659" s="244"/>
      <c r="AE659" s="244"/>
      <c r="AF659" s="244"/>
      <c r="AG659" s="244"/>
    </row>
    <row r="660" spans="2:33" s="245" customFormat="1" hidden="1">
      <c r="B660" s="239"/>
      <c r="C660" s="240"/>
      <c r="D660" s="241"/>
      <c r="E660" s="241"/>
      <c r="F660" s="241"/>
      <c r="G660" s="241"/>
      <c r="H660" s="241"/>
      <c r="I660" s="241"/>
      <c r="J660" s="241"/>
      <c r="K660" s="241"/>
      <c r="L660" s="241"/>
      <c r="M660" s="242"/>
      <c r="N660" s="241"/>
      <c r="O660" s="241"/>
      <c r="P660" s="241"/>
      <c r="Q660" s="241"/>
      <c r="R660" s="241"/>
      <c r="S660" s="241"/>
      <c r="T660" s="241"/>
      <c r="U660" s="241"/>
      <c r="V660" s="241"/>
      <c r="W660" s="241"/>
      <c r="X660" s="241"/>
      <c r="Y660" s="241"/>
      <c r="Z660" s="242"/>
      <c r="AA660" s="242"/>
      <c r="AB660" s="243"/>
      <c r="AC660" s="243"/>
      <c r="AD660" s="244"/>
      <c r="AE660" s="244"/>
      <c r="AF660" s="244"/>
      <c r="AG660" s="244"/>
    </row>
    <row r="661" spans="2:33" s="245" customFormat="1" hidden="1">
      <c r="B661" s="239"/>
      <c r="C661" s="240"/>
      <c r="D661" s="241"/>
      <c r="E661" s="241"/>
      <c r="F661" s="241"/>
      <c r="G661" s="241"/>
      <c r="H661" s="241"/>
      <c r="I661" s="241"/>
      <c r="J661" s="241"/>
      <c r="K661" s="241"/>
      <c r="L661" s="241"/>
      <c r="M661" s="242"/>
      <c r="N661" s="241"/>
      <c r="O661" s="241"/>
      <c r="P661" s="241"/>
      <c r="Q661" s="241"/>
      <c r="R661" s="241"/>
      <c r="S661" s="241"/>
      <c r="T661" s="241"/>
      <c r="U661" s="241"/>
      <c r="V661" s="241"/>
      <c r="W661" s="241"/>
      <c r="X661" s="241"/>
      <c r="Y661" s="241"/>
      <c r="Z661" s="242"/>
      <c r="AA661" s="242"/>
      <c r="AB661" s="243"/>
      <c r="AC661" s="243"/>
      <c r="AD661" s="244"/>
      <c r="AE661" s="244"/>
      <c r="AF661" s="244"/>
      <c r="AG661" s="244"/>
    </row>
    <row r="662" spans="2:33" s="245" customFormat="1" hidden="1">
      <c r="B662" s="239"/>
      <c r="C662" s="240"/>
      <c r="D662" s="241"/>
      <c r="E662" s="241"/>
      <c r="F662" s="241"/>
      <c r="G662" s="241"/>
      <c r="H662" s="241"/>
      <c r="I662" s="241"/>
      <c r="J662" s="241"/>
      <c r="K662" s="241"/>
      <c r="L662" s="241"/>
      <c r="M662" s="242"/>
      <c r="N662" s="241"/>
      <c r="O662" s="241"/>
      <c r="P662" s="241"/>
      <c r="Q662" s="241"/>
      <c r="R662" s="241"/>
      <c r="S662" s="241"/>
      <c r="T662" s="241"/>
      <c r="U662" s="241"/>
      <c r="V662" s="241"/>
      <c r="W662" s="241"/>
      <c r="X662" s="241"/>
      <c r="Y662" s="241"/>
      <c r="Z662" s="242"/>
      <c r="AA662" s="242"/>
      <c r="AB662" s="243"/>
      <c r="AC662" s="243"/>
      <c r="AD662" s="244"/>
      <c r="AE662" s="244"/>
      <c r="AF662" s="244"/>
      <c r="AG662" s="244"/>
    </row>
    <row r="663" spans="2:33" s="245" customFormat="1" hidden="1">
      <c r="B663" s="239"/>
      <c r="C663" s="240"/>
      <c r="D663" s="241"/>
      <c r="E663" s="241"/>
      <c r="F663" s="241"/>
      <c r="G663" s="241"/>
      <c r="H663" s="241"/>
      <c r="I663" s="241"/>
      <c r="J663" s="241"/>
      <c r="K663" s="241"/>
      <c r="L663" s="241"/>
      <c r="M663" s="242"/>
      <c r="N663" s="241"/>
      <c r="O663" s="241"/>
      <c r="P663" s="241"/>
      <c r="Q663" s="241"/>
      <c r="R663" s="241"/>
      <c r="S663" s="241"/>
      <c r="T663" s="241"/>
      <c r="U663" s="241"/>
      <c r="V663" s="241"/>
      <c r="W663" s="241"/>
      <c r="X663" s="241"/>
      <c r="Y663" s="241"/>
      <c r="Z663" s="242"/>
      <c r="AA663" s="242"/>
      <c r="AB663" s="243"/>
      <c r="AC663" s="243"/>
      <c r="AD663" s="244"/>
      <c r="AE663" s="244"/>
      <c r="AF663" s="244"/>
      <c r="AG663" s="244"/>
    </row>
    <row r="664" spans="2:33" s="245" customFormat="1" hidden="1">
      <c r="B664" s="239"/>
      <c r="C664" s="240"/>
      <c r="D664" s="241"/>
      <c r="E664" s="241"/>
      <c r="F664" s="241"/>
      <c r="G664" s="241"/>
      <c r="H664" s="241"/>
      <c r="I664" s="241"/>
      <c r="J664" s="241"/>
      <c r="K664" s="241"/>
      <c r="L664" s="241"/>
      <c r="M664" s="242"/>
      <c r="N664" s="241"/>
      <c r="O664" s="241"/>
      <c r="P664" s="241"/>
      <c r="Q664" s="241"/>
      <c r="R664" s="241"/>
      <c r="S664" s="241"/>
      <c r="T664" s="241"/>
      <c r="U664" s="241"/>
      <c r="V664" s="241"/>
      <c r="W664" s="241"/>
      <c r="X664" s="241"/>
      <c r="Y664" s="241"/>
      <c r="Z664" s="242"/>
      <c r="AA664" s="242"/>
      <c r="AB664" s="243"/>
      <c r="AC664" s="243"/>
      <c r="AD664" s="244"/>
      <c r="AE664" s="244"/>
      <c r="AF664" s="244"/>
      <c r="AG664" s="244"/>
    </row>
    <row r="665" spans="2:33" s="245" customFormat="1" hidden="1">
      <c r="B665" s="239"/>
      <c r="C665" s="240"/>
      <c r="D665" s="241"/>
      <c r="E665" s="241"/>
      <c r="F665" s="241"/>
      <c r="G665" s="241"/>
      <c r="H665" s="241"/>
      <c r="I665" s="241"/>
      <c r="J665" s="241"/>
      <c r="K665" s="241"/>
      <c r="L665" s="241"/>
      <c r="M665" s="242"/>
      <c r="N665" s="241"/>
      <c r="O665" s="241"/>
      <c r="P665" s="241"/>
      <c r="Q665" s="241"/>
      <c r="R665" s="241"/>
      <c r="S665" s="241"/>
      <c r="T665" s="241"/>
      <c r="U665" s="241"/>
      <c r="V665" s="241"/>
      <c r="W665" s="241"/>
      <c r="X665" s="241"/>
      <c r="Y665" s="241"/>
      <c r="Z665" s="242"/>
      <c r="AA665" s="242"/>
      <c r="AB665" s="243"/>
      <c r="AC665" s="243"/>
      <c r="AD665" s="244"/>
      <c r="AE665" s="244"/>
      <c r="AF665" s="244"/>
      <c r="AG665" s="244"/>
    </row>
    <row r="666" spans="2:33" s="245" customFormat="1" hidden="1">
      <c r="B666" s="239"/>
      <c r="C666" s="240"/>
      <c r="D666" s="241"/>
      <c r="E666" s="241"/>
      <c r="F666" s="241"/>
      <c r="G666" s="241"/>
      <c r="H666" s="241"/>
      <c r="I666" s="241"/>
      <c r="J666" s="241"/>
      <c r="K666" s="241"/>
      <c r="L666" s="241"/>
      <c r="M666" s="242"/>
      <c r="N666" s="241"/>
      <c r="O666" s="241"/>
      <c r="P666" s="241"/>
      <c r="Q666" s="241"/>
      <c r="R666" s="241"/>
      <c r="S666" s="241"/>
      <c r="T666" s="241"/>
      <c r="U666" s="241"/>
      <c r="V666" s="241"/>
      <c r="W666" s="241"/>
      <c r="X666" s="241"/>
      <c r="Y666" s="241"/>
      <c r="Z666" s="242"/>
      <c r="AA666" s="242"/>
      <c r="AB666" s="243"/>
      <c r="AC666" s="243"/>
      <c r="AD666" s="244"/>
      <c r="AE666" s="244"/>
      <c r="AF666" s="244"/>
      <c r="AG666" s="244"/>
    </row>
    <row r="667" spans="2:33" s="245" customFormat="1" hidden="1">
      <c r="B667" s="239"/>
      <c r="C667" s="240"/>
      <c r="D667" s="241"/>
      <c r="E667" s="241"/>
      <c r="F667" s="241"/>
      <c r="G667" s="241"/>
      <c r="H667" s="241"/>
      <c r="I667" s="241"/>
      <c r="J667" s="241"/>
      <c r="K667" s="241"/>
      <c r="L667" s="241"/>
      <c r="M667" s="242"/>
      <c r="N667" s="241"/>
      <c r="O667" s="241"/>
      <c r="P667" s="241"/>
      <c r="Q667" s="241"/>
      <c r="R667" s="241"/>
      <c r="S667" s="241"/>
      <c r="T667" s="241"/>
      <c r="U667" s="241"/>
      <c r="V667" s="241"/>
      <c r="W667" s="241"/>
      <c r="X667" s="241"/>
      <c r="Y667" s="241"/>
      <c r="Z667" s="242"/>
      <c r="AA667" s="242"/>
      <c r="AB667" s="243"/>
      <c r="AC667" s="243"/>
      <c r="AD667" s="244"/>
      <c r="AE667" s="244"/>
      <c r="AF667" s="244"/>
      <c r="AG667" s="244"/>
    </row>
    <row r="668" spans="2:33" s="245" customFormat="1" hidden="1">
      <c r="B668" s="239"/>
      <c r="C668" s="240"/>
      <c r="D668" s="241"/>
      <c r="E668" s="241"/>
      <c r="F668" s="241"/>
      <c r="G668" s="241"/>
      <c r="H668" s="241"/>
      <c r="I668" s="241"/>
      <c r="J668" s="241"/>
      <c r="K668" s="241"/>
      <c r="L668" s="241"/>
      <c r="M668" s="242"/>
      <c r="N668" s="241"/>
      <c r="O668" s="241"/>
      <c r="P668" s="241"/>
      <c r="Q668" s="241"/>
      <c r="R668" s="241"/>
      <c r="S668" s="241"/>
      <c r="T668" s="241"/>
      <c r="U668" s="241"/>
      <c r="V668" s="241"/>
      <c r="W668" s="241"/>
      <c r="X668" s="241"/>
      <c r="Y668" s="241"/>
      <c r="Z668" s="242"/>
      <c r="AA668" s="242"/>
      <c r="AB668" s="243"/>
      <c r="AC668" s="243"/>
      <c r="AD668" s="244"/>
      <c r="AE668" s="244"/>
      <c r="AF668" s="244"/>
      <c r="AG668" s="244"/>
    </row>
    <row r="669" spans="2:33" s="245" customFormat="1" hidden="1">
      <c r="B669" s="239"/>
      <c r="C669" s="240"/>
      <c r="D669" s="241"/>
      <c r="E669" s="241"/>
      <c r="F669" s="241"/>
      <c r="G669" s="241"/>
      <c r="H669" s="241"/>
      <c r="I669" s="241"/>
      <c r="J669" s="241"/>
      <c r="K669" s="241"/>
      <c r="L669" s="241"/>
      <c r="M669" s="242"/>
      <c r="N669" s="241"/>
      <c r="O669" s="241"/>
      <c r="P669" s="241"/>
      <c r="Q669" s="241"/>
      <c r="R669" s="241"/>
      <c r="S669" s="241"/>
      <c r="T669" s="241"/>
      <c r="U669" s="241"/>
      <c r="V669" s="241"/>
      <c r="W669" s="241"/>
      <c r="X669" s="241"/>
      <c r="Y669" s="241"/>
      <c r="Z669" s="242"/>
      <c r="AA669" s="242"/>
      <c r="AB669" s="243"/>
      <c r="AC669" s="243"/>
      <c r="AD669" s="244"/>
      <c r="AE669" s="244"/>
      <c r="AF669" s="244"/>
      <c r="AG669" s="244"/>
    </row>
    <row r="670" spans="2:33" s="245" customFormat="1" hidden="1">
      <c r="B670" s="239"/>
      <c r="C670" s="240"/>
      <c r="D670" s="241"/>
      <c r="E670" s="241"/>
      <c r="F670" s="241"/>
      <c r="G670" s="241"/>
      <c r="H670" s="241"/>
      <c r="I670" s="241"/>
      <c r="J670" s="241"/>
      <c r="K670" s="241"/>
      <c r="L670" s="241"/>
      <c r="M670" s="242"/>
      <c r="N670" s="241"/>
      <c r="O670" s="241"/>
      <c r="P670" s="241"/>
      <c r="Q670" s="241"/>
      <c r="R670" s="241"/>
      <c r="S670" s="241"/>
      <c r="T670" s="241"/>
      <c r="U670" s="241"/>
      <c r="V670" s="241"/>
      <c r="W670" s="241"/>
      <c r="X670" s="241"/>
      <c r="Y670" s="241"/>
      <c r="Z670" s="242"/>
      <c r="AA670" s="242"/>
      <c r="AB670" s="243"/>
      <c r="AC670" s="243"/>
      <c r="AD670" s="244"/>
      <c r="AE670" s="244"/>
      <c r="AF670" s="244"/>
      <c r="AG670" s="244"/>
    </row>
    <row r="671" spans="2:33" s="245" customFormat="1" hidden="1">
      <c r="B671" s="239"/>
      <c r="C671" s="240"/>
      <c r="D671" s="241"/>
      <c r="E671" s="241"/>
      <c r="F671" s="241"/>
      <c r="G671" s="241"/>
      <c r="H671" s="241"/>
      <c r="I671" s="241"/>
      <c r="J671" s="241"/>
      <c r="K671" s="241"/>
      <c r="L671" s="241"/>
      <c r="M671" s="242"/>
      <c r="N671" s="241"/>
      <c r="O671" s="241"/>
      <c r="P671" s="241"/>
      <c r="Q671" s="241"/>
      <c r="R671" s="241"/>
      <c r="S671" s="241"/>
      <c r="T671" s="241"/>
      <c r="U671" s="241"/>
      <c r="V671" s="241"/>
      <c r="W671" s="241"/>
      <c r="X671" s="241"/>
      <c r="Y671" s="241"/>
      <c r="Z671" s="242"/>
      <c r="AA671" s="242"/>
      <c r="AB671" s="243"/>
      <c r="AC671" s="243"/>
      <c r="AD671" s="244"/>
      <c r="AE671" s="244"/>
      <c r="AF671" s="244"/>
      <c r="AG671" s="244"/>
    </row>
    <row r="672" spans="2:33" s="245" customFormat="1" hidden="1">
      <c r="B672" s="239"/>
      <c r="C672" s="240"/>
      <c r="D672" s="241"/>
      <c r="E672" s="241"/>
      <c r="F672" s="241"/>
      <c r="G672" s="241"/>
      <c r="H672" s="241"/>
      <c r="I672" s="241"/>
      <c r="J672" s="241"/>
      <c r="K672" s="241"/>
      <c r="L672" s="241"/>
      <c r="M672" s="242"/>
      <c r="N672" s="241"/>
      <c r="O672" s="241"/>
      <c r="P672" s="241"/>
      <c r="Q672" s="241"/>
      <c r="R672" s="241"/>
      <c r="S672" s="241"/>
      <c r="T672" s="241"/>
      <c r="U672" s="241"/>
      <c r="V672" s="241"/>
      <c r="W672" s="241"/>
      <c r="X672" s="241"/>
      <c r="Y672" s="241"/>
      <c r="Z672" s="242"/>
      <c r="AA672" s="242"/>
      <c r="AB672" s="243"/>
      <c r="AC672" s="243"/>
      <c r="AD672" s="244"/>
      <c r="AE672" s="244"/>
      <c r="AF672" s="244"/>
      <c r="AG672" s="244"/>
    </row>
    <row r="673" spans="2:33" s="245" customFormat="1" hidden="1">
      <c r="B673" s="239"/>
      <c r="C673" s="240"/>
      <c r="D673" s="241"/>
      <c r="E673" s="241"/>
      <c r="F673" s="241"/>
      <c r="G673" s="241"/>
      <c r="H673" s="241"/>
      <c r="I673" s="241"/>
      <c r="J673" s="241"/>
      <c r="K673" s="241"/>
      <c r="L673" s="241"/>
      <c r="M673" s="242"/>
      <c r="N673" s="241"/>
      <c r="O673" s="241"/>
      <c r="P673" s="241"/>
      <c r="Q673" s="241"/>
      <c r="R673" s="241"/>
      <c r="S673" s="241"/>
      <c r="T673" s="241"/>
      <c r="U673" s="241"/>
      <c r="V673" s="241"/>
      <c r="W673" s="241"/>
      <c r="X673" s="241"/>
      <c r="Y673" s="241"/>
      <c r="Z673" s="242"/>
      <c r="AA673" s="242"/>
      <c r="AB673" s="243"/>
      <c r="AC673" s="243"/>
      <c r="AD673" s="244"/>
      <c r="AE673" s="244"/>
      <c r="AF673" s="244"/>
      <c r="AG673" s="244"/>
    </row>
    <row r="674" spans="2:33" s="245" customFormat="1" hidden="1">
      <c r="B674" s="239"/>
      <c r="C674" s="240"/>
      <c r="D674" s="241"/>
      <c r="E674" s="241"/>
      <c r="F674" s="241"/>
      <c r="G674" s="241"/>
      <c r="H674" s="241"/>
      <c r="I674" s="241"/>
      <c r="J674" s="241"/>
      <c r="K674" s="241"/>
      <c r="L674" s="241"/>
      <c r="M674" s="242"/>
      <c r="N674" s="241"/>
      <c r="O674" s="241"/>
      <c r="P674" s="241"/>
      <c r="Q674" s="241"/>
      <c r="R674" s="241"/>
      <c r="S674" s="241"/>
      <c r="T674" s="241"/>
      <c r="U674" s="241"/>
      <c r="V674" s="241"/>
      <c r="W674" s="241"/>
      <c r="X674" s="241"/>
      <c r="Y674" s="241"/>
      <c r="Z674" s="242"/>
      <c r="AA674" s="242"/>
      <c r="AB674" s="243"/>
      <c r="AC674" s="243"/>
      <c r="AD674" s="244"/>
      <c r="AE674" s="244"/>
      <c r="AF674" s="244"/>
      <c r="AG674" s="244"/>
    </row>
    <row r="675" spans="2:33" s="245" customFormat="1" hidden="1">
      <c r="B675" s="239"/>
      <c r="C675" s="240"/>
      <c r="D675" s="241"/>
      <c r="E675" s="241"/>
      <c r="F675" s="241"/>
      <c r="G675" s="241"/>
      <c r="H675" s="241"/>
      <c r="I675" s="241"/>
      <c r="J675" s="241"/>
      <c r="K675" s="241"/>
      <c r="L675" s="241"/>
      <c r="M675" s="242"/>
      <c r="N675" s="241"/>
      <c r="O675" s="241"/>
      <c r="P675" s="241"/>
      <c r="Q675" s="241"/>
      <c r="R675" s="241"/>
      <c r="S675" s="241"/>
      <c r="T675" s="241"/>
      <c r="U675" s="241"/>
      <c r="V675" s="241"/>
      <c r="W675" s="241"/>
      <c r="X675" s="241"/>
      <c r="Y675" s="241"/>
      <c r="Z675" s="242"/>
      <c r="AA675" s="242"/>
      <c r="AB675" s="243"/>
      <c r="AC675" s="243"/>
      <c r="AD675" s="244"/>
      <c r="AE675" s="244"/>
      <c r="AF675" s="244"/>
      <c r="AG675" s="244"/>
    </row>
    <row r="676" spans="2:33" s="245" customFormat="1" hidden="1">
      <c r="B676" s="239"/>
      <c r="C676" s="240"/>
      <c r="D676" s="241"/>
      <c r="E676" s="241"/>
      <c r="F676" s="241"/>
      <c r="G676" s="241"/>
      <c r="H676" s="241"/>
      <c r="I676" s="241"/>
      <c r="J676" s="241"/>
      <c r="K676" s="241"/>
      <c r="L676" s="241"/>
      <c r="M676" s="242"/>
      <c r="N676" s="241"/>
      <c r="O676" s="241"/>
      <c r="P676" s="241"/>
      <c r="Q676" s="241"/>
      <c r="R676" s="241"/>
      <c r="S676" s="241"/>
      <c r="T676" s="241"/>
      <c r="U676" s="241"/>
      <c r="V676" s="241"/>
      <c r="W676" s="241"/>
      <c r="X676" s="241"/>
      <c r="Y676" s="241"/>
      <c r="Z676" s="242"/>
      <c r="AA676" s="242"/>
      <c r="AB676" s="243"/>
      <c r="AC676" s="243"/>
      <c r="AD676" s="244"/>
      <c r="AE676" s="244"/>
      <c r="AF676" s="244"/>
      <c r="AG676" s="244"/>
    </row>
    <row r="677" spans="2:33" s="245" customFormat="1" hidden="1">
      <c r="B677" s="239"/>
      <c r="C677" s="240"/>
      <c r="D677" s="241"/>
      <c r="E677" s="241"/>
      <c r="F677" s="241"/>
      <c r="G677" s="241"/>
      <c r="H677" s="241"/>
      <c r="I677" s="241"/>
      <c r="J677" s="241"/>
      <c r="K677" s="241"/>
      <c r="L677" s="241"/>
      <c r="M677" s="242"/>
      <c r="N677" s="241"/>
      <c r="O677" s="241"/>
      <c r="P677" s="241"/>
      <c r="Q677" s="241"/>
      <c r="R677" s="241"/>
      <c r="S677" s="241"/>
      <c r="T677" s="241"/>
      <c r="U677" s="241"/>
      <c r="V677" s="241"/>
      <c r="W677" s="241"/>
      <c r="X677" s="241"/>
      <c r="Y677" s="241"/>
      <c r="Z677" s="242"/>
      <c r="AA677" s="242"/>
      <c r="AB677" s="243"/>
      <c r="AC677" s="243"/>
      <c r="AD677" s="244"/>
      <c r="AE677" s="244"/>
      <c r="AF677" s="244"/>
      <c r="AG677" s="244"/>
    </row>
    <row r="678" spans="2:33" s="245" customFormat="1" hidden="1">
      <c r="B678" s="239"/>
      <c r="C678" s="240"/>
      <c r="D678" s="241"/>
      <c r="E678" s="241"/>
      <c r="F678" s="241"/>
      <c r="G678" s="241"/>
      <c r="H678" s="241"/>
      <c r="I678" s="241"/>
      <c r="J678" s="241"/>
      <c r="K678" s="241"/>
      <c r="L678" s="241"/>
      <c r="M678" s="242"/>
      <c r="N678" s="241"/>
      <c r="O678" s="241"/>
      <c r="P678" s="241"/>
      <c r="Q678" s="241"/>
      <c r="R678" s="241"/>
      <c r="S678" s="241"/>
      <c r="T678" s="241"/>
      <c r="U678" s="241"/>
      <c r="V678" s="241"/>
      <c r="W678" s="241"/>
      <c r="X678" s="241"/>
      <c r="Y678" s="241"/>
      <c r="Z678" s="242"/>
      <c r="AA678" s="242"/>
      <c r="AB678" s="243"/>
      <c r="AC678" s="243"/>
      <c r="AD678" s="244"/>
      <c r="AE678" s="244"/>
      <c r="AF678" s="244"/>
      <c r="AG678" s="244"/>
    </row>
    <row r="679" spans="2:33" s="245" customFormat="1" hidden="1">
      <c r="B679" s="239"/>
      <c r="C679" s="240"/>
      <c r="D679" s="241"/>
      <c r="E679" s="241"/>
      <c r="F679" s="241"/>
      <c r="G679" s="241"/>
      <c r="H679" s="241"/>
      <c r="I679" s="241"/>
      <c r="J679" s="241"/>
      <c r="K679" s="241"/>
      <c r="L679" s="241"/>
      <c r="M679" s="242"/>
      <c r="N679" s="241"/>
      <c r="O679" s="241"/>
      <c r="P679" s="241"/>
      <c r="Q679" s="241"/>
      <c r="R679" s="241"/>
      <c r="S679" s="241"/>
      <c r="T679" s="241"/>
      <c r="U679" s="241"/>
      <c r="V679" s="241"/>
      <c r="W679" s="241"/>
      <c r="X679" s="241"/>
      <c r="Y679" s="241"/>
      <c r="Z679" s="242"/>
      <c r="AA679" s="242"/>
      <c r="AB679" s="243"/>
      <c r="AC679" s="243"/>
      <c r="AD679" s="244"/>
      <c r="AE679" s="244"/>
      <c r="AF679" s="244"/>
      <c r="AG679" s="244"/>
    </row>
    <row r="680" spans="2:33" s="245" customFormat="1" hidden="1">
      <c r="B680" s="239"/>
      <c r="C680" s="240"/>
      <c r="D680" s="241"/>
      <c r="E680" s="241"/>
      <c r="F680" s="241"/>
      <c r="G680" s="241"/>
      <c r="H680" s="241"/>
      <c r="I680" s="241"/>
      <c r="J680" s="241"/>
      <c r="K680" s="241"/>
      <c r="L680" s="241"/>
      <c r="M680" s="242"/>
      <c r="N680" s="241"/>
      <c r="O680" s="241"/>
      <c r="P680" s="241"/>
      <c r="Q680" s="241"/>
      <c r="R680" s="241"/>
      <c r="S680" s="241"/>
      <c r="T680" s="241"/>
      <c r="U680" s="241"/>
      <c r="V680" s="241"/>
      <c r="W680" s="241"/>
      <c r="X680" s="241"/>
      <c r="Y680" s="241"/>
      <c r="Z680" s="242"/>
      <c r="AA680" s="242"/>
      <c r="AB680" s="243"/>
      <c r="AC680" s="243"/>
      <c r="AD680" s="244"/>
      <c r="AE680" s="244"/>
      <c r="AF680" s="244"/>
      <c r="AG680" s="244"/>
    </row>
    <row r="681" spans="2:33" s="245" customFormat="1" hidden="1">
      <c r="B681" s="239"/>
      <c r="C681" s="240"/>
      <c r="D681" s="241"/>
      <c r="E681" s="241"/>
      <c r="F681" s="241"/>
      <c r="G681" s="241"/>
      <c r="H681" s="241"/>
      <c r="I681" s="241"/>
      <c r="J681" s="241"/>
      <c r="K681" s="241"/>
      <c r="L681" s="241"/>
      <c r="M681" s="242"/>
      <c r="N681" s="241"/>
      <c r="O681" s="241"/>
      <c r="P681" s="241"/>
      <c r="Q681" s="241"/>
      <c r="R681" s="241"/>
      <c r="S681" s="241"/>
      <c r="T681" s="241"/>
      <c r="U681" s="241"/>
      <c r="V681" s="241"/>
      <c r="W681" s="241"/>
      <c r="X681" s="241"/>
      <c r="Y681" s="241"/>
      <c r="Z681" s="242"/>
      <c r="AA681" s="242"/>
      <c r="AB681" s="243"/>
      <c r="AC681" s="243"/>
      <c r="AD681" s="244"/>
      <c r="AE681" s="244"/>
      <c r="AF681" s="244"/>
      <c r="AG681" s="244"/>
    </row>
    <row r="682" spans="2:33" s="245" customFormat="1" hidden="1">
      <c r="B682" s="239"/>
      <c r="C682" s="240"/>
      <c r="D682" s="241"/>
      <c r="E682" s="241"/>
      <c r="F682" s="241"/>
      <c r="G682" s="241"/>
      <c r="H682" s="241"/>
      <c r="I682" s="241"/>
      <c r="J682" s="241"/>
      <c r="K682" s="241"/>
      <c r="L682" s="241"/>
      <c r="M682" s="242"/>
      <c r="N682" s="241"/>
      <c r="O682" s="241"/>
      <c r="P682" s="241"/>
      <c r="Q682" s="241"/>
      <c r="R682" s="241"/>
      <c r="S682" s="241"/>
      <c r="T682" s="241"/>
      <c r="U682" s="241"/>
      <c r="V682" s="241"/>
      <c r="W682" s="241"/>
      <c r="X682" s="241"/>
      <c r="Y682" s="241"/>
      <c r="Z682" s="242"/>
      <c r="AA682" s="242"/>
      <c r="AB682" s="243"/>
      <c r="AC682" s="243"/>
      <c r="AD682" s="244"/>
      <c r="AE682" s="244"/>
      <c r="AF682" s="244"/>
      <c r="AG682" s="244"/>
    </row>
    <row r="683" spans="2:33" s="245" customFormat="1" hidden="1">
      <c r="B683" s="239"/>
      <c r="C683" s="240"/>
      <c r="D683" s="241"/>
      <c r="E683" s="241"/>
      <c r="F683" s="241"/>
      <c r="G683" s="241"/>
      <c r="H683" s="241"/>
      <c r="I683" s="241"/>
      <c r="J683" s="241"/>
      <c r="K683" s="241"/>
      <c r="L683" s="241"/>
      <c r="M683" s="242"/>
      <c r="N683" s="241"/>
      <c r="O683" s="241"/>
      <c r="P683" s="241"/>
      <c r="Q683" s="241"/>
      <c r="R683" s="241"/>
      <c r="S683" s="241"/>
      <c r="T683" s="241"/>
      <c r="U683" s="241"/>
      <c r="V683" s="241"/>
      <c r="W683" s="241"/>
      <c r="X683" s="241"/>
      <c r="Y683" s="241"/>
      <c r="Z683" s="242"/>
      <c r="AA683" s="242"/>
      <c r="AB683" s="243"/>
      <c r="AC683" s="243"/>
      <c r="AD683" s="244"/>
      <c r="AE683" s="244"/>
      <c r="AF683" s="244"/>
      <c r="AG683" s="244"/>
    </row>
    <row r="684" spans="2:33" s="245" customFormat="1" hidden="1">
      <c r="B684" s="239"/>
      <c r="C684" s="240"/>
      <c r="D684" s="241"/>
      <c r="E684" s="241"/>
      <c r="F684" s="241"/>
      <c r="G684" s="241"/>
      <c r="H684" s="241"/>
      <c r="I684" s="241"/>
      <c r="J684" s="241"/>
      <c r="K684" s="241"/>
      <c r="L684" s="241"/>
      <c r="M684" s="242"/>
      <c r="N684" s="241"/>
      <c r="O684" s="241"/>
      <c r="P684" s="241"/>
      <c r="Q684" s="241"/>
      <c r="R684" s="241"/>
      <c r="S684" s="241"/>
      <c r="T684" s="241"/>
      <c r="U684" s="241"/>
      <c r="V684" s="241"/>
      <c r="W684" s="241"/>
      <c r="X684" s="241"/>
      <c r="Y684" s="241"/>
      <c r="Z684" s="242"/>
      <c r="AA684" s="242"/>
      <c r="AB684" s="243"/>
      <c r="AC684" s="243"/>
      <c r="AD684" s="244"/>
      <c r="AE684" s="244"/>
      <c r="AF684" s="244"/>
      <c r="AG684" s="244"/>
    </row>
    <row r="685" spans="2:33" s="245" customFormat="1" hidden="1">
      <c r="B685" s="239"/>
      <c r="C685" s="240"/>
      <c r="D685" s="241"/>
      <c r="E685" s="241"/>
      <c r="F685" s="241"/>
      <c r="G685" s="241"/>
      <c r="H685" s="241"/>
      <c r="I685" s="241"/>
      <c r="J685" s="241"/>
      <c r="K685" s="241"/>
      <c r="L685" s="241"/>
      <c r="M685" s="242"/>
      <c r="N685" s="241"/>
      <c r="O685" s="241"/>
      <c r="P685" s="241"/>
      <c r="Q685" s="241"/>
      <c r="R685" s="241"/>
      <c r="S685" s="241"/>
      <c r="T685" s="241"/>
      <c r="U685" s="241"/>
      <c r="V685" s="241"/>
      <c r="W685" s="241"/>
      <c r="X685" s="241"/>
      <c r="Y685" s="241"/>
      <c r="Z685" s="242"/>
      <c r="AA685" s="242"/>
      <c r="AB685" s="243"/>
      <c r="AC685" s="243"/>
      <c r="AD685" s="244"/>
      <c r="AE685" s="244"/>
      <c r="AF685" s="244"/>
      <c r="AG685" s="244"/>
    </row>
    <row r="686" spans="2:33" s="245" customFormat="1" hidden="1">
      <c r="B686" s="239"/>
      <c r="C686" s="240"/>
      <c r="D686" s="241"/>
      <c r="E686" s="241"/>
      <c r="F686" s="241"/>
      <c r="G686" s="241"/>
      <c r="H686" s="241"/>
      <c r="I686" s="241"/>
      <c r="J686" s="241"/>
      <c r="K686" s="241"/>
      <c r="L686" s="241"/>
      <c r="M686" s="242"/>
      <c r="N686" s="241"/>
      <c r="O686" s="241"/>
      <c r="P686" s="241"/>
      <c r="Q686" s="241"/>
      <c r="R686" s="241"/>
      <c r="S686" s="241"/>
      <c r="T686" s="241"/>
      <c r="U686" s="241"/>
      <c r="V686" s="241"/>
      <c r="W686" s="241"/>
      <c r="X686" s="241"/>
      <c r="Y686" s="241"/>
      <c r="Z686" s="242"/>
      <c r="AA686" s="242"/>
      <c r="AB686" s="243"/>
      <c r="AC686" s="243"/>
      <c r="AD686" s="244"/>
      <c r="AE686" s="244"/>
      <c r="AF686" s="244"/>
      <c r="AG686" s="244"/>
    </row>
    <row r="687" spans="2:33" s="245" customFormat="1" hidden="1">
      <c r="B687" s="239"/>
      <c r="C687" s="240"/>
      <c r="D687" s="241"/>
      <c r="E687" s="241"/>
      <c r="F687" s="241"/>
      <c r="G687" s="241"/>
      <c r="H687" s="241"/>
      <c r="I687" s="241"/>
      <c r="J687" s="241"/>
      <c r="K687" s="241"/>
      <c r="L687" s="241"/>
      <c r="M687" s="242"/>
      <c r="N687" s="241"/>
      <c r="O687" s="241"/>
      <c r="P687" s="241"/>
      <c r="Q687" s="241"/>
      <c r="R687" s="241"/>
      <c r="S687" s="241"/>
      <c r="T687" s="241"/>
      <c r="U687" s="241"/>
      <c r="V687" s="241"/>
      <c r="W687" s="241"/>
      <c r="X687" s="241"/>
      <c r="Y687" s="241"/>
      <c r="Z687" s="242"/>
      <c r="AA687" s="242"/>
      <c r="AB687" s="243"/>
      <c r="AC687" s="243"/>
      <c r="AD687" s="244"/>
      <c r="AE687" s="244"/>
      <c r="AF687" s="244"/>
      <c r="AG687" s="244"/>
    </row>
    <row r="688" spans="2:33" s="245" customFormat="1" hidden="1">
      <c r="B688" s="239"/>
      <c r="C688" s="240"/>
      <c r="D688" s="241"/>
      <c r="E688" s="241"/>
      <c r="F688" s="241"/>
      <c r="G688" s="241"/>
      <c r="H688" s="241"/>
      <c r="I688" s="241"/>
      <c r="J688" s="241"/>
      <c r="K688" s="241"/>
      <c r="L688" s="241"/>
      <c r="M688" s="242"/>
      <c r="N688" s="241"/>
      <c r="O688" s="241"/>
      <c r="P688" s="241"/>
      <c r="Q688" s="241"/>
      <c r="R688" s="241"/>
      <c r="S688" s="241"/>
      <c r="T688" s="241"/>
      <c r="U688" s="241"/>
      <c r="V688" s="241"/>
      <c r="W688" s="241"/>
      <c r="X688" s="241"/>
      <c r="Y688" s="241"/>
      <c r="Z688" s="242"/>
      <c r="AA688" s="242"/>
      <c r="AB688" s="243"/>
      <c r="AC688" s="243"/>
      <c r="AD688" s="244"/>
      <c r="AE688" s="244"/>
      <c r="AF688" s="244"/>
      <c r="AG688" s="244"/>
    </row>
    <row r="689" spans="2:33" s="245" customFormat="1" hidden="1">
      <c r="B689" s="239"/>
      <c r="C689" s="240"/>
      <c r="D689" s="241"/>
      <c r="E689" s="241"/>
      <c r="F689" s="241"/>
      <c r="G689" s="241"/>
      <c r="H689" s="241"/>
      <c r="I689" s="241"/>
      <c r="J689" s="241"/>
      <c r="K689" s="241"/>
      <c r="L689" s="241"/>
      <c r="M689" s="242"/>
      <c r="N689" s="241"/>
      <c r="O689" s="241"/>
      <c r="P689" s="241"/>
      <c r="Q689" s="241"/>
      <c r="R689" s="241"/>
      <c r="S689" s="241"/>
      <c r="T689" s="241"/>
      <c r="U689" s="241"/>
      <c r="V689" s="241"/>
      <c r="W689" s="241"/>
      <c r="X689" s="241"/>
      <c r="Y689" s="241"/>
      <c r="Z689" s="242"/>
      <c r="AA689" s="242"/>
      <c r="AB689" s="243"/>
      <c r="AC689" s="243"/>
      <c r="AD689" s="244"/>
      <c r="AE689" s="244"/>
      <c r="AF689" s="244"/>
      <c r="AG689" s="244"/>
    </row>
    <row r="690" spans="2:33" s="245" customFormat="1" hidden="1">
      <c r="B690" s="239"/>
      <c r="C690" s="240"/>
      <c r="D690" s="241"/>
      <c r="E690" s="241"/>
      <c r="F690" s="241"/>
      <c r="G690" s="241"/>
      <c r="H690" s="241"/>
      <c r="I690" s="241"/>
      <c r="J690" s="241"/>
      <c r="K690" s="241"/>
      <c r="L690" s="241"/>
      <c r="M690" s="242"/>
      <c r="N690" s="241"/>
      <c r="O690" s="241"/>
      <c r="P690" s="241"/>
      <c r="Q690" s="241"/>
      <c r="R690" s="241"/>
      <c r="S690" s="241"/>
      <c r="T690" s="241"/>
      <c r="U690" s="241"/>
      <c r="V690" s="241"/>
      <c r="W690" s="241"/>
      <c r="X690" s="241"/>
      <c r="Y690" s="241"/>
      <c r="Z690" s="242"/>
      <c r="AA690" s="242"/>
      <c r="AB690" s="243"/>
      <c r="AC690" s="243"/>
      <c r="AD690" s="244"/>
      <c r="AE690" s="244"/>
      <c r="AF690" s="244"/>
      <c r="AG690" s="244"/>
    </row>
    <row r="691" spans="2:33" s="245" customFormat="1" hidden="1">
      <c r="B691" s="239"/>
      <c r="C691" s="240"/>
      <c r="D691" s="241"/>
      <c r="E691" s="241"/>
      <c r="F691" s="241"/>
      <c r="G691" s="241"/>
      <c r="H691" s="241"/>
      <c r="I691" s="241"/>
      <c r="J691" s="241"/>
      <c r="K691" s="241"/>
      <c r="L691" s="241"/>
      <c r="M691" s="242"/>
      <c r="N691" s="241"/>
      <c r="O691" s="241"/>
      <c r="P691" s="241"/>
      <c r="Q691" s="241"/>
      <c r="R691" s="241"/>
      <c r="S691" s="241"/>
      <c r="T691" s="241"/>
      <c r="U691" s="241"/>
      <c r="V691" s="241"/>
      <c r="W691" s="241"/>
      <c r="X691" s="241"/>
      <c r="Y691" s="241"/>
      <c r="Z691" s="242"/>
      <c r="AA691" s="242"/>
      <c r="AB691" s="243"/>
      <c r="AC691" s="243"/>
      <c r="AD691" s="244"/>
      <c r="AE691" s="244"/>
      <c r="AF691" s="244"/>
      <c r="AG691" s="244"/>
    </row>
    <row r="692" spans="2:33" s="245" customFormat="1" hidden="1">
      <c r="B692" s="239"/>
      <c r="C692" s="240"/>
      <c r="D692" s="241"/>
      <c r="E692" s="241"/>
      <c r="F692" s="241"/>
      <c r="G692" s="241"/>
      <c r="H692" s="241"/>
      <c r="I692" s="241"/>
      <c r="J692" s="241"/>
      <c r="K692" s="241"/>
      <c r="L692" s="241"/>
      <c r="M692" s="242"/>
      <c r="N692" s="241"/>
      <c r="O692" s="241"/>
      <c r="P692" s="241"/>
      <c r="Q692" s="241"/>
      <c r="R692" s="241"/>
      <c r="S692" s="241"/>
      <c r="T692" s="241"/>
      <c r="U692" s="241"/>
      <c r="V692" s="241"/>
      <c r="W692" s="241"/>
      <c r="X692" s="241"/>
      <c r="Y692" s="241"/>
      <c r="Z692" s="242"/>
      <c r="AA692" s="242"/>
      <c r="AB692" s="243"/>
      <c r="AC692" s="243"/>
      <c r="AD692" s="244"/>
      <c r="AE692" s="244"/>
      <c r="AF692" s="244"/>
      <c r="AG692" s="244"/>
    </row>
    <row r="693" spans="2:33" s="245" customFormat="1" hidden="1">
      <c r="B693" s="239"/>
      <c r="C693" s="240"/>
      <c r="D693" s="241"/>
      <c r="E693" s="241"/>
      <c r="F693" s="241"/>
      <c r="G693" s="241"/>
      <c r="H693" s="241"/>
      <c r="I693" s="241"/>
      <c r="J693" s="241"/>
      <c r="K693" s="241"/>
      <c r="L693" s="241"/>
      <c r="M693" s="242"/>
      <c r="N693" s="241"/>
      <c r="O693" s="241"/>
      <c r="P693" s="241"/>
      <c r="Q693" s="241"/>
      <c r="R693" s="241"/>
      <c r="S693" s="241"/>
      <c r="T693" s="241"/>
      <c r="U693" s="241"/>
      <c r="V693" s="241"/>
      <c r="W693" s="241"/>
      <c r="X693" s="241"/>
      <c r="Y693" s="241"/>
      <c r="Z693" s="242"/>
      <c r="AA693" s="242"/>
      <c r="AB693" s="243"/>
      <c r="AC693" s="243"/>
      <c r="AD693" s="244"/>
      <c r="AE693" s="244"/>
      <c r="AF693" s="244"/>
      <c r="AG693" s="244"/>
    </row>
    <row r="694" spans="2:33" s="245" customFormat="1" hidden="1">
      <c r="B694" s="239"/>
      <c r="C694" s="240"/>
      <c r="D694" s="241"/>
      <c r="E694" s="241"/>
      <c r="F694" s="241"/>
      <c r="G694" s="241"/>
      <c r="H694" s="241"/>
      <c r="I694" s="241"/>
      <c r="J694" s="241"/>
      <c r="K694" s="241"/>
      <c r="L694" s="241"/>
      <c r="M694" s="242"/>
      <c r="N694" s="241"/>
      <c r="O694" s="241"/>
      <c r="P694" s="241"/>
      <c r="Q694" s="241"/>
      <c r="R694" s="241"/>
      <c r="S694" s="241"/>
      <c r="T694" s="241"/>
      <c r="U694" s="241"/>
      <c r="V694" s="241"/>
      <c r="W694" s="241"/>
      <c r="X694" s="241"/>
      <c r="Y694" s="241"/>
      <c r="Z694" s="242"/>
      <c r="AA694" s="242"/>
      <c r="AB694" s="243"/>
      <c r="AC694" s="243"/>
      <c r="AD694" s="244"/>
      <c r="AE694" s="244"/>
      <c r="AF694" s="244"/>
      <c r="AG694" s="244"/>
    </row>
    <row r="695" spans="2:33" s="245" customFormat="1" hidden="1">
      <c r="B695" s="239"/>
      <c r="C695" s="240"/>
      <c r="D695" s="241"/>
      <c r="E695" s="241"/>
      <c r="F695" s="241"/>
      <c r="G695" s="241"/>
      <c r="H695" s="241"/>
      <c r="I695" s="241"/>
      <c r="J695" s="241"/>
      <c r="K695" s="241"/>
      <c r="L695" s="241"/>
      <c r="M695" s="242"/>
      <c r="N695" s="241"/>
      <c r="O695" s="241"/>
      <c r="P695" s="241"/>
      <c r="Q695" s="241"/>
      <c r="R695" s="241"/>
      <c r="S695" s="241"/>
      <c r="T695" s="241"/>
      <c r="U695" s="241"/>
      <c r="V695" s="241"/>
      <c r="W695" s="241"/>
      <c r="X695" s="241"/>
      <c r="Y695" s="241"/>
      <c r="Z695" s="242"/>
      <c r="AA695" s="242"/>
      <c r="AB695" s="243"/>
      <c r="AC695" s="243"/>
      <c r="AD695" s="244"/>
      <c r="AE695" s="244"/>
      <c r="AF695" s="244"/>
      <c r="AG695" s="244"/>
    </row>
    <row r="696" spans="2:33" s="245" customFormat="1" hidden="1">
      <c r="B696" s="239"/>
      <c r="C696" s="240"/>
      <c r="D696" s="241"/>
      <c r="E696" s="241"/>
      <c r="F696" s="241"/>
      <c r="G696" s="241"/>
      <c r="H696" s="241"/>
      <c r="I696" s="241"/>
      <c r="J696" s="241"/>
      <c r="K696" s="241"/>
      <c r="L696" s="241"/>
      <c r="M696" s="242"/>
      <c r="N696" s="241"/>
      <c r="O696" s="241"/>
      <c r="P696" s="241"/>
      <c r="Q696" s="241"/>
      <c r="R696" s="241"/>
      <c r="S696" s="241"/>
      <c r="T696" s="241"/>
      <c r="U696" s="241"/>
      <c r="V696" s="241"/>
      <c r="W696" s="241"/>
      <c r="X696" s="241"/>
      <c r="Y696" s="241"/>
      <c r="Z696" s="242"/>
      <c r="AA696" s="242"/>
      <c r="AB696" s="243"/>
      <c r="AC696" s="243"/>
      <c r="AD696" s="244"/>
      <c r="AE696" s="244"/>
      <c r="AF696" s="244"/>
      <c r="AG696" s="244"/>
    </row>
    <row r="697" spans="2:33" s="245" customFormat="1" hidden="1">
      <c r="B697" s="239"/>
      <c r="C697" s="240"/>
      <c r="D697" s="241"/>
      <c r="E697" s="241"/>
      <c r="F697" s="241"/>
      <c r="G697" s="241"/>
      <c r="H697" s="241"/>
      <c r="I697" s="241"/>
      <c r="J697" s="241"/>
      <c r="K697" s="241"/>
      <c r="L697" s="241"/>
      <c r="M697" s="242"/>
      <c r="N697" s="241"/>
      <c r="O697" s="241"/>
      <c r="P697" s="241"/>
      <c r="Q697" s="241"/>
      <c r="R697" s="241"/>
      <c r="S697" s="241"/>
      <c r="T697" s="241"/>
      <c r="U697" s="241"/>
      <c r="V697" s="241"/>
      <c r="W697" s="241"/>
      <c r="X697" s="241"/>
      <c r="Y697" s="241"/>
      <c r="Z697" s="242"/>
      <c r="AA697" s="242"/>
      <c r="AB697" s="243"/>
      <c r="AC697" s="243"/>
      <c r="AD697" s="244"/>
      <c r="AE697" s="244"/>
      <c r="AF697" s="244"/>
      <c r="AG697" s="244"/>
    </row>
    <row r="698" spans="2:33" s="245" customFormat="1" hidden="1">
      <c r="B698" s="239"/>
      <c r="C698" s="240"/>
      <c r="D698" s="241"/>
      <c r="E698" s="241"/>
      <c r="F698" s="241"/>
      <c r="G698" s="241"/>
      <c r="H698" s="241"/>
      <c r="I698" s="241"/>
      <c r="J698" s="241"/>
      <c r="K698" s="241"/>
      <c r="L698" s="241"/>
      <c r="M698" s="242"/>
      <c r="N698" s="241"/>
      <c r="O698" s="241"/>
      <c r="P698" s="241"/>
      <c r="Q698" s="241"/>
      <c r="R698" s="241"/>
      <c r="S698" s="241"/>
      <c r="T698" s="241"/>
      <c r="U698" s="241"/>
      <c r="V698" s="241"/>
      <c r="W698" s="241"/>
      <c r="X698" s="241"/>
      <c r="Y698" s="241"/>
      <c r="Z698" s="242"/>
      <c r="AA698" s="242"/>
      <c r="AB698" s="243"/>
      <c r="AC698" s="243"/>
      <c r="AD698" s="244"/>
      <c r="AE698" s="244"/>
      <c r="AF698" s="244"/>
      <c r="AG698" s="244"/>
    </row>
    <row r="699" spans="2:33" s="245" customFormat="1" hidden="1">
      <c r="B699" s="239"/>
      <c r="C699" s="240"/>
      <c r="D699" s="241"/>
      <c r="E699" s="241"/>
      <c r="F699" s="241"/>
      <c r="G699" s="241"/>
      <c r="H699" s="241"/>
      <c r="I699" s="241"/>
      <c r="J699" s="241"/>
      <c r="K699" s="241"/>
      <c r="L699" s="241"/>
      <c r="M699" s="242"/>
      <c r="N699" s="241"/>
      <c r="O699" s="241"/>
      <c r="P699" s="241"/>
      <c r="Q699" s="241"/>
      <c r="R699" s="241"/>
      <c r="S699" s="241"/>
      <c r="T699" s="241"/>
      <c r="U699" s="241"/>
      <c r="V699" s="241"/>
      <c r="W699" s="241"/>
      <c r="X699" s="241"/>
      <c r="Y699" s="241"/>
      <c r="Z699" s="242"/>
      <c r="AA699" s="242"/>
      <c r="AB699" s="243"/>
      <c r="AC699" s="243"/>
      <c r="AD699" s="244"/>
      <c r="AE699" s="244"/>
      <c r="AF699" s="244"/>
      <c r="AG699" s="244"/>
    </row>
    <row r="700" spans="2:33" s="245" customFormat="1" hidden="1">
      <c r="B700" s="239"/>
      <c r="C700" s="240"/>
      <c r="D700" s="241"/>
      <c r="E700" s="241"/>
      <c r="F700" s="241"/>
      <c r="G700" s="241"/>
      <c r="H700" s="241"/>
      <c r="I700" s="241"/>
      <c r="J700" s="241"/>
      <c r="K700" s="241"/>
      <c r="L700" s="241"/>
      <c r="M700" s="242"/>
      <c r="N700" s="241"/>
      <c r="O700" s="241"/>
      <c r="P700" s="241"/>
      <c r="Q700" s="241"/>
      <c r="R700" s="241"/>
      <c r="S700" s="241"/>
      <c r="T700" s="241"/>
      <c r="U700" s="241"/>
      <c r="V700" s="241"/>
      <c r="W700" s="241"/>
      <c r="X700" s="241"/>
      <c r="Y700" s="241"/>
      <c r="Z700" s="242"/>
      <c r="AA700" s="242"/>
      <c r="AB700" s="243"/>
      <c r="AC700" s="243"/>
      <c r="AD700" s="244"/>
      <c r="AE700" s="244"/>
      <c r="AF700" s="244"/>
      <c r="AG700" s="244"/>
    </row>
    <row r="701" spans="2:33" s="245" customFormat="1" hidden="1">
      <c r="B701" s="239"/>
      <c r="C701" s="240"/>
      <c r="D701" s="241"/>
      <c r="E701" s="241"/>
      <c r="F701" s="241"/>
      <c r="G701" s="241"/>
      <c r="H701" s="241"/>
      <c r="I701" s="241"/>
      <c r="J701" s="241"/>
      <c r="K701" s="241"/>
      <c r="L701" s="241"/>
      <c r="M701" s="242"/>
      <c r="N701" s="241"/>
      <c r="O701" s="241"/>
      <c r="P701" s="241"/>
      <c r="Q701" s="241"/>
      <c r="R701" s="241"/>
      <c r="S701" s="241"/>
      <c r="T701" s="241"/>
      <c r="U701" s="241"/>
      <c r="V701" s="241"/>
      <c r="W701" s="241"/>
      <c r="X701" s="241"/>
      <c r="Y701" s="241"/>
      <c r="Z701" s="242"/>
      <c r="AA701" s="242"/>
      <c r="AB701" s="243"/>
      <c r="AC701" s="243"/>
      <c r="AD701" s="244"/>
      <c r="AE701" s="244"/>
      <c r="AF701" s="244"/>
      <c r="AG701" s="244"/>
    </row>
    <row r="702" spans="2:33" s="245" customFormat="1" hidden="1">
      <c r="B702" s="239"/>
      <c r="C702" s="240"/>
      <c r="D702" s="241"/>
      <c r="E702" s="241"/>
      <c r="F702" s="241"/>
      <c r="G702" s="241"/>
      <c r="H702" s="241"/>
      <c r="I702" s="241"/>
      <c r="J702" s="241"/>
      <c r="K702" s="241"/>
      <c r="L702" s="241"/>
      <c r="M702" s="242"/>
      <c r="N702" s="241"/>
      <c r="O702" s="241"/>
      <c r="P702" s="241"/>
      <c r="Q702" s="241"/>
      <c r="R702" s="241"/>
      <c r="S702" s="241"/>
      <c r="T702" s="241"/>
      <c r="U702" s="241"/>
      <c r="V702" s="241"/>
      <c r="W702" s="241"/>
      <c r="X702" s="241"/>
      <c r="Y702" s="241"/>
      <c r="Z702" s="242"/>
      <c r="AA702" s="242"/>
      <c r="AB702" s="243"/>
      <c r="AC702" s="243"/>
      <c r="AD702" s="244"/>
      <c r="AE702" s="244"/>
      <c r="AF702" s="244"/>
      <c r="AG702" s="244"/>
    </row>
    <row r="703" spans="2:33" s="245" customFormat="1" hidden="1">
      <c r="B703" s="239"/>
      <c r="C703" s="240"/>
      <c r="D703" s="241"/>
      <c r="E703" s="241"/>
      <c r="F703" s="241"/>
      <c r="G703" s="241"/>
      <c r="H703" s="241"/>
      <c r="I703" s="241"/>
      <c r="J703" s="241"/>
      <c r="K703" s="241"/>
      <c r="L703" s="241"/>
      <c r="M703" s="242"/>
      <c r="N703" s="241"/>
      <c r="O703" s="241"/>
      <c r="P703" s="241"/>
      <c r="Q703" s="241"/>
      <c r="R703" s="241"/>
      <c r="S703" s="241"/>
      <c r="T703" s="241"/>
      <c r="U703" s="241"/>
      <c r="V703" s="241"/>
      <c r="W703" s="241"/>
      <c r="X703" s="241"/>
      <c r="Y703" s="241"/>
      <c r="Z703" s="242"/>
      <c r="AA703" s="242"/>
      <c r="AB703" s="243"/>
      <c r="AC703" s="243"/>
      <c r="AD703" s="244"/>
      <c r="AE703" s="244"/>
      <c r="AF703" s="244"/>
      <c r="AG703" s="244"/>
    </row>
    <row r="704" spans="2:33" s="245" customFormat="1" hidden="1">
      <c r="B704" s="239"/>
      <c r="C704" s="240"/>
      <c r="D704" s="241"/>
      <c r="E704" s="241"/>
      <c r="F704" s="241"/>
      <c r="G704" s="241"/>
      <c r="H704" s="241"/>
      <c r="I704" s="241"/>
      <c r="J704" s="241"/>
      <c r="K704" s="241"/>
      <c r="L704" s="241"/>
      <c r="M704" s="242"/>
      <c r="N704" s="241"/>
      <c r="O704" s="241"/>
      <c r="P704" s="241"/>
      <c r="Q704" s="241"/>
      <c r="R704" s="241"/>
      <c r="S704" s="241"/>
      <c r="T704" s="241"/>
      <c r="U704" s="241"/>
      <c r="V704" s="241"/>
      <c r="W704" s="241"/>
      <c r="X704" s="241"/>
      <c r="Y704" s="241"/>
      <c r="Z704" s="242"/>
      <c r="AA704" s="242"/>
      <c r="AB704" s="243"/>
      <c r="AC704" s="243"/>
      <c r="AD704" s="244"/>
      <c r="AE704" s="244"/>
      <c r="AF704" s="244"/>
      <c r="AG704" s="244"/>
    </row>
    <row r="705" spans="2:33" s="245" customFormat="1" hidden="1">
      <c r="B705" s="239"/>
      <c r="C705" s="240"/>
      <c r="D705" s="241"/>
      <c r="E705" s="241"/>
      <c r="F705" s="241"/>
      <c r="G705" s="241"/>
      <c r="H705" s="241"/>
      <c r="I705" s="241"/>
      <c r="J705" s="241"/>
      <c r="K705" s="241"/>
      <c r="L705" s="241"/>
      <c r="M705" s="242"/>
      <c r="N705" s="241"/>
      <c r="O705" s="241"/>
      <c r="P705" s="241"/>
      <c r="Q705" s="241"/>
      <c r="R705" s="241"/>
      <c r="S705" s="241"/>
      <c r="T705" s="241"/>
      <c r="U705" s="241"/>
      <c r="V705" s="241"/>
      <c r="W705" s="241"/>
      <c r="X705" s="241"/>
      <c r="Y705" s="241"/>
      <c r="Z705" s="242"/>
      <c r="AA705" s="242"/>
      <c r="AB705" s="243"/>
      <c r="AC705" s="243"/>
      <c r="AD705" s="244"/>
      <c r="AE705" s="244"/>
      <c r="AF705" s="244"/>
      <c r="AG705" s="244"/>
    </row>
    <row r="706" spans="2:33" s="245" customFormat="1" hidden="1">
      <c r="B706" s="239"/>
      <c r="C706" s="240"/>
      <c r="D706" s="241"/>
      <c r="E706" s="241"/>
      <c r="F706" s="241"/>
      <c r="G706" s="241"/>
      <c r="H706" s="241"/>
      <c r="I706" s="241"/>
      <c r="J706" s="241"/>
      <c r="K706" s="241"/>
      <c r="L706" s="241"/>
      <c r="M706" s="242"/>
      <c r="N706" s="241"/>
      <c r="O706" s="241"/>
      <c r="P706" s="241"/>
      <c r="Q706" s="241"/>
      <c r="R706" s="241"/>
      <c r="S706" s="241"/>
      <c r="T706" s="241"/>
      <c r="U706" s="241"/>
      <c r="V706" s="241"/>
      <c r="W706" s="241"/>
      <c r="X706" s="241"/>
      <c r="Y706" s="241"/>
      <c r="Z706" s="242"/>
      <c r="AA706" s="242"/>
      <c r="AB706" s="243"/>
      <c r="AC706" s="243"/>
      <c r="AD706" s="244"/>
      <c r="AE706" s="244"/>
      <c r="AF706" s="244"/>
      <c r="AG706" s="244"/>
    </row>
    <row r="707" spans="2:33" s="245" customFormat="1" hidden="1">
      <c r="B707" s="239"/>
      <c r="C707" s="240"/>
      <c r="D707" s="241"/>
      <c r="E707" s="241"/>
      <c r="F707" s="241"/>
      <c r="G707" s="241"/>
      <c r="H707" s="241"/>
      <c r="I707" s="241"/>
      <c r="J707" s="241"/>
      <c r="K707" s="241"/>
      <c r="L707" s="241"/>
      <c r="M707" s="242"/>
      <c r="N707" s="241"/>
      <c r="O707" s="241"/>
      <c r="P707" s="241"/>
      <c r="Q707" s="241"/>
      <c r="R707" s="241"/>
      <c r="S707" s="241"/>
      <c r="T707" s="241"/>
      <c r="U707" s="241"/>
      <c r="V707" s="241"/>
      <c r="W707" s="241"/>
      <c r="X707" s="241"/>
      <c r="Y707" s="241"/>
      <c r="Z707" s="242"/>
      <c r="AA707" s="242"/>
      <c r="AB707" s="243"/>
      <c r="AC707" s="243"/>
      <c r="AD707" s="244"/>
      <c r="AE707" s="244"/>
      <c r="AF707" s="244"/>
      <c r="AG707" s="244"/>
    </row>
    <row r="708" spans="2:33" s="245" customFormat="1" hidden="1">
      <c r="B708" s="239"/>
      <c r="C708" s="240"/>
      <c r="D708" s="241"/>
      <c r="E708" s="241"/>
      <c r="F708" s="241"/>
      <c r="G708" s="241"/>
      <c r="H708" s="241"/>
      <c r="I708" s="241"/>
      <c r="J708" s="241"/>
      <c r="K708" s="241"/>
      <c r="L708" s="241"/>
      <c r="M708" s="242"/>
      <c r="N708" s="241"/>
      <c r="O708" s="241"/>
      <c r="P708" s="241"/>
      <c r="Q708" s="241"/>
      <c r="R708" s="241"/>
      <c r="S708" s="241"/>
      <c r="T708" s="241"/>
      <c r="U708" s="241"/>
      <c r="V708" s="241"/>
      <c r="W708" s="241"/>
      <c r="X708" s="241"/>
      <c r="Y708" s="241"/>
      <c r="Z708" s="242"/>
      <c r="AA708" s="242"/>
      <c r="AB708" s="243"/>
      <c r="AC708" s="243"/>
      <c r="AD708" s="244"/>
      <c r="AE708" s="244"/>
      <c r="AF708" s="244"/>
      <c r="AG708" s="244"/>
    </row>
    <row r="709" spans="2:33" s="245" customFormat="1" hidden="1">
      <c r="B709" s="239"/>
      <c r="C709" s="240"/>
      <c r="D709" s="241"/>
      <c r="E709" s="241"/>
      <c r="F709" s="241"/>
      <c r="G709" s="241"/>
      <c r="H709" s="241"/>
      <c r="I709" s="241"/>
      <c r="J709" s="241"/>
      <c r="K709" s="241"/>
      <c r="L709" s="241"/>
      <c r="M709" s="242"/>
      <c r="N709" s="241"/>
      <c r="O709" s="241"/>
      <c r="P709" s="241"/>
      <c r="Q709" s="241"/>
      <c r="R709" s="241"/>
      <c r="S709" s="241"/>
      <c r="T709" s="241"/>
      <c r="U709" s="241"/>
      <c r="V709" s="241"/>
      <c r="W709" s="241"/>
      <c r="X709" s="241"/>
      <c r="Y709" s="241"/>
      <c r="Z709" s="242"/>
      <c r="AA709" s="242"/>
      <c r="AB709" s="243"/>
      <c r="AC709" s="243"/>
      <c r="AD709" s="244"/>
      <c r="AE709" s="244"/>
      <c r="AF709" s="244"/>
      <c r="AG709" s="244"/>
    </row>
    <row r="710" spans="2:33" s="245" customFormat="1" hidden="1">
      <c r="B710" s="239"/>
      <c r="C710" s="240"/>
      <c r="D710" s="241"/>
      <c r="E710" s="241"/>
      <c r="F710" s="241"/>
      <c r="G710" s="241"/>
      <c r="H710" s="241"/>
      <c r="I710" s="241"/>
      <c r="J710" s="241"/>
      <c r="K710" s="241"/>
      <c r="L710" s="241"/>
      <c r="M710" s="242"/>
      <c r="N710" s="241"/>
      <c r="O710" s="241"/>
      <c r="P710" s="241"/>
      <c r="Q710" s="241"/>
      <c r="R710" s="241"/>
      <c r="S710" s="241"/>
      <c r="T710" s="241"/>
      <c r="U710" s="241"/>
      <c r="V710" s="241"/>
      <c r="W710" s="241"/>
      <c r="X710" s="241"/>
      <c r="Y710" s="241"/>
      <c r="Z710" s="242"/>
      <c r="AA710" s="242"/>
      <c r="AB710" s="243"/>
      <c r="AC710" s="243"/>
      <c r="AD710" s="244"/>
      <c r="AE710" s="244"/>
      <c r="AF710" s="244"/>
      <c r="AG710" s="244"/>
    </row>
    <row r="711" spans="2:33" s="245" customFormat="1" hidden="1">
      <c r="B711" s="239"/>
      <c r="C711" s="240"/>
      <c r="D711" s="241"/>
      <c r="E711" s="241"/>
      <c r="F711" s="241"/>
      <c r="G711" s="241"/>
      <c r="H711" s="241"/>
      <c r="I711" s="241"/>
      <c r="J711" s="241"/>
      <c r="K711" s="241"/>
      <c r="L711" s="241"/>
      <c r="M711" s="242"/>
      <c r="N711" s="241"/>
      <c r="O711" s="241"/>
      <c r="P711" s="241"/>
      <c r="Q711" s="241"/>
      <c r="R711" s="241"/>
      <c r="S711" s="241"/>
      <c r="T711" s="241"/>
      <c r="U711" s="241"/>
      <c r="V711" s="241"/>
      <c r="W711" s="241"/>
      <c r="X711" s="241"/>
      <c r="Y711" s="241"/>
      <c r="Z711" s="242"/>
      <c r="AA711" s="242"/>
      <c r="AB711" s="243"/>
      <c r="AC711" s="243"/>
      <c r="AD711" s="244"/>
      <c r="AE711" s="244"/>
      <c r="AF711" s="244"/>
      <c r="AG711" s="244"/>
    </row>
    <row r="712" spans="2:33" s="245" customFormat="1" hidden="1">
      <c r="B712" s="239"/>
      <c r="C712" s="240"/>
      <c r="D712" s="241"/>
      <c r="E712" s="241"/>
      <c r="F712" s="241"/>
      <c r="G712" s="241"/>
      <c r="H712" s="241"/>
      <c r="I712" s="241"/>
      <c r="J712" s="241"/>
      <c r="K712" s="241"/>
      <c r="L712" s="241"/>
      <c r="M712" s="242"/>
      <c r="N712" s="241"/>
      <c r="O712" s="241"/>
      <c r="P712" s="241"/>
      <c r="Q712" s="241"/>
      <c r="R712" s="241"/>
      <c r="S712" s="241"/>
      <c r="T712" s="241"/>
      <c r="U712" s="241"/>
      <c r="V712" s="241"/>
      <c r="W712" s="241"/>
      <c r="X712" s="241"/>
      <c r="Y712" s="241"/>
      <c r="Z712" s="242"/>
      <c r="AA712" s="242"/>
      <c r="AB712" s="243"/>
      <c r="AC712" s="243"/>
      <c r="AD712" s="244"/>
      <c r="AE712" s="244"/>
      <c r="AF712" s="244"/>
      <c r="AG712" s="244"/>
    </row>
    <row r="713" spans="2:33" s="245" customFormat="1" hidden="1">
      <c r="B713" s="239"/>
      <c r="C713" s="240"/>
      <c r="D713" s="241"/>
      <c r="E713" s="241"/>
      <c r="F713" s="241"/>
      <c r="G713" s="241"/>
      <c r="H713" s="241"/>
      <c r="I713" s="241"/>
      <c r="J713" s="241"/>
      <c r="K713" s="241"/>
      <c r="L713" s="241"/>
      <c r="M713" s="242"/>
      <c r="N713" s="241"/>
      <c r="O713" s="241"/>
      <c r="P713" s="241"/>
      <c r="Q713" s="241"/>
      <c r="R713" s="241"/>
      <c r="S713" s="241"/>
      <c r="T713" s="241"/>
      <c r="U713" s="241"/>
      <c r="V713" s="241"/>
      <c r="W713" s="241"/>
      <c r="X713" s="241"/>
      <c r="Y713" s="241"/>
      <c r="Z713" s="242"/>
      <c r="AA713" s="242"/>
      <c r="AB713" s="243"/>
      <c r="AC713" s="243"/>
      <c r="AD713" s="244"/>
      <c r="AE713" s="244"/>
      <c r="AF713" s="244"/>
      <c r="AG713" s="244"/>
    </row>
    <row r="714" spans="2:33" s="245" customFormat="1" hidden="1">
      <c r="B714" s="239"/>
      <c r="C714" s="240"/>
      <c r="D714" s="241"/>
      <c r="E714" s="241"/>
      <c r="F714" s="241"/>
      <c r="G714" s="241"/>
      <c r="H714" s="241"/>
      <c r="I714" s="241"/>
      <c r="J714" s="241"/>
      <c r="K714" s="241"/>
      <c r="L714" s="241"/>
      <c r="M714" s="242"/>
      <c r="N714" s="241"/>
      <c r="O714" s="241"/>
      <c r="P714" s="241"/>
      <c r="Q714" s="241"/>
      <c r="R714" s="241"/>
      <c r="S714" s="241"/>
      <c r="T714" s="241"/>
      <c r="U714" s="241"/>
      <c r="V714" s="241"/>
      <c r="W714" s="241"/>
      <c r="X714" s="241"/>
      <c r="Y714" s="241"/>
      <c r="Z714" s="242"/>
      <c r="AA714" s="242"/>
      <c r="AB714" s="243"/>
      <c r="AC714" s="243"/>
      <c r="AD714" s="244"/>
      <c r="AE714" s="244"/>
      <c r="AF714" s="244"/>
      <c r="AG714" s="244"/>
    </row>
    <row r="715" spans="2:33" s="245" customFormat="1" hidden="1">
      <c r="B715" s="239"/>
      <c r="C715" s="240"/>
      <c r="D715" s="241"/>
      <c r="E715" s="241"/>
      <c r="F715" s="241"/>
      <c r="G715" s="241"/>
      <c r="H715" s="241"/>
      <c r="I715" s="241"/>
      <c r="J715" s="241"/>
      <c r="K715" s="241"/>
      <c r="L715" s="241"/>
      <c r="M715" s="242"/>
      <c r="N715" s="241"/>
      <c r="O715" s="241"/>
      <c r="P715" s="241"/>
      <c r="Q715" s="241"/>
      <c r="R715" s="241"/>
      <c r="S715" s="241"/>
      <c r="T715" s="241"/>
      <c r="U715" s="241"/>
      <c r="V715" s="241"/>
      <c r="W715" s="241"/>
      <c r="X715" s="241"/>
      <c r="Y715" s="241"/>
      <c r="Z715" s="242"/>
      <c r="AA715" s="242"/>
      <c r="AB715" s="243"/>
      <c r="AC715" s="243"/>
      <c r="AD715" s="244"/>
      <c r="AE715" s="244"/>
      <c r="AF715" s="244"/>
      <c r="AG715" s="244"/>
    </row>
    <row r="716" spans="2:33" s="245" customFormat="1" hidden="1">
      <c r="B716" s="239"/>
      <c r="C716" s="240"/>
      <c r="D716" s="241"/>
      <c r="E716" s="241"/>
      <c r="F716" s="241"/>
      <c r="G716" s="241"/>
      <c r="H716" s="241"/>
      <c r="I716" s="241"/>
      <c r="J716" s="241"/>
      <c r="K716" s="241"/>
      <c r="L716" s="241"/>
      <c r="M716" s="242"/>
      <c r="N716" s="241"/>
      <c r="O716" s="241"/>
      <c r="P716" s="241"/>
      <c r="Q716" s="241"/>
      <c r="R716" s="241"/>
      <c r="S716" s="241"/>
      <c r="T716" s="241"/>
      <c r="U716" s="241"/>
      <c r="V716" s="241"/>
      <c r="W716" s="241"/>
      <c r="X716" s="241"/>
      <c r="Y716" s="241"/>
      <c r="Z716" s="242"/>
      <c r="AA716" s="242"/>
      <c r="AB716" s="243"/>
      <c r="AC716" s="243"/>
      <c r="AD716" s="244"/>
      <c r="AE716" s="244"/>
      <c r="AF716" s="244"/>
      <c r="AG716" s="244"/>
    </row>
    <row r="717" spans="2:33" s="245" customFormat="1" hidden="1">
      <c r="B717" s="239"/>
      <c r="C717" s="240"/>
      <c r="D717" s="241"/>
      <c r="E717" s="241"/>
      <c r="F717" s="241"/>
      <c r="G717" s="241"/>
      <c r="H717" s="241"/>
      <c r="I717" s="241"/>
      <c r="J717" s="241"/>
      <c r="K717" s="241"/>
      <c r="L717" s="241"/>
      <c r="M717" s="242"/>
      <c r="N717" s="241"/>
      <c r="O717" s="241"/>
      <c r="P717" s="241"/>
      <c r="Q717" s="241"/>
      <c r="R717" s="241"/>
      <c r="S717" s="241"/>
      <c r="T717" s="241"/>
      <c r="U717" s="241"/>
      <c r="V717" s="241"/>
      <c r="W717" s="241"/>
      <c r="X717" s="241"/>
      <c r="Y717" s="241"/>
      <c r="Z717" s="242"/>
      <c r="AA717" s="242"/>
      <c r="AB717" s="243"/>
      <c r="AC717" s="243"/>
      <c r="AD717" s="244"/>
      <c r="AE717" s="244"/>
      <c r="AF717" s="244"/>
      <c r="AG717" s="244"/>
    </row>
    <row r="718" spans="2:33" s="245" customFormat="1" hidden="1">
      <c r="B718" s="239"/>
      <c r="C718" s="240"/>
      <c r="D718" s="241"/>
      <c r="E718" s="241"/>
      <c r="F718" s="241"/>
      <c r="G718" s="241"/>
      <c r="H718" s="241"/>
      <c r="I718" s="241"/>
      <c r="J718" s="241"/>
      <c r="K718" s="241"/>
      <c r="L718" s="241"/>
      <c r="M718" s="242"/>
      <c r="N718" s="241"/>
      <c r="O718" s="241"/>
      <c r="P718" s="241"/>
      <c r="Q718" s="241"/>
      <c r="R718" s="241"/>
      <c r="S718" s="241"/>
      <c r="T718" s="241"/>
      <c r="U718" s="241"/>
      <c r="V718" s="241"/>
      <c r="W718" s="241"/>
      <c r="X718" s="241"/>
      <c r="Y718" s="241"/>
      <c r="Z718" s="242"/>
      <c r="AA718" s="242"/>
      <c r="AB718" s="243"/>
      <c r="AC718" s="243"/>
      <c r="AD718" s="244"/>
      <c r="AE718" s="244"/>
      <c r="AF718" s="244"/>
      <c r="AG718" s="244"/>
    </row>
    <row r="719" spans="2:33" s="245" customFormat="1" hidden="1">
      <c r="B719" s="239"/>
      <c r="C719" s="240"/>
      <c r="D719" s="241"/>
      <c r="E719" s="241"/>
      <c r="F719" s="241"/>
      <c r="G719" s="241"/>
      <c r="H719" s="241"/>
      <c r="I719" s="241"/>
      <c r="J719" s="241"/>
      <c r="K719" s="241"/>
      <c r="L719" s="241"/>
      <c r="M719" s="242"/>
      <c r="N719" s="241"/>
      <c r="O719" s="241"/>
      <c r="P719" s="241"/>
      <c r="Q719" s="241"/>
      <c r="R719" s="241"/>
      <c r="S719" s="241"/>
      <c r="T719" s="241"/>
      <c r="U719" s="241"/>
      <c r="V719" s="241"/>
      <c r="W719" s="241"/>
      <c r="X719" s="241"/>
      <c r="Y719" s="241"/>
      <c r="Z719" s="242"/>
      <c r="AA719" s="242"/>
      <c r="AB719" s="243"/>
      <c r="AC719" s="243"/>
      <c r="AD719" s="244"/>
      <c r="AE719" s="244"/>
      <c r="AF719" s="244"/>
      <c r="AG719" s="244"/>
    </row>
    <row r="720" spans="2:33" s="245" customFormat="1" hidden="1">
      <c r="B720" s="239"/>
      <c r="C720" s="240"/>
      <c r="D720" s="241"/>
      <c r="E720" s="241"/>
      <c r="F720" s="241"/>
      <c r="G720" s="241"/>
      <c r="H720" s="241"/>
      <c r="I720" s="241"/>
      <c r="J720" s="241"/>
      <c r="K720" s="241"/>
      <c r="L720" s="241"/>
      <c r="M720" s="242"/>
      <c r="N720" s="241"/>
      <c r="O720" s="241"/>
      <c r="P720" s="241"/>
      <c r="Q720" s="241"/>
      <c r="R720" s="241"/>
      <c r="S720" s="241"/>
      <c r="T720" s="241"/>
      <c r="U720" s="241"/>
      <c r="V720" s="241"/>
      <c r="W720" s="241"/>
      <c r="X720" s="241"/>
      <c r="Y720" s="241"/>
      <c r="Z720" s="242"/>
      <c r="AA720" s="242"/>
      <c r="AB720" s="243"/>
      <c r="AC720" s="243"/>
      <c r="AD720" s="244"/>
      <c r="AE720" s="244"/>
      <c r="AF720" s="244"/>
      <c r="AG720" s="244"/>
    </row>
    <row r="721" spans="2:33" s="245" customFormat="1" hidden="1">
      <c r="B721" s="239"/>
      <c r="C721" s="240"/>
      <c r="D721" s="241"/>
      <c r="E721" s="241"/>
      <c r="F721" s="241"/>
      <c r="G721" s="241"/>
      <c r="H721" s="241"/>
      <c r="I721" s="241"/>
      <c r="J721" s="241"/>
      <c r="K721" s="241"/>
      <c r="L721" s="241"/>
      <c r="M721" s="242"/>
      <c r="N721" s="241"/>
      <c r="O721" s="241"/>
      <c r="P721" s="241"/>
      <c r="Q721" s="241"/>
      <c r="R721" s="241"/>
      <c r="S721" s="241"/>
      <c r="T721" s="241"/>
      <c r="U721" s="241"/>
      <c r="V721" s="241"/>
      <c r="W721" s="241"/>
      <c r="X721" s="241"/>
      <c r="Y721" s="241"/>
      <c r="Z721" s="242"/>
      <c r="AA721" s="242"/>
      <c r="AB721" s="243"/>
      <c r="AC721" s="243"/>
      <c r="AD721" s="244"/>
      <c r="AE721" s="244"/>
      <c r="AF721" s="244"/>
      <c r="AG721" s="244"/>
    </row>
    <row r="722" spans="2:33" s="245" customFormat="1" hidden="1">
      <c r="B722" s="239"/>
      <c r="C722" s="240"/>
      <c r="D722" s="241"/>
      <c r="E722" s="241"/>
      <c r="F722" s="241"/>
      <c r="G722" s="241"/>
      <c r="H722" s="241"/>
      <c r="I722" s="241"/>
      <c r="J722" s="241"/>
      <c r="K722" s="241"/>
      <c r="L722" s="241"/>
      <c r="M722" s="242"/>
      <c r="N722" s="241"/>
      <c r="O722" s="241"/>
      <c r="P722" s="241"/>
      <c r="Q722" s="241"/>
      <c r="R722" s="241"/>
      <c r="S722" s="241"/>
      <c r="T722" s="241"/>
      <c r="U722" s="241"/>
      <c r="V722" s="241"/>
      <c r="W722" s="241"/>
      <c r="X722" s="241"/>
      <c r="Y722" s="241"/>
      <c r="Z722" s="242"/>
      <c r="AA722" s="242"/>
      <c r="AB722" s="243"/>
      <c r="AC722" s="243"/>
      <c r="AD722" s="244"/>
      <c r="AE722" s="244"/>
      <c r="AF722" s="244"/>
      <c r="AG722" s="244"/>
    </row>
    <row r="723" spans="2:33" s="245" customFormat="1" hidden="1">
      <c r="B723" s="239"/>
      <c r="C723" s="240"/>
      <c r="D723" s="241"/>
      <c r="E723" s="241"/>
      <c r="F723" s="241"/>
      <c r="G723" s="241"/>
      <c r="H723" s="241"/>
      <c r="I723" s="241"/>
      <c r="J723" s="241"/>
      <c r="K723" s="241"/>
      <c r="L723" s="241"/>
      <c r="M723" s="242"/>
      <c r="N723" s="241"/>
      <c r="O723" s="241"/>
      <c r="P723" s="241"/>
      <c r="Q723" s="241"/>
      <c r="R723" s="241"/>
      <c r="S723" s="241"/>
      <c r="T723" s="241"/>
      <c r="U723" s="241"/>
      <c r="V723" s="241"/>
      <c r="W723" s="241"/>
      <c r="X723" s="241"/>
      <c r="Y723" s="241"/>
      <c r="Z723" s="242"/>
      <c r="AA723" s="242"/>
      <c r="AB723" s="243"/>
      <c r="AC723" s="243"/>
      <c r="AD723" s="244"/>
      <c r="AE723" s="244"/>
      <c r="AF723" s="244"/>
      <c r="AG723" s="244"/>
    </row>
    <row r="724" spans="2:33" s="245" customFormat="1" hidden="1">
      <c r="B724" s="239"/>
      <c r="C724" s="240"/>
      <c r="D724" s="241"/>
      <c r="E724" s="241"/>
      <c r="F724" s="241"/>
      <c r="G724" s="241"/>
      <c r="H724" s="241"/>
      <c r="I724" s="241"/>
      <c r="J724" s="241"/>
      <c r="K724" s="241"/>
      <c r="L724" s="241"/>
      <c r="M724" s="242"/>
      <c r="N724" s="241"/>
      <c r="O724" s="241"/>
      <c r="P724" s="241"/>
      <c r="Q724" s="241"/>
      <c r="R724" s="241"/>
      <c r="S724" s="241"/>
      <c r="T724" s="241"/>
      <c r="U724" s="241"/>
      <c r="V724" s="241"/>
      <c r="W724" s="241"/>
      <c r="X724" s="241"/>
      <c r="Y724" s="241"/>
      <c r="Z724" s="242"/>
      <c r="AA724" s="242"/>
      <c r="AB724" s="243"/>
      <c r="AC724" s="243"/>
      <c r="AD724" s="244"/>
      <c r="AE724" s="244"/>
      <c r="AF724" s="244"/>
      <c r="AG724" s="244"/>
    </row>
    <row r="725" spans="2:33" s="245" customFormat="1" hidden="1">
      <c r="B725" s="239"/>
      <c r="C725" s="240"/>
      <c r="D725" s="241"/>
      <c r="E725" s="241"/>
      <c r="F725" s="241"/>
      <c r="G725" s="241"/>
      <c r="H725" s="241"/>
      <c r="I725" s="241"/>
      <c r="J725" s="241"/>
      <c r="K725" s="241"/>
      <c r="L725" s="241"/>
      <c r="M725" s="242"/>
      <c r="N725" s="241"/>
      <c r="O725" s="241"/>
      <c r="P725" s="241"/>
      <c r="Q725" s="241"/>
      <c r="R725" s="241"/>
      <c r="S725" s="241"/>
      <c r="T725" s="241"/>
      <c r="U725" s="241"/>
      <c r="V725" s="241"/>
      <c r="W725" s="241"/>
      <c r="X725" s="241"/>
      <c r="Y725" s="241"/>
      <c r="Z725" s="242"/>
      <c r="AA725" s="242"/>
      <c r="AB725" s="243"/>
      <c r="AC725" s="243"/>
      <c r="AD725" s="244"/>
      <c r="AE725" s="244"/>
      <c r="AF725" s="244"/>
      <c r="AG725" s="244"/>
    </row>
    <row r="726" spans="2:33" s="245" customFormat="1" hidden="1">
      <c r="B726" s="239"/>
      <c r="C726" s="240"/>
      <c r="D726" s="241"/>
      <c r="E726" s="241"/>
      <c r="F726" s="241"/>
      <c r="G726" s="241"/>
      <c r="H726" s="241"/>
      <c r="I726" s="241"/>
      <c r="J726" s="241"/>
      <c r="K726" s="241"/>
      <c r="L726" s="241"/>
      <c r="M726" s="242"/>
      <c r="N726" s="241"/>
      <c r="O726" s="241"/>
      <c r="P726" s="241"/>
      <c r="Q726" s="241"/>
      <c r="R726" s="241"/>
      <c r="S726" s="241"/>
      <c r="T726" s="241"/>
      <c r="U726" s="241"/>
      <c r="V726" s="241"/>
      <c r="W726" s="241"/>
      <c r="X726" s="241"/>
      <c r="Y726" s="241"/>
      <c r="Z726" s="242"/>
      <c r="AA726" s="242"/>
      <c r="AB726" s="243"/>
      <c r="AC726" s="243"/>
      <c r="AD726" s="244"/>
      <c r="AE726" s="244"/>
      <c r="AF726" s="244"/>
      <c r="AG726" s="244"/>
    </row>
    <row r="727" spans="2:33" s="245" customFormat="1" hidden="1">
      <c r="B727" s="239"/>
      <c r="C727" s="240"/>
      <c r="D727" s="241"/>
      <c r="E727" s="241"/>
      <c r="F727" s="241"/>
      <c r="G727" s="241"/>
      <c r="H727" s="241"/>
      <c r="I727" s="241"/>
      <c r="J727" s="241"/>
      <c r="K727" s="241"/>
      <c r="L727" s="241"/>
      <c r="M727" s="242"/>
      <c r="N727" s="241"/>
      <c r="O727" s="241"/>
      <c r="P727" s="241"/>
      <c r="Q727" s="241"/>
      <c r="R727" s="241"/>
      <c r="S727" s="241"/>
      <c r="T727" s="241"/>
      <c r="U727" s="241"/>
      <c r="V727" s="241"/>
      <c r="W727" s="241"/>
      <c r="X727" s="241"/>
      <c r="Y727" s="241"/>
      <c r="Z727" s="242"/>
      <c r="AA727" s="242"/>
      <c r="AB727" s="243"/>
      <c r="AC727" s="243"/>
      <c r="AD727" s="244"/>
      <c r="AE727" s="244"/>
      <c r="AF727" s="244"/>
      <c r="AG727" s="244"/>
    </row>
    <row r="728" spans="2:33" s="245" customFormat="1" hidden="1">
      <c r="B728" s="239"/>
      <c r="C728" s="240"/>
      <c r="D728" s="241"/>
      <c r="E728" s="241"/>
      <c r="F728" s="241"/>
      <c r="G728" s="241"/>
      <c r="H728" s="241"/>
      <c r="I728" s="241"/>
      <c r="J728" s="241"/>
      <c r="K728" s="241"/>
      <c r="L728" s="241"/>
      <c r="M728" s="242"/>
      <c r="N728" s="241"/>
      <c r="O728" s="241"/>
      <c r="P728" s="241"/>
      <c r="Q728" s="241"/>
      <c r="R728" s="241"/>
      <c r="S728" s="241"/>
      <c r="T728" s="241"/>
      <c r="U728" s="241"/>
      <c r="V728" s="241"/>
      <c r="W728" s="241"/>
      <c r="X728" s="241"/>
      <c r="Y728" s="241"/>
      <c r="Z728" s="242"/>
      <c r="AA728" s="242"/>
      <c r="AB728" s="243"/>
      <c r="AC728" s="243"/>
      <c r="AD728" s="244"/>
      <c r="AE728" s="244"/>
      <c r="AF728" s="244"/>
      <c r="AG728" s="244"/>
    </row>
    <row r="729" spans="2:33" s="245" customFormat="1" hidden="1">
      <c r="B729" s="239"/>
      <c r="C729" s="240"/>
      <c r="D729" s="241"/>
      <c r="E729" s="241"/>
      <c r="F729" s="241"/>
      <c r="G729" s="241"/>
      <c r="H729" s="241"/>
      <c r="I729" s="241"/>
      <c r="J729" s="241"/>
      <c r="K729" s="241"/>
      <c r="L729" s="241"/>
      <c r="M729" s="242"/>
      <c r="N729" s="241"/>
      <c r="O729" s="241"/>
      <c r="P729" s="241"/>
      <c r="Q729" s="241"/>
      <c r="R729" s="241"/>
      <c r="S729" s="241"/>
      <c r="T729" s="241"/>
      <c r="U729" s="241"/>
      <c r="V729" s="241"/>
      <c r="W729" s="241"/>
      <c r="X729" s="241"/>
      <c r="Y729" s="241"/>
      <c r="Z729" s="242"/>
      <c r="AA729" s="242"/>
      <c r="AB729" s="243"/>
      <c r="AC729" s="243"/>
      <c r="AD729" s="244"/>
      <c r="AE729" s="244"/>
      <c r="AF729" s="244"/>
      <c r="AG729" s="244"/>
    </row>
    <row r="730" spans="2:33" s="245" customFormat="1" hidden="1">
      <c r="B730" s="239"/>
      <c r="C730" s="240"/>
      <c r="D730" s="241"/>
      <c r="E730" s="241"/>
      <c r="F730" s="241"/>
      <c r="G730" s="241"/>
      <c r="H730" s="241"/>
      <c r="I730" s="241"/>
      <c r="J730" s="241"/>
      <c r="K730" s="241"/>
      <c r="L730" s="241"/>
      <c r="M730" s="242"/>
      <c r="N730" s="241"/>
      <c r="O730" s="241"/>
      <c r="P730" s="241"/>
      <c r="Q730" s="241"/>
      <c r="R730" s="241"/>
      <c r="S730" s="241"/>
      <c r="T730" s="241"/>
      <c r="U730" s="241"/>
      <c r="V730" s="241"/>
      <c r="W730" s="241"/>
      <c r="X730" s="241"/>
      <c r="Y730" s="241"/>
      <c r="Z730" s="242"/>
      <c r="AA730" s="242"/>
      <c r="AB730" s="243"/>
      <c r="AC730" s="243"/>
      <c r="AD730" s="244"/>
      <c r="AE730" s="244"/>
      <c r="AF730" s="244"/>
      <c r="AG730" s="244"/>
    </row>
    <row r="731" spans="2:33" s="245" customFormat="1" hidden="1">
      <c r="B731" s="239"/>
      <c r="C731" s="240"/>
      <c r="D731" s="241"/>
      <c r="E731" s="241"/>
      <c r="F731" s="241"/>
      <c r="G731" s="241"/>
      <c r="H731" s="241"/>
      <c r="I731" s="241"/>
      <c r="J731" s="241"/>
      <c r="K731" s="241"/>
      <c r="L731" s="241"/>
      <c r="M731" s="242"/>
      <c r="N731" s="241"/>
      <c r="O731" s="241"/>
      <c r="P731" s="241"/>
      <c r="Q731" s="241"/>
      <c r="R731" s="241"/>
      <c r="S731" s="241"/>
      <c r="T731" s="241"/>
      <c r="U731" s="241"/>
      <c r="V731" s="241"/>
      <c r="W731" s="241"/>
      <c r="X731" s="241"/>
      <c r="Y731" s="241"/>
      <c r="Z731" s="242"/>
      <c r="AA731" s="242"/>
      <c r="AB731" s="243"/>
      <c r="AC731" s="243"/>
      <c r="AD731" s="244"/>
      <c r="AE731" s="244"/>
      <c r="AF731" s="244"/>
      <c r="AG731" s="244"/>
    </row>
    <row r="732" spans="2:33" s="245" customFormat="1" hidden="1">
      <c r="B732" s="239"/>
      <c r="C732" s="240"/>
      <c r="D732" s="241"/>
      <c r="E732" s="241"/>
      <c r="F732" s="241"/>
      <c r="G732" s="241"/>
      <c r="H732" s="241"/>
      <c r="I732" s="241"/>
      <c r="J732" s="241"/>
      <c r="K732" s="241"/>
      <c r="L732" s="241"/>
      <c r="M732" s="242"/>
      <c r="N732" s="241"/>
      <c r="O732" s="241"/>
      <c r="P732" s="241"/>
      <c r="Q732" s="241"/>
      <c r="R732" s="241"/>
      <c r="S732" s="241"/>
      <c r="T732" s="241"/>
      <c r="U732" s="241"/>
      <c r="V732" s="241"/>
      <c r="W732" s="241"/>
      <c r="X732" s="241"/>
      <c r="Y732" s="241"/>
      <c r="Z732" s="242"/>
      <c r="AA732" s="242"/>
      <c r="AB732" s="243"/>
      <c r="AC732" s="243"/>
      <c r="AD732" s="244"/>
      <c r="AE732" s="244"/>
      <c r="AF732" s="244"/>
      <c r="AG732" s="244"/>
    </row>
    <row r="733" spans="2:33" s="245" customFormat="1" hidden="1">
      <c r="B733" s="239"/>
      <c r="C733" s="240"/>
      <c r="D733" s="241"/>
      <c r="E733" s="241"/>
      <c r="F733" s="241"/>
      <c r="G733" s="241"/>
      <c r="H733" s="241"/>
      <c r="I733" s="241"/>
      <c r="J733" s="241"/>
      <c r="K733" s="241"/>
      <c r="L733" s="241"/>
      <c r="M733" s="242"/>
      <c r="N733" s="241"/>
      <c r="O733" s="241"/>
      <c r="P733" s="241"/>
      <c r="Q733" s="241"/>
      <c r="R733" s="241"/>
      <c r="S733" s="241"/>
      <c r="T733" s="241"/>
      <c r="U733" s="241"/>
      <c r="V733" s="241"/>
      <c r="W733" s="241"/>
      <c r="X733" s="241"/>
      <c r="Y733" s="241"/>
      <c r="Z733" s="242"/>
      <c r="AA733" s="242"/>
      <c r="AB733" s="243"/>
      <c r="AC733" s="243"/>
      <c r="AD733" s="244"/>
      <c r="AE733" s="244"/>
      <c r="AF733" s="244"/>
      <c r="AG733" s="244"/>
    </row>
    <row r="734" spans="2:33" s="245" customFormat="1" hidden="1">
      <c r="B734" s="239"/>
      <c r="C734" s="240"/>
      <c r="D734" s="241"/>
      <c r="E734" s="241"/>
      <c r="F734" s="241"/>
      <c r="G734" s="241"/>
      <c r="H734" s="241"/>
      <c r="I734" s="241"/>
      <c r="J734" s="241"/>
      <c r="K734" s="241"/>
      <c r="L734" s="241"/>
      <c r="M734" s="242"/>
      <c r="N734" s="241"/>
      <c r="O734" s="241"/>
      <c r="P734" s="241"/>
      <c r="Q734" s="241"/>
      <c r="R734" s="241"/>
      <c r="S734" s="241"/>
      <c r="T734" s="241"/>
      <c r="U734" s="241"/>
      <c r="V734" s="241"/>
      <c r="W734" s="241"/>
      <c r="X734" s="241"/>
      <c r="Y734" s="241"/>
      <c r="Z734" s="242"/>
      <c r="AA734" s="242"/>
      <c r="AB734" s="243"/>
      <c r="AC734" s="243"/>
      <c r="AD734" s="244"/>
      <c r="AE734" s="244"/>
      <c r="AF734" s="244"/>
      <c r="AG734" s="244"/>
    </row>
    <row r="735" spans="2:33" s="245" customFormat="1" hidden="1">
      <c r="B735" s="239"/>
      <c r="C735" s="240"/>
      <c r="D735" s="241"/>
      <c r="E735" s="241"/>
      <c r="F735" s="241"/>
      <c r="G735" s="241"/>
      <c r="H735" s="241"/>
      <c r="I735" s="241"/>
      <c r="J735" s="241"/>
      <c r="K735" s="241"/>
      <c r="L735" s="241"/>
      <c r="M735" s="242"/>
      <c r="N735" s="241"/>
      <c r="O735" s="241"/>
      <c r="P735" s="241"/>
      <c r="Q735" s="241"/>
      <c r="R735" s="241"/>
      <c r="S735" s="241"/>
      <c r="T735" s="241"/>
      <c r="U735" s="241"/>
      <c r="V735" s="241"/>
      <c r="W735" s="241"/>
      <c r="X735" s="241"/>
      <c r="Y735" s="241"/>
      <c r="Z735" s="242"/>
      <c r="AA735" s="242"/>
      <c r="AB735" s="243"/>
      <c r="AC735" s="243"/>
      <c r="AD735" s="244"/>
      <c r="AE735" s="244"/>
      <c r="AF735" s="244"/>
      <c r="AG735" s="244"/>
    </row>
    <row r="736" spans="2:33" s="245" customFormat="1" hidden="1">
      <c r="B736" s="239"/>
      <c r="C736" s="240"/>
      <c r="D736" s="241"/>
      <c r="E736" s="241"/>
      <c r="F736" s="241"/>
      <c r="G736" s="241"/>
      <c r="H736" s="241"/>
      <c r="I736" s="241"/>
      <c r="J736" s="241"/>
      <c r="K736" s="241"/>
      <c r="L736" s="241"/>
      <c r="M736" s="242"/>
      <c r="N736" s="241"/>
      <c r="O736" s="241"/>
      <c r="P736" s="241"/>
      <c r="Q736" s="241"/>
      <c r="R736" s="241"/>
      <c r="S736" s="241"/>
      <c r="T736" s="241"/>
      <c r="U736" s="241"/>
      <c r="V736" s="241"/>
      <c r="W736" s="241"/>
      <c r="X736" s="241"/>
      <c r="Y736" s="241"/>
      <c r="Z736" s="242"/>
      <c r="AA736" s="242"/>
      <c r="AB736" s="243"/>
      <c r="AC736" s="243"/>
      <c r="AD736" s="244"/>
      <c r="AE736" s="244"/>
      <c r="AF736" s="244"/>
      <c r="AG736" s="244"/>
    </row>
    <row r="737" spans="2:33" s="245" customFormat="1" hidden="1">
      <c r="B737" s="239"/>
      <c r="C737" s="240"/>
      <c r="D737" s="241"/>
      <c r="E737" s="241"/>
      <c r="F737" s="241"/>
      <c r="G737" s="241"/>
      <c r="H737" s="241"/>
      <c r="I737" s="241"/>
      <c r="J737" s="241"/>
      <c r="K737" s="241"/>
      <c r="L737" s="241"/>
      <c r="M737" s="242"/>
      <c r="N737" s="241"/>
      <c r="O737" s="241"/>
      <c r="P737" s="241"/>
      <c r="Q737" s="241"/>
      <c r="R737" s="241"/>
      <c r="S737" s="241"/>
      <c r="T737" s="241"/>
      <c r="U737" s="241"/>
      <c r="V737" s="241"/>
      <c r="W737" s="241"/>
      <c r="X737" s="241"/>
      <c r="Y737" s="241"/>
      <c r="Z737" s="242"/>
      <c r="AA737" s="242"/>
      <c r="AB737" s="243"/>
      <c r="AC737" s="243"/>
      <c r="AD737" s="244"/>
      <c r="AE737" s="244"/>
      <c r="AF737" s="244"/>
      <c r="AG737" s="244"/>
    </row>
    <row r="738" spans="2:33" s="245" customFormat="1" hidden="1">
      <c r="B738" s="239"/>
      <c r="C738" s="240"/>
      <c r="D738" s="241"/>
      <c r="E738" s="241"/>
      <c r="F738" s="241"/>
      <c r="G738" s="241"/>
      <c r="H738" s="241"/>
      <c r="I738" s="241"/>
      <c r="J738" s="241"/>
      <c r="K738" s="241"/>
      <c r="L738" s="241"/>
      <c r="M738" s="242"/>
      <c r="N738" s="241"/>
      <c r="O738" s="241"/>
      <c r="P738" s="241"/>
      <c r="Q738" s="241"/>
      <c r="R738" s="241"/>
      <c r="S738" s="241"/>
      <c r="T738" s="241"/>
      <c r="U738" s="241"/>
      <c r="V738" s="241"/>
      <c r="W738" s="241"/>
      <c r="X738" s="241"/>
      <c r="Y738" s="241"/>
      <c r="Z738" s="242"/>
      <c r="AA738" s="242"/>
      <c r="AB738" s="243"/>
      <c r="AC738" s="243"/>
      <c r="AD738" s="244"/>
      <c r="AE738" s="244"/>
      <c r="AF738" s="244"/>
      <c r="AG738" s="244"/>
    </row>
    <row r="739" spans="2:33" s="245" customFormat="1" hidden="1">
      <c r="B739" s="239"/>
      <c r="C739" s="240"/>
      <c r="D739" s="241"/>
      <c r="E739" s="241"/>
      <c r="F739" s="241"/>
      <c r="G739" s="241"/>
      <c r="H739" s="241"/>
      <c r="I739" s="241"/>
      <c r="J739" s="241"/>
      <c r="K739" s="241"/>
      <c r="L739" s="241"/>
      <c r="M739" s="242"/>
      <c r="N739" s="241"/>
      <c r="O739" s="241"/>
      <c r="P739" s="241"/>
      <c r="Q739" s="241"/>
      <c r="R739" s="241"/>
      <c r="S739" s="241"/>
      <c r="T739" s="241"/>
      <c r="U739" s="241"/>
      <c r="V739" s="241"/>
      <c r="W739" s="241"/>
      <c r="X739" s="241"/>
      <c r="Y739" s="241"/>
      <c r="Z739" s="242"/>
      <c r="AA739" s="242"/>
      <c r="AB739" s="243"/>
      <c r="AC739" s="243"/>
      <c r="AD739" s="244"/>
      <c r="AE739" s="244"/>
      <c r="AF739" s="244"/>
      <c r="AG739" s="244"/>
    </row>
    <row r="740" spans="2:33" s="245" customFormat="1" hidden="1">
      <c r="B740" s="239"/>
      <c r="C740" s="240"/>
      <c r="D740" s="241"/>
      <c r="E740" s="241"/>
      <c r="F740" s="241"/>
      <c r="G740" s="241"/>
      <c r="H740" s="241"/>
      <c r="I740" s="241"/>
      <c r="J740" s="241"/>
      <c r="K740" s="241"/>
      <c r="L740" s="241"/>
      <c r="M740" s="242"/>
      <c r="N740" s="241"/>
      <c r="O740" s="241"/>
      <c r="P740" s="241"/>
      <c r="Q740" s="241"/>
      <c r="R740" s="241"/>
      <c r="S740" s="241"/>
      <c r="T740" s="241"/>
      <c r="U740" s="241"/>
      <c r="V740" s="241"/>
      <c r="W740" s="241"/>
      <c r="X740" s="241"/>
      <c r="Y740" s="241"/>
      <c r="Z740" s="242"/>
      <c r="AA740" s="242"/>
      <c r="AB740" s="243"/>
      <c r="AC740" s="243"/>
      <c r="AD740" s="244"/>
      <c r="AE740" s="244"/>
      <c r="AF740" s="244"/>
      <c r="AG740" s="244"/>
    </row>
    <row r="741" spans="2:33" s="245" customFormat="1" hidden="1">
      <c r="B741" s="239"/>
      <c r="C741" s="240"/>
      <c r="D741" s="241"/>
      <c r="E741" s="241"/>
      <c r="F741" s="241"/>
      <c r="G741" s="241"/>
      <c r="H741" s="241"/>
      <c r="I741" s="241"/>
      <c r="J741" s="241"/>
      <c r="K741" s="241"/>
      <c r="L741" s="241"/>
      <c r="M741" s="242"/>
      <c r="N741" s="241"/>
      <c r="O741" s="241"/>
      <c r="P741" s="241"/>
      <c r="Q741" s="241"/>
      <c r="R741" s="241"/>
      <c r="S741" s="241"/>
      <c r="T741" s="241"/>
      <c r="U741" s="241"/>
      <c r="V741" s="241"/>
      <c r="W741" s="241"/>
      <c r="X741" s="241"/>
      <c r="Y741" s="241"/>
      <c r="Z741" s="242"/>
      <c r="AA741" s="242"/>
      <c r="AB741" s="243"/>
      <c r="AC741" s="243"/>
      <c r="AD741" s="244"/>
      <c r="AE741" s="244"/>
      <c r="AF741" s="244"/>
      <c r="AG741" s="244"/>
    </row>
    <row r="742" spans="2:33" s="245" customFormat="1" hidden="1">
      <c r="B742" s="239"/>
      <c r="C742" s="240"/>
      <c r="D742" s="241"/>
      <c r="E742" s="241"/>
      <c r="F742" s="241"/>
      <c r="G742" s="241"/>
      <c r="H742" s="241"/>
      <c r="I742" s="241"/>
      <c r="J742" s="241"/>
      <c r="K742" s="241"/>
      <c r="L742" s="241"/>
      <c r="M742" s="242"/>
      <c r="N742" s="241"/>
      <c r="O742" s="241"/>
      <c r="P742" s="241"/>
      <c r="Q742" s="241"/>
      <c r="R742" s="241"/>
      <c r="S742" s="241"/>
      <c r="T742" s="241"/>
      <c r="U742" s="241"/>
      <c r="V742" s="241"/>
      <c r="W742" s="241"/>
      <c r="X742" s="241"/>
      <c r="Y742" s="241"/>
      <c r="Z742" s="242"/>
      <c r="AA742" s="242"/>
      <c r="AB742" s="243"/>
      <c r="AC742" s="243"/>
      <c r="AD742" s="244"/>
      <c r="AE742" s="244"/>
      <c r="AF742" s="244"/>
      <c r="AG742" s="244"/>
    </row>
    <row r="743" spans="2:33" s="245" customFormat="1" hidden="1">
      <c r="B743" s="239"/>
      <c r="C743" s="240"/>
      <c r="D743" s="241"/>
      <c r="E743" s="241"/>
      <c r="F743" s="241"/>
      <c r="G743" s="241"/>
      <c r="H743" s="241"/>
      <c r="I743" s="241"/>
      <c r="J743" s="241"/>
      <c r="K743" s="241"/>
      <c r="L743" s="241"/>
      <c r="M743" s="242"/>
      <c r="N743" s="241"/>
      <c r="O743" s="241"/>
      <c r="P743" s="241"/>
      <c r="Q743" s="241"/>
      <c r="R743" s="241"/>
      <c r="S743" s="241"/>
      <c r="T743" s="241"/>
      <c r="U743" s="241"/>
      <c r="V743" s="241"/>
      <c r="W743" s="241"/>
      <c r="X743" s="241"/>
      <c r="Y743" s="241"/>
      <c r="Z743" s="242"/>
      <c r="AA743" s="242"/>
      <c r="AB743" s="243"/>
      <c r="AC743" s="243"/>
      <c r="AD743" s="244"/>
      <c r="AE743" s="244"/>
      <c r="AF743" s="244"/>
      <c r="AG743" s="244"/>
    </row>
    <row r="744" spans="2:33" s="245" customFormat="1" hidden="1">
      <c r="B744" s="239"/>
      <c r="C744" s="240"/>
      <c r="D744" s="241"/>
      <c r="E744" s="241"/>
      <c r="F744" s="241"/>
      <c r="G744" s="241"/>
      <c r="H744" s="241"/>
      <c r="I744" s="241"/>
      <c r="J744" s="241"/>
      <c r="K744" s="241"/>
      <c r="L744" s="241"/>
      <c r="M744" s="242"/>
      <c r="N744" s="241"/>
      <c r="O744" s="241"/>
      <c r="P744" s="241"/>
      <c r="Q744" s="241"/>
      <c r="R744" s="241"/>
      <c r="S744" s="241"/>
      <c r="T744" s="241"/>
      <c r="U744" s="241"/>
      <c r="V744" s="241"/>
      <c r="W744" s="241"/>
      <c r="X744" s="241"/>
      <c r="Y744" s="241"/>
      <c r="Z744" s="242"/>
      <c r="AA744" s="242"/>
      <c r="AB744" s="243"/>
      <c r="AC744" s="243"/>
      <c r="AD744" s="244"/>
      <c r="AE744" s="244"/>
      <c r="AF744" s="244"/>
      <c r="AG744" s="244"/>
    </row>
    <row r="745" spans="2:33" s="245" customFormat="1" hidden="1">
      <c r="B745" s="239"/>
      <c r="C745" s="240"/>
      <c r="D745" s="241"/>
      <c r="E745" s="241"/>
      <c r="F745" s="241"/>
      <c r="G745" s="241"/>
      <c r="H745" s="241"/>
      <c r="I745" s="241"/>
      <c r="J745" s="241"/>
      <c r="K745" s="241"/>
      <c r="L745" s="241"/>
      <c r="M745" s="242"/>
      <c r="N745" s="241"/>
      <c r="O745" s="241"/>
      <c r="P745" s="241"/>
      <c r="Q745" s="241"/>
      <c r="R745" s="241"/>
      <c r="S745" s="241"/>
      <c r="T745" s="241"/>
      <c r="U745" s="241"/>
      <c r="V745" s="241"/>
      <c r="W745" s="241"/>
      <c r="X745" s="241"/>
      <c r="Y745" s="241"/>
      <c r="Z745" s="242"/>
      <c r="AA745" s="242"/>
      <c r="AB745" s="243"/>
      <c r="AC745" s="243"/>
      <c r="AD745" s="244"/>
      <c r="AE745" s="244"/>
      <c r="AF745" s="244"/>
      <c r="AG745" s="244"/>
    </row>
    <row r="746" spans="2:33" s="245" customFormat="1" hidden="1">
      <c r="B746" s="239"/>
      <c r="C746" s="240"/>
      <c r="D746" s="241"/>
      <c r="E746" s="241"/>
      <c r="F746" s="241"/>
      <c r="G746" s="241"/>
      <c r="H746" s="241"/>
      <c r="I746" s="241"/>
      <c r="J746" s="241"/>
      <c r="K746" s="241"/>
      <c r="L746" s="241"/>
      <c r="M746" s="242"/>
      <c r="N746" s="241"/>
      <c r="O746" s="241"/>
      <c r="P746" s="241"/>
      <c r="Q746" s="241"/>
      <c r="R746" s="241"/>
      <c r="S746" s="241"/>
      <c r="T746" s="241"/>
      <c r="U746" s="241"/>
      <c r="V746" s="241"/>
      <c r="W746" s="241"/>
      <c r="X746" s="241"/>
      <c r="Y746" s="241"/>
      <c r="Z746" s="242"/>
      <c r="AA746" s="242"/>
      <c r="AB746" s="243"/>
      <c r="AC746" s="243"/>
      <c r="AD746" s="244"/>
      <c r="AE746" s="244"/>
      <c r="AF746" s="244"/>
      <c r="AG746" s="244"/>
    </row>
    <row r="747" spans="2:33" s="245" customFormat="1" hidden="1">
      <c r="B747" s="239"/>
      <c r="C747" s="240"/>
      <c r="D747" s="241"/>
      <c r="E747" s="241"/>
      <c r="F747" s="241"/>
      <c r="G747" s="241"/>
      <c r="H747" s="241"/>
      <c r="I747" s="241"/>
      <c r="J747" s="241"/>
      <c r="K747" s="241"/>
      <c r="L747" s="241"/>
      <c r="M747" s="242"/>
      <c r="N747" s="241"/>
      <c r="O747" s="241"/>
      <c r="P747" s="241"/>
      <c r="Q747" s="241"/>
      <c r="R747" s="241"/>
      <c r="S747" s="241"/>
      <c r="T747" s="241"/>
      <c r="U747" s="241"/>
      <c r="V747" s="241"/>
      <c r="W747" s="241"/>
      <c r="X747" s="241"/>
      <c r="Y747" s="241"/>
      <c r="Z747" s="242"/>
      <c r="AA747" s="242"/>
      <c r="AB747" s="243"/>
      <c r="AC747" s="243"/>
      <c r="AD747" s="244"/>
      <c r="AE747" s="244"/>
      <c r="AF747" s="244"/>
      <c r="AG747" s="244"/>
    </row>
    <row r="748" spans="2:33" s="245" customFormat="1" hidden="1">
      <c r="B748" s="239"/>
      <c r="C748" s="240"/>
      <c r="D748" s="241"/>
      <c r="E748" s="241"/>
      <c r="F748" s="241"/>
      <c r="G748" s="241"/>
      <c r="H748" s="241"/>
      <c r="I748" s="241"/>
      <c r="J748" s="241"/>
      <c r="K748" s="241"/>
      <c r="L748" s="241"/>
      <c r="M748" s="242"/>
      <c r="N748" s="241"/>
      <c r="O748" s="241"/>
      <c r="P748" s="241"/>
      <c r="Q748" s="241"/>
      <c r="R748" s="241"/>
      <c r="S748" s="241"/>
      <c r="T748" s="241"/>
      <c r="U748" s="241"/>
      <c r="V748" s="241"/>
      <c r="W748" s="241"/>
      <c r="X748" s="241"/>
      <c r="Y748" s="241"/>
      <c r="Z748" s="242"/>
      <c r="AA748" s="242"/>
      <c r="AB748" s="243"/>
      <c r="AC748" s="243"/>
      <c r="AD748" s="244"/>
      <c r="AE748" s="244"/>
      <c r="AF748" s="244"/>
      <c r="AG748" s="244"/>
    </row>
    <row r="749" spans="2:33" s="245" customFormat="1" hidden="1">
      <c r="B749" s="239"/>
      <c r="C749" s="240"/>
      <c r="D749" s="241"/>
      <c r="E749" s="241"/>
      <c r="F749" s="241"/>
      <c r="G749" s="241"/>
      <c r="H749" s="241"/>
      <c r="I749" s="241"/>
      <c r="J749" s="241"/>
      <c r="K749" s="241"/>
      <c r="L749" s="241"/>
      <c r="M749" s="242"/>
      <c r="N749" s="241"/>
      <c r="O749" s="241"/>
      <c r="P749" s="241"/>
      <c r="Q749" s="241"/>
      <c r="R749" s="241"/>
      <c r="S749" s="241"/>
      <c r="T749" s="241"/>
      <c r="U749" s="241"/>
      <c r="V749" s="241"/>
      <c r="W749" s="241"/>
      <c r="X749" s="241"/>
      <c r="Y749" s="241"/>
      <c r="Z749" s="242"/>
      <c r="AA749" s="242"/>
      <c r="AB749" s="243"/>
      <c r="AC749" s="243"/>
      <c r="AD749" s="244"/>
      <c r="AE749" s="244"/>
      <c r="AF749" s="244"/>
      <c r="AG749" s="244"/>
    </row>
    <row r="750" spans="2:33" s="245" customFormat="1" hidden="1">
      <c r="B750" s="239"/>
      <c r="C750" s="240"/>
      <c r="D750" s="241"/>
      <c r="E750" s="241"/>
      <c r="F750" s="241"/>
      <c r="G750" s="241"/>
      <c r="H750" s="241"/>
      <c r="I750" s="241"/>
      <c r="J750" s="241"/>
      <c r="K750" s="241"/>
      <c r="L750" s="241"/>
      <c r="M750" s="242"/>
      <c r="N750" s="241"/>
      <c r="O750" s="241"/>
      <c r="P750" s="241"/>
      <c r="Q750" s="241"/>
      <c r="R750" s="241"/>
      <c r="S750" s="241"/>
      <c r="T750" s="241"/>
      <c r="U750" s="241"/>
      <c r="V750" s="241"/>
      <c r="W750" s="241"/>
      <c r="X750" s="241"/>
      <c r="Y750" s="241"/>
      <c r="Z750" s="242"/>
      <c r="AA750" s="242"/>
      <c r="AB750" s="243"/>
      <c r="AC750" s="243"/>
      <c r="AD750" s="244"/>
      <c r="AE750" s="244"/>
      <c r="AF750" s="244"/>
      <c r="AG750" s="244"/>
    </row>
    <row r="751" spans="2:33" s="245" customFormat="1" hidden="1">
      <c r="B751" s="239"/>
      <c r="C751" s="240"/>
      <c r="D751" s="241"/>
      <c r="E751" s="241"/>
      <c r="F751" s="241"/>
      <c r="G751" s="241"/>
      <c r="H751" s="241"/>
      <c r="I751" s="241"/>
      <c r="J751" s="241"/>
      <c r="K751" s="241"/>
      <c r="L751" s="241"/>
      <c r="M751" s="242"/>
      <c r="N751" s="241"/>
      <c r="O751" s="241"/>
      <c r="P751" s="241"/>
      <c r="Q751" s="241"/>
      <c r="R751" s="241"/>
      <c r="S751" s="241"/>
      <c r="T751" s="241"/>
      <c r="U751" s="241"/>
      <c r="V751" s="241"/>
      <c r="W751" s="241"/>
      <c r="X751" s="241"/>
      <c r="Y751" s="241"/>
      <c r="Z751" s="242"/>
      <c r="AA751" s="242"/>
      <c r="AB751" s="243"/>
      <c r="AC751" s="243"/>
      <c r="AD751" s="244"/>
      <c r="AE751" s="244"/>
      <c r="AF751" s="244"/>
      <c r="AG751" s="244"/>
    </row>
    <row r="752" spans="2:33" s="245" customFormat="1" hidden="1">
      <c r="B752" s="239"/>
      <c r="C752" s="240"/>
      <c r="D752" s="241"/>
      <c r="E752" s="241"/>
      <c r="F752" s="241"/>
      <c r="G752" s="241"/>
      <c r="H752" s="241"/>
      <c r="I752" s="241"/>
      <c r="J752" s="241"/>
      <c r="K752" s="241"/>
      <c r="L752" s="241"/>
      <c r="M752" s="242"/>
      <c r="N752" s="241"/>
      <c r="O752" s="241"/>
      <c r="P752" s="241"/>
      <c r="Q752" s="241"/>
      <c r="R752" s="241"/>
      <c r="S752" s="241"/>
      <c r="T752" s="241"/>
      <c r="U752" s="241"/>
      <c r="V752" s="241"/>
      <c r="W752" s="241"/>
      <c r="X752" s="241"/>
      <c r="Y752" s="241"/>
      <c r="Z752" s="242"/>
      <c r="AA752" s="242"/>
      <c r="AB752" s="243"/>
      <c r="AC752" s="243"/>
      <c r="AD752" s="244"/>
      <c r="AE752" s="244"/>
      <c r="AF752" s="244"/>
      <c r="AG752" s="244"/>
    </row>
    <row r="753" spans="2:33" s="245" customFormat="1" hidden="1">
      <c r="B753" s="239"/>
      <c r="C753" s="240"/>
      <c r="D753" s="241"/>
      <c r="E753" s="241"/>
      <c r="F753" s="241"/>
      <c r="G753" s="241"/>
      <c r="H753" s="241"/>
      <c r="I753" s="241"/>
      <c r="J753" s="241"/>
      <c r="K753" s="241"/>
      <c r="L753" s="241"/>
      <c r="M753" s="242"/>
      <c r="N753" s="241"/>
      <c r="O753" s="241"/>
      <c r="P753" s="241"/>
      <c r="Q753" s="241"/>
      <c r="R753" s="241"/>
      <c r="S753" s="241"/>
      <c r="T753" s="241"/>
      <c r="U753" s="241"/>
      <c r="V753" s="241"/>
      <c r="W753" s="241"/>
      <c r="X753" s="241"/>
      <c r="Y753" s="241"/>
      <c r="Z753" s="242"/>
      <c r="AA753" s="242"/>
      <c r="AB753" s="243"/>
      <c r="AC753" s="243"/>
      <c r="AD753" s="244"/>
      <c r="AE753" s="244"/>
      <c r="AF753" s="244"/>
      <c r="AG753" s="244"/>
    </row>
    <row r="754" spans="2:33" s="245" customFormat="1" hidden="1">
      <c r="B754" s="239"/>
      <c r="C754" s="240"/>
      <c r="D754" s="241"/>
      <c r="E754" s="241"/>
      <c r="F754" s="241"/>
      <c r="G754" s="241"/>
      <c r="H754" s="241"/>
      <c r="I754" s="241"/>
      <c r="J754" s="241"/>
      <c r="K754" s="241"/>
      <c r="L754" s="241"/>
      <c r="M754" s="242"/>
      <c r="N754" s="241"/>
      <c r="O754" s="241"/>
      <c r="P754" s="241"/>
      <c r="Q754" s="241"/>
      <c r="R754" s="241"/>
      <c r="S754" s="241"/>
      <c r="T754" s="241"/>
      <c r="U754" s="241"/>
      <c r="V754" s="241"/>
      <c r="W754" s="241"/>
      <c r="X754" s="241"/>
      <c r="Y754" s="241"/>
      <c r="Z754" s="242"/>
      <c r="AA754" s="242"/>
      <c r="AB754" s="243"/>
      <c r="AC754" s="243"/>
      <c r="AD754" s="244"/>
      <c r="AE754" s="244"/>
      <c r="AF754" s="244"/>
      <c r="AG754" s="244"/>
    </row>
    <row r="755" spans="2:33" s="245" customFormat="1" hidden="1">
      <c r="B755" s="239"/>
      <c r="C755" s="240"/>
      <c r="D755" s="241"/>
      <c r="E755" s="241"/>
      <c r="F755" s="241"/>
      <c r="G755" s="241"/>
      <c r="H755" s="241"/>
      <c r="I755" s="241"/>
      <c r="J755" s="241"/>
      <c r="K755" s="241"/>
      <c r="L755" s="241"/>
      <c r="M755" s="242"/>
      <c r="N755" s="241"/>
      <c r="O755" s="241"/>
      <c r="P755" s="241"/>
      <c r="Q755" s="241"/>
      <c r="R755" s="241"/>
      <c r="S755" s="241"/>
      <c r="T755" s="241"/>
      <c r="U755" s="241"/>
      <c r="V755" s="241"/>
      <c r="W755" s="241"/>
      <c r="X755" s="241"/>
      <c r="Y755" s="241"/>
      <c r="Z755" s="242"/>
      <c r="AA755" s="242"/>
      <c r="AB755" s="243"/>
      <c r="AC755" s="243"/>
      <c r="AD755" s="244"/>
      <c r="AE755" s="244"/>
      <c r="AF755" s="244"/>
      <c r="AG755" s="244"/>
    </row>
    <row r="756" spans="2:33" s="245" customFormat="1" hidden="1">
      <c r="B756" s="239"/>
      <c r="C756" s="240"/>
      <c r="D756" s="241"/>
      <c r="E756" s="241"/>
      <c r="F756" s="241"/>
      <c r="G756" s="241"/>
      <c r="H756" s="241"/>
      <c r="I756" s="241"/>
      <c r="J756" s="241"/>
      <c r="K756" s="241"/>
      <c r="L756" s="241"/>
      <c r="M756" s="242"/>
      <c r="N756" s="241"/>
      <c r="O756" s="241"/>
      <c r="P756" s="241"/>
      <c r="Q756" s="241"/>
      <c r="R756" s="241"/>
      <c r="S756" s="241"/>
      <c r="T756" s="241"/>
      <c r="U756" s="241"/>
      <c r="V756" s="241"/>
      <c r="W756" s="241"/>
      <c r="X756" s="241"/>
      <c r="Y756" s="241"/>
      <c r="Z756" s="242"/>
      <c r="AA756" s="242"/>
      <c r="AB756" s="243"/>
      <c r="AC756" s="243"/>
      <c r="AD756" s="244"/>
      <c r="AE756" s="244"/>
      <c r="AF756" s="244"/>
      <c r="AG756" s="244"/>
    </row>
    <row r="757" spans="2:33" s="245" customFormat="1" hidden="1">
      <c r="B757" s="239"/>
      <c r="C757" s="240"/>
      <c r="D757" s="241"/>
      <c r="E757" s="241"/>
      <c r="F757" s="241"/>
      <c r="G757" s="241"/>
      <c r="H757" s="241"/>
      <c r="I757" s="241"/>
      <c r="J757" s="241"/>
      <c r="K757" s="241"/>
      <c r="L757" s="241"/>
      <c r="M757" s="242"/>
      <c r="N757" s="241"/>
      <c r="O757" s="241"/>
      <c r="P757" s="241"/>
      <c r="Q757" s="241"/>
      <c r="R757" s="241"/>
      <c r="S757" s="241"/>
      <c r="T757" s="241"/>
      <c r="U757" s="241"/>
      <c r="V757" s="241"/>
      <c r="W757" s="241"/>
      <c r="X757" s="241"/>
      <c r="Y757" s="241"/>
      <c r="Z757" s="242"/>
      <c r="AA757" s="242"/>
      <c r="AB757" s="243"/>
      <c r="AC757" s="243"/>
      <c r="AD757" s="244"/>
      <c r="AE757" s="244"/>
      <c r="AF757" s="244"/>
      <c r="AG757" s="244"/>
    </row>
    <row r="758" spans="2:33" s="245" customFormat="1" hidden="1">
      <c r="B758" s="239"/>
      <c r="C758" s="240"/>
      <c r="D758" s="241"/>
      <c r="E758" s="241"/>
      <c r="F758" s="241"/>
      <c r="G758" s="241"/>
      <c r="H758" s="241"/>
      <c r="I758" s="241"/>
      <c r="J758" s="241"/>
      <c r="K758" s="241"/>
      <c r="L758" s="241"/>
      <c r="M758" s="242"/>
      <c r="N758" s="241"/>
      <c r="O758" s="241"/>
      <c r="P758" s="241"/>
      <c r="Q758" s="241"/>
      <c r="R758" s="241"/>
      <c r="S758" s="241"/>
      <c r="T758" s="241"/>
      <c r="U758" s="241"/>
      <c r="V758" s="241"/>
      <c r="W758" s="241"/>
      <c r="X758" s="241"/>
      <c r="Y758" s="241"/>
      <c r="Z758" s="242"/>
      <c r="AA758" s="242"/>
      <c r="AB758" s="243"/>
      <c r="AC758" s="243"/>
      <c r="AD758" s="244"/>
      <c r="AE758" s="244"/>
      <c r="AF758" s="244"/>
      <c r="AG758" s="244"/>
    </row>
    <row r="759" spans="2:33" s="245" customFormat="1" hidden="1">
      <c r="B759" s="239"/>
      <c r="C759" s="240"/>
      <c r="D759" s="241"/>
      <c r="E759" s="241"/>
      <c r="F759" s="241"/>
      <c r="G759" s="241"/>
      <c r="H759" s="241"/>
      <c r="I759" s="241"/>
      <c r="J759" s="241"/>
      <c r="K759" s="241"/>
      <c r="L759" s="241"/>
      <c r="M759" s="242"/>
      <c r="N759" s="241"/>
      <c r="O759" s="241"/>
      <c r="P759" s="241"/>
      <c r="Q759" s="241"/>
      <c r="R759" s="241"/>
      <c r="S759" s="241"/>
      <c r="T759" s="241"/>
      <c r="U759" s="241"/>
      <c r="V759" s="241"/>
      <c r="W759" s="241"/>
      <c r="X759" s="241"/>
      <c r="Y759" s="241"/>
      <c r="Z759" s="242"/>
      <c r="AA759" s="242"/>
      <c r="AB759" s="243"/>
      <c r="AC759" s="243"/>
      <c r="AD759" s="244"/>
      <c r="AE759" s="244"/>
      <c r="AF759" s="244"/>
      <c r="AG759" s="244"/>
    </row>
    <row r="760" spans="2:33" s="245" customFormat="1" hidden="1">
      <c r="B760" s="239"/>
      <c r="C760" s="240"/>
      <c r="D760" s="241"/>
      <c r="E760" s="241"/>
      <c r="F760" s="241"/>
      <c r="G760" s="241"/>
      <c r="H760" s="241"/>
      <c r="I760" s="241"/>
      <c r="J760" s="241"/>
      <c r="K760" s="241"/>
      <c r="L760" s="241"/>
      <c r="M760" s="242"/>
      <c r="N760" s="241"/>
      <c r="O760" s="241"/>
      <c r="P760" s="241"/>
      <c r="Q760" s="241"/>
      <c r="R760" s="241"/>
      <c r="S760" s="241"/>
      <c r="T760" s="241"/>
      <c r="U760" s="241"/>
      <c r="V760" s="241"/>
      <c r="W760" s="241"/>
      <c r="X760" s="241"/>
      <c r="Y760" s="241"/>
      <c r="Z760" s="242"/>
      <c r="AA760" s="242"/>
      <c r="AB760" s="243"/>
      <c r="AC760" s="243"/>
      <c r="AD760" s="244"/>
      <c r="AE760" s="244"/>
      <c r="AF760" s="244"/>
      <c r="AG760" s="244"/>
    </row>
    <row r="761" spans="2:33" s="245" customFormat="1" hidden="1">
      <c r="B761" s="239"/>
      <c r="C761" s="240"/>
      <c r="D761" s="241"/>
      <c r="E761" s="241"/>
      <c r="F761" s="241"/>
      <c r="G761" s="241"/>
      <c r="H761" s="241"/>
      <c r="I761" s="241"/>
      <c r="J761" s="241"/>
      <c r="K761" s="241"/>
      <c r="L761" s="241"/>
      <c r="M761" s="242"/>
      <c r="N761" s="241"/>
      <c r="O761" s="241"/>
      <c r="P761" s="241"/>
      <c r="Q761" s="241"/>
      <c r="R761" s="241"/>
      <c r="S761" s="241"/>
      <c r="T761" s="241"/>
      <c r="U761" s="241"/>
      <c r="V761" s="241"/>
      <c r="W761" s="241"/>
      <c r="X761" s="241"/>
      <c r="Y761" s="241"/>
      <c r="Z761" s="242"/>
      <c r="AA761" s="242"/>
      <c r="AB761" s="243"/>
      <c r="AC761" s="243"/>
      <c r="AD761" s="244"/>
      <c r="AE761" s="244"/>
      <c r="AF761" s="244"/>
      <c r="AG761" s="244"/>
    </row>
    <row r="762" spans="2:33" s="245" customFormat="1" hidden="1">
      <c r="B762" s="239"/>
      <c r="C762" s="240"/>
      <c r="D762" s="241"/>
      <c r="E762" s="241"/>
      <c r="F762" s="241"/>
      <c r="G762" s="241"/>
      <c r="H762" s="241"/>
      <c r="I762" s="241"/>
      <c r="J762" s="241"/>
      <c r="K762" s="241"/>
      <c r="L762" s="241"/>
      <c r="M762" s="242"/>
      <c r="N762" s="241"/>
      <c r="O762" s="241"/>
      <c r="P762" s="241"/>
      <c r="Q762" s="241"/>
      <c r="R762" s="241"/>
      <c r="S762" s="241"/>
      <c r="T762" s="241"/>
      <c r="U762" s="241"/>
      <c r="V762" s="241"/>
      <c r="W762" s="241"/>
      <c r="X762" s="241"/>
      <c r="Y762" s="241"/>
      <c r="Z762" s="242"/>
      <c r="AA762" s="242"/>
      <c r="AB762" s="243"/>
      <c r="AC762" s="243"/>
      <c r="AD762" s="244"/>
      <c r="AE762" s="244"/>
      <c r="AF762" s="244"/>
      <c r="AG762" s="244"/>
    </row>
    <row r="763" spans="2:33" s="245" customFormat="1" hidden="1">
      <c r="B763" s="239"/>
      <c r="C763" s="240"/>
      <c r="D763" s="241"/>
      <c r="E763" s="241"/>
      <c r="F763" s="241"/>
      <c r="G763" s="241"/>
      <c r="H763" s="241"/>
      <c r="I763" s="241"/>
      <c r="J763" s="241"/>
      <c r="K763" s="241"/>
      <c r="L763" s="241"/>
      <c r="M763" s="242"/>
      <c r="N763" s="241"/>
      <c r="O763" s="241"/>
      <c r="P763" s="241"/>
      <c r="Q763" s="241"/>
      <c r="R763" s="241"/>
      <c r="S763" s="241"/>
      <c r="T763" s="241"/>
      <c r="U763" s="241"/>
      <c r="V763" s="241"/>
      <c r="W763" s="241"/>
      <c r="X763" s="241"/>
      <c r="Y763" s="241"/>
      <c r="Z763" s="242"/>
      <c r="AA763" s="242"/>
      <c r="AB763" s="243"/>
      <c r="AC763" s="243"/>
      <c r="AD763" s="244"/>
      <c r="AE763" s="244"/>
      <c r="AF763" s="244"/>
      <c r="AG763" s="244"/>
    </row>
    <row r="764" spans="2:33" s="245" customFormat="1" hidden="1">
      <c r="B764" s="239"/>
      <c r="C764" s="240"/>
      <c r="D764" s="241"/>
      <c r="E764" s="241"/>
      <c r="F764" s="241"/>
      <c r="G764" s="241"/>
      <c r="H764" s="241"/>
      <c r="I764" s="241"/>
      <c r="J764" s="241"/>
      <c r="K764" s="241"/>
      <c r="L764" s="241"/>
      <c r="M764" s="242"/>
      <c r="N764" s="241"/>
      <c r="O764" s="241"/>
      <c r="P764" s="241"/>
      <c r="Q764" s="241"/>
      <c r="R764" s="241"/>
      <c r="S764" s="241"/>
      <c r="T764" s="241"/>
      <c r="U764" s="241"/>
      <c r="V764" s="241"/>
      <c r="W764" s="241"/>
      <c r="X764" s="241"/>
      <c r="Y764" s="241"/>
      <c r="Z764" s="242"/>
      <c r="AA764" s="242"/>
      <c r="AB764" s="243"/>
      <c r="AC764" s="243"/>
      <c r="AD764" s="244"/>
      <c r="AE764" s="244"/>
      <c r="AF764" s="244"/>
      <c r="AG764" s="244"/>
    </row>
    <row r="765" spans="2:33" s="245" customFormat="1" hidden="1">
      <c r="B765" s="239"/>
      <c r="C765" s="240"/>
      <c r="D765" s="241"/>
      <c r="E765" s="241"/>
      <c r="F765" s="241"/>
      <c r="G765" s="241"/>
      <c r="H765" s="241"/>
      <c r="I765" s="241"/>
      <c r="J765" s="241"/>
      <c r="K765" s="241"/>
      <c r="L765" s="241"/>
      <c r="M765" s="242"/>
      <c r="N765" s="241"/>
      <c r="O765" s="241"/>
      <c r="P765" s="241"/>
      <c r="Q765" s="241"/>
      <c r="R765" s="241"/>
      <c r="S765" s="241"/>
      <c r="T765" s="241"/>
      <c r="U765" s="241"/>
      <c r="V765" s="241"/>
      <c r="W765" s="241"/>
      <c r="X765" s="241"/>
      <c r="Y765" s="241"/>
      <c r="Z765" s="242"/>
      <c r="AA765" s="242"/>
      <c r="AB765" s="243"/>
      <c r="AC765" s="243"/>
      <c r="AD765" s="244"/>
      <c r="AE765" s="244"/>
      <c r="AF765" s="244"/>
      <c r="AG765" s="244"/>
    </row>
    <row r="766" spans="2:33" s="245" customFormat="1" hidden="1">
      <c r="B766" s="239"/>
      <c r="C766" s="240"/>
      <c r="D766" s="241"/>
      <c r="E766" s="241"/>
      <c r="F766" s="241"/>
      <c r="G766" s="241"/>
      <c r="H766" s="241"/>
      <c r="I766" s="241"/>
      <c r="J766" s="241"/>
      <c r="K766" s="241"/>
      <c r="L766" s="241"/>
      <c r="M766" s="242"/>
      <c r="N766" s="241"/>
      <c r="O766" s="241"/>
      <c r="P766" s="241"/>
      <c r="Q766" s="241"/>
      <c r="R766" s="241"/>
      <c r="S766" s="241"/>
      <c r="T766" s="241"/>
      <c r="U766" s="241"/>
      <c r="V766" s="241"/>
      <c r="W766" s="241"/>
      <c r="X766" s="241"/>
      <c r="Y766" s="241"/>
      <c r="Z766" s="242"/>
      <c r="AA766" s="242"/>
      <c r="AB766" s="243"/>
      <c r="AC766" s="243"/>
      <c r="AD766" s="244"/>
      <c r="AE766" s="244"/>
      <c r="AF766" s="244"/>
      <c r="AG766" s="244"/>
    </row>
    <row r="767" spans="2:33" s="245" customFormat="1" hidden="1">
      <c r="B767" s="239"/>
      <c r="C767" s="240"/>
      <c r="D767" s="241"/>
      <c r="E767" s="241"/>
      <c r="F767" s="241"/>
      <c r="G767" s="241"/>
      <c r="H767" s="241"/>
      <c r="I767" s="241"/>
      <c r="J767" s="241"/>
      <c r="K767" s="241"/>
      <c r="L767" s="241"/>
      <c r="M767" s="242"/>
      <c r="N767" s="241"/>
      <c r="O767" s="241"/>
      <c r="P767" s="241"/>
      <c r="Q767" s="241"/>
      <c r="R767" s="241"/>
      <c r="S767" s="241"/>
      <c r="T767" s="241"/>
      <c r="U767" s="241"/>
      <c r="V767" s="241"/>
      <c r="W767" s="241"/>
      <c r="X767" s="241"/>
      <c r="Y767" s="241"/>
      <c r="Z767" s="242"/>
      <c r="AA767" s="242"/>
      <c r="AB767" s="243"/>
      <c r="AC767" s="243"/>
      <c r="AD767" s="244"/>
      <c r="AE767" s="244"/>
      <c r="AF767" s="244"/>
      <c r="AG767" s="244"/>
    </row>
    <row r="768" spans="2:33" s="245" customFormat="1" hidden="1">
      <c r="B768" s="239"/>
      <c r="C768" s="240"/>
      <c r="D768" s="241"/>
      <c r="E768" s="241"/>
      <c r="F768" s="241"/>
      <c r="G768" s="241"/>
      <c r="H768" s="241"/>
      <c r="I768" s="241"/>
      <c r="J768" s="241"/>
      <c r="K768" s="241"/>
      <c r="L768" s="241"/>
      <c r="M768" s="242"/>
      <c r="N768" s="241"/>
      <c r="O768" s="241"/>
      <c r="P768" s="241"/>
      <c r="Q768" s="241"/>
      <c r="R768" s="241"/>
      <c r="S768" s="241"/>
      <c r="T768" s="241"/>
      <c r="U768" s="241"/>
      <c r="V768" s="241"/>
      <c r="W768" s="241"/>
      <c r="X768" s="241"/>
      <c r="Y768" s="241"/>
      <c r="Z768" s="242"/>
      <c r="AA768" s="242"/>
      <c r="AB768" s="243"/>
      <c r="AC768" s="243"/>
      <c r="AD768" s="244"/>
      <c r="AE768" s="244"/>
      <c r="AF768" s="244"/>
      <c r="AG768" s="244"/>
    </row>
    <row r="769" spans="2:33" s="245" customFormat="1" hidden="1">
      <c r="B769" s="239"/>
      <c r="C769" s="240"/>
      <c r="D769" s="241"/>
      <c r="E769" s="241"/>
      <c r="F769" s="241"/>
      <c r="G769" s="241"/>
      <c r="H769" s="241"/>
      <c r="I769" s="241"/>
      <c r="J769" s="241"/>
      <c r="K769" s="241"/>
      <c r="L769" s="241"/>
      <c r="M769" s="242"/>
      <c r="N769" s="241"/>
      <c r="O769" s="241"/>
      <c r="P769" s="241"/>
      <c r="Q769" s="241"/>
      <c r="R769" s="241"/>
      <c r="S769" s="241"/>
      <c r="T769" s="241"/>
      <c r="U769" s="241"/>
      <c r="V769" s="241"/>
      <c r="W769" s="241"/>
      <c r="X769" s="241"/>
      <c r="Y769" s="241"/>
      <c r="Z769" s="242"/>
      <c r="AA769" s="242"/>
      <c r="AB769" s="243"/>
      <c r="AC769" s="243"/>
      <c r="AD769" s="244"/>
      <c r="AE769" s="244"/>
      <c r="AF769" s="244"/>
      <c r="AG769" s="244"/>
    </row>
    <row r="770" spans="2:33" s="245" customFormat="1" hidden="1">
      <c r="B770" s="239"/>
      <c r="C770" s="240"/>
      <c r="D770" s="241"/>
      <c r="E770" s="241"/>
      <c r="F770" s="241"/>
      <c r="G770" s="241"/>
      <c r="H770" s="241"/>
      <c r="I770" s="241"/>
      <c r="J770" s="241"/>
      <c r="K770" s="241"/>
      <c r="L770" s="241"/>
      <c r="M770" s="242"/>
      <c r="N770" s="241"/>
      <c r="O770" s="241"/>
      <c r="P770" s="241"/>
      <c r="Q770" s="241"/>
      <c r="R770" s="241"/>
      <c r="S770" s="241"/>
      <c r="T770" s="241"/>
      <c r="U770" s="241"/>
      <c r="V770" s="241"/>
      <c r="W770" s="241"/>
      <c r="X770" s="241"/>
      <c r="Y770" s="241"/>
      <c r="Z770" s="242"/>
      <c r="AA770" s="242"/>
      <c r="AB770" s="243"/>
      <c r="AC770" s="243"/>
      <c r="AD770" s="244"/>
      <c r="AE770" s="244"/>
      <c r="AF770" s="244"/>
      <c r="AG770" s="244"/>
    </row>
    <row r="771" spans="2:33" s="245" customFormat="1" hidden="1">
      <c r="B771" s="239"/>
      <c r="C771" s="240"/>
      <c r="D771" s="241"/>
      <c r="E771" s="241"/>
      <c r="F771" s="241"/>
      <c r="G771" s="241"/>
      <c r="H771" s="241"/>
      <c r="I771" s="241"/>
      <c r="J771" s="241"/>
      <c r="K771" s="241"/>
      <c r="L771" s="241"/>
      <c r="M771" s="242"/>
      <c r="N771" s="241"/>
      <c r="O771" s="241"/>
      <c r="P771" s="241"/>
      <c r="Q771" s="241"/>
      <c r="R771" s="241"/>
      <c r="S771" s="241"/>
      <c r="T771" s="241"/>
      <c r="U771" s="241"/>
      <c r="V771" s="241"/>
      <c r="W771" s="241"/>
      <c r="X771" s="241"/>
      <c r="Y771" s="241"/>
      <c r="Z771" s="242"/>
      <c r="AA771" s="242"/>
      <c r="AB771" s="243"/>
      <c r="AC771" s="243"/>
      <c r="AD771" s="244"/>
      <c r="AE771" s="244"/>
      <c r="AF771" s="244"/>
      <c r="AG771" s="244"/>
    </row>
    <row r="772" spans="2:33" s="245" customFormat="1" hidden="1">
      <c r="B772" s="239"/>
      <c r="C772" s="240"/>
      <c r="D772" s="241"/>
      <c r="E772" s="241"/>
      <c r="F772" s="241"/>
      <c r="G772" s="241"/>
      <c r="H772" s="241"/>
      <c r="I772" s="241"/>
      <c r="J772" s="241"/>
      <c r="K772" s="241"/>
      <c r="L772" s="241"/>
      <c r="M772" s="242"/>
      <c r="N772" s="241"/>
      <c r="O772" s="241"/>
      <c r="P772" s="241"/>
      <c r="Q772" s="241"/>
      <c r="R772" s="241"/>
      <c r="S772" s="241"/>
      <c r="T772" s="241"/>
      <c r="U772" s="241"/>
      <c r="V772" s="241"/>
      <c r="W772" s="241"/>
      <c r="X772" s="241"/>
      <c r="Y772" s="241"/>
      <c r="Z772" s="242"/>
      <c r="AA772" s="242"/>
      <c r="AB772" s="243"/>
      <c r="AC772" s="243"/>
      <c r="AD772" s="244"/>
      <c r="AE772" s="244"/>
      <c r="AF772" s="244"/>
      <c r="AG772" s="244"/>
    </row>
    <row r="773" spans="2:33" s="245" customFormat="1" hidden="1">
      <c r="B773" s="239"/>
      <c r="C773" s="240"/>
      <c r="D773" s="241"/>
      <c r="E773" s="241"/>
      <c r="F773" s="241"/>
      <c r="G773" s="241"/>
      <c r="H773" s="241"/>
      <c r="I773" s="241"/>
      <c r="J773" s="241"/>
      <c r="K773" s="241"/>
      <c r="L773" s="241"/>
      <c r="M773" s="242"/>
      <c r="N773" s="241"/>
      <c r="O773" s="241"/>
      <c r="P773" s="241"/>
      <c r="Q773" s="241"/>
      <c r="R773" s="241"/>
      <c r="S773" s="241"/>
      <c r="T773" s="241"/>
      <c r="U773" s="241"/>
      <c r="V773" s="241"/>
      <c r="W773" s="241"/>
      <c r="X773" s="241"/>
      <c r="Y773" s="241"/>
      <c r="Z773" s="242"/>
      <c r="AA773" s="242"/>
      <c r="AB773" s="243"/>
      <c r="AC773" s="243"/>
      <c r="AD773" s="244"/>
      <c r="AE773" s="244"/>
      <c r="AF773" s="244"/>
      <c r="AG773" s="244"/>
    </row>
    <row r="774" spans="2:33" s="245" customFormat="1" hidden="1">
      <c r="B774" s="239"/>
      <c r="C774" s="240"/>
      <c r="D774" s="241"/>
      <c r="E774" s="241"/>
      <c r="F774" s="241"/>
      <c r="G774" s="241"/>
      <c r="H774" s="241"/>
      <c r="I774" s="241"/>
      <c r="J774" s="241"/>
      <c r="K774" s="241"/>
      <c r="L774" s="241"/>
      <c r="M774" s="242"/>
      <c r="N774" s="241"/>
      <c r="O774" s="241"/>
      <c r="P774" s="241"/>
      <c r="Q774" s="241"/>
      <c r="R774" s="241"/>
      <c r="S774" s="241"/>
      <c r="T774" s="241"/>
      <c r="U774" s="241"/>
      <c r="V774" s="241"/>
      <c r="W774" s="241"/>
      <c r="X774" s="241"/>
      <c r="Y774" s="241"/>
      <c r="Z774" s="242"/>
      <c r="AA774" s="242"/>
      <c r="AB774" s="243"/>
      <c r="AC774" s="243"/>
      <c r="AD774" s="244"/>
      <c r="AE774" s="244"/>
      <c r="AF774" s="244"/>
      <c r="AG774" s="244"/>
    </row>
    <row r="775" spans="2:33" s="245" customFormat="1" hidden="1">
      <c r="B775" s="239"/>
      <c r="C775" s="240"/>
      <c r="D775" s="241"/>
      <c r="E775" s="241"/>
      <c r="F775" s="241"/>
      <c r="G775" s="241"/>
      <c r="H775" s="241"/>
      <c r="I775" s="241"/>
      <c r="J775" s="241"/>
      <c r="K775" s="241"/>
      <c r="L775" s="241"/>
      <c r="M775" s="242"/>
      <c r="N775" s="241"/>
      <c r="O775" s="241"/>
      <c r="P775" s="241"/>
      <c r="Q775" s="241"/>
      <c r="R775" s="241"/>
      <c r="S775" s="241"/>
      <c r="T775" s="241"/>
      <c r="U775" s="241"/>
      <c r="V775" s="241"/>
      <c r="W775" s="241"/>
      <c r="X775" s="241"/>
      <c r="Y775" s="241"/>
      <c r="Z775" s="242"/>
      <c r="AA775" s="242"/>
      <c r="AB775" s="243"/>
      <c r="AC775" s="243"/>
      <c r="AD775" s="244"/>
      <c r="AE775" s="244"/>
      <c r="AF775" s="244"/>
      <c r="AG775" s="244"/>
    </row>
    <row r="776" spans="2:33" s="245" customFormat="1" hidden="1">
      <c r="B776" s="239"/>
      <c r="C776" s="240"/>
      <c r="D776" s="241"/>
      <c r="E776" s="241"/>
      <c r="F776" s="241"/>
      <c r="G776" s="241"/>
      <c r="H776" s="241"/>
      <c r="I776" s="241"/>
      <c r="J776" s="241"/>
      <c r="K776" s="241"/>
      <c r="L776" s="241"/>
      <c r="M776" s="242"/>
      <c r="N776" s="241"/>
      <c r="O776" s="241"/>
      <c r="P776" s="241"/>
      <c r="Q776" s="241"/>
      <c r="R776" s="241"/>
      <c r="S776" s="241"/>
      <c r="T776" s="241"/>
      <c r="U776" s="241"/>
      <c r="V776" s="241"/>
      <c r="W776" s="241"/>
      <c r="X776" s="241"/>
      <c r="Y776" s="241"/>
      <c r="Z776" s="242"/>
      <c r="AA776" s="242"/>
      <c r="AB776" s="243"/>
      <c r="AC776" s="243"/>
      <c r="AD776" s="244"/>
      <c r="AE776" s="244"/>
      <c r="AF776" s="244"/>
      <c r="AG776" s="244"/>
    </row>
    <row r="777" spans="2:33" s="245" customFormat="1" hidden="1">
      <c r="B777" s="239"/>
      <c r="C777" s="240"/>
      <c r="D777" s="241"/>
      <c r="E777" s="241"/>
      <c r="F777" s="241"/>
      <c r="G777" s="241"/>
      <c r="H777" s="241"/>
      <c r="I777" s="241"/>
      <c r="J777" s="241"/>
      <c r="K777" s="241"/>
      <c r="L777" s="241"/>
      <c r="M777" s="242"/>
      <c r="N777" s="241"/>
      <c r="O777" s="241"/>
      <c r="P777" s="241"/>
      <c r="Q777" s="241"/>
      <c r="R777" s="241"/>
      <c r="S777" s="241"/>
      <c r="T777" s="241"/>
      <c r="U777" s="241"/>
      <c r="V777" s="241"/>
      <c r="W777" s="241"/>
      <c r="X777" s="241"/>
      <c r="Y777" s="241"/>
      <c r="Z777" s="242"/>
      <c r="AA777" s="242"/>
      <c r="AB777" s="243"/>
      <c r="AC777" s="243"/>
      <c r="AD777" s="244"/>
      <c r="AE777" s="244"/>
      <c r="AF777" s="244"/>
      <c r="AG777" s="244"/>
    </row>
    <row r="778" spans="2:33" s="245" customFormat="1" hidden="1">
      <c r="B778" s="239"/>
      <c r="C778" s="240"/>
      <c r="D778" s="241"/>
      <c r="E778" s="241"/>
      <c r="F778" s="241"/>
      <c r="G778" s="241"/>
      <c r="H778" s="241"/>
      <c r="I778" s="241"/>
      <c r="J778" s="241"/>
      <c r="K778" s="241"/>
      <c r="L778" s="241"/>
      <c r="M778" s="242"/>
      <c r="N778" s="241"/>
      <c r="O778" s="241"/>
      <c r="P778" s="241"/>
      <c r="Q778" s="241"/>
      <c r="R778" s="241"/>
      <c r="S778" s="241"/>
      <c r="T778" s="241"/>
      <c r="U778" s="241"/>
      <c r="V778" s="241"/>
      <c r="W778" s="241"/>
      <c r="X778" s="241"/>
      <c r="Y778" s="241"/>
      <c r="Z778" s="242"/>
      <c r="AA778" s="242"/>
      <c r="AB778" s="243"/>
      <c r="AC778" s="243"/>
      <c r="AD778" s="244"/>
      <c r="AE778" s="244"/>
      <c r="AF778" s="244"/>
      <c r="AG778" s="244"/>
    </row>
    <row r="779" spans="2:33" s="245" customFormat="1" hidden="1">
      <c r="B779" s="239"/>
      <c r="C779" s="240"/>
      <c r="D779" s="241"/>
      <c r="E779" s="241"/>
      <c r="F779" s="241"/>
      <c r="G779" s="241"/>
      <c r="H779" s="241"/>
      <c r="I779" s="241"/>
      <c r="J779" s="241"/>
      <c r="K779" s="241"/>
      <c r="L779" s="241"/>
      <c r="M779" s="242"/>
      <c r="N779" s="241"/>
      <c r="O779" s="241"/>
      <c r="P779" s="241"/>
      <c r="Q779" s="241"/>
      <c r="R779" s="241"/>
      <c r="S779" s="241"/>
      <c r="T779" s="241"/>
      <c r="U779" s="241"/>
      <c r="V779" s="241"/>
      <c r="W779" s="241"/>
      <c r="X779" s="241"/>
      <c r="Y779" s="241"/>
      <c r="Z779" s="242"/>
      <c r="AA779" s="242"/>
      <c r="AB779" s="243"/>
      <c r="AC779" s="243"/>
      <c r="AD779" s="244"/>
      <c r="AE779" s="244"/>
      <c r="AF779" s="244"/>
      <c r="AG779" s="244"/>
    </row>
    <row r="780" spans="2:33" s="245" customFormat="1" hidden="1">
      <c r="B780" s="239"/>
      <c r="C780" s="240"/>
      <c r="D780" s="241"/>
      <c r="E780" s="241"/>
      <c r="F780" s="241"/>
      <c r="G780" s="241"/>
      <c r="H780" s="241"/>
      <c r="I780" s="241"/>
      <c r="J780" s="241"/>
      <c r="K780" s="241"/>
      <c r="L780" s="241"/>
      <c r="M780" s="242"/>
      <c r="N780" s="241"/>
      <c r="O780" s="241"/>
      <c r="P780" s="241"/>
      <c r="Q780" s="241"/>
      <c r="R780" s="241"/>
      <c r="S780" s="241"/>
      <c r="T780" s="241"/>
      <c r="U780" s="241"/>
      <c r="V780" s="241"/>
      <c r="W780" s="241"/>
      <c r="X780" s="241"/>
      <c r="Y780" s="241"/>
      <c r="Z780" s="242"/>
      <c r="AA780" s="242"/>
      <c r="AB780" s="243"/>
      <c r="AC780" s="243"/>
      <c r="AD780" s="244"/>
      <c r="AE780" s="244"/>
      <c r="AF780" s="244"/>
      <c r="AG780" s="244"/>
    </row>
    <row r="781" spans="2:33" s="245" customFormat="1" hidden="1">
      <c r="B781" s="239"/>
      <c r="C781" s="240"/>
      <c r="D781" s="241"/>
      <c r="E781" s="241"/>
      <c r="F781" s="241"/>
      <c r="G781" s="241"/>
      <c r="H781" s="241"/>
      <c r="I781" s="241"/>
      <c r="J781" s="241"/>
      <c r="K781" s="241"/>
      <c r="L781" s="241"/>
      <c r="M781" s="242"/>
      <c r="N781" s="241"/>
      <c r="O781" s="241"/>
      <c r="P781" s="241"/>
      <c r="Q781" s="241"/>
      <c r="R781" s="241"/>
      <c r="S781" s="241"/>
      <c r="T781" s="241"/>
      <c r="U781" s="241"/>
      <c r="V781" s="241"/>
      <c r="W781" s="241"/>
      <c r="X781" s="241"/>
      <c r="Y781" s="241"/>
      <c r="Z781" s="242"/>
      <c r="AA781" s="242"/>
      <c r="AB781" s="243"/>
      <c r="AC781" s="243"/>
      <c r="AD781" s="244"/>
      <c r="AE781" s="244"/>
      <c r="AF781" s="244"/>
      <c r="AG781" s="244"/>
    </row>
    <row r="782" spans="2:33" s="245" customFormat="1" hidden="1">
      <c r="B782" s="239"/>
      <c r="C782" s="240"/>
      <c r="D782" s="241"/>
      <c r="E782" s="241"/>
      <c r="F782" s="241"/>
      <c r="G782" s="241"/>
      <c r="H782" s="241"/>
      <c r="I782" s="241"/>
      <c r="J782" s="241"/>
      <c r="K782" s="241"/>
      <c r="L782" s="241"/>
      <c r="M782" s="242"/>
      <c r="N782" s="241"/>
      <c r="O782" s="241"/>
      <c r="P782" s="241"/>
      <c r="Q782" s="241"/>
      <c r="R782" s="241"/>
      <c r="S782" s="241"/>
      <c r="T782" s="241"/>
      <c r="U782" s="241"/>
      <c r="V782" s="241"/>
      <c r="W782" s="241"/>
      <c r="X782" s="241"/>
      <c r="Y782" s="241"/>
      <c r="Z782" s="242"/>
      <c r="AA782" s="242"/>
      <c r="AB782" s="243"/>
      <c r="AC782" s="243"/>
      <c r="AD782" s="244"/>
      <c r="AE782" s="244"/>
      <c r="AF782" s="244"/>
      <c r="AG782" s="244"/>
    </row>
    <row r="783" spans="2:33" s="245" customFormat="1" hidden="1">
      <c r="B783" s="239"/>
      <c r="C783" s="240"/>
      <c r="D783" s="241"/>
      <c r="E783" s="241"/>
      <c r="F783" s="241"/>
      <c r="G783" s="241"/>
      <c r="H783" s="241"/>
      <c r="I783" s="241"/>
      <c r="J783" s="241"/>
      <c r="K783" s="241"/>
      <c r="L783" s="241"/>
      <c r="M783" s="242"/>
      <c r="N783" s="241"/>
      <c r="O783" s="241"/>
      <c r="P783" s="241"/>
      <c r="Q783" s="241"/>
      <c r="R783" s="241"/>
      <c r="S783" s="241"/>
      <c r="T783" s="241"/>
      <c r="U783" s="241"/>
      <c r="V783" s="241"/>
      <c r="W783" s="241"/>
      <c r="X783" s="241"/>
      <c r="Y783" s="241"/>
      <c r="Z783" s="242"/>
      <c r="AA783" s="242"/>
      <c r="AB783" s="243"/>
      <c r="AC783" s="243"/>
      <c r="AD783" s="244"/>
      <c r="AE783" s="244"/>
      <c r="AF783" s="244"/>
      <c r="AG783" s="244"/>
    </row>
    <row r="784" spans="2:33" s="245" customFormat="1" hidden="1">
      <c r="B784" s="239"/>
      <c r="C784" s="240"/>
      <c r="D784" s="241"/>
      <c r="E784" s="241"/>
      <c r="F784" s="241"/>
      <c r="G784" s="241"/>
      <c r="H784" s="241"/>
      <c r="I784" s="241"/>
      <c r="J784" s="241"/>
      <c r="K784" s="241"/>
      <c r="L784" s="241"/>
      <c r="M784" s="242"/>
      <c r="N784" s="241"/>
      <c r="O784" s="241"/>
      <c r="P784" s="241"/>
      <c r="Q784" s="241"/>
      <c r="R784" s="241"/>
      <c r="S784" s="241"/>
      <c r="T784" s="241"/>
      <c r="U784" s="241"/>
      <c r="V784" s="241"/>
      <c r="W784" s="241"/>
      <c r="X784" s="241"/>
      <c r="Y784" s="241"/>
      <c r="Z784" s="242"/>
      <c r="AA784" s="242"/>
      <c r="AB784" s="243"/>
      <c r="AC784" s="243"/>
      <c r="AD784" s="244"/>
      <c r="AE784" s="244"/>
      <c r="AF784" s="244"/>
      <c r="AG784" s="244"/>
    </row>
    <row r="785" spans="2:33" s="245" customFormat="1" hidden="1">
      <c r="B785" s="239"/>
      <c r="C785" s="240"/>
      <c r="D785" s="241"/>
      <c r="E785" s="241"/>
      <c r="F785" s="241"/>
      <c r="G785" s="241"/>
      <c r="H785" s="241"/>
      <c r="I785" s="241"/>
      <c r="J785" s="241"/>
      <c r="K785" s="241"/>
      <c r="L785" s="241"/>
      <c r="M785" s="242"/>
      <c r="N785" s="241"/>
      <c r="O785" s="241"/>
      <c r="P785" s="241"/>
      <c r="Q785" s="241"/>
      <c r="R785" s="241"/>
      <c r="S785" s="241"/>
      <c r="T785" s="241"/>
      <c r="U785" s="241"/>
      <c r="V785" s="241"/>
      <c r="W785" s="241"/>
      <c r="X785" s="241"/>
      <c r="Y785" s="241"/>
      <c r="Z785" s="242"/>
      <c r="AA785" s="242"/>
      <c r="AB785" s="243"/>
      <c r="AC785" s="243"/>
      <c r="AD785" s="244"/>
      <c r="AE785" s="244"/>
      <c r="AF785" s="244"/>
      <c r="AG785" s="244"/>
    </row>
    <row r="786" spans="2:33" s="245" customFormat="1" hidden="1">
      <c r="B786" s="239"/>
      <c r="C786" s="240"/>
      <c r="D786" s="241"/>
      <c r="E786" s="241"/>
      <c r="F786" s="241"/>
      <c r="G786" s="241"/>
      <c r="H786" s="241"/>
      <c r="I786" s="241"/>
      <c r="J786" s="241"/>
      <c r="K786" s="241"/>
      <c r="L786" s="241"/>
      <c r="M786" s="242"/>
      <c r="N786" s="241"/>
      <c r="O786" s="241"/>
      <c r="P786" s="241"/>
      <c r="Q786" s="241"/>
      <c r="R786" s="241"/>
      <c r="S786" s="241"/>
      <c r="T786" s="241"/>
      <c r="U786" s="241"/>
      <c r="V786" s="241"/>
      <c r="W786" s="241"/>
      <c r="X786" s="241"/>
      <c r="Y786" s="241"/>
      <c r="Z786" s="242"/>
      <c r="AA786" s="242"/>
      <c r="AB786" s="243"/>
      <c r="AC786" s="243"/>
      <c r="AD786" s="244"/>
      <c r="AE786" s="244"/>
      <c r="AF786" s="244"/>
      <c r="AG786" s="244"/>
    </row>
    <row r="787" spans="2:33" s="245" customFormat="1" hidden="1">
      <c r="B787" s="239"/>
      <c r="C787" s="240"/>
      <c r="D787" s="241"/>
      <c r="E787" s="241"/>
      <c r="F787" s="241"/>
      <c r="G787" s="241"/>
      <c r="H787" s="241"/>
      <c r="I787" s="241"/>
      <c r="J787" s="241"/>
      <c r="K787" s="241"/>
      <c r="L787" s="241"/>
      <c r="M787" s="242"/>
      <c r="N787" s="241"/>
      <c r="O787" s="241"/>
      <c r="P787" s="241"/>
      <c r="Q787" s="241"/>
      <c r="R787" s="241"/>
      <c r="S787" s="241"/>
      <c r="T787" s="241"/>
      <c r="U787" s="241"/>
      <c r="V787" s="241"/>
      <c r="W787" s="241"/>
      <c r="X787" s="241"/>
      <c r="Y787" s="241"/>
      <c r="Z787" s="242"/>
      <c r="AA787" s="242"/>
      <c r="AB787" s="243"/>
      <c r="AC787" s="243"/>
      <c r="AD787" s="244"/>
      <c r="AE787" s="244"/>
      <c r="AF787" s="244"/>
      <c r="AG787" s="244"/>
    </row>
    <row r="788" spans="2:33" s="245" customFormat="1" hidden="1">
      <c r="B788" s="239"/>
      <c r="C788" s="240"/>
      <c r="D788" s="241"/>
      <c r="E788" s="241"/>
      <c r="F788" s="241"/>
      <c r="G788" s="241"/>
      <c r="H788" s="241"/>
      <c r="I788" s="241"/>
      <c r="J788" s="241"/>
      <c r="K788" s="241"/>
      <c r="L788" s="241"/>
      <c r="M788" s="242"/>
      <c r="N788" s="241"/>
      <c r="O788" s="241"/>
      <c r="P788" s="241"/>
      <c r="Q788" s="241"/>
      <c r="R788" s="241"/>
      <c r="S788" s="241"/>
      <c r="T788" s="241"/>
      <c r="U788" s="241"/>
      <c r="V788" s="241"/>
      <c r="W788" s="241"/>
      <c r="X788" s="241"/>
      <c r="Y788" s="241"/>
      <c r="Z788" s="242"/>
      <c r="AA788" s="242"/>
      <c r="AB788" s="243"/>
      <c r="AC788" s="243"/>
      <c r="AD788" s="244"/>
      <c r="AE788" s="244"/>
      <c r="AF788" s="244"/>
      <c r="AG788" s="244"/>
    </row>
    <row r="789" spans="2:33" s="245" customFormat="1" hidden="1">
      <c r="B789" s="239"/>
      <c r="C789" s="240"/>
      <c r="D789" s="241"/>
      <c r="E789" s="241"/>
      <c r="F789" s="241"/>
      <c r="G789" s="241"/>
      <c r="H789" s="241"/>
      <c r="I789" s="241"/>
      <c r="J789" s="241"/>
      <c r="K789" s="241"/>
      <c r="L789" s="241"/>
      <c r="M789" s="242"/>
      <c r="N789" s="241"/>
      <c r="O789" s="241"/>
      <c r="P789" s="241"/>
      <c r="Q789" s="241"/>
      <c r="R789" s="241"/>
      <c r="S789" s="241"/>
      <c r="T789" s="241"/>
      <c r="U789" s="241"/>
      <c r="V789" s="241"/>
      <c r="W789" s="241"/>
      <c r="X789" s="241"/>
      <c r="Y789" s="241"/>
      <c r="Z789" s="242"/>
      <c r="AA789" s="242"/>
      <c r="AB789" s="243"/>
      <c r="AC789" s="243"/>
      <c r="AD789" s="244"/>
      <c r="AE789" s="244"/>
      <c r="AF789" s="244"/>
      <c r="AG789" s="244"/>
    </row>
    <row r="790" spans="2:33" s="245" customFormat="1" hidden="1">
      <c r="B790" s="239"/>
      <c r="C790" s="240"/>
      <c r="D790" s="241"/>
      <c r="E790" s="241"/>
      <c r="F790" s="241"/>
      <c r="G790" s="241"/>
      <c r="H790" s="241"/>
      <c r="I790" s="241"/>
      <c r="J790" s="241"/>
      <c r="K790" s="241"/>
      <c r="L790" s="241"/>
      <c r="M790" s="242"/>
      <c r="N790" s="241"/>
      <c r="O790" s="241"/>
      <c r="P790" s="241"/>
      <c r="Q790" s="241"/>
      <c r="R790" s="241"/>
      <c r="S790" s="241"/>
      <c r="T790" s="241"/>
      <c r="U790" s="241"/>
      <c r="V790" s="241"/>
      <c r="W790" s="241"/>
      <c r="X790" s="241"/>
      <c r="Y790" s="241"/>
      <c r="Z790" s="242"/>
      <c r="AA790" s="242"/>
      <c r="AB790" s="243"/>
      <c r="AC790" s="243"/>
      <c r="AD790" s="244"/>
      <c r="AE790" s="244"/>
      <c r="AF790" s="244"/>
      <c r="AG790" s="244"/>
    </row>
    <row r="791" spans="2:33" s="245" customFormat="1" hidden="1">
      <c r="B791" s="239"/>
      <c r="C791" s="240"/>
      <c r="D791" s="241"/>
      <c r="E791" s="241"/>
      <c r="F791" s="241"/>
      <c r="G791" s="241"/>
      <c r="H791" s="241"/>
      <c r="I791" s="241"/>
      <c r="J791" s="241"/>
      <c r="K791" s="241"/>
      <c r="L791" s="241"/>
      <c r="M791" s="242"/>
      <c r="N791" s="241"/>
      <c r="O791" s="241"/>
      <c r="P791" s="241"/>
      <c r="Q791" s="241"/>
      <c r="R791" s="241"/>
      <c r="S791" s="241"/>
      <c r="T791" s="241"/>
      <c r="U791" s="241"/>
      <c r="V791" s="241"/>
      <c r="W791" s="241"/>
      <c r="X791" s="241"/>
      <c r="Y791" s="241"/>
      <c r="Z791" s="242"/>
      <c r="AA791" s="242"/>
      <c r="AB791" s="243"/>
      <c r="AC791" s="243"/>
      <c r="AD791" s="244"/>
      <c r="AE791" s="244"/>
      <c r="AF791" s="244"/>
      <c r="AG791" s="244"/>
    </row>
    <row r="792" spans="2:33" s="245" customFormat="1" hidden="1">
      <c r="B792" s="239"/>
      <c r="C792" s="240"/>
      <c r="D792" s="241"/>
      <c r="E792" s="241"/>
      <c r="F792" s="241"/>
      <c r="G792" s="241"/>
      <c r="H792" s="241"/>
      <c r="I792" s="241"/>
      <c r="J792" s="241"/>
      <c r="K792" s="241"/>
      <c r="L792" s="241"/>
      <c r="M792" s="242"/>
      <c r="N792" s="241"/>
      <c r="O792" s="241"/>
      <c r="P792" s="241"/>
      <c r="Q792" s="241"/>
      <c r="R792" s="241"/>
      <c r="S792" s="241"/>
      <c r="T792" s="241"/>
      <c r="U792" s="241"/>
      <c r="V792" s="241"/>
      <c r="W792" s="241"/>
      <c r="X792" s="241"/>
      <c r="Y792" s="241"/>
      <c r="Z792" s="242"/>
      <c r="AA792" s="242"/>
      <c r="AB792" s="243"/>
      <c r="AC792" s="243"/>
      <c r="AD792" s="244"/>
      <c r="AE792" s="244"/>
      <c r="AF792" s="244"/>
      <c r="AG792" s="244"/>
    </row>
    <row r="793" spans="2:33" s="245" customFormat="1" hidden="1">
      <c r="B793" s="239"/>
      <c r="C793" s="240"/>
      <c r="D793" s="241"/>
      <c r="E793" s="241"/>
      <c r="F793" s="241"/>
      <c r="G793" s="241"/>
      <c r="H793" s="241"/>
      <c r="I793" s="241"/>
      <c r="J793" s="241"/>
      <c r="K793" s="241"/>
      <c r="L793" s="241"/>
      <c r="M793" s="242"/>
      <c r="N793" s="241"/>
      <c r="O793" s="241"/>
      <c r="P793" s="241"/>
      <c r="Q793" s="241"/>
      <c r="R793" s="241"/>
      <c r="S793" s="241"/>
      <c r="T793" s="241"/>
      <c r="U793" s="241"/>
      <c r="V793" s="241"/>
      <c r="W793" s="241"/>
      <c r="X793" s="241"/>
      <c r="Y793" s="241"/>
      <c r="Z793" s="242"/>
      <c r="AA793" s="242"/>
      <c r="AB793" s="243"/>
      <c r="AC793" s="243"/>
      <c r="AD793" s="244"/>
      <c r="AE793" s="244"/>
      <c r="AF793" s="244"/>
      <c r="AG793" s="244"/>
    </row>
    <row r="794" spans="2:33" s="245" customFormat="1" hidden="1">
      <c r="B794" s="239"/>
      <c r="C794" s="240"/>
      <c r="D794" s="241"/>
      <c r="E794" s="241"/>
      <c r="F794" s="241"/>
      <c r="G794" s="241"/>
      <c r="H794" s="241"/>
      <c r="I794" s="241"/>
      <c r="J794" s="241"/>
      <c r="K794" s="241"/>
      <c r="L794" s="241"/>
      <c r="M794" s="242"/>
      <c r="N794" s="241"/>
      <c r="O794" s="241"/>
      <c r="P794" s="241"/>
      <c r="Q794" s="241"/>
      <c r="R794" s="241"/>
      <c r="S794" s="241"/>
      <c r="T794" s="241"/>
      <c r="U794" s="241"/>
      <c r="V794" s="241"/>
      <c r="W794" s="241"/>
      <c r="X794" s="241"/>
      <c r="Y794" s="241"/>
      <c r="Z794" s="242"/>
      <c r="AA794" s="242"/>
      <c r="AB794" s="243"/>
      <c r="AC794" s="243"/>
      <c r="AD794" s="244"/>
      <c r="AE794" s="244"/>
      <c r="AF794" s="244"/>
      <c r="AG794" s="244"/>
    </row>
    <row r="795" spans="2:33" s="245" customFormat="1" hidden="1">
      <c r="B795" s="239"/>
      <c r="C795" s="240"/>
      <c r="D795" s="241"/>
      <c r="E795" s="241"/>
      <c r="F795" s="241"/>
      <c r="G795" s="241"/>
      <c r="H795" s="241"/>
      <c r="I795" s="241"/>
      <c r="J795" s="241"/>
      <c r="K795" s="241"/>
      <c r="L795" s="241"/>
      <c r="M795" s="242"/>
      <c r="N795" s="241"/>
      <c r="O795" s="241"/>
      <c r="P795" s="241"/>
      <c r="Q795" s="241"/>
      <c r="R795" s="241"/>
      <c r="S795" s="241"/>
      <c r="T795" s="241"/>
      <c r="U795" s="241"/>
      <c r="V795" s="241"/>
      <c r="W795" s="241"/>
      <c r="X795" s="241"/>
      <c r="Y795" s="241"/>
      <c r="Z795" s="242"/>
      <c r="AA795" s="242"/>
      <c r="AB795" s="243"/>
      <c r="AC795" s="243"/>
      <c r="AD795" s="244"/>
      <c r="AE795" s="244"/>
      <c r="AF795" s="244"/>
      <c r="AG795" s="244"/>
    </row>
    <row r="796" spans="2:33" s="245" customFormat="1" hidden="1">
      <c r="B796" s="239"/>
      <c r="C796" s="240"/>
      <c r="D796" s="241"/>
      <c r="E796" s="241"/>
      <c r="F796" s="241"/>
      <c r="G796" s="241"/>
      <c r="H796" s="241"/>
      <c r="I796" s="241"/>
      <c r="J796" s="241"/>
      <c r="K796" s="241"/>
      <c r="L796" s="241"/>
      <c r="M796" s="242"/>
      <c r="N796" s="241"/>
      <c r="O796" s="241"/>
      <c r="P796" s="241"/>
      <c r="Q796" s="241"/>
      <c r="R796" s="241"/>
      <c r="S796" s="241"/>
      <c r="T796" s="241"/>
      <c r="U796" s="241"/>
      <c r="V796" s="241"/>
      <c r="W796" s="241"/>
      <c r="X796" s="241"/>
      <c r="Y796" s="241"/>
      <c r="Z796" s="242"/>
      <c r="AA796" s="242"/>
      <c r="AB796" s="243"/>
      <c r="AC796" s="243"/>
      <c r="AD796" s="244"/>
      <c r="AE796" s="244"/>
      <c r="AF796" s="244"/>
      <c r="AG796" s="244"/>
    </row>
    <row r="797" spans="2:33" s="245" customFormat="1" hidden="1">
      <c r="B797" s="239"/>
      <c r="C797" s="240"/>
      <c r="D797" s="241"/>
      <c r="E797" s="241"/>
      <c r="F797" s="241"/>
      <c r="G797" s="241"/>
      <c r="H797" s="241"/>
      <c r="I797" s="241"/>
      <c r="J797" s="241"/>
      <c r="K797" s="241"/>
      <c r="L797" s="241"/>
      <c r="M797" s="242"/>
      <c r="N797" s="241"/>
      <c r="O797" s="241"/>
      <c r="P797" s="241"/>
      <c r="Q797" s="241"/>
      <c r="R797" s="241"/>
      <c r="S797" s="241"/>
      <c r="T797" s="241"/>
      <c r="U797" s="241"/>
      <c r="V797" s="241"/>
      <c r="W797" s="241"/>
      <c r="X797" s="241"/>
      <c r="Y797" s="241"/>
      <c r="Z797" s="242"/>
      <c r="AA797" s="242"/>
      <c r="AB797" s="243"/>
      <c r="AC797" s="243"/>
      <c r="AD797" s="244"/>
      <c r="AE797" s="244"/>
      <c r="AF797" s="244"/>
      <c r="AG797" s="244"/>
    </row>
    <row r="798" spans="2:33" s="245" customFormat="1" hidden="1">
      <c r="B798" s="239"/>
      <c r="C798" s="240"/>
      <c r="D798" s="241"/>
      <c r="E798" s="241"/>
      <c r="F798" s="241"/>
      <c r="G798" s="241"/>
      <c r="H798" s="241"/>
      <c r="I798" s="241"/>
      <c r="J798" s="241"/>
      <c r="K798" s="241"/>
      <c r="L798" s="241"/>
      <c r="M798" s="242"/>
      <c r="N798" s="241"/>
      <c r="O798" s="241"/>
      <c r="P798" s="241"/>
      <c r="Q798" s="241"/>
      <c r="R798" s="241"/>
      <c r="S798" s="241"/>
      <c r="T798" s="241"/>
      <c r="U798" s="241"/>
      <c r="V798" s="241"/>
      <c r="W798" s="241"/>
      <c r="X798" s="241"/>
      <c r="Y798" s="241"/>
      <c r="Z798" s="242"/>
      <c r="AA798" s="242"/>
      <c r="AB798" s="243"/>
      <c r="AC798" s="243"/>
      <c r="AD798" s="244"/>
      <c r="AE798" s="244"/>
      <c r="AF798" s="244"/>
      <c r="AG798" s="244"/>
    </row>
    <row r="799" spans="2:33" s="245" customFormat="1" hidden="1">
      <c r="B799" s="239"/>
      <c r="C799" s="240"/>
      <c r="D799" s="241"/>
      <c r="E799" s="241"/>
      <c r="F799" s="241"/>
      <c r="G799" s="241"/>
      <c r="H799" s="241"/>
      <c r="I799" s="241"/>
      <c r="J799" s="241"/>
      <c r="K799" s="241"/>
      <c r="L799" s="241"/>
      <c r="M799" s="242"/>
      <c r="N799" s="241"/>
      <c r="O799" s="241"/>
      <c r="P799" s="241"/>
      <c r="Q799" s="241"/>
      <c r="R799" s="241"/>
      <c r="S799" s="241"/>
      <c r="T799" s="241"/>
      <c r="U799" s="241"/>
      <c r="V799" s="241"/>
      <c r="W799" s="241"/>
      <c r="X799" s="241"/>
      <c r="Y799" s="241"/>
      <c r="Z799" s="242"/>
      <c r="AA799" s="242"/>
      <c r="AB799" s="243"/>
      <c r="AC799" s="243"/>
      <c r="AD799" s="244"/>
      <c r="AE799" s="244"/>
      <c r="AF799" s="244"/>
      <c r="AG799" s="244"/>
    </row>
    <row r="800" spans="2:33" s="245" customFormat="1" hidden="1">
      <c r="B800" s="239"/>
      <c r="C800" s="240"/>
      <c r="D800" s="241"/>
      <c r="E800" s="241"/>
      <c r="F800" s="241"/>
      <c r="G800" s="241"/>
      <c r="H800" s="241"/>
      <c r="I800" s="241"/>
      <c r="J800" s="241"/>
      <c r="K800" s="241"/>
      <c r="L800" s="241"/>
      <c r="M800" s="242"/>
      <c r="N800" s="241"/>
      <c r="O800" s="241"/>
      <c r="P800" s="241"/>
      <c r="Q800" s="241"/>
      <c r="R800" s="241"/>
      <c r="S800" s="241"/>
      <c r="T800" s="241"/>
      <c r="U800" s="241"/>
      <c r="V800" s="241"/>
      <c r="W800" s="241"/>
      <c r="X800" s="241"/>
      <c r="Y800" s="241"/>
      <c r="Z800" s="242"/>
      <c r="AA800" s="242"/>
      <c r="AB800" s="243"/>
      <c r="AC800" s="243"/>
      <c r="AD800" s="244"/>
      <c r="AE800" s="244"/>
      <c r="AF800" s="244"/>
      <c r="AG800" s="244"/>
    </row>
    <row r="801" spans="2:33" s="245" customFormat="1" hidden="1">
      <c r="B801" s="239"/>
      <c r="C801" s="240"/>
      <c r="D801" s="241"/>
      <c r="E801" s="241"/>
      <c r="F801" s="241"/>
      <c r="G801" s="241"/>
      <c r="H801" s="241"/>
      <c r="I801" s="241"/>
      <c r="J801" s="241"/>
      <c r="K801" s="241"/>
      <c r="L801" s="241"/>
      <c r="M801" s="242"/>
      <c r="N801" s="241"/>
      <c r="O801" s="241"/>
      <c r="P801" s="241"/>
      <c r="Q801" s="241"/>
      <c r="R801" s="241"/>
      <c r="S801" s="241"/>
      <c r="T801" s="241"/>
      <c r="U801" s="241"/>
      <c r="V801" s="241"/>
      <c r="W801" s="241"/>
      <c r="X801" s="241"/>
      <c r="Y801" s="241"/>
      <c r="Z801" s="242"/>
      <c r="AA801" s="242"/>
      <c r="AB801" s="243"/>
      <c r="AC801" s="243"/>
      <c r="AD801" s="244"/>
      <c r="AE801" s="244"/>
      <c r="AF801" s="244"/>
      <c r="AG801" s="244"/>
    </row>
    <row r="802" spans="2:33" s="245" customFormat="1" hidden="1">
      <c r="B802" s="239"/>
      <c r="C802" s="240"/>
      <c r="D802" s="241"/>
      <c r="E802" s="241"/>
      <c r="F802" s="241"/>
      <c r="G802" s="241"/>
      <c r="H802" s="241"/>
      <c r="I802" s="241"/>
      <c r="J802" s="241"/>
      <c r="K802" s="241"/>
      <c r="L802" s="241"/>
      <c r="M802" s="242"/>
      <c r="N802" s="241"/>
      <c r="O802" s="241"/>
      <c r="P802" s="241"/>
      <c r="Q802" s="241"/>
      <c r="R802" s="241"/>
      <c r="S802" s="241"/>
      <c r="T802" s="241"/>
      <c r="U802" s="241"/>
      <c r="V802" s="241"/>
      <c r="W802" s="241"/>
      <c r="X802" s="241"/>
      <c r="Y802" s="241"/>
      <c r="Z802" s="242"/>
      <c r="AA802" s="242"/>
      <c r="AB802" s="243"/>
      <c r="AC802" s="243"/>
      <c r="AD802" s="244"/>
      <c r="AE802" s="244"/>
      <c r="AF802" s="244"/>
      <c r="AG802" s="244"/>
    </row>
    <row r="803" spans="2:33" s="245" customFormat="1" hidden="1">
      <c r="B803" s="239"/>
      <c r="C803" s="240"/>
      <c r="D803" s="241"/>
      <c r="E803" s="241"/>
      <c r="F803" s="241"/>
      <c r="G803" s="241"/>
      <c r="H803" s="241"/>
      <c r="I803" s="241"/>
      <c r="J803" s="241"/>
      <c r="K803" s="241"/>
      <c r="L803" s="241"/>
      <c r="M803" s="242"/>
      <c r="N803" s="241"/>
      <c r="O803" s="241"/>
      <c r="P803" s="241"/>
      <c r="Q803" s="241"/>
      <c r="R803" s="241"/>
      <c r="S803" s="241"/>
      <c r="T803" s="241"/>
      <c r="U803" s="241"/>
      <c r="V803" s="241"/>
      <c r="W803" s="241"/>
      <c r="X803" s="241"/>
      <c r="Y803" s="241"/>
      <c r="Z803" s="242"/>
      <c r="AA803" s="242"/>
      <c r="AB803" s="243"/>
      <c r="AC803" s="243"/>
      <c r="AD803" s="244"/>
      <c r="AE803" s="244"/>
      <c r="AF803" s="244"/>
      <c r="AG803" s="244"/>
    </row>
    <row r="804" spans="2:33" s="245" customFormat="1" hidden="1">
      <c r="B804" s="239"/>
      <c r="C804" s="240"/>
      <c r="D804" s="241"/>
      <c r="E804" s="241"/>
      <c r="F804" s="241"/>
      <c r="G804" s="241"/>
      <c r="H804" s="241"/>
      <c r="I804" s="241"/>
      <c r="J804" s="241"/>
      <c r="K804" s="241"/>
      <c r="L804" s="241"/>
      <c r="M804" s="242"/>
      <c r="N804" s="241"/>
      <c r="O804" s="241"/>
      <c r="P804" s="241"/>
      <c r="Q804" s="241"/>
      <c r="R804" s="241"/>
      <c r="S804" s="241"/>
      <c r="T804" s="241"/>
      <c r="U804" s="241"/>
      <c r="V804" s="241"/>
      <c r="W804" s="241"/>
      <c r="X804" s="241"/>
      <c r="Y804" s="241"/>
      <c r="Z804" s="242"/>
      <c r="AA804" s="242"/>
      <c r="AB804" s="243"/>
      <c r="AC804" s="243"/>
      <c r="AD804" s="244"/>
      <c r="AE804" s="244"/>
      <c r="AF804" s="244"/>
      <c r="AG804" s="244"/>
    </row>
    <row r="805" spans="2:33" s="245" customFormat="1" hidden="1">
      <c r="B805" s="239"/>
      <c r="C805" s="240"/>
      <c r="D805" s="241"/>
      <c r="E805" s="241"/>
      <c r="F805" s="241"/>
      <c r="G805" s="241"/>
      <c r="H805" s="241"/>
      <c r="I805" s="241"/>
      <c r="J805" s="241"/>
      <c r="K805" s="241"/>
      <c r="L805" s="241"/>
      <c r="M805" s="242"/>
      <c r="N805" s="241"/>
      <c r="O805" s="241"/>
      <c r="P805" s="241"/>
      <c r="Q805" s="241"/>
      <c r="R805" s="241"/>
      <c r="S805" s="241"/>
      <c r="T805" s="241"/>
      <c r="U805" s="241"/>
      <c r="V805" s="241"/>
      <c r="W805" s="241"/>
      <c r="X805" s="241"/>
      <c r="Y805" s="241"/>
      <c r="Z805" s="242"/>
      <c r="AA805" s="242"/>
      <c r="AB805" s="243"/>
      <c r="AC805" s="243"/>
      <c r="AD805" s="244"/>
      <c r="AE805" s="244"/>
      <c r="AF805" s="244"/>
      <c r="AG805" s="244"/>
    </row>
    <row r="806" spans="2:33" s="245" customFormat="1" hidden="1">
      <c r="B806" s="239"/>
      <c r="C806" s="240"/>
      <c r="D806" s="241"/>
      <c r="E806" s="241"/>
      <c r="F806" s="241"/>
      <c r="G806" s="241"/>
      <c r="H806" s="241"/>
      <c r="I806" s="241"/>
      <c r="J806" s="241"/>
      <c r="K806" s="241"/>
      <c r="L806" s="241"/>
      <c r="M806" s="242"/>
      <c r="N806" s="241"/>
      <c r="O806" s="241"/>
      <c r="P806" s="241"/>
      <c r="Q806" s="241"/>
      <c r="R806" s="241"/>
      <c r="S806" s="241"/>
      <c r="T806" s="241"/>
      <c r="U806" s="241"/>
      <c r="V806" s="241"/>
      <c r="W806" s="241"/>
      <c r="X806" s="241"/>
      <c r="Y806" s="241"/>
      <c r="Z806" s="242"/>
      <c r="AA806" s="242"/>
      <c r="AB806" s="243"/>
      <c r="AC806" s="243"/>
      <c r="AD806" s="244"/>
      <c r="AE806" s="244"/>
      <c r="AF806" s="244"/>
      <c r="AG806" s="244"/>
    </row>
    <row r="807" spans="2:33" s="245" customFormat="1" hidden="1">
      <c r="B807" s="239"/>
      <c r="C807" s="240"/>
      <c r="D807" s="241"/>
      <c r="E807" s="241"/>
      <c r="F807" s="241"/>
      <c r="G807" s="241"/>
      <c r="H807" s="241"/>
      <c r="I807" s="241"/>
      <c r="J807" s="241"/>
      <c r="K807" s="241"/>
      <c r="L807" s="241"/>
      <c r="M807" s="242"/>
      <c r="N807" s="241"/>
      <c r="O807" s="241"/>
      <c r="P807" s="241"/>
      <c r="Q807" s="241"/>
      <c r="R807" s="241"/>
      <c r="S807" s="241"/>
      <c r="T807" s="241"/>
      <c r="U807" s="241"/>
      <c r="V807" s="241"/>
      <c r="W807" s="241"/>
      <c r="X807" s="241"/>
      <c r="Y807" s="241"/>
      <c r="Z807" s="242"/>
      <c r="AA807" s="242"/>
      <c r="AB807" s="243"/>
      <c r="AC807" s="243"/>
      <c r="AD807" s="244"/>
      <c r="AE807" s="244"/>
      <c r="AF807" s="244"/>
      <c r="AG807" s="244"/>
    </row>
    <row r="808" spans="2:33" s="245" customFormat="1" hidden="1">
      <c r="B808" s="239"/>
      <c r="C808" s="240"/>
      <c r="D808" s="241"/>
      <c r="E808" s="241"/>
      <c r="F808" s="241"/>
      <c r="G808" s="241"/>
      <c r="H808" s="241"/>
      <c r="I808" s="241"/>
      <c r="J808" s="241"/>
      <c r="K808" s="241"/>
      <c r="L808" s="241"/>
      <c r="M808" s="242"/>
      <c r="N808" s="241"/>
      <c r="O808" s="241"/>
      <c r="P808" s="241"/>
      <c r="Q808" s="241"/>
      <c r="R808" s="241"/>
      <c r="S808" s="241"/>
      <c r="T808" s="241"/>
      <c r="U808" s="241"/>
      <c r="V808" s="241"/>
      <c r="W808" s="241"/>
      <c r="X808" s="241"/>
      <c r="Y808" s="241"/>
      <c r="Z808" s="242"/>
      <c r="AA808" s="242"/>
      <c r="AB808" s="243"/>
      <c r="AC808" s="243"/>
      <c r="AD808" s="244"/>
      <c r="AE808" s="244"/>
      <c r="AF808" s="244"/>
      <c r="AG808" s="244"/>
    </row>
    <row r="809" spans="2:33" s="245" customFormat="1" hidden="1">
      <c r="B809" s="239"/>
      <c r="C809" s="240"/>
      <c r="D809" s="241"/>
      <c r="E809" s="241"/>
      <c r="F809" s="241"/>
      <c r="G809" s="241"/>
      <c r="H809" s="241"/>
      <c r="I809" s="241"/>
      <c r="J809" s="241"/>
      <c r="K809" s="241"/>
      <c r="L809" s="241"/>
      <c r="M809" s="242"/>
      <c r="N809" s="241"/>
      <c r="O809" s="241"/>
      <c r="P809" s="241"/>
      <c r="Q809" s="241"/>
      <c r="R809" s="241"/>
      <c r="S809" s="241"/>
      <c r="T809" s="241"/>
      <c r="U809" s="241"/>
      <c r="V809" s="241"/>
      <c r="W809" s="241"/>
      <c r="X809" s="241"/>
      <c r="Y809" s="241"/>
      <c r="Z809" s="242"/>
      <c r="AA809" s="242"/>
      <c r="AB809" s="243"/>
      <c r="AC809" s="243"/>
      <c r="AD809" s="244"/>
      <c r="AE809" s="244"/>
      <c r="AF809" s="244"/>
      <c r="AG809" s="244"/>
    </row>
    <row r="810" spans="2:33" s="245" customFormat="1" hidden="1">
      <c r="B810" s="239"/>
      <c r="C810" s="240"/>
      <c r="D810" s="241"/>
      <c r="E810" s="241"/>
      <c r="F810" s="241"/>
      <c r="G810" s="241"/>
      <c r="H810" s="241"/>
      <c r="I810" s="241"/>
      <c r="J810" s="241"/>
      <c r="K810" s="241"/>
      <c r="L810" s="241"/>
      <c r="M810" s="242"/>
      <c r="N810" s="241"/>
      <c r="O810" s="241"/>
      <c r="P810" s="241"/>
      <c r="Q810" s="241"/>
      <c r="R810" s="241"/>
      <c r="S810" s="241"/>
      <c r="T810" s="241"/>
      <c r="U810" s="241"/>
      <c r="V810" s="241"/>
      <c r="W810" s="241"/>
      <c r="X810" s="241"/>
      <c r="Y810" s="241"/>
      <c r="Z810" s="242"/>
      <c r="AA810" s="242"/>
      <c r="AB810" s="243"/>
      <c r="AC810" s="243"/>
      <c r="AD810" s="244"/>
      <c r="AE810" s="244"/>
      <c r="AF810" s="244"/>
      <c r="AG810" s="244"/>
    </row>
    <row r="811" spans="2:33" s="245" customFormat="1" hidden="1">
      <c r="B811" s="239"/>
      <c r="C811" s="240"/>
      <c r="D811" s="241"/>
      <c r="E811" s="241"/>
      <c r="F811" s="241"/>
      <c r="G811" s="241"/>
      <c r="H811" s="241"/>
      <c r="I811" s="241"/>
      <c r="J811" s="241"/>
      <c r="K811" s="241"/>
      <c r="L811" s="241"/>
      <c r="M811" s="242"/>
      <c r="N811" s="241"/>
      <c r="O811" s="241"/>
      <c r="P811" s="241"/>
      <c r="Q811" s="241"/>
      <c r="R811" s="241"/>
      <c r="S811" s="241"/>
      <c r="T811" s="241"/>
      <c r="U811" s="241"/>
      <c r="V811" s="241"/>
      <c r="W811" s="241"/>
      <c r="X811" s="241"/>
      <c r="Y811" s="241"/>
      <c r="Z811" s="242"/>
      <c r="AA811" s="242"/>
      <c r="AB811" s="243"/>
      <c r="AC811" s="243"/>
      <c r="AD811" s="244"/>
      <c r="AE811" s="244"/>
      <c r="AF811" s="244"/>
      <c r="AG811" s="244"/>
    </row>
    <row r="812" spans="2:33" s="245" customFormat="1" hidden="1">
      <c r="B812" s="239"/>
      <c r="C812" s="240"/>
      <c r="D812" s="241"/>
      <c r="E812" s="241"/>
      <c r="F812" s="241"/>
      <c r="G812" s="241"/>
      <c r="H812" s="241"/>
      <c r="I812" s="241"/>
      <c r="J812" s="241"/>
      <c r="K812" s="241"/>
      <c r="L812" s="241"/>
      <c r="M812" s="242"/>
      <c r="N812" s="241"/>
      <c r="O812" s="241"/>
      <c r="P812" s="241"/>
      <c r="Q812" s="241"/>
      <c r="R812" s="241"/>
      <c r="S812" s="241"/>
      <c r="T812" s="241"/>
      <c r="U812" s="241"/>
      <c r="V812" s="241"/>
      <c r="W812" s="241"/>
      <c r="X812" s="241"/>
      <c r="Y812" s="241"/>
      <c r="Z812" s="242"/>
      <c r="AA812" s="242"/>
      <c r="AB812" s="243"/>
      <c r="AC812" s="243"/>
      <c r="AD812" s="244"/>
      <c r="AE812" s="244"/>
      <c r="AF812" s="244"/>
      <c r="AG812" s="244"/>
    </row>
    <row r="813" spans="2:33" s="245" customFormat="1" hidden="1">
      <c r="B813" s="239"/>
      <c r="C813" s="240"/>
      <c r="D813" s="241"/>
      <c r="E813" s="241"/>
      <c r="F813" s="241"/>
      <c r="G813" s="241"/>
      <c r="H813" s="241"/>
      <c r="I813" s="241"/>
      <c r="J813" s="241"/>
      <c r="K813" s="241"/>
      <c r="L813" s="241"/>
      <c r="M813" s="242"/>
      <c r="N813" s="241"/>
      <c r="O813" s="241"/>
      <c r="P813" s="241"/>
      <c r="Q813" s="241"/>
      <c r="R813" s="241"/>
      <c r="S813" s="241"/>
      <c r="T813" s="241"/>
      <c r="U813" s="241"/>
      <c r="V813" s="241"/>
      <c r="W813" s="241"/>
      <c r="X813" s="241"/>
      <c r="Y813" s="241"/>
      <c r="Z813" s="242"/>
      <c r="AA813" s="242"/>
      <c r="AB813" s="243"/>
      <c r="AC813" s="243"/>
      <c r="AD813" s="244"/>
      <c r="AE813" s="244"/>
      <c r="AF813" s="244"/>
      <c r="AG813" s="244"/>
    </row>
    <row r="814" spans="2:33" s="245" customFormat="1" hidden="1">
      <c r="B814" s="239"/>
      <c r="C814" s="240"/>
      <c r="D814" s="241"/>
      <c r="E814" s="241"/>
      <c r="F814" s="241"/>
      <c r="G814" s="241"/>
      <c r="H814" s="241"/>
      <c r="I814" s="241"/>
      <c r="J814" s="241"/>
      <c r="K814" s="241"/>
      <c r="L814" s="241"/>
      <c r="M814" s="242"/>
      <c r="N814" s="241"/>
      <c r="O814" s="241"/>
      <c r="P814" s="241"/>
      <c r="Q814" s="241"/>
      <c r="R814" s="241"/>
      <c r="S814" s="241"/>
      <c r="T814" s="241"/>
      <c r="U814" s="241"/>
      <c r="V814" s="241"/>
      <c r="W814" s="241"/>
      <c r="X814" s="241"/>
      <c r="Y814" s="241"/>
      <c r="Z814" s="242"/>
      <c r="AA814" s="242"/>
      <c r="AB814" s="243"/>
      <c r="AC814" s="243"/>
      <c r="AD814" s="244"/>
      <c r="AE814" s="244"/>
      <c r="AF814" s="244"/>
      <c r="AG814" s="244"/>
    </row>
    <row r="815" spans="2:33" s="245" customFormat="1" hidden="1">
      <c r="B815" s="239"/>
      <c r="C815" s="240"/>
      <c r="D815" s="241"/>
      <c r="E815" s="241"/>
      <c r="F815" s="241"/>
      <c r="G815" s="241"/>
      <c r="H815" s="241"/>
      <c r="I815" s="241"/>
      <c r="J815" s="241"/>
      <c r="K815" s="241"/>
      <c r="L815" s="241"/>
      <c r="M815" s="242"/>
      <c r="N815" s="241"/>
      <c r="O815" s="241"/>
      <c r="P815" s="241"/>
      <c r="Q815" s="241"/>
      <c r="R815" s="241"/>
      <c r="S815" s="241"/>
      <c r="T815" s="241"/>
      <c r="U815" s="241"/>
      <c r="V815" s="241"/>
      <c r="W815" s="241"/>
      <c r="X815" s="241"/>
      <c r="Y815" s="241"/>
      <c r="Z815" s="242"/>
      <c r="AA815" s="242"/>
      <c r="AB815" s="243"/>
      <c r="AC815" s="243"/>
      <c r="AD815" s="244"/>
      <c r="AE815" s="244"/>
      <c r="AF815" s="244"/>
      <c r="AG815" s="244"/>
    </row>
    <row r="816" spans="2:33" s="245" customFormat="1" hidden="1">
      <c r="B816" s="239"/>
      <c r="C816" s="240"/>
      <c r="D816" s="241"/>
      <c r="E816" s="241"/>
      <c r="F816" s="241"/>
      <c r="G816" s="241"/>
      <c r="H816" s="241"/>
      <c r="I816" s="241"/>
      <c r="J816" s="241"/>
      <c r="K816" s="241"/>
      <c r="L816" s="241"/>
      <c r="M816" s="242"/>
      <c r="N816" s="241"/>
      <c r="O816" s="241"/>
      <c r="P816" s="241"/>
      <c r="Q816" s="241"/>
      <c r="R816" s="241"/>
      <c r="S816" s="241"/>
      <c r="T816" s="241"/>
      <c r="U816" s="241"/>
      <c r="V816" s="241"/>
      <c r="W816" s="241"/>
      <c r="X816" s="241"/>
      <c r="Y816" s="241"/>
      <c r="Z816" s="242"/>
      <c r="AA816" s="242"/>
      <c r="AB816" s="243"/>
      <c r="AC816" s="243"/>
      <c r="AD816" s="244"/>
      <c r="AE816" s="244"/>
      <c r="AF816" s="244"/>
      <c r="AG816" s="244"/>
    </row>
    <row r="817" spans="2:33" s="245" customFormat="1" hidden="1">
      <c r="B817" s="239"/>
      <c r="C817" s="240"/>
      <c r="D817" s="241"/>
      <c r="E817" s="241"/>
      <c r="F817" s="241"/>
      <c r="G817" s="241"/>
      <c r="H817" s="241"/>
      <c r="I817" s="241"/>
      <c r="J817" s="241"/>
      <c r="K817" s="241"/>
      <c r="L817" s="241"/>
      <c r="M817" s="242"/>
      <c r="N817" s="241"/>
      <c r="O817" s="241"/>
      <c r="P817" s="241"/>
      <c r="Q817" s="241"/>
      <c r="R817" s="241"/>
      <c r="S817" s="241"/>
      <c r="T817" s="241"/>
      <c r="U817" s="241"/>
      <c r="V817" s="241"/>
      <c r="W817" s="241"/>
      <c r="X817" s="241"/>
      <c r="Y817" s="241"/>
      <c r="Z817" s="242"/>
      <c r="AA817" s="242"/>
      <c r="AB817" s="243"/>
      <c r="AC817" s="243"/>
      <c r="AD817" s="244"/>
      <c r="AE817" s="244"/>
      <c r="AF817" s="244"/>
      <c r="AG817" s="244"/>
    </row>
    <row r="818" spans="2:33" s="245" customFormat="1" hidden="1">
      <c r="B818" s="239"/>
      <c r="C818" s="240"/>
      <c r="D818" s="241"/>
      <c r="E818" s="241"/>
      <c r="F818" s="241"/>
      <c r="G818" s="241"/>
      <c r="H818" s="241"/>
      <c r="I818" s="241"/>
      <c r="J818" s="241"/>
      <c r="K818" s="241"/>
      <c r="L818" s="241"/>
      <c r="M818" s="242"/>
      <c r="N818" s="241"/>
      <c r="O818" s="241"/>
      <c r="P818" s="241"/>
      <c r="Q818" s="241"/>
      <c r="R818" s="241"/>
      <c r="S818" s="241"/>
      <c r="T818" s="241"/>
      <c r="U818" s="241"/>
      <c r="V818" s="241"/>
      <c r="W818" s="241"/>
      <c r="X818" s="241"/>
      <c r="Y818" s="241"/>
      <c r="Z818" s="242"/>
      <c r="AA818" s="242"/>
      <c r="AB818" s="243"/>
      <c r="AC818" s="243"/>
      <c r="AD818" s="244"/>
      <c r="AE818" s="244"/>
      <c r="AF818" s="244"/>
      <c r="AG818" s="244"/>
    </row>
    <row r="819" spans="2:33" s="245" customFormat="1" hidden="1">
      <c r="B819" s="239"/>
      <c r="C819" s="240"/>
      <c r="D819" s="241"/>
      <c r="E819" s="241"/>
      <c r="F819" s="241"/>
      <c r="G819" s="241"/>
      <c r="H819" s="241"/>
      <c r="I819" s="241"/>
      <c r="J819" s="241"/>
      <c r="K819" s="241"/>
      <c r="L819" s="241"/>
      <c r="M819" s="242"/>
      <c r="N819" s="241"/>
      <c r="O819" s="241"/>
      <c r="P819" s="241"/>
      <c r="Q819" s="241"/>
      <c r="R819" s="241"/>
      <c r="S819" s="241"/>
      <c r="T819" s="241"/>
      <c r="U819" s="241"/>
      <c r="V819" s="241"/>
      <c r="W819" s="241"/>
      <c r="X819" s="241"/>
      <c r="Y819" s="241"/>
      <c r="Z819" s="242"/>
      <c r="AA819" s="242"/>
      <c r="AB819" s="243"/>
      <c r="AC819" s="243"/>
      <c r="AD819" s="244"/>
      <c r="AE819" s="244"/>
      <c r="AF819" s="244"/>
      <c r="AG819" s="244"/>
    </row>
    <row r="820" spans="2:33" s="245" customFormat="1" hidden="1">
      <c r="B820" s="239"/>
      <c r="C820" s="240"/>
      <c r="D820" s="241"/>
      <c r="E820" s="241"/>
      <c r="F820" s="241"/>
      <c r="G820" s="241"/>
      <c r="H820" s="241"/>
      <c r="I820" s="241"/>
      <c r="J820" s="241"/>
      <c r="K820" s="241"/>
      <c r="L820" s="241"/>
      <c r="M820" s="242"/>
      <c r="N820" s="241"/>
      <c r="O820" s="241"/>
      <c r="P820" s="241"/>
      <c r="Q820" s="241"/>
      <c r="R820" s="241"/>
      <c r="S820" s="241"/>
      <c r="T820" s="241"/>
      <c r="U820" s="241"/>
      <c r="V820" s="241"/>
      <c r="W820" s="241"/>
      <c r="X820" s="241"/>
      <c r="Y820" s="241"/>
      <c r="Z820" s="242"/>
      <c r="AA820" s="242"/>
      <c r="AB820" s="243"/>
      <c r="AC820" s="243"/>
      <c r="AD820" s="244"/>
      <c r="AE820" s="244"/>
      <c r="AF820" s="244"/>
      <c r="AG820" s="244"/>
    </row>
    <row r="821" spans="2:33" s="245" customFormat="1" hidden="1">
      <c r="B821" s="239"/>
      <c r="C821" s="240"/>
      <c r="D821" s="241"/>
      <c r="E821" s="241"/>
      <c r="F821" s="241"/>
      <c r="G821" s="241"/>
      <c r="H821" s="241"/>
      <c r="I821" s="241"/>
      <c r="J821" s="241"/>
      <c r="K821" s="241"/>
      <c r="L821" s="241"/>
      <c r="M821" s="242"/>
      <c r="N821" s="241"/>
      <c r="O821" s="241"/>
      <c r="P821" s="241"/>
      <c r="Q821" s="241"/>
      <c r="R821" s="241"/>
      <c r="S821" s="241"/>
      <c r="T821" s="241"/>
      <c r="U821" s="241"/>
      <c r="V821" s="241"/>
      <c r="W821" s="241"/>
      <c r="X821" s="241"/>
      <c r="Y821" s="241"/>
      <c r="Z821" s="242"/>
      <c r="AA821" s="242"/>
      <c r="AB821" s="243"/>
      <c r="AC821" s="243"/>
      <c r="AD821" s="244"/>
      <c r="AE821" s="244"/>
      <c r="AF821" s="244"/>
      <c r="AG821" s="244"/>
    </row>
    <row r="822" spans="2:33" s="245" customFormat="1" hidden="1">
      <c r="B822" s="239"/>
      <c r="C822" s="240"/>
      <c r="D822" s="241"/>
      <c r="E822" s="241"/>
      <c r="F822" s="241"/>
      <c r="G822" s="241"/>
      <c r="H822" s="241"/>
      <c r="I822" s="241"/>
      <c r="J822" s="241"/>
      <c r="K822" s="241"/>
      <c r="L822" s="241"/>
      <c r="M822" s="242"/>
      <c r="N822" s="241"/>
      <c r="O822" s="241"/>
      <c r="P822" s="241"/>
      <c r="Q822" s="241"/>
      <c r="R822" s="241"/>
      <c r="S822" s="241"/>
      <c r="T822" s="241"/>
      <c r="U822" s="241"/>
      <c r="V822" s="241"/>
      <c r="W822" s="241"/>
      <c r="X822" s="241"/>
      <c r="Y822" s="241"/>
      <c r="Z822" s="242"/>
      <c r="AA822" s="242"/>
      <c r="AB822" s="243"/>
      <c r="AC822" s="243"/>
      <c r="AD822" s="244"/>
      <c r="AE822" s="244"/>
      <c r="AF822" s="244"/>
      <c r="AG822" s="244"/>
    </row>
    <row r="823" spans="2:33" s="245" customFormat="1" hidden="1">
      <c r="B823" s="239"/>
      <c r="C823" s="240"/>
      <c r="D823" s="241"/>
      <c r="E823" s="241"/>
      <c r="F823" s="241"/>
      <c r="G823" s="241"/>
      <c r="H823" s="241"/>
      <c r="I823" s="241"/>
      <c r="J823" s="241"/>
      <c r="K823" s="241"/>
      <c r="L823" s="241"/>
      <c r="M823" s="242"/>
      <c r="N823" s="241"/>
      <c r="O823" s="241"/>
      <c r="P823" s="241"/>
      <c r="Q823" s="241"/>
      <c r="R823" s="241"/>
      <c r="S823" s="241"/>
      <c r="T823" s="241"/>
      <c r="U823" s="241"/>
      <c r="V823" s="241"/>
      <c r="W823" s="241"/>
      <c r="X823" s="241"/>
      <c r="Y823" s="241"/>
      <c r="Z823" s="242"/>
      <c r="AA823" s="242"/>
      <c r="AB823" s="243"/>
      <c r="AC823" s="243"/>
      <c r="AD823" s="244"/>
      <c r="AE823" s="244"/>
      <c r="AF823" s="244"/>
      <c r="AG823" s="244"/>
    </row>
    <row r="824" spans="2:33" s="245" customFormat="1" hidden="1">
      <c r="B824" s="239"/>
      <c r="C824" s="240"/>
      <c r="D824" s="241"/>
      <c r="E824" s="241"/>
      <c r="F824" s="241"/>
      <c r="G824" s="241"/>
      <c r="H824" s="241"/>
      <c r="I824" s="241"/>
      <c r="J824" s="241"/>
      <c r="K824" s="241"/>
      <c r="L824" s="241"/>
      <c r="M824" s="242"/>
      <c r="N824" s="241"/>
      <c r="O824" s="241"/>
      <c r="P824" s="241"/>
      <c r="Q824" s="241"/>
      <c r="R824" s="241"/>
      <c r="S824" s="241"/>
      <c r="T824" s="241"/>
      <c r="U824" s="241"/>
      <c r="V824" s="241"/>
      <c r="W824" s="241"/>
      <c r="X824" s="241"/>
      <c r="Y824" s="241"/>
      <c r="Z824" s="242"/>
      <c r="AA824" s="242"/>
      <c r="AB824" s="243"/>
      <c r="AC824" s="243"/>
      <c r="AD824" s="244"/>
      <c r="AE824" s="244"/>
      <c r="AF824" s="244"/>
      <c r="AG824" s="244"/>
    </row>
    <row r="825" spans="2:33" s="245" customFormat="1" hidden="1">
      <c r="B825" s="239"/>
      <c r="C825" s="240"/>
      <c r="D825" s="241"/>
      <c r="E825" s="241"/>
      <c r="F825" s="241"/>
      <c r="G825" s="241"/>
      <c r="H825" s="241"/>
      <c r="I825" s="241"/>
      <c r="J825" s="241"/>
      <c r="K825" s="241"/>
      <c r="L825" s="241"/>
      <c r="M825" s="242"/>
      <c r="N825" s="241"/>
      <c r="O825" s="241"/>
      <c r="P825" s="241"/>
      <c r="Q825" s="241"/>
      <c r="R825" s="241"/>
      <c r="S825" s="241"/>
      <c r="T825" s="241"/>
      <c r="U825" s="241"/>
      <c r="V825" s="241"/>
      <c r="W825" s="241"/>
      <c r="X825" s="241"/>
      <c r="Y825" s="241"/>
      <c r="Z825" s="242"/>
      <c r="AA825" s="242"/>
      <c r="AB825" s="243"/>
      <c r="AC825" s="243"/>
      <c r="AD825" s="244"/>
      <c r="AE825" s="244"/>
      <c r="AF825" s="244"/>
      <c r="AG825" s="244"/>
    </row>
    <row r="826" spans="2:33" s="245" customFormat="1" hidden="1">
      <c r="B826" s="239"/>
      <c r="C826" s="240"/>
      <c r="D826" s="241"/>
      <c r="E826" s="241"/>
      <c r="F826" s="241"/>
      <c r="G826" s="241"/>
      <c r="H826" s="241"/>
      <c r="I826" s="241"/>
      <c r="J826" s="241"/>
      <c r="K826" s="241"/>
      <c r="L826" s="241"/>
      <c r="M826" s="242"/>
      <c r="N826" s="241"/>
      <c r="O826" s="241"/>
      <c r="P826" s="241"/>
      <c r="Q826" s="241"/>
      <c r="R826" s="241"/>
      <c r="S826" s="241"/>
      <c r="T826" s="241"/>
      <c r="U826" s="241"/>
      <c r="V826" s="241"/>
      <c r="W826" s="241"/>
      <c r="X826" s="241"/>
      <c r="Y826" s="241"/>
      <c r="Z826" s="242"/>
      <c r="AA826" s="242"/>
      <c r="AB826" s="243"/>
      <c r="AC826" s="243"/>
      <c r="AD826" s="244"/>
      <c r="AE826" s="244"/>
      <c r="AF826" s="244"/>
      <c r="AG826" s="244"/>
    </row>
    <row r="827" spans="2:33" s="245" customFormat="1" hidden="1">
      <c r="B827" s="239"/>
      <c r="C827" s="240"/>
      <c r="D827" s="241"/>
      <c r="E827" s="241"/>
      <c r="F827" s="241"/>
      <c r="G827" s="241"/>
      <c r="H827" s="241"/>
      <c r="I827" s="241"/>
      <c r="J827" s="241"/>
      <c r="K827" s="241"/>
      <c r="L827" s="241"/>
      <c r="M827" s="242"/>
      <c r="N827" s="241"/>
      <c r="O827" s="241"/>
      <c r="P827" s="241"/>
      <c r="Q827" s="241"/>
      <c r="R827" s="241"/>
      <c r="S827" s="241"/>
      <c r="T827" s="241"/>
      <c r="U827" s="241"/>
      <c r="V827" s="241"/>
      <c r="W827" s="241"/>
      <c r="X827" s="241"/>
      <c r="Y827" s="241"/>
      <c r="Z827" s="242"/>
      <c r="AA827" s="242"/>
      <c r="AB827" s="243"/>
      <c r="AC827" s="243"/>
      <c r="AD827" s="244"/>
      <c r="AE827" s="244"/>
      <c r="AF827" s="244"/>
      <c r="AG827" s="244"/>
    </row>
    <row r="828" spans="2:33" s="245" customFormat="1" hidden="1">
      <c r="B828" s="239"/>
      <c r="C828" s="240"/>
      <c r="D828" s="241"/>
      <c r="E828" s="241"/>
      <c r="F828" s="241"/>
      <c r="G828" s="241"/>
      <c r="H828" s="241"/>
      <c r="I828" s="241"/>
      <c r="J828" s="241"/>
      <c r="K828" s="241"/>
      <c r="L828" s="241"/>
      <c r="M828" s="242"/>
      <c r="N828" s="241"/>
      <c r="O828" s="241"/>
      <c r="P828" s="241"/>
      <c r="Q828" s="241"/>
      <c r="R828" s="241"/>
      <c r="S828" s="241"/>
      <c r="T828" s="241"/>
      <c r="U828" s="241"/>
      <c r="V828" s="241"/>
      <c r="W828" s="241"/>
      <c r="X828" s="241"/>
      <c r="Y828" s="241"/>
      <c r="Z828" s="242"/>
      <c r="AA828" s="242"/>
      <c r="AB828" s="243"/>
      <c r="AC828" s="243"/>
      <c r="AD828" s="244"/>
      <c r="AE828" s="244"/>
      <c r="AF828" s="244"/>
      <c r="AG828" s="244"/>
    </row>
    <row r="829" spans="2:33" s="245" customFormat="1" hidden="1">
      <c r="B829" s="239"/>
      <c r="C829" s="240"/>
      <c r="D829" s="241"/>
      <c r="E829" s="241"/>
      <c r="F829" s="241"/>
      <c r="G829" s="241"/>
      <c r="H829" s="241"/>
      <c r="I829" s="241"/>
      <c r="J829" s="241"/>
      <c r="K829" s="241"/>
      <c r="L829" s="241"/>
      <c r="M829" s="242"/>
      <c r="N829" s="241"/>
      <c r="O829" s="241"/>
      <c r="P829" s="241"/>
      <c r="Q829" s="241"/>
      <c r="R829" s="241"/>
      <c r="S829" s="241"/>
      <c r="T829" s="241"/>
      <c r="U829" s="241"/>
      <c r="V829" s="241"/>
      <c r="W829" s="241"/>
      <c r="X829" s="241"/>
      <c r="Y829" s="241"/>
      <c r="Z829" s="242"/>
      <c r="AA829" s="242"/>
      <c r="AB829" s="243"/>
      <c r="AC829" s="243"/>
      <c r="AD829" s="244"/>
      <c r="AE829" s="244"/>
      <c r="AF829" s="244"/>
      <c r="AG829" s="244"/>
    </row>
    <row r="830" spans="2:33" s="245" customFormat="1" hidden="1">
      <c r="B830" s="239"/>
      <c r="C830" s="240"/>
      <c r="D830" s="241"/>
      <c r="E830" s="241"/>
      <c r="F830" s="241"/>
      <c r="G830" s="241"/>
      <c r="H830" s="241"/>
      <c r="I830" s="241"/>
      <c r="J830" s="241"/>
      <c r="K830" s="241"/>
      <c r="L830" s="241"/>
      <c r="M830" s="242"/>
      <c r="N830" s="241"/>
      <c r="O830" s="241"/>
      <c r="P830" s="241"/>
      <c r="Q830" s="241"/>
      <c r="R830" s="241"/>
      <c r="S830" s="241"/>
      <c r="T830" s="241"/>
      <c r="U830" s="241"/>
      <c r="V830" s="241"/>
      <c r="W830" s="241"/>
      <c r="X830" s="241"/>
      <c r="Y830" s="241"/>
      <c r="Z830" s="242"/>
      <c r="AA830" s="242"/>
      <c r="AB830" s="243"/>
      <c r="AC830" s="243"/>
      <c r="AD830" s="244"/>
      <c r="AE830" s="244"/>
      <c r="AF830" s="244"/>
      <c r="AG830" s="244"/>
    </row>
    <row r="831" spans="2:33" s="245" customFormat="1" hidden="1">
      <c r="B831" s="239"/>
      <c r="C831" s="240"/>
      <c r="D831" s="241"/>
      <c r="E831" s="241"/>
      <c r="F831" s="241"/>
      <c r="G831" s="241"/>
      <c r="H831" s="241"/>
      <c r="I831" s="241"/>
      <c r="J831" s="241"/>
      <c r="K831" s="241"/>
      <c r="L831" s="241"/>
      <c r="M831" s="242"/>
      <c r="N831" s="241"/>
      <c r="O831" s="241"/>
      <c r="P831" s="241"/>
      <c r="Q831" s="241"/>
      <c r="R831" s="241"/>
      <c r="S831" s="241"/>
      <c r="T831" s="241"/>
      <c r="U831" s="241"/>
      <c r="V831" s="241"/>
      <c r="W831" s="241"/>
      <c r="X831" s="241"/>
      <c r="Y831" s="241"/>
      <c r="Z831" s="242"/>
      <c r="AA831" s="242"/>
      <c r="AB831" s="243"/>
      <c r="AC831" s="243"/>
      <c r="AD831" s="244"/>
      <c r="AE831" s="244"/>
      <c r="AF831" s="244"/>
      <c r="AG831" s="244"/>
    </row>
    <row r="832" spans="2:33" s="245" customFormat="1" hidden="1">
      <c r="B832" s="239"/>
      <c r="C832" s="240"/>
      <c r="D832" s="241"/>
      <c r="E832" s="241"/>
      <c r="F832" s="241"/>
      <c r="G832" s="241"/>
      <c r="H832" s="241"/>
      <c r="I832" s="241"/>
      <c r="J832" s="241"/>
      <c r="K832" s="241"/>
      <c r="L832" s="241"/>
      <c r="M832" s="242"/>
      <c r="N832" s="241"/>
      <c r="O832" s="241"/>
      <c r="P832" s="241"/>
      <c r="Q832" s="241"/>
      <c r="R832" s="241"/>
      <c r="S832" s="241"/>
      <c r="T832" s="241"/>
      <c r="U832" s="241"/>
      <c r="V832" s="241"/>
      <c r="W832" s="241"/>
      <c r="X832" s="241"/>
      <c r="Y832" s="241"/>
      <c r="Z832" s="242"/>
      <c r="AA832" s="242"/>
      <c r="AB832" s="243"/>
      <c r="AC832" s="243"/>
      <c r="AD832" s="244"/>
      <c r="AE832" s="244"/>
      <c r="AF832" s="244"/>
      <c r="AG832" s="244"/>
    </row>
    <row r="833" spans="2:33" s="245" customFormat="1" hidden="1">
      <c r="B833" s="239"/>
      <c r="C833" s="240"/>
      <c r="D833" s="241"/>
      <c r="E833" s="241"/>
      <c r="F833" s="241"/>
      <c r="G833" s="241"/>
      <c r="H833" s="241"/>
      <c r="I833" s="241"/>
      <c r="J833" s="241"/>
      <c r="K833" s="241"/>
      <c r="L833" s="241"/>
      <c r="M833" s="242"/>
      <c r="N833" s="241"/>
      <c r="O833" s="241"/>
      <c r="P833" s="241"/>
      <c r="Q833" s="241"/>
      <c r="R833" s="241"/>
      <c r="S833" s="241"/>
      <c r="T833" s="241"/>
      <c r="U833" s="241"/>
      <c r="V833" s="241"/>
      <c r="W833" s="241"/>
      <c r="X833" s="241"/>
      <c r="Y833" s="241"/>
      <c r="Z833" s="242"/>
      <c r="AA833" s="242"/>
      <c r="AB833" s="243"/>
      <c r="AC833" s="243"/>
      <c r="AD833" s="244"/>
      <c r="AE833" s="244"/>
      <c r="AF833" s="244"/>
      <c r="AG833" s="244"/>
    </row>
    <row r="834" spans="2:33" s="245" customFormat="1" hidden="1">
      <c r="B834" s="239"/>
      <c r="C834" s="240"/>
      <c r="D834" s="241"/>
      <c r="E834" s="241"/>
      <c r="F834" s="241"/>
      <c r="G834" s="241"/>
      <c r="H834" s="241"/>
      <c r="I834" s="241"/>
      <c r="J834" s="241"/>
      <c r="K834" s="241"/>
      <c r="L834" s="241"/>
      <c r="M834" s="242"/>
      <c r="N834" s="241"/>
      <c r="O834" s="241"/>
      <c r="P834" s="241"/>
      <c r="Q834" s="241"/>
      <c r="R834" s="241"/>
      <c r="S834" s="241"/>
      <c r="T834" s="241"/>
      <c r="U834" s="241"/>
      <c r="V834" s="241"/>
      <c r="W834" s="241"/>
      <c r="X834" s="241"/>
      <c r="Y834" s="241"/>
      <c r="Z834" s="242"/>
      <c r="AA834" s="242"/>
      <c r="AB834" s="243"/>
      <c r="AC834" s="243"/>
      <c r="AD834" s="244"/>
      <c r="AE834" s="244"/>
      <c r="AF834" s="244"/>
      <c r="AG834" s="244"/>
    </row>
    <row r="835" spans="2:33" s="245" customFormat="1" hidden="1">
      <c r="B835" s="239"/>
      <c r="C835" s="240"/>
      <c r="D835" s="241"/>
      <c r="E835" s="241"/>
      <c r="F835" s="241"/>
      <c r="G835" s="241"/>
      <c r="H835" s="241"/>
      <c r="I835" s="241"/>
      <c r="J835" s="241"/>
      <c r="K835" s="241"/>
      <c r="L835" s="241"/>
      <c r="M835" s="242"/>
      <c r="N835" s="241"/>
      <c r="O835" s="241"/>
      <c r="P835" s="241"/>
      <c r="Q835" s="241"/>
      <c r="R835" s="241"/>
      <c r="S835" s="241"/>
      <c r="T835" s="241"/>
      <c r="U835" s="241"/>
      <c r="V835" s="241"/>
      <c r="W835" s="241"/>
      <c r="X835" s="241"/>
      <c r="Y835" s="241"/>
      <c r="Z835" s="242"/>
      <c r="AA835" s="242"/>
      <c r="AB835" s="243"/>
      <c r="AC835" s="243"/>
      <c r="AD835" s="244"/>
      <c r="AE835" s="244"/>
      <c r="AF835" s="244"/>
      <c r="AG835" s="244"/>
    </row>
    <row r="836" spans="2:33" s="245" customFormat="1" hidden="1">
      <c r="B836" s="239"/>
      <c r="C836" s="240"/>
      <c r="D836" s="241"/>
      <c r="E836" s="241"/>
      <c r="F836" s="241"/>
      <c r="G836" s="241"/>
      <c r="H836" s="241"/>
      <c r="I836" s="241"/>
      <c r="J836" s="241"/>
      <c r="K836" s="241"/>
      <c r="L836" s="241"/>
      <c r="M836" s="242"/>
      <c r="N836" s="241"/>
      <c r="O836" s="241"/>
      <c r="P836" s="241"/>
      <c r="Q836" s="241"/>
      <c r="R836" s="241"/>
      <c r="S836" s="241"/>
      <c r="T836" s="241"/>
      <c r="U836" s="241"/>
      <c r="V836" s="241"/>
      <c r="W836" s="241"/>
      <c r="X836" s="241"/>
      <c r="Y836" s="241"/>
      <c r="Z836" s="242"/>
      <c r="AA836" s="242"/>
      <c r="AB836" s="243"/>
      <c r="AC836" s="243"/>
      <c r="AD836" s="244"/>
      <c r="AE836" s="244"/>
      <c r="AF836" s="244"/>
      <c r="AG836" s="244"/>
    </row>
    <row r="837" spans="2:33" s="245" customFormat="1" hidden="1">
      <c r="B837" s="239"/>
      <c r="C837" s="240"/>
      <c r="D837" s="241"/>
      <c r="E837" s="241"/>
      <c r="F837" s="241"/>
      <c r="G837" s="241"/>
      <c r="H837" s="241"/>
      <c r="I837" s="241"/>
      <c r="J837" s="241"/>
      <c r="K837" s="241"/>
      <c r="L837" s="241"/>
      <c r="M837" s="242"/>
      <c r="N837" s="241"/>
      <c r="O837" s="241"/>
      <c r="P837" s="241"/>
      <c r="Q837" s="241"/>
      <c r="R837" s="241"/>
      <c r="S837" s="241"/>
      <c r="T837" s="241"/>
      <c r="U837" s="241"/>
      <c r="V837" s="241"/>
      <c r="W837" s="241"/>
      <c r="X837" s="241"/>
      <c r="Y837" s="241"/>
      <c r="Z837" s="242"/>
      <c r="AA837" s="242"/>
      <c r="AB837" s="243"/>
      <c r="AC837" s="243"/>
      <c r="AD837" s="244"/>
      <c r="AE837" s="244"/>
      <c r="AF837" s="244"/>
      <c r="AG837" s="244"/>
    </row>
    <row r="838" spans="2:33" s="245" customFormat="1" hidden="1">
      <c r="B838" s="239"/>
      <c r="C838" s="240"/>
      <c r="D838" s="241"/>
      <c r="E838" s="241"/>
      <c r="F838" s="241"/>
      <c r="G838" s="241"/>
      <c r="H838" s="241"/>
      <c r="I838" s="241"/>
      <c r="J838" s="241"/>
      <c r="K838" s="241"/>
      <c r="L838" s="241"/>
      <c r="M838" s="242"/>
      <c r="N838" s="241"/>
      <c r="O838" s="241"/>
      <c r="P838" s="241"/>
      <c r="Q838" s="241"/>
      <c r="R838" s="241"/>
      <c r="S838" s="241"/>
      <c r="T838" s="241"/>
      <c r="U838" s="241"/>
      <c r="V838" s="241"/>
      <c r="W838" s="241"/>
      <c r="X838" s="241"/>
      <c r="Y838" s="241"/>
      <c r="Z838" s="242"/>
      <c r="AA838" s="242"/>
      <c r="AB838" s="243"/>
      <c r="AC838" s="243"/>
      <c r="AD838" s="244"/>
      <c r="AE838" s="244"/>
      <c r="AF838" s="244"/>
      <c r="AG838" s="244"/>
    </row>
    <row r="839" spans="2:33" s="245" customFormat="1" hidden="1">
      <c r="B839" s="239"/>
      <c r="C839" s="240"/>
      <c r="D839" s="241"/>
      <c r="E839" s="241"/>
      <c r="F839" s="241"/>
      <c r="G839" s="241"/>
      <c r="H839" s="241"/>
      <c r="I839" s="241"/>
      <c r="J839" s="241"/>
      <c r="K839" s="241"/>
      <c r="L839" s="241"/>
      <c r="M839" s="242"/>
      <c r="N839" s="241"/>
      <c r="O839" s="241"/>
      <c r="P839" s="241"/>
      <c r="Q839" s="241"/>
      <c r="R839" s="241"/>
      <c r="S839" s="241"/>
      <c r="T839" s="241"/>
      <c r="U839" s="241"/>
      <c r="V839" s="241"/>
      <c r="W839" s="241"/>
      <c r="X839" s="241"/>
      <c r="Y839" s="241"/>
      <c r="Z839" s="242"/>
      <c r="AA839" s="242"/>
      <c r="AB839" s="243"/>
      <c r="AC839" s="243"/>
      <c r="AD839" s="244"/>
      <c r="AE839" s="244"/>
      <c r="AF839" s="244"/>
      <c r="AG839" s="244"/>
    </row>
    <row r="840" spans="2:33" s="245" customFormat="1" hidden="1">
      <c r="B840" s="239"/>
      <c r="C840" s="240"/>
      <c r="D840" s="241"/>
      <c r="E840" s="241"/>
      <c r="F840" s="241"/>
      <c r="G840" s="241"/>
      <c r="H840" s="241"/>
      <c r="I840" s="241"/>
      <c r="J840" s="241"/>
      <c r="K840" s="241"/>
      <c r="L840" s="241"/>
      <c r="M840" s="242"/>
      <c r="N840" s="241"/>
      <c r="O840" s="241"/>
      <c r="P840" s="241"/>
      <c r="Q840" s="241"/>
      <c r="R840" s="241"/>
      <c r="S840" s="241"/>
      <c r="T840" s="241"/>
      <c r="U840" s="241"/>
      <c r="V840" s="241"/>
      <c r="W840" s="241"/>
      <c r="X840" s="241"/>
      <c r="Y840" s="241"/>
      <c r="Z840" s="242"/>
      <c r="AA840" s="242"/>
      <c r="AB840" s="243"/>
      <c r="AC840" s="243"/>
      <c r="AD840" s="244"/>
      <c r="AE840" s="244"/>
      <c r="AF840" s="244"/>
      <c r="AG840" s="244"/>
    </row>
    <row r="841" spans="2:33" s="245" customFormat="1" hidden="1">
      <c r="B841" s="239"/>
      <c r="C841" s="240"/>
      <c r="D841" s="241"/>
      <c r="E841" s="241"/>
      <c r="F841" s="241"/>
      <c r="G841" s="241"/>
      <c r="H841" s="241"/>
      <c r="I841" s="241"/>
      <c r="J841" s="241"/>
      <c r="K841" s="241"/>
      <c r="L841" s="241"/>
      <c r="M841" s="242"/>
      <c r="N841" s="241"/>
      <c r="O841" s="241"/>
      <c r="P841" s="241"/>
      <c r="Q841" s="241"/>
      <c r="R841" s="241"/>
      <c r="S841" s="241"/>
      <c r="T841" s="241"/>
      <c r="U841" s="241"/>
      <c r="V841" s="241"/>
      <c r="W841" s="241"/>
      <c r="X841" s="241"/>
      <c r="Y841" s="241"/>
      <c r="Z841" s="242"/>
      <c r="AA841" s="242"/>
      <c r="AB841" s="243"/>
      <c r="AC841" s="243"/>
      <c r="AD841" s="244"/>
      <c r="AE841" s="244"/>
      <c r="AF841" s="244"/>
      <c r="AG841" s="244"/>
    </row>
    <row r="842" spans="2:33" s="245" customFormat="1" hidden="1">
      <c r="B842" s="239"/>
      <c r="C842" s="240"/>
      <c r="D842" s="241"/>
      <c r="E842" s="241"/>
      <c r="F842" s="241"/>
      <c r="G842" s="241"/>
      <c r="H842" s="241"/>
      <c r="I842" s="241"/>
      <c r="J842" s="241"/>
      <c r="K842" s="241"/>
      <c r="L842" s="241"/>
      <c r="M842" s="242"/>
      <c r="N842" s="241"/>
      <c r="O842" s="241"/>
      <c r="P842" s="241"/>
      <c r="Q842" s="241"/>
      <c r="R842" s="241"/>
      <c r="S842" s="241"/>
      <c r="T842" s="241"/>
      <c r="U842" s="241"/>
      <c r="V842" s="241"/>
      <c r="W842" s="241"/>
      <c r="X842" s="241"/>
      <c r="Y842" s="241"/>
      <c r="Z842" s="242"/>
      <c r="AA842" s="242"/>
      <c r="AB842" s="243"/>
      <c r="AC842" s="243"/>
      <c r="AD842" s="244"/>
      <c r="AE842" s="244"/>
      <c r="AF842" s="244"/>
      <c r="AG842" s="244"/>
    </row>
    <row r="843" spans="2:33" s="245" customFormat="1" hidden="1">
      <c r="B843" s="239"/>
      <c r="C843" s="240"/>
      <c r="D843" s="241"/>
      <c r="E843" s="241"/>
      <c r="F843" s="241"/>
      <c r="G843" s="241"/>
      <c r="H843" s="241"/>
      <c r="I843" s="241"/>
      <c r="J843" s="241"/>
      <c r="K843" s="241"/>
      <c r="L843" s="241"/>
      <c r="M843" s="242"/>
      <c r="N843" s="241"/>
      <c r="O843" s="241"/>
      <c r="P843" s="241"/>
      <c r="Q843" s="241"/>
      <c r="R843" s="241"/>
      <c r="S843" s="241"/>
      <c r="T843" s="241"/>
      <c r="U843" s="241"/>
      <c r="V843" s="241"/>
      <c r="W843" s="241"/>
      <c r="X843" s="241"/>
      <c r="Y843" s="241"/>
      <c r="Z843" s="242"/>
      <c r="AA843" s="242"/>
      <c r="AB843" s="243"/>
      <c r="AC843" s="243"/>
      <c r="AD843" s="244"/>
      <c r="AE843" s="244"/>
      <c r="AF843" s="244"/>
      <c r="AG843" s="244"/>
    </row>
    <row r="844" spans="2:33" s="245" customFormat="1" hidden="1">
      <c r="B844" s="239"/>
      <c r="C844" s="240"/>
      <c r="D844" s="241"/>
      <c r="E844" s="241"/>
      <c r="F844" s="241"/>
      <c r="G844" s="241"/>
      <c r="H844" s="241"/>
      <c r="I844" s="241"/>
      <c r="J844" s="241"/>
      <c r="K844" s="241"/>
      <c r="L844" s="241"/>
      <c r="M844" s="242"/>
      <c r="N844" s="241"/>
      <c r="O844" s="241"/>
      <c r="P844" s="241"/>
      <c r="Q844" s="241"/>
      <c r="R844" s="241"/>
      <c r="S844" s="241"/>
      <c r="T844" s="241"/>
      <c r="U844" s="241"/>
      <c r="V844" s="241"/>
      <c r="W844" s="241"/>
      <c r="X844" s="241"/>
      <c r="Y844" s="241"/>
      <c r="Z844" s="242"/>
      <c r="AA844" s="242"/>
      <c r="AB844" s="243"/>
      <c r="AC844" s="243"/>
      <c r="AD844" s="244"/>
      <c r="AE844" s="244"/>
      <c r="AF844" s="244"/>
      <c r="AG844" s="244"/>
    </row>
    <row r="845" spans="2:33" s="245" customFormat="1" hidden="1">
      <c r="B845" s="239"/>
      <c r="C845" s="240"/>
      <c r="D845" s="241"/>
      <c r="E845" s="241"/>
      <c r="F845" s="241"/>
      <c r="G845" s="241"/>
      <c r="H845" s="241"/>
      <c r="I845" s="241"/>
      <c r="J845" s="241"/>
      <c r="K845" s="241"/>
      <c r="L845" s="241"/>
      <c r="M845" s="242"/>
      <c r="N845" s="241"/>
      <c r="O845" s="241"/>
      <c r="P845" s="241"/>
      <c r="Q845" s="241"/>
      <c r="R845" s="241"/>
      <c r="S845" s="241"/>
      <c r="T845" s="241"/>
      <c r="U845" s="241"/>
      <c r="V845" s="241"/>
      <c r="W845" s="241"/>
      <c r="X845" s="241"/>
      <c r="Y845" s="241"/>
      <c r="Z845" s="242"/>
      <c r="AA845" s="242"/>
      <c r="AB845" s="243"/>
      <c r="AC845" s="243"/>
      <c r="AD845" s="244"/>
      <c r="AE845" s="244"/>
      <c r="AF845" s="244"/>
      <c r="AG845" s="244"/>
    </row>
    <row r="846" spans="2:33" s="245" customFormat="1" hidden="1">
      <c r="B846" s="239"/>
      <c r="C846" s="240"/>
      <c r="D846" s="241"/>
      <c r="E846" s="241"/>
      <c r="F846" s="241"/>
      <c r="G846" s="241"/>
      <c r="H846" s="241"/>
      <c r="I846" s="241"/>
      <c r="J846" s="241"/>
      <c r="K846" s="241"/>
      <c r="L846" s="241"/>
      <c r="M846" s="242"/>
      <c r="N846" s="241"/>
      <c r="O846" s="241"/>
      <c r="P846" s="241"/>
      <c r="Q846" s="241"/>
      <c r="R846" s="241"/>
      <c r="S846" s="241"/>
      <c r="T846" s="241"/>
      <c r="U846" s="241"/>
      <c r="V846" s="241"/>
      <c r="W846" s="241"/>
      <c r="X846" s="241"/>
      <c r="Y846" s="241"/>
      <c r="Z846" s="242"/>
      <c r="AA846" s="242"/>
      <c r="AB846" s="243"/>
      <c r="AC846" s="243"/>
      <c r="AD846" s="244"/>
      <c r="AE846" s="244"/>
      <c r="AF846" s="244"/>
      <c r="AG846" s="244"/>
    </row>
    <row r="847" spans="2:33" s="245" customFormat="1" hidden="1">
      <c r="B847" s="239"/>
      <c r="C847" s="240"/>
      <c r="D847" s="241"/>
      <c r="E847" s="241"/>
      <c r="F847" s="241"/>
      <c r="G847" s="241"/>
      <c r="H847" s="241"/>
      <c r="I847" s="241"/>
      <c r="J847" s="241"/>
      <c r="K847" s="241"/>
      <c r="L847" s="241"/>
      <c r="M847" s="242"/>
      <c r="N847" s="241"/>
      <c r="O847" s="241"/>
      <c r="P847" s="241"/>
      <c r="Q847" s="241"/>
      <c r="R847" s="241"/>
      <c r="S847" s="241"/>
      <c r="T847" s="241"/>
      <c r="U847" s="241"/>
      <c r="V847" s="241"/>
      <c r="W847" s="241"/>
      <c r="X847" s="241"/>
      <c r="Y847" s="241"/>
      <c r="Z847" s="242"/>
      <c r="AA847" s="242"/>
      <c r="AB847" s="243"/>
      <c r="AC847" s="243"/>
      <c r="AD847" s="244"/>
      <c r="AE847" s="244"/>
      <c r="AF847" s="244"/>
      <c r="AG847" s="244"/>
    </row>
    <row r="848" spans="2:33" s="245" customFormat="1" hidden="1">
      <c r="B848" s="239"/>
      <c r="C848" s="240"/>
      <c r="D848" s="241"/>
      <c r="E848" s="241"/>
      <c r="F848" s="241"/>
      <c r="G848" s="241"/>
      <c r="H848" s="241"/>
      <c r="I848" s="241"/>
      <c r="J848" s="241"/>
      <c r="K848" s="241"/>
      <c r="L848" s="241"/>
      <c r="M848" s="242"/>
      <c r="N848" s="241"/>
      <c r="O848" s="241"/>
      <c r="P848" s="241"/>
      <c r="Q848" s="241"/>
      <c r="R848" s="241"/>
      <c r="S848" s="241"/>
      <c r="T848" s="241"/>
      <c r="U848" s="241"/>
      <c r="V848" s="241"/>
      <c r="W848" s="241"/>
      <c r="X848" s="241"/>
      <c r="Y848" s="241"/>
      <c r="Z848" s="242"/>
      <c r="AA848" s="242"/>
      <c r="AB848" s="243"/>
      <c r="AC848" s="243"/>
      <c r="AD848" s="244"/>
      <c r="AE848" s="244"/>
      <c r="AF848" s="244"/>
      <c r="AG848" s="244"/>
    </row>
    <row r="849" spans="2:33" s="245" customFormat="1" hidden="1">
      <c r="B849" s="239"/>
      <c r="C849" s="240"/>
      <c r="D849" s="241"/>
      <c r="E849" s="241"/>
      <c r="F849" s="241"/>
      <c r="G849" s="241"/>
      <c r="H849" s="241"/>
      <c r="I849" s="241"/>
      <c r="J849" s="241"/>
      <c r="K849" s="241"/>
      <c r="L849" s="241"/>
      <c r="M849" s="242"/>
      <c r="N849" s="241"/>
      <c r="O849" s="241"/>
      <c r="P849" s="241"/>
      <c r="Q849" s="241"/>
      <c r="R849" s="241"/>
      <c r="S849" s="241"/>
      <c r="T849" s="241"/>
      <c r="U849" s="241"/>
      <c r="V849" s="241"/>
      <c r="W849" s="241"/>
      <c r="X849" s="241"/>
      <c r="Y849" s="241"/>
      <c r="Z849" s="242"/>
      <c r="AA849" s="242"/>
      <c r="AB849" s="243"/>
      <c r="AC849" s="243"/>
      <c r="AD849" s="244"/>
      <c r="AE849" s="244"/>
      <c r="AF849" s="244"/>
      <c r="AG849" s="244"/>
    </row>
    <row r="850" spans="2:33" s="245" customFormat="1" hidden="1">
      <c r="B850" s="239"/>
      <c r="C850" s="240"/>
      <c r="D850" s="241"/>
      <c r="E850" s="241"/>
      <c r="F850" s="241"/>
      <c r="G850" s="241"/>
      <c r="H850" s="241"/>
      <c r="I850" s="241"/>
      <c r="J850" s="241"/>
      <c r="K850" s="241"/>
      <c r="L850" s="241"/>
      <c r="M850" s="242"/>
      <c r="N850" s="241"/>
      <c r="O850" s="241"/>
      <c r="P850" s="241"/>
      <c r="Q850" s="241"/>
      <c r="R850" s="241"/>
      <c r="S850" s="241"/>
      <c r="T850" s="241"/>
      <c r="U850" s="241"/>
      <c r="V850" s="241"/>
      <c r="W850" s="241"/>
      <c r="X850" s="241"/>
      <c r="Y850" s="241"/>
      <c r="Z850" s="242"/>
      <c r="AA850" s="242"/>
      <c r="AB850" s="243"/>
      <c r="AC850" s="243"/>
      <c r="AD850" s="244"/>
      <c r="AE850" s="244"/>
      <c r="AF850" s="244"/>
      <c r="AG850" s="244"/>
    </row>
    <row r="851" spans="2:33" s="245" customFormat="1" hidden="1">
      <c r="B851" s="239"/>
      <c r="C851" s="240"/>
      <c r="D851" s="241"/>
      <c r="E851" s="241"/>
      <c r="F851" s="241"/>
      <c r="G851" s="241"/>
      <c r="H851" s="241"/>
      <c r="I851" s="241"/>
      <c r="J851" s="241"/>
      <c r="K851" s="241"/>
      <c r="L851" s="241"/>
      <c r="M851" s="242"/>
      <c r="N851" s="241"/>
      <c r="O851" s="241"/>
      <c r="P851" s="241"/>
      <c r="Q851" s="241"/>
      <c r="R851" s="241"/>
      <c r="S851" s="241"/>
      <c r="T851" s="241"/>
      <c r="U851" s="241"/>
      <c r="V851" s="241"/>
      <c r="W851" s="241"/>
      <c r="X851" s="241"/>
      <c r="Y851" s="241"/>
      <c r="Z851" s="242"/>
      <c r="AA851" s="242"/>
      <c r="AB851" s="243"/>
      <c r="AC851" s="243"/>
      <c r="AD851" s="244"/>
      <c r="AE851" s="244"/>
      <c r="AF851" s="244"/>
      <c r="AG851" s="244"/>
    </row>
    <row r="852" spans="2:33" s="245" customFormat="1" hidden="1">
      <c r="B852" s="239"/>
      <c r="C852" s="240"/>
      <c r="D852" s="241"/>
      <c r="E852" s="241"/>
      <c r="F852" s="241"/>
      <c r="G852" s="241"/>
      <c r="H852" s="241"/>
      <c r="I852" s="241"/>
      <c r="J852" s="241"/>
      <c r="K852" s="241"/>
      <c r="L852" s="241"/>
      <c r="M852" s="242"/>
      <c r="N852" s="241"/>
      <c r="O852" s="241"/>
      <c r="P852" s="241"/>
      <c r="Q852" s="241"/>
      <c r="R852" s="241"/>
      <c r="S852" s="241"/>
      <c r="T852" s="241"/>
      <c r="U852" s="241"/>
      <c r="V852" s="241"/>
      <c r="W852" s="241"/>
      <c r="X852" s="241"/>
      <c r="Y852" s="241"/>
      <c r="Z852" s="242"/>
      <c r="AA852" s="242"/>
      <c r="AB852" s="243"/>
      <c r="AC852" s="243"/>
      <c r="AD852" s="244"/>
      <c r="AE852" s="244"/>
      <c r="AF852" s="244"/>
      <c r="AG852" s="244"/>
    </row>
    <row r="853" spans="2:33" s="245" customFormat="1" hidden="1">
      <c r="B853" s="239"/>
      <c r="C853" s="240"/>
      <c r="D853" s="241"/>
      <c r="E853" s="241"/>
      <c r="F853" s="241"/>
      <c r="G853" s="241"/>
      <c r="H853" s="241"/>
      <c r="I853" s="241"/>
      <c r="J853" s="241"/>
      <c r="K853" s="241"/>
      <c r="L853" s="241"/>
      <c r="M853" s="242"/>
      <c r="N853" s="241"/>
      <c r="O853" s="241"/>
      <c r="P853" s="241"/>
      <c r="Q853" s="241"/>
      <c r="R853" s="241"/>
      <c r="S853" s="241"/>
      <c r="T853" s="241"/>
      <c r="U853" s="241"/>
      <c r="V853" s="241"/>
      <c r="W853" s="241"/>
      <c r="X853" s="241"/>
      <c r="Y853" s="241"/>
      <c r="Z853" s="242"/>
      <c r="AA853" s="242"/>
      <c r="AB853" s="243"/>
      <c r="AC853" s="243"/>
      <c r="AD853" s="244"/>
      <c r="AE853" s="244"/>
      <c r="AF853" s="244"/>
      <c r="AG853" s="244"/>
    </row>
    <row r="854" spans="2:33" s="245" customFormat="1" hidden="1">
      <c r="B854" s="239"/>
      <c r="C854" s="240"/>
      <c r="D854" s="241"/>
      <c r="E854" s="241"/>
      <c r="F854" s="241"/>
      <c r="G854" s="241"/>
      <c r="H854" s="241"/>
      <c r="I854" s="241"/>
      <c r="J854" s="241"/>
      <c r="K854" s="241"/>
      <c r="L854" s="241"/>
      <c r="M854" s="242"/>
      <c r="N854" s="241"/>
      <c r="O854" s="241"/>
      <c r="P854" s="241"/>
      <c r="Q854" s="241"/>
      <c r="R854" s="241"/>
      <c r="S854" s="241"/>
      <c r="T854" s="241"/>
      <c r="U854" s="241"/>
      <c r="V854" s="241"/>
      <c r="W854" s="241"/>
      <c r="X854" s="241"/>
      <c r="Y854" s="241"/>
      <c r="Z854" s="242"/>
      <c r="AA854" s="242"/>
      <c r="AB854" s="243"/>
      <c r="AC854" s="243"/>
      <c r="AD854" s="244"/>
      <c r="AE854" s="244"/>
      <c r="AF854" s="244"/>
      <c r="AG854" s="244"/>
    </row>
    <row r="855" spans="2:33" s="245" customFormat="1" hidden="1">
      <c r="B855" s="239"/>
      <c r="C855" s="240"/>
      <c r="D855" s="241"/>
      <c r="E855" s="241"/>
      <c r="F855" s="241"/>
      <c r="G855" s="241"/>
      <c r="H855" s="241"/>
      <c r="I855" s="241"/>
      <c r="J855" s="241"/>
      <c r="K855" s="241"/>
      <c r="L855" s="241"/>
      <c r="M855" s="242"/>
      <c r="N855" s="241"/>
      <c r="O855" s="241"/>
      <c r="P855" s="241"/>
      <c r="Q855" s="241"/>
      <c r="R855" s="241"/>
      <c r="S855" s="241"/>
      <c r="T855" s="241"/>
      <c r="U855" s="241"/>
      <c r="V855" s="241"/>
      <c r="W855" s="241"/>
      <c r="X855" s="241"/>
      <c r="Y855" s="241"/>
      <c r="Z855" s="242"/>
      <c r="AA855" s="242"/>
      <c r="AB855" s="243"/>
      <c r="AC855" s="243"/>
      <c r="AD855" s="244"/>
      <c r="AE855" s="244"/>
      <c r="AF855" s="244"/>
      <c r="AG855" s="244"/>
    </row>
    <row r="856" spans="2:33" s="245" customFormat="1" hidden="1">
      <c r="B856" s="239"/>
      <c r="C856" s="240"/>
      <c r="D856" s="241"/>
      <c r="E856" s="241"/>
      <c r="F856" s="241"/>
      <c r="G856" s="241"/>
      <c r="H856" s="241"/>
      <c r="I856" s="241"/>
      <c r="J856" s="241"/>
      <c r="K856" s="241"/>
      <c r="L856" s="241"/>
      <c r="M856" s="242"/>
      <c r="N856" s="241"/>
      <c r="O856" s="241"/>
      <c r="P856" s="241"/>
      <c r="Q856" s="241"/>
      <c r="R856" s="241"/>
      <c r="S856" s="241"/>
      <c r="T856" s="241"/>
      <c r="U856" s="241"/>
      <c r="V856" s="241"/>
      <c r="W856" s="241"/>
      <c r="X856" s="241"/>
      <c r="Y856" s="241"/>
      <c r="Z856" s="242"/>
      <c r="AA856" s="242"/>
      <c r="AB856" s="243"/>
      <c r="AC856" s="243"/>
      <c r="AD856" s="244"/>
      <c r="AE856" s="244"/>
      <c r="AF856" s="244"/>
      <c r="AG856" s="244"/>
    </row>
    <row r="857" spans="2:33" s="245" customFormat="1" hidden="1">
      <c r="B857" s="239"/>
      <c r="C857" s="240"/>
      <c r="D857" s="241"/>
      <c r="E857" s="241"/>
      <c r="F857" s="241"/>
      <c r="G857" s="241"/>
      <c r="H857" s="241"/>
      <c r="I857" s="241"/>
      <c r="J857" s="241"/>
      <c r="K857" s="241"/>
      <c r="L857" s="241"/>
      <c r="M857" s="242"/>
      <c r="N857" s="241"/>
      <c r="O857" s="241"/>
      <c r="P857" s="241"/>
      <c r="Q857" s="241"/>
      <c r="R857" s="241"/>
      <c r="S857" s="241"/>
      <c r="T857" s="241"/>
      <c r="U857" s="241"/>
      <c r="V857" s="241"/>
      <c r="W857" s="241"/>
      <c r="X857" s="241"/>
      <c r="Y857" s="241"/>
      <c r="Z857" s="242"/>
      <c r="AA857" s="242"/>
      <c r="AB857" s="243"/>
      <c r="AC857" s="243"/>
      <c r="AD857" s="244"/>
      <c r="AE857" s="244"/>
      <c r="AF857" s="244"/>
      <c r="AG857" s="244"/>
    </row>
    <row r="858" spans="2:33" s="245" customFormat="1" hidden="1">
      <c r="B858" s="239"/>
      <c r="C858" s="240"/>
      <c r="D858" s="241"/>
      <c r="E858" s="241"/>
      <c r="F858" s="241"/>
      <c r="G858" s="241"/>
      <c r="H858" s="241"/>
      <c r="I858" s="241"/>
      <c r="J858" s="241"/>
      <c r="K858" s="241"/>
      <c r="L858" s="241"/>
      <c r="M858" s="242"/>
      <c r="N858" s="241"/>
      <c r="O858" s="241"/>
      <c r="P858" s="241"/>
      <c r="Q858" s="241"/>
      <c r="R858" s="241"/>
      <c r="S858" s="241"/>
      <c r="T858" s="241"/>
      <c r="U858" s="241"/>
      <c r="V858" s="241"/>
      <c r="W858" s="241"/>
      <c r="X858" s="241"/>
      <c r="Y858" s="241"/>
      <c r="Z858" s="242"/>
      <c r="AA858" s="242"/>
      <c r="AB858" s="243"/>
      <c r="AC858" s="243"/>
      <c r="AD858" s="244"/>
      <c r="AE858" s="244"/>
      <c r="AF858" s="244"/>
      <c r="AG858" s="244"/>
    </row>
    <row r="859" spans="2:33" s="245" customFormat="1" hidden="1">
      <c r="B859" s="239"/>
      <c r="C859" s="240"/>
      <c r="D859" s="241"/>
      <c r="E859" s="241"/>
      <c r="F859" s="241"/>
      <c r="G859" s="241"/>
      <c r="H859" s="241"/>
      <c r="I859" s="241"/>
      <c r="J859" s="241"/>
      <c r="K859" s="241"/>
      <c r="L859" s="241"/>
      <c r="M859" s="242"/>
      <c r="N859" s="241"/>
      <c r="O859" s="241"/>
      <c r="P859" s="241"/>
      <c r="Q859" s="241"/>
      <c r="R859" s="241"/>
      <c r="S859" s="241"/>
      <c r="T859" s="241"/>
      <c r="U859" s="241"/>
      <c r="V859" s="241"/>
      <c r="W859" s="241"/>
      <c r="X859" s="241"/>
      <c r="Y859" s="241"/>
      <c r="Z859" s="242"/>
      <c r="AA859" s="242"/>
      <c r="AB859" s="243"/>
      <c r="AC859" s="243"/>
      <c r="AD859" s="244"/>
      <c r="AE859" s="244"/>
      <c r="AF859" s="244"/>
      <c r="AG859" s="244"/>
    </row>
    <row r="860" spans="2:33" s="245" customFormat="1" hidden="1">
      <c r="B860" s="239"/>
      <c r="C860" s="240"/>
      <c r="D860" s="241"/>
      <c r="E860" s="241"/>
      <c r="F860" s="241"/>
      <c r="G860" s="241"/>
      <c r="H860" s="241"/>
      <c r="I860" s="241"/>
      <c r="J860" s="241"/>
      <c r="K860" s="241"/>
      <c r="L860" s="241"/>
      <c r="M860" s="242"/>
      <c r="N860" s="241"/>
      <c r="O860" s="241"/>
      <c r="P860" s="241"/>
      <c r="Q860" s="241"/>
      <c r="R860" s="241"/>
      <c r="S860" s="241"/>
      <c r="T860" s="241"/>
      <c r="U860" s="241"/>
      <c r="V860" s="241"/>
      <c r="W860" s="241"/>
      <c r="X860" s="241"/>
      <c r="Y860" s="241"/>
      <c r="Z860" s="242"/>
      <c r="AA860" s="242"/>
      <c r="AB860" s="243"/>
      <c r="AC860" s="243"/>
      <c r="AD860" s="244"/>
      <c r="AE860" s="244"/>
      <c r="AF860" s="244"/>
      <c r="AG860" s="244"/>
    </row>
    <row r="861" spans="2:33" s="245" customFormat="1" hidden="1">
      <c r="B861" s="239"/>
      <c r="C861" s="240"/>
      <c r="D861" s="241"/>
      <c r="E861" s="241"/>
      <c r="F861" s="241"/>
      <c r="G861" s="241"/>
      <c r="H861" s="241"/>
      <c r="I861" s="241"/>
      <c r="J861" s="241"/>
      <c r="K861" s="241"/>
      <c r="L861" s="241"/>
      <c r="M861" s="242"/>
      <c r="N861" s="241"/>
      <c r="O861" s="241"/>
      <c r="P861" s="241"/>
      <c r="Q861" s="241"/>
      <c r="R861" s="241"/>
      <c r="S861" s="241"/>
      <c r="T861" s="241"/>
      <c r="U861" s="241"/>
      <c r="V861" s="241"/>
      <c r="W861" s="241"/>
      <c r="X861" s="241"/>
      <c r="Y861" s="241"/>
      <c r="Z861" s="242"/>
      <c r="AA861" s="242"/>
      <c r="AB861" s="243"/>
      <c r="AC861" s="243"/>
      <c r="AD861" s="244"/>
      <c r="AE861" s="244"/>
      <c r="AF861" s="244"/>
      <c r="AG861" s="244"/>
    </row>
    <row r="862" spans="2:33" s="245" customFormat="1" hidden="1">
      <c r="B862" s="239"/>
      <c r="C862" s="240"/>
      <c r="D862" s="241"/>
      <c r="E862" s="241"/>
      <c r="F862" s="241"/>
      <c r="G862" s="241"/>
      <c r="H862" s="241"/>
      <c r="I862" s="241"/>
      <c r="J862" s="241"/>
      <c r="K862" s="241"/>
      <c r="L862" s="241"/>
      <c r="M862" s="242"/>
      <c r="N862" s="241"/>
      <c r="O862" s="241"/>
      <c r="P862" s="241"/>
      <c r="Q862" s="241"/>
      <c r="R862" s="241"/>
      <c r="S862" s="241"/>
      <c r="T862" s="241"/>
      <c r="U862" s="241"/>
      <c r="V862" s="241"/>
      <c r="W862" s="241"/>
      <c r="X862" s="241"/>
      <c r="Y862" s="241"/>
      <c r="Z862" s="242"/>
      <c r="AA862" s="242"/>
      <c r="AB862" s="243"/>
      <c r="AC862" s="243"/>
      <c r="AD862" s="244"/>
      <c r="AE862" s="244"/>
      <c r="AF862" s="244"/>
      <c r="AG862" s="244"/>
    </row>
    <row r="863" spans="2:33" s="245" customFormat="1" hidden="1">
      <c r="B863" s="239"/>
      <c r="C863" s="240"/>
      <c r="D863" s="241"/>
      <c r="E863" s="241"/>
      <c r="F863" s="241"/>
      <c r="G863" s="241"/>
      <c r="H863" s="241"/>
      <c r="I863" s="241"/>
      <c r="J863" s="241"/>
      <c r="K863" s="241"/>
      <c r="L863" s="241"/>
      <c r="M863" s="242"/>
      <c r="N863" s="241"/>
      <c r="O863" s="241"/>
      <c r="P863" s="241"/>
      <c r="Q863" s="241"/>
      <c r="R863" s="241"/>
      <c r="S863" s="241"/>
      <c r="T863" s="241"/>
      <c r="U863" s="241"/>
      <c r="V863" s="241"/>
      <c r="W863" s="241"/>
      <c r="X863" s="241"/>
      <c r="Y863" s="241"/>
      <c r="Z863" s="242"/>
      <c r="AA863" s="242"/>
      <c r="AB863" s="243"/>
      <c r="AC863" s="243"/>
      <c r="AD863" s="244"/>
      <c r="AE863" s="244"/>
      <c r="AF863" s="244"/>
      <c r="AG863" s="244"/>
    </row>
    <row r="864" spans="2:33" s="245" customFormat="1" hidden="1">
      <c r="B864" s="239"/>
      <c r="C864" s="240"/>
      <c r="D864" s="241"/>
      <c r="E864" s="241"/>
      <c r="F864" s="241"/>
      <c r="G864" s="241"/>
      <c r="H864" s="241"/>
      <c r="I864" s="241"/>
      <c r="J864" s="241"/>
      <c r="K864" s="241"/>
      <c r="L864" s="241"/>
      <c r="M864" s="242"/>
      <c r="N864" s="241"/>
      <c r="O864" s="241"/>
      <c r="P864" s="241"/>
      <c r="Q864" s="241"/>
      <c r="R864" s="241"/>
      <c r="S864" s="241"/>
      <c r="T864" s="241"/>
      <c r="U864" s="241"/>
      <c r="V864" s="241"/>
      <c r="W864" s="241"/>
      <c r="X864" s="241"/>
      <c r="Y864" s="241"/>
      <c r="Z864" s="242"/>
      <c r="AA864" s="242"/>
      <c r="AB864" s="243"/>
      <c r="AC864" s="243"/>
      <c r="AD864" s="244"/>
      <c r="AE864" s="244"/>
      <c r="AF864" s="244"/>
      <c r="AG864" s="244"/>
    </row>
    <row r="865" spans="2:33" s="245" customFormat="1" hidden="1">
      <c r="B865" s="239"/>
      <c r="C865" s="240"/>
      <c r="D865" s="241"/>
      <c r="E865" s="241"/>
      <c r="F865" s="241"/>
      <c r="G865" s="241"/>
      <c r="H865" s="241"/>
      <c r="I865" s="241"/>
      <c r="J865" s="241"/>
      <c r="K865" s="241"/>
      <c r="L865" s="241"/>
      <c r="M865" s="242"/>
      <c r="N865" s="241"/>
      <c r="O865" s="241"/>
      <c r="P865" s="241"/>
      <c r="Q865" s="241"/>
      <c r="R865" s="241"/>
      <c r="S865" s="241"/>
      <c r="T865" s="241"/>
      <c r="U865" s="241"/>
      <c r="V865" s="241"/>
      <c r="W865" s="241"/>
      <c r="X865" s="241"/>
      <c r="Y865" s="241"/>
      <c r="Z865" s="242"/>
      <c r="AA865" s="242"/>
      <c r="AB865" s="243"/>
      <c r="AC865" s="243"/>
      <c r="AD865" s="244"/>
      <c r="AE865" s="244"/>
      <c r="AF865" s="244"/>
      <c r="AG865" s="244"/>
    </row>
    <row r="866" spans="2:33" s="245" customFormat="1" hidden="1">
      <c r="B866" s="239"/>
      <c r="C866" s="240"/>
      <c r="D866" s="241"/>
      <c r="E866" s="241"/>
      <c r="F866" s="241"/>
      <c r="G866" s="241"/>
      <c r="H866" s="241"/>
      <c r="I866" s="241"/>
      <c r="J866" s="241"/>
      <c r="K866" s="241"/>
      <c r="L866" s="241"/>
      <c r="M866" s="242"/>
      <c r="N866" s="241"/>
      <c r="O866" s="241"/>
      <c r="P866" s="241"/>
      <c r="Q866" s="241"/>
      <c r="R866" s="241"/>
      <c r="S866" s="241"/>
      <c r="T866" s="241"/>
      <c r="U866" s="241"/>
      <c r="V866" s="241"/>
      <c r="W866" s="241"/>
      <c r="X866" s="241"/>
      <c r="Y866" s="241"/>
      <c r="Z866" s="242"/>
      <c r="AA866" s="242"/>
      <c r="AB866" s="243"/>
      <c r="AC866" s="243"/>
      <c r="AD866" s="244"/>
      <c r="AE866" s="244"/>
      <c r="AF866" s="244"/>
      <c r="AG866" s="244"/>
    </row>
    <row r="867" spans="2:33" s="245" customFormat="1" hidden="1">
      <c r="B867" s="239"/>
      <c r="C867" s="240"/>
      <c r="D867" s="241"/>
      <c r="E867" s="241"/>
      <c r="F867" s="241"/>
      <c r="G867" s="241"/>
      <c r="H867" s="241"/>
      <c r="I867" s="241"/>
      <c r="J867" s="241"/>
      <c r="K867" s="241"/>
      <c r="L867" s="241"/>
      <c r="M867" s="242"/>
      <c r="N867" s="241"/>
      <c r="O867" s="241"/>
      <c r="P867" s="241"/>
      <c r="Q867" s="241"/>
      <c r="R867" s="241"/>
      <c r="S867" s="241"/>
      <c r="T867" s="241"/>
      <c r="U867" s="241"/>
      <c r="V867" s="241"/>
      <c r="W867" s="241"/>
      <c r="X867" s="241"/>
      <c r="Y867" s="241"/>
      <c r="Z867" s="242"/>
      <c r="AA867" s="242"/>
      <c r="AB867" s="243"/>
      <c r="AC867" s="243"/>
      <c r="AD867" s="244"/>
      <c r="AE867" s="244"/>
      <c r="AF867" s="244"/>
      <c r="AG867" s="244"/>
    </row>
    <row r="868" spans="2:33" s="245" customFormat="1" hidden="1">
      <c r="B868" s="239"/>
      <c r="C868" s="240"/>
      <c r="D868" s="241"/>
      <c r="E868" s="241"/>
      <c r="F868" s="241"/>
      <c r="G868" s="241"/>
      <c r="H868" s="241"/>
      <c r="I868" s="241"/>
      <c r="J868" s="241"/>
      <c r="K868" s="241"/>
      <c r="L868" s="241"/>
      <c r="M868" s="242"/>
      <c r="N868" s="241"/>
      <c r="O868" s="241"/>
      <c r="P868" s="241"/>
      <c r="Q868" s="241"/>
      <c r="R868" s="241"/>
      <c r="S868" s="241"/>
      <c r="T868" s="241"/>
      <c r="U868" s="241"/>
      <c r="V868" s="241"/>
      <c r="W868" s="241"/>
      <c r="X868" s="241"/>
      <c r="Y868" s="241"/>
      <c r="Z868" s="242"/>
      <c r="AA868" s="242"/>
      <c r="AB868" s="243"/>
      <c r="AC868" s="243"/>
      <c r="AD868" s="244"/>
      <c r="AE868" s="244"/>
      <c r="AF868" s="244"/>
      <c r="AG868" s="244"/>
    </row>
    <row r="869" spans="2:33" s="245" customFormat="1" hidden="1">
      <c r="B869" s="239"/>
      <c r="C869" s="240"/>
      <c r="D869" s="241"/>
      <c r="E869" s="241"/>
      <c r="F869" s="241"/>
      <c r="G869" s="241"/>
      <c r="H869" s="241"/>
      <c r="I869" s="241"/>
      <c r="J869" s="241"/>
      <c r="K869" s="241"/>
      <c r="L869" s="241"/>
      <c r="M869" s="242"/>
      <c r="N869" s="241"/>
      <c r="O869" s="241"/>
      <c r="P869" s="241"/>
      <c r="Q869" s="241"/>
      <c r="R869" s="241"/>
      <c r="S869" s="241"/>
      <c r="T869" s="241"/>
      <c r="U869" s="241"/>
      <c r="V869" s="241"/>
      <c r="W869" s="241"/>
      <c r="X869" s="241"/>
      <c r="Y869" s="241"/>
      <c r="Z869" s="242"/>
      <c r="AA869" s="242"/>
      <c r="AB869" s="243"/>
      <c r="AC869" s="243"/>
      <c r="AD869" s="244"/>
      <c r="AE869" s="244"/>
      <c r="AF869" s="244"/>
      <c r="AG869" s="244"/>
    </row>
    <row r="870" spans="2:33" s="245" customFormat="1" hidden="1">
      <c r="B870" s="239"/>
      <c r="C870" s="240"/>
      <c r="D870" s="241"/>
      <c r="E870" s="241"/>
      <c r="F870" s="241"/>
      <c r="G870" s="241"/>
      <c r="H870" s="241"/>
      <c r="I870" s="241"/>
      <c r="J870" s="241"/>
      <c r="K870" s="241"/>
      <c r="L870" s="241"/>
      <c r="M870" s="242"/>
      <c r="N870" s="241"/>
      <c r="O870" s="241"/>
      <c r="P870" s="241"/>
      <c r="Q870" s="241"/>
      <c r="R870" s="241"/>
      <c r="S870" s="241"/>
      <c r="T870" s="241"/>
      <c r="U870" s="241"/>
      <c r="V870" s="241"/>
      <c r="W870" s="241"/>
      <c r="X870" s="241"/>
      <c r="Y870" s="241"/>
      <c r="Z870" s="242"/>
      <c r="AA870" s="242"/>
      <c r="AB870" s="243"/>
      <c r="AC870" s="243"/>
      <c r="AD870" s="244"/>
      <c r="AE870" s="244"/>
      <c r="AF870" s="244"/>
      <c r="AG870" s="244"/>
    </row>
    <row r="871" spans="2:33" s="245" customFormat="1" hidden="1">
      <c r="B871" s="239"/>
      <c r="C871" s="240"/>
      <c r="D871" s="241"/>
      <c r="E871" s="241"/>
      <c r="F871" s="241"/>
      <c r="G871" s="241"/>
      <c r="H871" s="241"/>
      <c r="I871" s="241"/>
      <c r="J871" s="241"/>
      <c r="K871" s="241"/>
      <c r="L871" s="241"/>
      <c r="M871" s="242"/>
      <c r="N871" s="241"/>
      <c r="O871" s="241"/>
      <c r="P871" s="241"/>
      <c r="Q871" s="241"/>
      <c r="R871" s="241"/>
      <c r="S871" s="241"/>
      <c r="T871" s="241"/>
      <c r="U871" s="241"/>
      <c r="V871" s="241"/>
      <c r="W871" s="241"/>
      <c r="X871" s="241"/>
      <c r="Y871" s="241"/>
      <c r="Z871" s="242"/>
      <c r="AA871" s="242"/>
      <c r="AB871" s="243"/>
      <c r="AC871" s="243"/>
      <c r="AD871" s="244"/>
      <c r="AE871" s="244"/>
      <c r="AF871" s="244"/>
      <c r="AG871" s="244"/>
    </row>
    <row r="872" spans="2:33" s="245" customFormat="1" hidden="1">
      <c r="B872" s="239"/>
      <c r="C872" s="240"/>
      <c r="D872" s="241"/>
      <c r="E872" s="241"/>
      <c r="F872" s="241"/>
      <c r="G872" s="241"/>
      <c r="H872" s="241"/>
      <c r="I872" s="241"/>
      <c r="J872" s="241"/>
      <c r="K872" s="241"/>
      <c r="L872" s="241"/>
      <c r="M872" s="242"/>
      <c r="N872" s="241"/>
      <c r="O872" s="241"/>
      <c r="P872" s="241"/>
      <c r="Q872" s="241"/>
      <c r="R872" s="241"/>
      <c r="S872" s="241"/>
      <c r="T872" s="241"/>
      <c r="U872" s="241"/>
      <c r="V872" s="241"/>
      <c r="W872" s="241"/>
      <c r="X872" s="241"/>
      <c r="Y872" s="241"/>
      <c r="Z872" s="242"/>
      <c r="AA872" s="242"/>
      <c r="AB872" s="243"/>
      <c r="AC872" s="243"/>
      <c r="AD872" s="244"/>
      <c r="AE872" s="244"/>
      <c r="AF872" s="244"/>
      <c r="AG872" s="244"/>
    </row>
    <row r="873" spans="2:33" s="245" customFormat="1" hidden="1">
      <c r="B873" s="239"/>
      <c r="C873" s="240"/>
      <c r="D873" s="241"/>
      <c r="E873" s="241"/>
      <c r="F873" s="241"/>
      <c r="G873" s="241"/>
      <c r="H873" s="241"/>
      <c r="I873" s="241"/>
      <c r="J873" s="241"/>
      <c r="K873" s="241"/>
      <c r="L873" s="241"/>
      <c r="M873" s="242"/>
      <c r="N873" s="241"/>
      <c r="O873" s="241"/>
      <c r="P873" s="241"/>
      <c r="Q873" s="241"/>
      <c r="R873" s="241"/>
      <c r="S873" s="241"/>
      <c r="T873" s="241"/>
      <c r="U873" s="241"/>
      <c r="V873" s="241"/>
      <c r="W873" s="241"/>
      <c r="X873" s="241"/>
      <c r="Y873" s="241"/>
      <c r="Z873" s="242"/>
      <c r="AA873" s="242"/>
      <c r="AB873" s="243"/>
      <c r="AC873" s="243"/>
      <c r="AD873" s="244"/>
      <c r="AE873" s="244"/>
      <c r="AF873" s="244"/>
      <c r="AG873" s="244"/>
    </row>
    <row r="874" spans="2:33" s="245" customFormat="1" hidden="1">
      <c r="B874" s="239"/>
      <c r="C874" s="240"/>
      <c r="D874" s="241"/>
      <c r="E874" s="241"/>
      <c r="F874" s="241"/>
      <c r="G874" s="241"/>
      <c r="H874" s="241"/>
      <c r="I874" s="241"/>
      <c r="J874" s="241"/>
      <c r="K874" s="241"/>
      <c r="L874" s="241"/>
      <c r="M874" s="242"/>
      <c r="N874" s="241"/>
      <c r="O874" s="241"/>
      <c r="P874" s="241"/>
      <c r="Q874" s="241"/>
      <c r="R874" s="241"/>
      <c r="S874" s="241"/>
      <c r="T874" s="241"/>
      <c r="U874" s="241"/>
      <c r="V874" s="241"/>
      <c r="W874" s="241"/>
      <c r="X874" s="241"/>
      <c r="Y874" s="241"/>
      <c r="Z874" s="242"/>
      <c r="AA874" s="242"/>
      <c r="AB874" s="243"/>
      <c r="AC874" s="243"/>
      <c r="AD874" s="244"/>
      <c r="AE874" s="244"/>
      <c r="AF874" s="244"/>
      <c r="AG874" s="244"/>
    </row>
    <row r="875" spans="2:33" s="245" customFormat="1" hidden="1">
      <c r="B875" s="239"/>
      <c r="C875" s="240"/>
      <c r="D875" s="241"/>
      <c r="E875" s="241"/>
      <c r="F875" s="241"/>
      <c r="G875" s="241"/>
      <c r="H875" s="241"/>
      <c r="I875" s="241"/>
      <c r="J875" s="241"/>
      <c r="K875" s="241"/>
      <c r="L875" s="241"/>
      <c r="M875" s="242"/>
      <c r="N875" s="241"/>
      <c r="O875" s="241"/>
      <c r="P875" s="241"/>
      <c r="Q875" s="241"/>
      <c r="R875" s="241"/>
      <c r="S875" s="241"/>
      <c r="T875" s="241"/>
      <c r="U875" s="241"/>
      <c r="V875" s="241"/>
      <c r="W875" s="241"/>
      <c r="X875" s="241"/>
      <c r="Y875" s="241"/>
      <c r="Z875" s="242"/>
      <c r="AA875" s="242"/>
      <c r="AB875" s="243"/>
      <c r="AC875" s="243"/>
      <c r="AD875" s="244"/>
      <c r="AE875" s="244"/>
      <c r="AF875" s="244"/>
      <c r="AG875" s="244"/>
    </row>
    <row r="876" spans="2:33" s="245" customFormat="1" hidden="1">
      <c r="B876" s="239"/>
      <c r="C876" s="240"/>
      <c r="D876" s="241"/>
      <c r="E876" s="241"/>
      <c r="F876" s="241"/>
      <c r="G876" s="241"/>
      <c r="H876" s="241"/>
      <c r="I876" s="241"/>
      <c r="J876" s="241"/>
      <c r="K876" s="241"/>
      <c r="L876" s="241"/>
      <c r="M876" s="242"/>
      <c r="N876" s="241"/>
      <c r="O876" s="241"/>
      <c r="P876" s="241"/>
      <c r="Q876" s="241"/>
      <c r="R876" s="241"/>
      <c r="S876" s="241"/>
      <c r="T876" s="241"/>
      <c r="U876" s="241"/>
      <c r="V876" s="241"/>
      <c r="W876" s="241"/>
      <c r="X876" s="241"/>
      <c r="Y876" s="241"/>
      <c r="Z876" s="242"/>
      <c r="AA876" s="242"/>
      <c r="AB876" s="243"/>
      <c r="AC876" s="243"/>
      <c r="AD876" s="244"/>
      <c r="AE876" s="244"/>
      <c r="AF876" s="244"/>
      <c r="AG876" s="244"/>
    </row>
    <row r="877" spans="2:33" s="245" customFormat="1" hidden="1">
      <c r="B877" s="239"/>
      <c r="C877" s="240"/>
      <c r="D877" s="241"/>
      <c r="E877" s="241"/>
      <c r="F877" s="241"/>
      <c r="G877" s="241"/>
      <c r="H877" s="241"/>
      <c r="I877" s="241"/>
      <c r="J877" s="241"/>
      <c r="K877" s="425"/>
      <c r="L877" s="241"/>
      <c r="M877" s="242"/>
      <c r="N877" s="241"/>
      <c r="O877" s="241"/>
      <c r="P877" s="241"/>
      <c r="Q877" s="241"/>
      <c r="R877" s="241"/>
      <c r="S877" s="241"/>
      <c r="T877" s="241"/>
      <c r="U877" s="241"/>
      <c r="V877" s="241"/>
      <c r="W877" s="241"/>
      <c r="X877" s="241"/>
      <c r="Y877" s="241"/>
      <c r="Z877" s="242"/>
      <c r="AA877" s="242"/>
      <c r="AB877" s="243"/>
      <c r="AC877" s="243"/>
      <c r="AD877" s="244"/>
      <c r="AE877" s="244"/>
      <c r="AF877" s="244"/>
      <c r="AG877" s="244"/>
    </row>
    <row r="878" spans="2:33" s="245" customFormat="1" hidden="1">
      <c r="B878" s="239"/>
      <c r="C878" s="240"/>
      <c r="D878" s="241"/>
      <c r="E878" s="241"/>
      <c r="F878" s="241"/>
      <c r="G878" s="241"/>
      <c r="H878" s="241"/>
      <c r="I878" s="241"/>
      <c r="J878" s="241"/>
      <c r="K878" s="241"/>
      <c r="L878" s="241"/>
      <c r="M878" s="242"/>
      <c r="N878" s="241"/>
      <c r="O878" s="241"/>
      <c r="P878" s="241"/>
      <c r="Q878" s="241"/>
      <c r="R878" s="241"/>
      <c r="S878" s="241"/>
      <c r="T878" s="241"/>
      <c r="U878" s="241"/>
      <c r="V878" s="241"/>
      <c r="W878" s="241"/>
      <c r="X878" s="241"/>
      <c r="Y878" s="241"/>
      <c r="Z878" s="242"/>
      <c r="AA878" s="242"/>
      <c r="AB878" s="243"/>
      <c r="AC878" s="243"/>
      <c r="AD878" s="244"/>
      <c r="AE878" s="244"/>
      <c r="AF878" s="244"/>
      <c r="AG878" s="244"/>
    </row>
    <row r="879" spans="2:33" s="245" customFormat="1" hidden="1">
      <c r="B879" s="239"/>
      <c r="C879" s="240"/>
      <c r="D879" s="241"/>
      <c r="E879" s="241"/>
      <c r="F879" s="241"/>
      <c r="G879" s="241"/>
      <c r="H879" s="241"/>
      <c r="I879" s="241"/>
      <c r="J879" s="241"/>
      <c r="K879" s="241"/>
      <c r="L879" s="241"/>
      <c r="M879" s="242"/>
      <c r="N879" s="241"/>
      <c r="O879" s="241"/>
      <c r="P879" s="241"/>
      <c r="Q879" s="241"/>
      <c r="R879" s="241"/>
      <c r="S879" s="241"/>
      <c r="T879" s="241"/>
      <c r="U879" s="241"/>
      <c r="V879" s="241"/>
      <c r="W879" s="241"/>
      <c r="X879" s="241"/>
      <c r="Y879" s="241"/>
      <c r="Z879" s="242"/>
      <c r="AA879" s="242"/>
      <c r="AB879" s="243"/>
      <c r="AC879" s="243"/>
      <c r="AD879" s="244"/>
      <c r="AE879" s="244"/>
      <c r="AF879" s="244"/>
      <c r="AG879" s="244"/>
    </row>
    <row r="880" spans="2:33" s="245" customFormat="1" hidden="1">
      <c r="B880" s="239"/>
      <c r="C880" s="240"/>
      <c r="D880" s="241"/>
      <c r="E880" s="241"/>
      <c r="F880" s="241"/>
      <c r="G880" s="241"/>
      <c r="H880" s="241"/>
      <c r="I880" s="241"/>
      <c r="J880" s="241"/>
      <c r="K880" s="241"/>
      <c r="L880" s="241"/>
      <c r="M880" s="242"/>
      <c r="N880" s="241"/>
      <c r="O880" s="241"/>
      <c r="P880" s="241"/>
      <c r="Q880" s="241"/>
      <c r="R880" s="241"/>
      <c r="S880" s="241"/>
      <c r="T880" s="241"/>
      <c r="U880" s="241"/>
      <c r="V880" s="241"/>
      <c r="W880" s="241"/>
      <c r="X880" s="241"/>
      <c r="Y880" s="241"/>
      <c r="Z880" s="242"/>
      <c r="AA880" s="242"/>
      <c r="AB880" s="243"/>
      <c r="AC880" s="243"/>
      <c r="AD880" s="244"/>
      <c r="AE880" s="244"/>
      <c r="AF880" s="244"/>
      <c r="AG880" s="244"/>
    </row>
    <row r="881" spans="2:33" s="245" customFormat="1" hidden="1">
      <c r="B881" s="239"/>
      <c r="C881" s="240"/>
      <c r="D881" s="241"/>
      <c r="E881" s="241"/>
      <c r="F881" s="241"/>
      <c r="G881" s="241"/>
      <c r="H881" s="241"/>
      <c r="I881" s="241"/>
      <c r="J881" s="241"/>
      <c r="K881" s="241"/>
      <c r="L881" s="241"/>
      <c r="M881" s="242"/>
      <c r="N881" s="241"/>
      <c r="O881" s="241"/>
      <c r="P881" s="241"/>
      <c r="Q881" s="241"/>
      <c r="R881" s="241"/>
      <c r="S881" s="241"/>
      <c r="T881" s="241"/>
      <c r="U881" s="241"/>
      <c r="V881" s="241"/>
      <c r="W881" s="241"/>
      <c r="X881" s="241"/>
      <c r="Y881" s="241"/>
      <c r="Z881" s="242"/>
      <c r="AA881" s="242"/>
      <c r="AB881" s="243"/>
      <c r="AC881" s="243"/>
      <c r="AD881" s="244"/>
      <c r="AE881" s="244"/>
      <c r="AF881" s="244"/>
      <c r="AG881" s="244"/>
    </row>
    <row r="882" spans="2:33" s="245" customFormat="1" hidden="1">
      <c r="B882" s="239"/>
      <c r="C882" s="240">
        <v>43617</v>
      </c>
      <c r="D882" s="241" t="str">
        <f>"&gt;="&amp;C882</f>
        <v>&gt;=43617</v>
      </c>
      <c r="E882" s="241"/>
      <c r="F882" s="241"/>
      <c r="G882" s="241"/>
      <c r="H882" s="241"/>
      <c r="I882" s="241"/>
      <c r="J882" s="241"/>
      <c r="K882" s="241"/>
      <c r="L882" s="241"/>
      <c r="M882" s="242"/>
      <c r="N882" s="241"/>
      <c r="O882" s="241"/>
      <c r="P882" s="241"/>
      <c r="Q882" s="241"/>
      <c r="R882" s="241"/>
      <c r="S882" s="241"/>
      <c r="T882" s="241"/>
      <c r="U882" s="241"/>
      <c r="V882" s="241"/>
      <c r="W882" s="241"/>
      <c r="X882" s="241"/>
      <c r="Y882" s="241"/>
      <c r="Z882" s="242"/>
      <c r="AA882" s="242"/>
      <c r="AB882" s="243"/>
      <c r="AC882" s="243"/>
      <c r="AD882" s="244"/>
      <c r="AE882" s="244"/>
      <c r="AF882" s="244"/>
      <c r="AG882" s="244"/>
    </row>
    <row r="883" spans="2:33" s="245" customFormat="1" hidden="1">
      <c r="B883" s="239"/>
      <c r="C883" s="240">
        <v>43800</v>
      </c>
      <c r="D883" s="241" t="str">
        <f>"&lt;="&amp;C883</f>
        <v>&lt;=43800</v>
      </c>
      <c r="E883" s="241"/>
      <c r="F883" s="241"/>
      <c r="G883" s="241"/>
      <c r="H883" s="241"/>
      <c r="I883" s="241"/>
      <c r="J883" s="241"/>
      <c r="K883" s="241"/>
      <c r="L883" s="241"/>
      <c r="M883" s="242"/>
      <c r="N883" s="241"/>
      <c r="O883" s="241"/>
      <c r="P883" s="241"/>
      <c r="Q883" s="241"/>
      <c r="R883" s="241"/>
      <c r="S883" s="241"/>
      <c r="T883" s="241"/>
      <c r="U883" s="241"/>
      <c r="V883" s="241"/>
      <c r="W883" s="241"/>
      <c r="X883" s="241"/>
      <c r="Y883" s="241"/>
      <c r="Z883" s="242"/>
      <c r="AA883" s="242"/>
      <c r="AB883" s="243"/>
      <c r="AC883" s="243"/>
      <c r="AD883" s="244"/>
      <c r="AE883" s="244"/>
      <c r="AF883" s="244"/>
      <c r="AG883" s="244"/>
    </row>
    <row r="884" spans="2:33" s="245" customFormat="1" hidden="1">
      <c r="B884" s="239"/>
      <c r="C884" s="240"/>
      <c r="D884" s="241"/>
      <c r="E884" s="241"/>
      <c r="F884" s="241"/>
      <c r="G884" s="241"/>
      <c r="H884" s="241"/>
      <c r="I884" s="241"/>
      <c r="J884" s="241"/>
      <c r="K884" s="241"/>
      <c r="L884" s="241"/>
      <c r="M884" s="242"/>
      <c r="N884" s="241"/>
      <c r="O884" s="241"/>
      <c r="P884" s="241"/>
      <c r="Q884" s="241"/>
      <c r="R884" s="241"/>
      <c r="S884" s="241"/>
      <c r="T884" s="241"/>
      <c r="U884" s="241"/>
      <c r="V884" s="241"/>
      <c r="W884" s="241"/>
      <c r="X884" s="241"/>
      <c r="Y884" s="241"/>
      <c r="Z884" s="242"/>
      <c r="AA884" s="242"/>
      <c r="AB884" s="243"/>
      <c r="AC884" s="243"/>
      <c r="AD884" s="244"/>
      <c r="AE884" s="244"/>
      <c r="AF884" s="244"/>
      <c r="AG884" s="244"/>
    </row>
    <row r="885" spans="2:33" s="245" customFormat="1" hidden="1">
      <c r="B885" s="239"/>
      <c r="C885" s="240"/>
      <c r="D885" s="241"/>
      <c r="E885" s="241"/>
      <c r="F885" s="241"/>
      <c r="G885" s="241"/>
      <c r="H885" s="241"/>
      <c r="I885" s="241"/>
      <c r="J885" s="241"/>
      <c r="K885" s="241"/>
      <c r="L885" s="241"/>
      <c r="M885" s="242"/>
      <c r="N885" s="241"/>
      <c r="O885" s="241"/>
      <c r="P885" s="241"/>
      <c r="Q885" s="241"/>
      <c r="R885" s="241"/>
      <c r="S885" s="241"/>
      <c r="T885" s="241"/>
      <c r="U885" s="241"/>
      <c r="V885" s="241"/>
      <c r="W885" s="241"/>
      <c r="X885" s="241"/>
      <c r="Y885" s="241"/>
      <c r="Z885" s="242"/>
      <c r="AA885" s="242"/>
      <c r="AB885" s="243"/>
      <c r="AC885" s="243"/>
      <c r="AD885" s="244"/>
      <c r="AE885" s="244"/>
      <c r="AF885" s="244"/>
      <c r="AG885" s="244"/>
    </row>
    <row r="886" spans="2:33" s="245" customFormat="1" hidden="1">
      <c r="B886" s="239"/>
      <c r="C886" s="240"/>
      <c r="D886" s="241"/>
      <c r="E886" s="241"/>
      <c r="F886" s="241"/>
      <c r="G886" s="241"/>
      <c r="H886" s="241"/>
      <c r="I886" s="241"/>
      <c r="J886" s="241"/>
      <c r="K886" s="241"/>
      <c r="L886" s="241"/>
      <c r="M886" s="242"/>
      <c r="N886" s="241"/>
      <c r="O886" s="241"/>
      <c r="P886" s="241"/>
      <c r="Q886" s="241"/>
      <c r="R886" s="241"/>
      <c r="S886" s="241"/>
      <c r="T886" s="241"/>
      <c r="U886" s="241"/>
      <c r="V886" s="241"/>
      <c r="W886" s="241"/>
      <c r="X886" s="241"/>
      <c r="Y886" s="241"/>
      <c r="Z886" s="242"/>
      <c r="AA886" s="242"/>
      <c r="AB886" s="243"/>
      <c r="AC886" s="243"/>
      <c r="AD886" s="244"/>
      <c r="AE886" s="244"/>
      <c r="AF886" s="244"/>
      <c r="AG886" s="244"/>
    </row>
    <row r="887" spans="2:33" s="245" customFormat="1" hidden="1">
      <c r="B887" s="239"/>
      <c r="C887" s="240">
        <v>43525</v>
      </c>
      <c r="D887" s="426">
        <v>41000</v>
      </c>
      <c r="E887" s="241"/>
      <c r="F887" s="241"/>
      <c r="G887" s="426" t="str">
        <f>IF(AND(C887&lt;$C$882),"",IF(AND(C887&gt;$C$883),"",D887))</f>
        <v/>
      </c>
      <c r="H887" s="241"/>
      <c r="I887" s="241"/>
      <c r="J887" s="241"/>
      <c r="K887" s="241"/>
      <c r="L887" s="241"/>
      <c r="M887" s="242"/>
      <c r="N887" s="241"/>
      <c r="O887" s="241"/>
      <c r="P887" s="241"/>
      <c r="Q887" s="241"/>
      <c r="R887" s="241"/>
      <c r="S887" s="241"/>
      <c r="T887" s="241"/>
      <c r="U887" s="241"/>
      <c r="V887" s="241"/>
      <c r="W887" s="241"/>
      <c r="X887" s="241"/>
      <c r="Y887" s="241"/>
      <c r="Z887" s="242"/>
      <c r="AA887" s="242"/>
      <c r="AB887" s="243"/>
      <c r="AC887" s="243"/>
      <c r="AD887" s="244"/>
      <c r="AE887" s="244"/>
      <c r="AF887" s="244"/>
      <c r="AG887" s="244"/>
    </row>
    <row r="888" spans="2:33" s="245" customFormat="1" hidden="1">
      <c r="B888" s="239"/>
      <c r="C888" s="240">
        <v>43556</v>
      </c>
      <c r="D888" s="426">
        <v>41000</v>
      </c>
      <c r="E888" s="241"/>
      <c r="F888" s="241"/>
      <c r="G888" s="426" t="str">
        <f t="shared" ref="G888:G898" si="16">IF(AND(C888&lt;$C$882),"",IF(AND(C888&gt;$C$883),"",D888))</f>
        <v/>
      </c>
      <c r="H888" s="241"/>
      <c r="I888" s="241"/>
      <c r="J888" s="241"/>
      <c r="K888" s="241"/>
      <c r="L888" s="241"/>
      <c r="M888" s="242"/>
      <c r="N888" s="241"/>
      <c r="O888" s="241"/>
      <c r="P888" s="241"/>
      <c r="Q888" s="241"/>
      <c r="R888" s="241"/>
      <c r="S888" s="241"/>
      <c r="T888" s="241"/>
      <c r="U888" s="241"/>
      <c r="V888" s="241"/>
      <c r="W888" s="241"/>
      <c r="X888" s="241"/>
      <c r="Y888" s="241"/>
      <c r="Z888" s="242"/>
      <c r="AA888" s="242"/>
      <c r="AB888" s="243"/>
      <c r="AC888" s="243"/>
      <c r="AD888" s="244"/>
      <c r="AE888" s="244"/>
      <c r="AF888" s="244"/>
      <c r="AG888" s="244"/>
    </row>
    <row r="889" spans="2:33" s="245" customFormat="1" hidden="1">
      <c r="B889" s="239"/>
      <c r="C889" s="240">
        <v>43586</v>
      </c>
      <c r="D889" s="426">
        <v>41000</v>
      </c>
      <c r="E889" s="241"/>
      <c r="F889" s="241"/>
      <c r="G889" s="426" t="str">
        <f t="shared" si="16"/>
        <v/>
      </c>
      <c r="H889" s="241"/>
      <c r="I889" s="241"/>
      <c r="J889" s="241"/>
      <c r="K889" s="241"/>
      <c r="L889" s="241"/>
      <c r="M889" s="242"/>
      <c r="N889" s="241"/>
      <c r="O889" s="241"/>
      <c r="P889" s="241"/>
      <c r="Q889" s="241"/>
      <c r="R889" s="241"/>
      <c r="S889" s="241"/>
      <c r="T889" s="241"/>
      <c r="U889" s="241"/>
      <c r="V889" s="241"/>
      <c r="W889" s="241"/>
      <c r="X889" s="241"/>
      <c r="Y889" s="241"/>
      <c r="Z889" s="242"/>
      <c r="AA889" s="242"/>
      <c r="AB889" s="243"/>
      <c r="AC889" s="243"/>
      <c r="AD889" s="244"/>
      <c r="AE889" s="244"/>
      <c r="AF889" s="244"/>
      <c r="AG889" s="244"/>
    </row>
    <row r="890" spans="2:33" s="245" customFormat="1" hidden="1">
      <c r="B890" s="239"/>
      <c r="C890" s="240">
        <v>43617</v>
      </c>
      <c r="D890" s="426">
        <v>41000</v>
      </c>
      <c r="E890" s="241"/>
      <c r="F890" s="241"/>
      <c r="G890" s="426">
        <f t="shared" si="16"/>
        <v>41000</v>
      </c>
      <c r="H890" s="427"/>
      <c r="I890" s="241"/>
      <c r="J890" s="241"/>
      <c r="K890" s="241"/>
      <c r="L890" s="241"/>
      <c r="M890" s="242"/>
      <c r="N890" s="241"/>
      <c r="O890" s="241"/>
      <c r="P890" s="241"/>
      <c r="Q890" s="241"/>
      <c r="R890" s="241"/>
      <c r="S890" s="241"/>
      <c r="T890" s="241"/>
      <c r="U890" s="241"/>
      <c r="V890" s="241"/>
      <c r="W890" s="241"/>
      <c r="X890" s="241"/>
      <c r="Y890" s="241"/>
      <c r="Z890" s="242"/>
      <c r="AA890" s="242"/>
      <c r="AB890" s="243"/>
      <c r="AC890" s="243"/>
      <c r="AD890" s="244"/>
      <c r="AE890" s="244"/>
      <c r="AF890" s="244"/>
      <c r="AG890" s="244"/>
    </row>
    <row r="891" spans="2:33" s="245" customFormat="1" hidden="1">
      <c r="B891" s="239"/>
      <c r="C891" s="240">
        <v>43647</v>
      </c>
      <c r="D891" s="426">
        <v>41000</v>
      </c>
      <c r="E891" s="241"/>
      <c r="F891" s="241"/>
      <c r="G891" s="426">
        <f t="shared" si="16"/>
        <v>41000</v>
      </c>
      <c r="H891" s="241"/>
      <c r="I891" s="241"/>
      <c r="J891" s="241"/>
      <c r="K891" s="241"/>
      <c r="L891" s="241"/>
      <c r="M891" s="242"/>
      <c r="N891" s="241"/>
      <c r="O891" s="241"/>
      <c r="P891" s="241"/>
      <c r="Q891" s="241"/>
      <c r="R891" s="241"/>
      <c r="S891" s="241"/>
      <c r="T891" s="241"/>
      <c r="U891" s="241"/>
      <c r="V891" s="241"/>
      <c r="W891" s="241"/>
      <c r="X891" s="241"/>
      <c r="Y891" s="241"/>
      <c r="Z891" s="242"/>
      <c r="AA891" s="242"/>
      <c r="AB891" s="243"/>
      <c r="AC891" s="243"/>
      <c r="AD891" s="244"/>
      <c r="AE891" s="244"/>
      <c r="AF891" s="244"/>
      <c r="AG891" s="244"/>
    </row>
    <row r="892" spans="2:33" s="245" customFormat="1" hidden="1">
      <c r="B892" s="239"/>
      <c r="C892" s="240">
        <v>43678</v>
      </c>
      <c r="D892" s="426">
        <v>41000</v>
      </c>
      <c r="E892" s="241"/>
      <c r="F892" s="241"/>
      <c r="G892" s="426">
        <f t="shared" si="16"/>
        <v>41000</v>
      </c>
      <c r="H892" s="241"/>
      <c r="I892" s="241"/>
      <c r="J892" s="241"/>
      <c r="K892" s="241"/>
      <c r="L892" s="241"/>
      <c r="M892" s="242"/>
      <c r="N892" s="241"/>
      <c r="O892" s="241"/>
      <c r="P892" s="241"/>
      <c r="Q892" s="241"/>
      <c r="R892" s="241"/>
      <c r="S892" s="241"/>
      <c r="T892" s="241"/>
      <c r="U892" s="241"/>
      <c r="V892" s="241"/>
      <c r="W892" s="241"/>
      <c r="X892" s="241"/>
      <c r="Y892" s="241"/>
      <c r="Z892" s="242"/>
      <c r="AA892" s="242"/>
      <c r="AB892" s="243"/>
      <c r="AC892" s="243"/>
      <c r="AD892" s="244"/>
      <c r="AE892" s="244"/>
      <c r="AF892" s="244"/>
      <c r="AG892" s="244"/>
    </row>
    <row r="893" spans="2:33" s="245" customFormat="1" hidden="1">
      <c r="B893" s="239"/>
      <c r="C893" s="240">
        <v>43709</v>
      </c>
      <c r="D893" s="426">
        <v>41000</v>
      </c>
      <c r="E893" s="241"/>
      <c r="F893" s="241"/>
      <c r="G893" s="426">
        <f t="shared" si="16"/>
        <v>41000</v>
      </c>
      <c r="H893" s="241"/>
      <c r="I893" s="241"/>
      <c r="J893" s="241"/>
      <c r="K893" s="241"/>
      <c r="L893" s="241"/>
      <c r="M893" s="242"/>
      <c r="N893" s="241"/>
      <c r="O893" s="241"/>
      <c r="P893" s="241"/>
      <c r="Q893" s="241"/>
      <c r="R893" s="241"/>
      <c r="S893" s="241"/>
      <c r="T893" s="241"/>
      <c r="U893" s="241"/>
      <c r="V893" s="241"/>
      <c r="W893" s="241"/>
      <c r="X893" s="241"/>
      <c r="Y893" s="241"/>
      <c r="Z893" s="242"/>
      <c r="AA893" s="242"/>
      <c r="AB893" s="243"/>
      <c r="AC893" s="243"/>
      <c r="AD893" s="244"/>
      <c r="AE893" s="244"/>
      <c r="AF893" s="244"/>
      <c r="AG893" s="244"/>
    </row>
    <row r="894" spans="2:33" s="245" customFormat="1" hidden="1">
      <c r="B894" s="239"/>
      <c r="C894" s="240">
        <v>43739</v>
      </c>
      <c r="D894" s="426">
        <v>41000</v>
      </c>
      <c r="E894" s="241"/>
      <c r="F894" s="241"/>
      <c r="G894" s="426">
        <f t="shared" si="16"/>
        <v>41000</v>
      </c>
      <c r="H894" s="241"/>
      <c r="I894" s="241"/>
      <c r="J894" s="241"/>
      <c r="K894" s="241"/>
      <c r="L894" s="241"/>
      <c r="M894" s="242"/>
      <c r="N894" s="241"/>
      <c r="O894" s="241"/>
      <c r="P894" s="241"/>
      <c r="Q894" s="241"/>
      <c r="R894" s="241"/>
      <c r="S894" s="241"/>
      <c r="T894" s="241"/>
      <c r="U894" s="241"/>
      <c r="V894" s="241"/>
      <c r="W894" s="241"/>
      <c r="X894" s="241"/>
      <c r="Y894" s="241"/>
      <c r="Z894" s="242"/>
      <c r="AA894" s="242"/>
      <c r="AB894" s="243"/>
      <c r="AC894" s="243"/>
      <c r="AD894" s="244"/>
      <c r="AE894" s="244"/>
      <c r="AF894" s="244"/>
      <c r="AG894" s="244"/>
    </row>
    <row r="895" spans="2:33" s="245" customFormat="1" hidden="1">
      <c r="B895" s="239"/>
      <c r="C895" s="240">
        <v>43770</v>
      </c>
      <c r="D895" s="426">
        <v>41000</v>
      </c>
      <c r="E895" s="241"/>
      <c r="F895" s="241"/>
      <c r="G895" s="426">
        <f t="shared" si="16"/>
        <v>41000</v>
      </c>
      <c r="H895" s="241"/>
      <c r="I895" s="241"/>
      <c r="J895" s="241"/>
      <c r="K895" s="241"/>
      <c r="L895" s="241"/>
      <c r="M895" s="242"/>
      <c r="N895" s="241"/>
      <c r="O895" s="241"/>
      <c r="P895" s="241"/>
      <c r="Q895" s="241"/>
      <c r="R895" s="241"/>
      <c r="S895" s="241"/>
      <c r="T895" s="241"/>
      <c r="U895" s="241"/>
      <c r="V895" s="241"/>
      <c r="W895" s="241"/>
      <c r="X895" s="241"/>
      <c r="Y895" s="241"/>
      <c r="Z895" s="242"/>
      <c r="AA895" s="242"/>
      <c r="AB895" s="243"/>
      <c r="AC895" s="243"/>
      <c r="AD895" s="244"/>
      <c r="AE895" s="244"/>
      <c r="AF895" s="244"/>
      <c r="AG895" s="244"/>
    </row>
    <row r="896" spans="2:33" s="245" customFormat="1" hidden="1">
      <c r="B896" s="239"/>
      <c r="C896" s="240">
        <v>43800</v>
      </c>
      <c r="D896" s="426">
        <v>41000</v>
      </c>
      <c r="E896" s="241"/>
      <c r="F896" s="241"/>
      <c r="G896" s="426">
        <f t="shared" si="16"/>
        <v>41000</v>
      </c>
      <c r="H896" s="427"/>
      <c r="I896" s="241"/>
      <c r="J896" s="241"/>
      <c r="K896" s="241"/>
      <c r="L896" s="241"/>
      <c r="M896" s="242"/>
      <c r="N896" s="241"/>
      <c r="O896" s="241"/>
      <c r="P896" s="241"/>
      <c r="Q896" s="241"/>
      <c r="R896" s="241"/>
      <c r="S896" s="241"/>
      <c r="T896" s="241"/>
      <c r="U896" s="241"/>
      <c r="V896" s="241"/>
      <c r="W896" s="241"/>
      <c r="X896" s="241"/>
      <c r="Y896" s="241"/>
      <c r="Z896" s="242"/>
      <c r="AA896" s="242"/>
      <c r="AB896" s="243"/>
      <c r="AC896" s="243"/>
      <c r="AD896" s="244"/>
      <c r="AE896" s="244"/>
      <c r="AF896" s="244"/>
      <c r="AG896" s="244"/>
    </row>
    <row r="897" spans="2:33" s="245" customFormat="1" hidden="1">
      <c r="B897" s="239"/>
      <c r="C897" s="240">
        <v>43831</v>
      </c>
      <c r="D897" s="426">
        <v>41000</v>
      </c>
      <c r="E897" s="241"/>
      <c r="F897" s="241"/>
      <c r="G897" s="426" t="str">
        <f t="shared" si="16"/>
        <v/>
      </c>
      <c r="H897" s="241"/>
      <c r="I897" s="241"/>
      <c r="J897" s="241"/>
      <c r="K897" s="241"/>
      <c r="L897" s="241"/>
      <c r="M897" s="242"/>
      <c r="N897" s="241"/>
      <c r="O897" s="241"/>
      <c r="P897" s="241"/>
      <c r="Q897" s="241"/>
      <c r="R897" s="241"/>
      <c r="S897" s="241"/>
      <c r="T897" s="241"/>
      <c r="U897" s="241"/>
      <c r="V897" s="241"/>
      <c r="W897" s="241"/>
      <c r="X897" s="241"/>
      <c r="Y897" s="241"/>
      <c r="Z897" s="242"/>
      <c r="AA897" s="242"/>
      <c r="AB897" s="243"/>
      <c r="AC897" s="243"/>
      <c r="AD897" s="244"/>
      <c r="AE897" s="244"/>
      <c r="AF897" s="244"/>
      <c r="AG897" s="244"/>
    </row>
    <row r="898" spans="2:33" s="245" customFormat="1" hidden="1">
      <c r="B898" s="239"/>
      <c r="C898" s="240">
        <v>43862</v>
      </c>
      <c r="D898" s="426">
        <v>41000</v>
      </c>
      <c r="E898" s="241"/>
      <c r="F898" s="241"/>
      <c r="G898" s="426" t="str">
        <f t="shared" si="16"/>
        <v/>
      </c>
      <c r="H898" s="241"/>
      <c r="I898" s="241"/>
      <c r="J898" s="241"/>
      <c r="K898" s="241"/>
      <c r="L898" s="241"/>
      <c r="M898" s="242"/>
      <c r="N898" s="241"/>
      <c r="O898" s="241"/>
      <c r="P898" s="241"/>
      <c r="Q898" s="241"/>
      <c r="R898" s="241"/>
      <c r="S898" s="241"/>
      <c r="T898" s="241"/>
      <c r="U898" s="241"/>
      <c r="V898" s="241"/>
      <c r="W898" s="241"/>
      <c r="X898" s="241"/>
      <c r="Y898" s="241"/>
      <c r="Z898" s="242"/>
      <c r="AA898" s="242"/>
      <c r="AB898" s="243"/>
      <c r="AC898" s="243"/>
      <c r="AD898" s="244"/>
      <c r="AE898" s="244"/>
      <c r="AF898" s="244"/>
      <c r="AG898" s="244"/>
    </row>
    <row r="899" spans="2:33" s="245" customFormat="1" hidden="1">
      <c r="B899" s="239"/>
      <c r="C899" s="240"/>
      <c r="D899" s="241"/>
      <c r="E899" s="241"/>
      <c r="F899" s="241"/>
      <c r="G899" s="426" t="str">
        <f t="shared" ref="G899" si="17">IF(AND(C899&lt;=$C$882),"",IF(AND(C899&gt;=$C$883),"",D899))</f>
        <v/>
      </c>
      <c r="H899" s="241"/>
      <c r="I899" s="241"/>
      <c r="J899" s="241"/>
      <c r="K899" s="241"/>
      <c r="L899" s="241"/>
      <c r="M899" s="242"/>
      <c r="N899" s="241"/>
      <c r="O899" s="241"/>
      <c r="P899" s="241"/>
      <c r="Q899" s="241"/>
      <c r="R899" s="241"/>
      <c r="S899" s="241"/>
      <c r="T899" s="241"/>
      <c r="U899" s="241"/>
      <c r="V899" s="241"/>
      <c r="W899" s="241"/>
      <c r="X899" s="241"/>
      <c r="Y899" s="241"/>
      <c r="Z899" s="242"/>
      <c r="AA899" s="242"/>
      <c r="AB899" s="243"/>
      <c r="AC899" s="243"/>
      <c r="AD899" s="244"/>
      <c r="AE899" s="244"/>
      <c r="AF899" s="244"/>
      <c r="AG899" s="244"/>
    </row>
    <row r="900" spans="2:33" s="245" customFormat="1" hidden="1">
      <c r="B900" s="239"/>
      <c r="C900" s="240"/>
      <c r="D900" s="241"/>
      <c r="E900" s="241"/>
      <c r="F900" s="241"/>
      <c r="G900" s="241"/>
      <c r="H900" s="241"/>
      <c r="I900" s="241"/>
      <c r="J900" s="241"/>
      <c r="K900" s="241"/>
      <c r="L900" s="241"/>
      <c r="M900" s="242"/>
      <c r="N900" s="241"/>
      <c r="O900" s="241"/>
      <c r="P900" s="241"/>
      <c r="Q900" s="241"/>
      <c r="R900" s="241"/>
      <c r="S900" s="241"/>
      <c r="T900" s="241"/>
      <c r="U900" s="241"/>
      <c r="V900" s="241"/>
      <c r="W900" s="241"/>
      <c r="X900" s="241"/>
      <c r="Y900" s="241"/>
      <c r="Z900" s="242"/>
      <c r="AA900" s="242"/>
      <c r="AB900" s="243"/>
      <c r="AC900" s="243"/>
      <c r="AD900" s="244"/>
      <c r="AE900" s="244"/>
      <c r="AF900" s="244"/>
      <c r="AG900" s="244"/>
    </row>
    <row r="901" spans="2:33" s="245" customFormat="1" hidden="1">
      <c r="B901" s="239"/>
      <c r="C901" s="240"/>
      <c r="D901" s="241"/>
      <c r="E901" s="241"/>
      <c r="F901" s="241"/>
      <c r="G901" s="241"/>
      <c r="H901" s="241"/>
      <c r="I901" s="241"/>
      <c r="J901" s="241"/>
      <c r="K901" s="241"/>
      <c r="L901" s="241"/>
      <c r="M901" s="242"/>
      <c r="N901" s="241"/>
      <c r="O901" s="241"/>
      <c r="P901" s="241"/>
      <c r="Q901" s="241"/>
      <c r="R901" s="241"/>
      <c r="S901" s="241"/>
      <c r="T901" s="241"/>
      <c r="U901" s="241"/>
      <c r="V901" s="241"/>
      <c r="W901" s="241"/>
      <c r="X901" s="241"/>
      <c r="Y901" s="241"/>
      <c r="Z901" s="242"/>
      <c r="AA901" s="242"/>
      <c r="AB901" s="243"/>
      <c r="AC901" s="243"/>
      <c r="AD901" s="244"/>
      <c r="AE901" s="244"/>
      <c r="AF901" s="244"/>
      <c r="AG901" s="244"/>
    </row>
    <row r="902" spans="2:33" s="245" customFormat="1" hidden="1">
      <c r="B902" s="239"/>
      <c r="C902" s="240"/>
      <c r="D902" s="241"/>
      <c r="E902" s="241"/>
      <c r="F902" s="241"/>
      <c r="G902" s="241"/>
      <c r="H902" s="241"/>
      <c r="I902" s="241"/>
      <c r="J902" s="241"/>
      <c r="K902" s="241"/>
      <c r="L902" s="241"/>
      <c r="M902" s="242"/>
      <c r="N902" s="241"/>
      <c r="O902" s="241"/>
      <c r="P902" s="241"/>
      <c r="Q902" s="241"/>
      <c r="R902" s="241"/>
      <c r="S902" s="241"/>
      <c r="T902" s="241"/>
      <c r="U902" s="241"/>
      <c r="V902" s="241"/>
      <c r="W902" s="241"/>
      <c r="X902" s="241"/>
      <c r="Y902" s="241"/>
      <c r="Z902" s="242"/>
      <c r="AA902" s="242"/>
      <c r="AB902" s="243"/>
      <c r="AC902" s="243"/>
      <c r="AD902" s="244"/>
      <c r="AE902" s="244"/>
      <c r="AF902" s="244"/>
      <c r="AG902" s="244"/>
    </row>
    <row r="903" spans="2:33" s="245" customFormat="1" hidden="1">
      <c r="B903" s="239"/>
      <c r="C903" s="240"/>
      <c r="D903" s="241"/>
      <c r="E903" s="241"/>
      <c r="F903" s="241"/>
      <c r="G903" s="241"/>
      <c r="H903" s="241"/>
      <c r="I903" s="241"/>
      <c r="J903" s="241"/>
      <c r="K903" s="241"/>
      <c r="L903" s="241"/>
      <c r="M903" s="242"/>
      <c r="N903" s="241"/>
      <c r="O903" s="241"/>
      <c r="P903" s="241"/>
      <c r="Q903" s="241"/>
      <c r="R903" s="241"/>
      <c r="S903" s="241"/>
      <c r="T903" s="241"/>
      <c r="U903" s="241"/>
      <c r="V903" s="241"/>
      <c r="W903" s="241"/>
      <c r="X903" s="241"/>
      <c r="Y903" s="241"/>
      <c r="Z903" s="242"/>
      <c r="AA903" s="242"/>
      <c r="AB903" s="243"/>
      <c r="AC903" s="243"/>
      <c r="AD903" s="244"/>
      <c r="AE903" s="244"/>
      <c r="AF903" s="244"/>
      <c r="AG903" s="244"/>
    </row>
    <row r="904" spans="2:33" s="245" customFormat="1" hidden="1">
      <c r="B904" s="239"/>
      <c r="C904" s="240"/>
      <c r="D904" s="241"/>
      <c r="E904" s="241"/>
      <c r="F904" s="241"/>
      <c r="G904" s="241"/>
      <c r="H904" s="241"/>
      <c r="I904" s="241"/>
      <c r="J904" s="241"/>
      <c r="K904" s="241"/>
      <c r="L904" s="241"/>
      <c r="M904" s="242"/>
      <c r="N904" s="241"/>
      <c r="O904" s="241"/>
      <c r="P904" s="241"/>
      <c r="Q904" s="241"/>
      <c r="R904" s="241"/>
      <c r="S904" s="241"/>
      <c r="T904" s="241"/>
      <c r="U904" s="241"/>
      <c r="V904" s="241"/>
      <c r="W904" s="241"/>
      <c r="X904" s="241"/>
      <c r="Y904" s="241"/>
      <c r="Z904" s="242"/>
      <c r="AA904" s="242"/>
      <c r="AB904" s="243"/>
      <c r="AC904" s="243"/>
      <c r="AD904" s="244"/>
      <c r="AE904" s="244"/>
      <c r="AF904" s="244"/>
      <c r="AG904" s="244"/>
    </row>
    <row r="905" spans="2:33" s="245" customFormat="1" hidden="1">
      <c r="B905" s="239"/>
      <c r="C905" s="240"/>
      <c r="D905" s="241"/>
      <c r="E905" s="241"/>
      <c r="F905" s="241"/>
      <c r="G905" s="241"/>
      <c r="H905" s="241"/>
      <c r="I905" s="241"/>
      <c r="J905" s="241"/>
      <c r="K905" s="241"/>
      <c r="L905" s="241"/>
      <c r="M905" s="242"/>
      <c r="N905" s="241"/>
      <c r="O905" s="241"/>
      <c r="P905" s="241"/>
      <c r="Q905" s="241"/>
      <c r="R905" s="241"/>
      <c r="S905" s="241"/>
      <c r="T905" s="241"/>
      <c r="U905" s="241"/>
      <c r="V905" s="241"/>
      <c r="W905" s="241"/>
      <c r="X905" s="241"/>
      <c r="Y905" s="241"/>
      <c r="Z905" s="242"/>
      <c r="AA905" s="242"/>
      <c r="AB905" s="243"/>
      <c r="AC905" s="243"/>
      <c r="AD905" s="244"/>
      <c r="AE905" s="244"/>
      <c r="AF905" s="244"/>
      <c r="AG905" s="244"/>
    </row>
    <row r="906" spans="2:33" s="245" customFormat="1" hidden="1">
      <c r="B906" s="239"/>
      <c r="C906" s="240"/>
      <c r="D906" s="241"/>
      <c r="E906" s="241"/>
      <c r="F906" s="241"/>
      <c r="G906" s="241"/>
      <c r="H906" s="241"/>
      <c r="I906" s="241"/>
      <c r="J906" s="241"/>
      <c r="K906" s="241"/>
      <c r="L906" s="241"/>
      <c r="M906" s="242"/>
      <c r="N906" s="241"/>
      <c r="O906" s="241"/>
      <c r="P906" s="241"/>
      <c r="Q906" s="241"/>
      <c r="R906" s="241"/>
      <c r="S906" s="241"/>
      <c r="T906" s="241"/>
      <c r="U906" s="241"/>
      <c r="V906" s="241"/>
      <c r="W906" s="241"/>
      <c r="X906" s="241"/>
      <c r="Y906" s="241"/>
      <c r="Z906" s="242"/>
      <c r="AA906" s="242"/>
      <c r="AB906" s="243"/>
      <c r="AC906" s="243"/>
      <c r="AD906" s="244"/>
      <c r="AE906" s="244"/>
      <c r="AF906" s="244"/>
      <c r="AG906" s="244"/>
    </row>
    <row r="907" spans="2:33" s="245" customFormat="1" hidden="1">
      <c r="B907" s="239"/>
      <c r="C907" s="240"/>
      <c r="D907" s="241"/>
      <c r="E907" s="241"/>
      <c r="F907" s="241"/>
      <c r="G907" s="241"/>
      <c r="H907" s="241"/>
      <c r="I907" s="241"/>
      <c r="J907" s="241"/>
      <c r="K907" s="241"/>
      <c r="L907" s="241"/>
      <c r="M907" s="242"/>
      <c r="N907" s="241"/>
      <c r="O907" s="241"/>
      <c r="P907" s="241"/>
      <c r="Q907" s="241"/>
      <c r="R907" s="241"/>
      <c r="S907" s="241"/>
      <c r="T907" s="241"/>
      <c r="U907" s="241"/>
      <c r="V907" s="241"/>
      <c r="W907" s="241"/>
      <c r="X907" s="241"/>
      <c r="Y907" s="241"/>
      <c r="Z907" s="242"/>
      <c r="AA907" s="242"/>
      <c r="AB907" s="243"/>
      <c r="AC907" s="243"/>
      <c r="AD907" s="244"/>
      <c r="AE907" s="244"/>
      <c r="AF907" s="244"/>
      <c r="AG907" s="244"/>
    </row>
    <row r="908" spans="2:33" s="245" customFormat="1" hidden="1">
      <c r="B908" s="239"/>
      <c r="C908" s="240"/>
      <c r="D908" s="241"/>
      <c r="E908" s="241"/>
      <c r="F908" s="241"/>
      <c r="G908" s="241"/>
      <c r="H908" s="241"/>
      <c r="I908" s="241"/>
      <c r="J908" s="241"/>
      <c r="K908" s="241"/>
      <c r="L908" s="241"/>
      <c r="M908" s="242"/>
      <c r="N908" s="241"/>
      <c r="O908" s="241"/>
      <c r="P908" s="241"/>
      <c r="Q908" s="241"/>
      <c r="R908" s="241"/>
      <c r="S908" s="241"/>
      <c r="T908" s="241"/>
      <c r="U908" s="241"/>
      <c r="V908" s="241"/>
      <c r="W908" s="241"/>
      <c r="X908" s="241"/>
      <c r="Y908" s="241"/>
      <c r="Z908" s="242"/>
      <c r="AA908" s="242"/>
      <c r="AB908" s="243"/>
      <c r="AC908" s="243"/>
      <c r="AD908" s="244"/>
      <c r="AE908" s="244"/>
      <c r="AF908" s="244"/>
      <c r="AG908" s="244"/>
    </row>
    <row r="909" spans="2:33" s="245" customFormat="1" hidden="1">
      <c r="B909" s="239"/>
      <c r="C909" s="240"/>
      <c r="D909" s="241"/>
      <c r="E909" s="241"/>
      <c r="F909" s="241"/>
      <c r="G909" s="241"/>
      <c r="H909" s="241"/>
      <c r="I909" s="241"/>
      <c r="J909" s="241"/>
      <c r="K909" s="241"/>
      <c r="L909" s="241"/>
      <c r="M909" s="242"/>
      <c r="N909" s="241"/>
      <c r="O909" s="241"/>
      <c r="P909" s="241"/>
      <c r="Q909" s="241"/>
      <c r="R909" s="241"/>
      <c r="S909" s="241"/>
      <c r="T909" s="241"/>
      <c r="U909" s="241"/>
      <c r="V909" s="241"/>
      <c r="W909" s="241"/>
      <c r="X909" s="241"/>
      <c r="Y909" s="241"/>
      <c r="Z909" s="242"/>
      <c r="AA909" s="242"/>
      <c r="AB909" s="243"/>
      <c r="AC909" s="243"/>
      <c r="AD909" s="244"/>
      <c r="AE909" s="244"/>
      <c r="AF909" s="244"/>
      <c r="AG909" s="244"/>
    </row>
    <row r="910" spans="2:33" s="245" customFormat="1" hidden="1">
      <c r="B910" s="239"/>
      <c r="C910" s="240"/>
      <c r="D910" s="241"/>
      <c r="E910" s="241"/>
      <c r="F910" s="241"/>
      <c r="G910" s="241"/>
      <c r="H910" s="241"/>
      <c r="I910" s="241"/>
      <c r="J910" s="241"/>
      <c r="K910" s="241"/>
      <c r="L910" s="241"/>
      <c r="M910" s="242"/>
      <c r="N910" s="241"/>
      <c r="O910" s="241"/>
      <c r="P910" s="241"/>
      <c r="Q910" s="241"/>
      <c r="R910" s="241"/>
      <c r="S910" s="241"/>
      <c r="T910" s="241"/>
      <c r="U910" s="241"/>
      <c r="V910" s="241"/>
      <c r="W910" s="241"/>
      <c r="X910" s="241"/>
      <c r="Y910" s="241"/>
      <c r="Z910" s="242"/>
      <c r="AA910" s="242"/>
      <c r="AB910" s="243"/>
      <c r="AC910" s="243"/>
      <c r="AD910" s="244"/>
      <c r="AE910" s="244"/>
      <c r="AF910" s="244"/>
      <c r="AG910" s="244"/>
    </row>
    <row r="911" spans="2:33" s="245" customFormat="1" hidden="1">
      <c r="B911" s="239"/>
      <c r="C911" s="240"/>
      <c r="D911" s="241"/>
      <c r="E911" s="241"/>
      <c r="F911" s="241"/>
      <c r="G911" s="241"/>
      <c r="H911" s="241"/>
      <c r="I911" s="241"/>
      <c r="J911" s="241"/>
      <c r="K911" s="241"/>
      <c r="L911" s="241"/>
      <c r="M911" s="242"/>
      <c r="N911" s="241"/>
      <c r="O911" s="241"/>
      <c r="P911" s="241"/>
      <c r="Q911" s="241"/>
      <c r="R911" s="241"/>
      <c r="S911" s="241"/>
      <c r="T911" s="241"/>
      <c r="U911" s="241"/>
      <c r="V911" s="241"/>
      <c r="W911" s="241"/>
      <c r="X911" s="241"/>
      <c r="Y911" s="241"/>
      <c r="Z911" s="242"/>
      <c r="AA911" s="242"/>
      <c r="AB911" s="243"/>
      <c r="AC911" s="243"/>
      <c r="AD911" s="244"/>
      <c r="AE911" s="244"/>
      <c r="AF911" s="244"/>
      <c r="AG911" s="244"/>
    </row>
    <row r="912" spans="2:33" s="245" customFormat="1" hidden="1">
      <c r="B912" s="239"/>
      <c r="C912" s="240"/>
      <c r="D912" s="241"/>
      <c r="E912" s="241"/>
      <c r="F912" s="241"/>
      <c r="G912" s="241"/>
      <c r="H912" s="241"/>
      <c r="I912" s="241"/>
      <c r="J912" s="241"/>
      <c r="K912" s="241"/>
      <c r="L912" s="241"/>
      <c r="M912" s="242"/>
      <c r="N912" s="241"/>
      <c r="O912" s="241"/>
      <c r="P912" s="241"/>
      <c r="Q912" s="241"/>
      <c r="R912" s="241"/>
      <c r="S912" s="241"/>
      <c r="T912" s="241"/>
      <c r="U912" s="241"/>
      <c r="V912" s="241"/>
      <c r="W912" s="241"/>
      <c r="X912" s="241"/>
      <c r="Y912" s="241"/>
      <c r="Z912" s="242"/>
      <c r="AA912" s="242"/>
      <c r="AB912" s="243"/>
      <c r="AC912" s="243"/>
      <c r="AD912" s="244"/>
      <c r="AE912" s="244"/>
      <c r="AF912" s="244"/>
      <c r="AG912" s="244"/>
    </row>
    <row r="913" spans="2:33" s="245" customFormat="1" hidden="1">
      <c r="B913" s="239"/>
      <c r="C913" s="240"/>
      <c r="D913" s="241"/>
      <c r="E913" s="241"/>
      <c r="F913" s="241"/>
      <c r="G913" s="241"/>
      <c r="H913" s="241"/>
      <c r="I913" s="241"/>
      <c r="J913" s="241"/>
      <c r="K913" s="241"/>
      <c r="L913" s="241"/>
      <c r="M913" s="242"/>
      <c r="N913" s="241"/>
      <c r="O913" s="241"/>
      <c r="P913" s="241"/>
      <c r="Q913" s="241"/>
      <c r="R913" s="241"/>
      <c r="S913" s="241"/>
      <c r="T913" s="241"/>
      <c r="U913" s="241"/>
      <c r="V913" s="241"/>
      <c r="W913" s="241"/>
      <c r="X913" s="241"/>
      <c r="Y913" s="241"/>
      <c r="Z913" s="242"/>
      <c r="AA913" s="242"/>
      <c r="AB913" s="243"/>
      <c r="AC913" s="243"/>
      <c r="AD913" s="244"/>
      <c r="AE913" s="244"/>
      <c r="AF913" s="244"/>
      <c r="AG913" s="244"/>
    </row>
    <row r="914" spans="2:33" s="245" customFormat="1" hidden="1">
      <c r="B914" s="239"/>
      <c r="C914" s="240"/>
      <c r="D914" s="241"/>
      <c r="E914" s="241"/>
      <c r="F914" s="241"/>
      <c r="G914" s="241"/>
      <c r="H914" s="241"/>
      <c r="I914" s="241"/>
      <c r="J914" s="241"/>
      <c r="K914" s="241"/>
      <c r="L914" s="241"/>
      <c r="M914" s="242"/>
      <c r="N914" s="241"/>
      <c r="O914" s="241"/>
      <c r="P914" s="241"/>
      <c r="Q914" s="241"/>
      <c r="R914" s="241"/>
      <c r="S914" s="241"/>
      <c r="T914" s="241"/>
      <c r="U914" s="241"/>
      <c r="V914" s="241"/>
      <c r="W914" s="241"/>
      <c r="X914" s="241"/>
      <c r="Y914" s="241"/>
      <c r="Z914" s="242"/>
      <c r="AA914" s="242"/>
      <c r="AB914" s="243"/>
      <c r="AC914" s="243"/>
      <c r="AD914" s="244"/>
      <c r="AE914" s="244"/>
      <c r="AF914" s="244"/>
      <c r="AG914" s="244"/>
    </row>
    <row r="915" spans="2:33" s="245" customFormat="1" hidden="1">
      <c r="B915" s="239"/>
      <c r="C915" s="240"/>
      <c r="D915" s="241"/>
      <c r="E915" s="241"/>
      <c r="F915" s="241"/>
      <c r="G915" s="241"/>
      <c r="H915" s="241"/>
      <c r="I915" s="241"/>
      <c r="J915" s="241"/>
      <c r="K915" s="241"/>
      <c r="L915" s="241"/>
      <c r="M915" s="242"/>
      <c r="N915" s="241"/>
      <c r="O915" s="241"/>
      <c r="P915" s="241"/>
      <c r="Q915" s="241"/>
      <c r="R915" s="241"/>
      <c r="S915" s="241"/>
      <c r="T915" s="241"/>
      <c r="U915" s="241"/>
      <c r="V915" s="241"/>
      <c r="W915" s="241"/>
      <c r="X915" s="241"/>
      <c r="Y915" s="241"/>
      <c r="Z915" s="242"/>
      <c r="AA915" s="242"/>
      <c r="AB915" s="243"/>
      <c r="AC915" s="243"/>
      <c r="AD915" s="244"/>
      <c r="AE915" s="244"/>
      <c r="AF915" s="244"/>
      <c r="AG915" s="244"/>
    </row>
    <row r="916" spans="2:33" s="245" customFormat="1" hidden="1">
      <c r="B916" s="239"/>
      <c r="C916" s="240"/>
      <c r="D916" s="241"/>
      <c r="E916" s="241"/>
      <c r="F916" s="241"/>
      <c r="G916" s="241"/>
      <c r="H916" s="241"/>
      <c r="I916" s="241"/>
      <c r="J916" s="241"/>
      <c r="K916" s="241"/>
      <c r="L916" s="241"/>
      <c r="M916" s="242"/>
      <c r="N916" s="241"/>
      <c r="O916" s="241"/>
      <c r="P916" s="241"/>
      <c r="Q916" s="241"/>
      <c r="R916" s="241"/>
      <c r="S916" s="241"/>
      <c r="T916" s="241"/>
      <c r="U916" s="241"/>
      <c r="V916" s="241"/>
      <c r="W916" s="241"/>
      <c r="X916" s="241"/>
      <c r="Y916" s="241"/>
      <c r="Z916" s="242"/>
      <c r="AA916" s="242"/>
      <c r="AB916" s="243"/>
      <c r="AC916" s="243"/>
      <c r="AD916" s="244"/>
      <c r="AE916" s="244"/>
      <c r="AF916" s="244"/>
      <c r="AG916" s="244"/>
    </row>
    <row r="917" spans="2:33" s="245" customFormat="1" hidden="1">
      <c r="B917" s="239"/>
      <c r="C917" s="240"/>
      <c r="D917" s="241"/>
      <c r="E917" s="241"/>
      <c r="F917" s="241"/>
      <c r="G917" s="241"/>
      <c r="H917" s="241"/>
      <c r="I917" s="241"/>
      <c r="J917" s="241"/>
      <c r="K917" s="241"/>
      <c r="L917" s="241"/>
      <c r="M917" s="242"/>
      <c r="N917" s="241"/>
      <c r="O917" s="241"/>
      <c r="P917" s="241"/>
      <c r="Q917" s="241"/>
      <c r="R917" s="241"/>
      <c r="S917" s="241"/>
      <c r="T917" s="241"/>
      <c r="U917" s="241"/>
      <c r="V917" s="241"/>
      <c r="W917" s="241"/>
      <c r="X917" s="241"/>
      <c r="Y917" s="241"/>
      <c r="Z917" s="242"/>
      <c r="AA917" s="242"/>
      <c r="AB917" s="243"/>
      <c r="AC917" s="243"/>
      <c r="AD917" s="244"/>
      <c r="AE917" s="244"/>
      <c r="AF917" s="244"/>
      <c r="AG917" s="244"/>
    </row>
    <row r="918" spans="2:33" s="245" customFormat="1" hidden="1">
      <c r="B918" s="239"/>
      <c r="C918" s="240"/>
      <c r="D918" s="241"/>
      <c r="E918" s="241"/>
      <c r="F918" s="241"/>
      <c r="G918" s="241"/>
      <c r="H918" s="241"/>
      <c r="I918" s="241"/>
      <c r="J918" s="241"/>
      <c r="K918" s="241"/>
      <c r="L918" s="241"/>
      <c r="M918" s="242"/>
      <c r="N918" s="241"/>
      <c r="O918" s="241"/>
      <c r="P918" s="241"/>
      <c r="Q918" s="241"/>
      <c r="R918" s="241"/>
      <c r="S918" s="241"/>
      <c r="T918" s="241"/>
      <c r="U918" s="241"/>
      <c r="V918" s="241"/>
      <c r="W918" s="241"/>
      <c r="X918" s="241"/>
      <c r="Y918" s="241"/>
      <c r="Z918" s="242"/>
      <c r="AA918" s="242"/>
      <c r="AB918" s="243"/>
      <c r="AC918" s="243"/>
      <c r="AD918" s="244"/>
      <c r="AE918" s="244"/>
      <c r="AF918" s="244"/>
      <c r="AG918" s="244"/>
    </row>
    <row r="919" spans="2:33" s="245" customFormat="1" hidden="1">
      <c r="B919" s="239"/>
      <c r="C919" s="240"/>
      <c r="D919" s="241"/>
      <c r="E919" s="241"/>
      <c r="F919" s="241"/>
      <c r="G919" s="241"/>
      <c r="H919" s="241"/>
      <c r="I919" s="241"/>
      <c r="J919" s="241"/>
      <c r="K919" s="241"/>
      <c r="L919" s="241"/>
      <c r="M919" s="242"/>
      <c r="N919" s="241"/>
      <c r="O919" s="241"/>
      <c r="P919" s="241"/>
      <c r="Q919" s="241"/>
      <c r="R919" s="241"/>
      <c r="S919" s="241"/>
      <c r="T919" s="241"/>
      <c r="U919" s="241"/>
      <c r="V919" s="241"/>
      <c r="W919" s="241"/>
      <c r="X919" s="241"/>
      <c r="Y919" s="241"/>
      <c r="Z919" s="242"/>
      <c r="AA919" s="242"/>
      <c r="AB919" s="243"/>
      <c r="AC919" s="243"/>
      <c r="AD919" s="244"/>
      <c r="AE919" s="244"/>
      <c r="AF919" s="244"/>
      <c r="AG919" s="244"/>
    </row>
    <row r="920" spans="2:33" s="245" customFormat="1" hidden="1">
      <c r="B920" s="239"/>
      <c r="C920" s="240"/>
      <c r="D920" s="241"/>
      <c r="E920" s="241"/>
      <c r="F920" s="241"/>
      <c r="G920" s="241"/>
      <c r="H920" s="241"/>
      <c r="I920" s="241"/>
      <c r="J920" s="241"/>
      <c r="K920" s="241"/>
      <c r="L920" s="241"/>
      <c r="M920" s="242"/>
      <c r="N920" s="241"/>
      <c r="O920" s="241"/>
      <c r="P920" s="241"/>
      <c r="Q920" s="241"/>
      <c r="R920" s="241"/>
      <c r="S920" s="241"/>
      <c r="T920" s="241"/>
      <c r="U920" s="241"/>
      <c r="V920" s="241"/>
      <c r="W920" s="241"/>
      <c r="X920" s="241"/>
      <c r="Y920" s="241"/>
      <c r="Z920" s="242"/>
      <c r="AA920" s="242"/>
      <c r="AB920" s="243"/>
      <c r="AC920" s="243"/>
      <c r="AD920" s="244"/>
      <c r="AE920" s="244"/>
      <c r="AF920" s="244"/>
      <c r="AG920" s="244"/>
    </row>
    <row r="921" spans="2:33" s="245" customFormat="1" hidden="1">
      <c r="B921" s="239"/>
      <c r="C921" s="240"/>
      <c r="D921" s="241"/>
      <c r="E921" s="241"/>
      <c r="F921" s="241"/>
      <c r="G921" s="241"/>
      <c r="H921" s="241"/>
      <c r="I921" s="241"/>
      <c r="J921" s="241"/>
      <c r="K921" s="241"/>
      <c r="L921" s="241"/>
      <c r="M921" s="242"/>
      <c r="N921" s="241"/>
      <c r="O921" s="241"/>
      <c r="P921" s="241"/>
      <c r="Q921" s="241"/>
      <c r="R921" s="241"/>
      <c r="S921" s="241"/>
      <c r="T921" s="241"/>
      <c r="U921" s="241"/>
      <c r="V921" s="241"/>
      <c r="W921" s="241"/>
      <c r="X921" s="241"/>
      <c r="Y921" s="241"/>
      <c r="Z921" s="242"/>
      <c r="AA921" s="242"/>
      <c r="AB921" s="243"/>
      <c r="AC921" s="243"/>
      <c r="AD921" s="244"/>
      <c r="AE921" s="244"/>
      <c r="AF921" s="244"/>
      <c r="AG921" s="244"/>
    </row>
    <row r="922" spans="2:33" s="245" customFormat="1" hidden="1">
      <c r="B922" s="239"/>
      <c r="C922" s="240"/>
      <c r="D922" s="241"/>
      <c r="E922" s="241"/>
      <c r="F922" s="241"/>
      <c r="G922" s="241"/>
      <c r="H922" s="241"/>
      <c r="I922" s="241"/>
      <c r="J922" s="241"/>
      <c r="K922" s="241"/>
      <c r="L922" s="241"/>
      <c r="M922" s="242"/>
      <c r="N922" s="241"/>
      <c r="O922" s="241"/>
      <c r="P922" s="241"/>
      <c r="Q922" s="241"/>
      <c r="R922" s="241"/>
      <c r="S922" s="241"/>
      <c r="T922" s="241"/>
      <c r="U922" s="241"/>
      <c r="V922" s="241"/>
      <c r="W922" s="241"/>
      <c r="X922" s="241"/>
      <c r="Y922" s="241"/>
      <c r="Z922" s="242"/>
      <c r="AA922" s="242"/>
      <c r="AB922" s="243"/>
      <c r="AC922" s="243"/>
      <c r="AD922" s="244"/>
      <c r="AE922" s="244"/>
      <c r="AF922" s="244"/>
      <c r="AG922" s="244"/>
    </row>
    <row r="923" spans="2:33" s="245" customFormat="1" hidden="1">
      <c r="B923" s="239"/>
      <c r="C923" s="240"/>
      <c r="D923" s="241"/>
      <c r="E923" s="241"/>
      <c r="F923" s="241"/>
      <c r="G923" s="241"/>
      <c r="H923" s="241"/>
      <c r="I923" s="241"/>
      <c r="J923" s="241"/>
      <c r="K923" s="241"/>
      <c r="L923" s="241"/>
      <c r="M923" s="242"/>
      <c r="N923" s="241"/>
      <c r="O923" s="241"/>
      <c r="P923" s="241"/>
      <c r="Q923" s="241"/>
      <c r="R923" s="241"/>
      <c r="S923" s="241"/>
      <c r="T923" s="241"/>
      <c r="U923" s="241"/>
      <c r="V923" s="241"/>
      <c r="W923" s="241"/>
      <c r="X923" s="241"/>
      <c r="Y923" s="241"/>
      <c r="Z923" s="242"/>
      <c r="AA923" s="242"/>
      <c r="AB923" s="243"/>
      <c r="AC923" s="243"/>
      <c r="AD923" s="244"/>
      <c r="AE923" s="244"/>
      <c r="AF923" s="244"/>
      <c r="AG923" s="244"/>
    </row>
    <row r="924" spans="2:33" s="245" customFormat="1" hidden="1">
      <c r="B924" s="239"/>
      <c r="C924" s="240"/>
      <c r="D924" s="241"/>
      <c r="E924" s="241"/>
      <c r="F924" s="241"/>
      <c r="G924" s="241"/>
      <c r="H924" s="241"/>
      <c r="I924" s="241"/>
      <c r="J924" s="241"/>
      <c r="K924" s="241"/>
      <c r="L924" s="241"/>
      <c r="M924" s="242"/>
      <c r="N924" s="241"/>
      <c r="O924" s="241"/>
      <c r="P924" s="241"/>
      <c r="Q924" s="241"/>
      <c r="R924" s="241"/>
      <c r="S924" s="241"/>
      <c r="T924" s="241"/>
      <c r="U924" s="241"/>
      <c r="V924" s="241"/>
      <c r="W924" s="241"/>
      <c r="X924" s="241"/>
      <c r="Y924" s="241"/>
      <c r="Z924" s="242"/>
      <c r="AA924" s="242"/>
      <c r="AB924" s="243"/>
      <c r="AC924" s="243"/>
      <c r="AD924" s="244"/>
      <c r="AE924" s="244"/>
      <c r="AF924" s="244"/>
      <c r="AG924" s="244"/>
    </row>
    <row r="925" spans="2:33" s="245" customFormat="1" hidden="1">
      <c r="B925" s="239"/>
      <c r="C925" s="240"/>
      <c r="D925" s="241"/>
      <c r="E925" s="241"/>
      <c r="F925" s="241"/>
      <c r="G925" s="241"/>
      <c r="H925" s="241"/>
      <c r="I925" s="241"/>
      <c r="J925" s="241"/>
      <c r="K925" s="241"/>
      <c r="L925" s="241"/>
      <c r="M925" s="242"/>
      <c r="N925" s="241"/>
      <c r="O925" s="241"/>
      <c r="P925" s="241"/>
      <c r="Q925" s="241"/>
      <c r="R925" s="241"/>
      <c r="S925" s="241"/>
      <c r="T925" s="241"/>
      <c r="U925" s="241"/>
      <c r="V925" s="241"/>
      <c r="W925" s="241"/>
      <c r="X925" s="241"/>
      <c r="Y925" s="241"/>
      <c r="Z925" s="242"/>
      <c r="AA925" s="242"/>
      <c r="AB925" s="243"/>
      <c r="AC925" s="243"/>
      <c r="AD925" s="244"/>
      <c r="AE925" s="244"/>
      <c r="AF925" s="244"/>
      <c r="AG925" s="244"/>
    </row>
    <row r="926" spans="2:33" s="245" customFormat="1" hidden="1">
      <c r="B926" s="239"/>
      <c r="C926" s="240"/>
      <c r="D926" s="241"/>
      <c r="E926" s="241"/>
      <c r="F926" s="241"/>
      <c r="G926" s="241"/>
      <c r="H926" s="241"/>
      <c r="I926" s="241"/>
      <c r="J926" s="241"/>
      <c r="K926" s="241"/>
      <c r="L926" s="241"/>
      <c r="M926" s="242"/>
      <c r="N926" s="241"/>
      <c r="O926" s="241"/>
      <c r="P926" s="241"/>
      <c r="Q926" s="241"/>
      <c r="R926" s="241"/>
      <c r="S926" s="241"/>
      <c r="T926" s="241"/>
      <c r="U926" s="241"/>
      <c r="V926" s="241"/>
      <c r="W926" s="241"/>
      <c r="X926" s="241"/>
      <c r="Y926" s="241"/>
      <c r="Z926" s="242"/>
      <c r="AA926" s="242"/>
      <c r="AB926" s="243"/>
      <c r="AC926" s="243"/>
      <c r="AD926" s="244"/>
      <c r="AE926" s="244"/>
      <c r="AF926" s="244"/>
      <c r="AG926" s="244"/>
    </row>
    <row r="927" spans="2:33" s="245" customFormat="1" hidden="1">
      <c r="B927" s="239"/>
      <c r="C927" s="240"/>
      <c r="D927" s="241"/>
      <c r="E927" s="241"/>
      <c r="F927" s="241"/>
      <c r="G927" s="241"/>
      <c r="H927" s="241"/>
      <c r="I927" s="241"/>
      <c r="J927" s="241"/>
      <c r="K927" s="241"/>
      <c r="L927" s="241"/>
      <c r="M927" s="242"/>
      <c r="N927" s="241"/>
      <c r="O927" s="241"/>
      <c r="P927" s="241"/>
      <c r="Q927" s="241"/>
      <c r="R927" s="241"/>
      <c r="S927" s="241"/>
      <c r="T927" s="241"/>
      <c r="U927" s="241"/>
      <c r="V927" s="241"/>
      <c r="W927" s="241"/>
      <c r="X927" s="241"/>
      <c r="Y927" s="241"/>
      <c r="Z927" s="242"/>
      <c r="AA927" s="242"/>
      <c r="AB927" s="243"/>
      <c r="AC927" s="243"/>
      <c r="AD927" s="244"/>
      <c r="AE927" s="244"/>
      <c r="AF927" s="244"/>
      <c r="AG927" s="244"/>
    </row>
    <row r="928" spans="2:33" s="245" customFormat="1" hidden="1">
      <c r="B928" s="239"/>
      <c r="C928" s="240"/>
      <c r="D928" s="241"/>
      <c r="E928" s="241"/>
      <c r="F928" s="241"/>
      <c r="G928" s="241"/>
      <c r="H928" s="241"/>
      <c r="I928" s="241"/>
      <c r="J928" s="241"/>
      <c r="K928" s="241"/>
      <c r="L928" s="241"/>
      <c r="M928" s="242"/>
      <c r="N928" s="241"/>
      <c r="O928" s="241"/>
      <c r="P928" s="241"/>
      <c r="Q928" s="241"/>
      <c r="R928" s="241"/>
      <c r="S928" s="241"/>
      <c r="T928" s="241"/>
      <c r="U928" s="241"/>
      <c r="V928" s="241"/>
      <c r="W928" s="241"/>
      <c r="X928" s="241"/>
      <c r="Y928" s="241"/>
      <c r="Z928" s="242"/>
      <c r="AA928" s="242"/>
      <c r="AB928" s="243"/>
      <c r="AC928" s="243"/>
      <c r="AD928" s="244"/>
      <c r="AE928" s="244"/>
      <c r="AF928" s="244"/>
      <c r="AG928" s="244"/>
    </row>
    <row r="929" spans="2:33" s="245" customFormat="1" hidden="1">
      <c r="B929" s="239"/>
      <c r="C929" s="240"/>
      <c r="D929" s="241"/>
      <c r="E929" s="241"/>
      <c r="F929" s="241"/>
      <c r="G929" s="241"/>
      <c r="H929" s="241"/>
      <c r="I929" s="241"/>
      <c r="J929" s="241"/>
      <c r="K929" s="241"/>
      <c r="L929" s="241"/>
      <c r="M929" s="242"/>
      <c r="N929" s="241"/>
      <c r="O929" s="241"/>
      <c r="P929" s="241"/>
      <c r="Q929" s="241"/>
      <c r="R929" s="241"/>
      <c r="S929" s="241"/>
      <c r="T929" s="241"/>
      <c r="U929" s="241"/>
      <c r="V929" s="241"/>
      <c r="W929" s="241"/>
      <c r="X929" s="241"/>
      <c r="Y929" s="241"/>
      <c r="Z929" s="242"/>
      <c r="AA929" s="242"/>
      <c r="AB929" s="243"/>
      <c r="AC929" s="243"/>
      <c r="AD929" s="244"/>
      <c r="AE929" s="244"/>
      <c r="AF929" s="244"/>
      <c r="AG929" s="244"/>
    </row>
    <row r="930" spans="2:33" s="245" customFormat="1" hidden="1">
      <c r="B930" s="239"/>
      <c r="C930" s="240"/>
      <c r="D930" s="241"/>
      <c r="E930" s="241"/>
      <c r="F930" s="241"/>
      <c r="G930" s="241"/>
      <c r="H930" s="241"/>
      <c r="I930" s="241"/>
      <c r="J930" s="241"/>
      <c r="K930" s="241"/>
      <c r="L930" s="241"/>
      <c r="M930" s="242"/>
      <c r="N930" s="241"/>
      <c r="O930" s="241"/>
      <c r="P930" s="241"/>
      <c r="Q930" s="241"/>
      <c r="R930" s="241"/>
      <c r="S930" s="241"/>
      <c r="T930" s="241"/>
      <c r="U930" s="241"/>
      <c r="V930" s="241"/>
      <c r="W930" s="241"/>
      <c r="X930" s="241"/>
      <c r="Y930" s="241"/>
      <c r="Z930" s="242"/>
      <c r="AA930" s="242"/>
      <c r="AB930" s="243"/>
      <c r="AC930" s="243"/>
      <c r="AD930" s="244"/>
      <c r="AE930" s="244"/>
      <c r="AF930" s="244"/>
      <c r="AG930" s="244"/>
    </row>
    <row r="931" spans="2:33" s="245" customFormat="1" hidden="1">
      <c r="B931" s="239"/>
      <c r="C931" s="240"/>
      <c r="D931" s="241"/>
      <c r="E931" s="241"/>
      <c r="F931" s="241"/>
      <c r="G931" s="241"/>
      <c r="H931" s="241"/>
      <c r="I931" s="241"/>
      <c r="J931" s="241"/>
      <c r="K931" s="241"/>
      <c r="L931" s="241"/>
      <c r="M931" s="242"/>
      <c r="N931" s="241"/>
      <c r="O931" s="241"/>
      <c r="P931" s="241"/>
      <c r="Q931" s="241"/>
      <c r="R931" s="241"/>
      <c r="S931" s="241"/>
      <c r="T931" s="241"/>
      <c r="U931" s="241"/>
      <c r="V931" s="241"/>
      <c r="W931" s="241"/>
      <c r="X931" s="241"/>
      <c r="Y931" s="241"/>
      <c r="Z931" s="242"/>
      <c r="AA931" s="242"/>
      <c r="AB931" s="243"/>
      <c r="AC931" s="243"/>
      <c r="AD931" s="244"/>
      <c r="AE931" s="244"/>
      <c r="AF931" s="244"/>
      <c r="AG931" s="244"/>
    </row>
    <row r="932" spans="2:33" s="245" customFormat="1" hidden="1">
      <c r="B932" s="239"/>
      <c r="C932" s="240"/>
      <c r="D932" s="241"/>
      <c r="E932" s="241"/>
      <c r="F932" s="241"/>
      <c r="G932" s="241"/>
      <c r="H932" s="241"/>
      <c r="I932" s="241"/>
      <c r="J932" s="241"/>
      <c r="K932" s="241"/>
      <c r="L932" s="241"/>
      <c r="M932" s="242"/>
      <c r="N932" s="241"/>
      <c r="O932" s="241"/>
      <c r="P932" s="241"/>
      <c r="Q932" s="241"/>
      <c r="R932" s="241"/>
      <c r="S932" s="241"/>
      <c r="T932" s="241"/>
      <c r="U932" s="241"/>
      <c r="V932" s="241"/>
      <c r="W932" s="241"/>
      <c r="X932" s="241"/>
      <c r="Y932" s="241"/>
      <c r="Z932" s="242"/>
      <c r="AA932" s="242"/>
      <c r="AB932" s="243"/>
      <c r="AC932" s="243"/>
      <c r="AD932" s="244"/>
      <c r="AE932" s="244"/>
      <c r="AF932" s="244"/>
      <c r="AG932" s="244"/>
    </row>
    <row r="933" spans="2:33" s="245" customFormat="1" hidden="1">
      <c r="B933" s="239"/>
      <c r="C933" s="240"/>
      <c r="D933" s="241"/>
      <c r="E933" s="241"/>
      <c r="F933" s="241"/>
      <c r="G933" s="241"/>
      <c r="H933" s="241"/>
      <c r="I933" s="241"/>
      <c r="J933" s="241"/>
      <c r="K933" s="241"/>
      <c r="L933" s="241"/>
      <c r="M933" s="242"/>
      <c r="N933" s="241"/>
      <c r="O933" s="241"/>
      <c r="P933" s="241"/>
      <c r="Q933" s="241"/>
      <c r="R933" s="241"/>
      <c r="S933" s="241"/>
      <c r="T933" s="241"/>
      <c r="U933" s="241"/>
      <c r="V933" s="241"/>
      <c r="W933" s="241"/>
      <c r="X933" s="241"/>
      <c r="Y933" s="241"/>
      <c r="Z933" s="242"/>
      <c r="AA933" s="242"/>
      <c r="AB933" s="243"/>
      <c r="AC933" s="243"/>
      <c r="AD933" s="244"/>
      <c r="AE933" s="244"/>
      <c r="AF933" s="244"/>
      <c r="AG933" s="244"/>
    </row>
    <row r="934" spans="2:33" s="245" customFormat="1" hidden="1">
      <c r="B934" s="239"/>
      <c r="C934" s="240"/>
      <c r="D934" s="241"/>
      <c r="E934" s="241"/>
      <c r="F934" s="241"/>
      <c r="G934" s="241"/>
      <c r="H934" s="241"/>
      <c r="I934" s="241"/>
      <c r="J934" s="241"/>
      <c r="K934" s="241"/>
      <c r="L934" s="241"/>
      <c r="M934" s="242"/>
      <c r="N934" s="241"/>
      <c r="O934" s="241"/>
      <c r="P934" s="241"/>
      <c r="Q934" s="241"/>
      <c r="R934" s="241"/>
      <c r="S934" s="241"/>
      <c r="T934" s="241"/>
      <c r="U934" s="241"/>
      <c r="V934" s="241"/>
      <c r="W934" s="241"/>
      <c r="X934" s="241"/>
      <c r="Y934" s="241"/>
      <c r="Z934" s="242"/>
      <c r="AA934" s="242"/>
      <c r="AB934" s="243"/>
      <c r="AC934" s="243"/>
      <c r="AD934" s="244"/>
      <c r="AE934" s="244"/>
      <c r="AF934" s="244"/>
      <c r="AG934" s="244"/>
    </row>
    <row r="935" spans="2:33" s="245" customFormat="1" hidden="1">
      <c r="B935" s="239"/>
      <c r="C935" s="240"/>
      <c r="D935" s="241"/>
      <c r="E935" s="241"/>
      <c r="F935" s="241"/>
      <c r="G935" s="241"/>
      <c r="H935" s="241"/>
      <c r="I935" s="241"/>
      <c r="J935" s="241"/>
      <c r="K935" s="241"/>
      <c r="L935" s="241"/>
      <c r="M935" s="242"/>
      <c r="N935" s="241"/>
      <c r="O935" s="241"/>
      <c r="P935" s="241"/>
      <c r="Q935" s="241"/>
      <c r="R935" s="241"/>
      <c r="S935" s="241"/>
      <c r="T935" s="241"/>
      <c r="U935" s="241"/>
      <c r="V935" s="241"/>
      <c r="W935" s="241"/>
      <c r="X935" s="241"/>
      <c r="Y935" s="241"/>
      <c r="Z935" s="242"/>
      <c r="AA935" s="242"/>
      <c r="AB935" s="243"/>
      <c r="AC935" s="243"/>
      <c r="AD935" s="244"/>
      <c r="AE935" s="244"/>
      <c r="AF935" s="244"/>
      <c r="AG935" s="244"/>
    </row>
    <row r="936" spans="2:33" s="245" customFormat="1" hidden="1">
      <c r="B936" s="239"/>
      <c r="C936" s="240"/>
      <c r="D936" s="241"/>
      <c r="E936" s="241"/>
      <c r="F936" s="241"/>
      <c r="G936" s="241"/>
      <c r="H936" s="241"/>
      <c r="I936" s="241"/>
      <c r="J936" s="241"/>
      <c r="K936" s="241"/>
      <c r="L936" s="241"/>
      <c r="M936" s="242"/>
      <c r="N936" s="241"/>
      <c r="O936" s="241"/>
      <c r="P936" s="241"/>
      <c r="Q936" s="241"/>
      <c r="R936" s="241"/>
      <c r="S936" s="241"/>
      <c r="T936" s="241"/>
      <c r="U936" s="241"/>
      <c r="V936" s="241"/>
      <c r="W936" s="241"/>
      <c r="X936" s="241"/>
      <c r="Y936" s="241"/>
      <c r="Z936" s="242"/>
      <c r="AA936" s="242"/>
      <c r="AB936" s="243"/>
      <c r="AC936" s="243"/>
      <c r="AD936" s="244"/>
      <c r="AE936" s="244"/>
      <c r="AF936" s="244"/>
      <c r="AG936" s="244"/>
    </row>
    <row r="937" spans="2:33" s="245" customFormat="1" hidden="1">
      <c r="B937" s="239"/>
      <c r="C937" s="240"/>
      <c r="D937" s="241"/>
      <c r="E937" s="241"/>
      <c r="F937" s="241"/>
      <c r="G937" s="241"/>
      <c r="H937" s="241"/>
      <c r="I937" s="241"/>
      <c r="J937" s="241"/>
      <c r="K937" s="241"/>
      <c r="L937" s="241"/>
      <c r="M937" s="242"/>
      <c r="N937" s="241"/>
      <c r="O937" s="241"/>
      <c r="P937" s="241"/>
      <c r="Q937" s="241"/>
      <c r="R937" s="241"/>
      <c r="S937" s="241"/>
      <c r="T937" s="241"/>
      <c r="U937" s="241"/>
      <c r="V937" s="241"/>
      <c r="W937" s="241"/>
      <c r="X937" s="241"/>
      <c r="Y937" s="241"/>
      <c r="Z937" s="242"/>
      <c r="AA937" s="242"/>
      <c r="AB937" s="243"/>
      <c r="AC937" s="243"/>
      <c r="AD937" s="244"/>
      <c r="AE937" s="244"/>
      <c r="AF937" s="244"/>
      <c r="AG937" s="244"/>
    </row>
    <row r="938" spans="2:33" s="245" customFormat="1" hidden="1">
      <c r="B938" s="239"/>
      <c r="C938" s="240"/>
      <c r="D938" s="241"/>
      <c r="E938" s="241"/>
      <c r="F938" s="241"/>
      <c r="G938" s="241"/>
      <c r="H938" s="241"/>
      <c r="I938" s="241"/>
      <c r="J938" s="241"/>
      <c r="K938" s="241"/>
      <c r="L938" s="241"/>
      <c r="M938" s="242"/>
      <c r="N938" s="241"/>
      <c r="O938" s="241"/>
      <c r="P938" s="241"/>
      <c r="Q938" s="241"/>
      <c r="R938" s="241"/>
      <c r="S938" s="241"/>
      <c r="T938" s="241"/>
      <c r="U938" s="241"/>
      <c r="V938" s="241"/>
      <c r="W938" s="241"/>
      <c r="X938" s="241"/>
      <c r="Y938" s="241"/>
      <c r="Z938" s="242"/>
      <c r="AA938" s="242"/>
      <c r="AB938" s="243"/>
      <c r="AC938" s="243"/>
      <c r="AD938" s="244"/>
      <c r="AE938" s="244"/>
      <c r="AF938" s="244"/>
      <c r="AG938" s="244"/>
    </row>
    <row r="939" spans="2:33" s="245" customFormat="1" hidden="1">
      <c r="B939" s="239"/>
      <c r="C939" s="240"/>
      <c r="D939" s="241"/>
      <c r="E939" s="241"/>
      <c r="F939" s="241"/>
      <c r="G939" s="241"/>
      <c r="H939" s="241"/>
      <c r="I939" s="241"/>
      <c r="J939" s="241"/>
      <c r="K939" s="241"/>
      <c r="L939" s="241"/>
      <c r="M939" s="242"/>
      <c r="N939" s="241"/>
      <c r="O939" s="241"/>
      <c r="P939" s="241"/>
      <c r="Q939" s="241"/>
      <c r="R939" s="241"/>
      <c r="S939" s="241"/>
      <c r="T939" s="241"/>
      <c r="U939" s="241"/>
      <c r="V939" s="241"/>
      <c r="W939" s="241"/>
      <c r="X939" s="241"/>
      <c r="Y939" s="241"/>
      <c r="Z939" s="242"/>
      <c r="AA939" s="242"/>
      <c r="AB939" s="243"/>
      <c r="AC939" s="243"/>
      <c r="AD939" s="244"/>
      <c r="AE939" s="244"/>
      <c r="AF939" s="244"/>
      <c r="AG939" s="244"/>
    </row>
    <row r="940" spans="2:33" s="245" customFormat="1" hidden="1">
      <c r="B940" s="239"/>
      <c r="C940" s="240"/>
      <c r="D940" s="241"/>
      <c r="E940" s="241"/>
      <c r="F940" s="241"/>
      <c r="G940" s="241"/>
      <c r="H940" s="241"/>
      <c r="I940" s="241"/>
      <c r="J940" s="241"/>
      <c r="K940" s="241"/>
      <c r="L940" s="241"/>
      <c r="M940" s="242"/>
      <c r="N940" s="241"/>
      <c r="O940" s="241"/>
      <c r="P940" s="241"/>
      <c r="Q940" s="241"/>
      <c r="R940" s="241"/>
      <c r="S940" s="241"/>
      <c r="T940" s="241"/>
      <c r="U940" s="241"/>
      <c r="V940" s="241"/>
      <c r="W940" s="241"/>
      <c r="X940" s="241"/>
      <c r="Y940" s="241"/>
      <c r="Z940" s="242"/>
      <c r="AA940" s="242"/>
      <c r="AB940" s="243"/>
      <c r="AC940" s="243"/>
      <c r="AD940" s="244"/>
      <c r="AE940" s="244"/>
      <c r="AF940" s="244"/>
      <c r="AG940" s="244"/>
    </row>
    <row r="941" spans="2:33" s="245" customFormat="1" hidden="1">
      <c r="B941" s="239"/>
      <c r="C941" s="240"/>
      <c r="D941" s="241"/>
      <c r="E941" s="241"/>
      <c r="F941" s="241"/>
      <c r="G941" s="241"/>
      <c r="H941" s="241"/>
      <c r="I941" s="241"/>
      <c r="J941" s="241"/>
      <c r="K941" s="241"/>
      <c r="L941" s="241"/>
      <c r="M941" s="242"/>
      <c r="N941" s="241"/>
      <c r="O941" s="241"/>
      <c r="P941" s="241"/>
      <c r="Q941" s="241"/>
      <c r="R941" s="241"/>
      <c r="S941" s="241"/>
      <c r="T941" s="241"/>
      <c r="U941" s="241"/>
      <c r="V941" s="241"/>
      <c r="W941" s="241"/>
      <c r="X941" s="241"/>
      <c r="Y941" s="241"/>
      <c r="Z941" s="242"/>
      <c r="AA941" s="242"/>
      <c r="AB941" s="243"/>
      <c r="AC941" s="243"/>
      <c r="AD941" s="244"/>
      <c r="AE941" s="244"/>
      <c r="AF941" s="244"/>
      <c r="AG941" s="244"/>
    </row>
    <row r="942" spans="2:33" s="245" customFormat="1" hidden="1">
      <c r="B942" s="239"/>
      <c r="C942" s="240"/>
      <c r="D942" s="241"/>
      <c r="E942" s="241"/>
      <c r="F942" s="241"/>
      <c r="G942" s="241"/>
      <c r="H942" s="241"/>
      <c r="I942" s="241"/>
      <c r="J942" s="241"/>
      <c r="K942" s="241"/>
      <c r="L942" s="241"/>
      <c r="M942" s="242"/>
      <c r="N942" s="241"/>
      <c r="O942" s="241"/>
      <c r="P942" s="241"/>
      <c r="Q942" s="241"/>
      <c r="R942" s="241"/>
      <c r="S942" s="241"/>
      <c r="T942" s="241"/>
      <c r="U942" s="241"/>
      <c r="V942" s="241"/>
      <c r="W942" s="241"/>
      <c r="X942" s="241"/>
      <c r="Y942" s="241"/>
      <c r="Z942" s="242"/>
      <c r="AA942" s="242"/>
      <c r="AB942" s="243"/>
      <c r="AC942" s="243"/>
      <c r="AD942" s="244"/>
      <c r="AE942" s="244"/>
      <c r="AF942" s="244"/>
      <c r="AG942" s="244"/>
    </row>
    <row r="943" spans="2:33" s="245" customFormat="1" hidden="1">
      <c r="B943" s="239"/>
      <c r="C943" s="240"/>
      <c r="D943" s="241"/>
      <c r="E943" s="241"/>
      <c r="F943" s="241"/>
      <c r="G943" s="241"/>
      <c r="H943" s="241"/>
      <c r="I943" s="241"/>
      <c r="J943" s="241"/>
      <c r="K943" s="241"/>
      <c r="L943" s="241"/>
      <c r="M943" s="242"/>
      <c r="N943" s="241"/>
      <c r="O943" s="241"/>
      <c r="P943" s="241"/>
      <c r="Q943" s="241"/>
      <c r="R943" s="241"/>
      <c r="S943" s="241"/>
      <c r="T943" s="241"/>
      <c r="U943" s="241"/>
      <c r="V943" s="241"/>
      <c r="W943" s="241"/>
      <c r="X943" s="241"/>
      <c r="Y943" s="241"/>
      <c r="Z943" s="242"/>
      <c r="AA943" s="242"/>
      <c r="AB943" s="243"/>
      <c r="AC943" s="243"/>
      <c r="AD943" s="244"/>
      <c r="AE943" s="244"/>
      <c r="AF943" s="244"/>
      <c r="AG943" s="244"/>
    </row>
    <row r="944" spans="2:33" s="245" customFormat="1" hidden="1">
      <c r="B944" s="239"/>
      <c r="C944" s="240"/>
      <c r="D944" s="241"/>
      <c r="E944" s="241"/>
      <c r="F944" s="241"/>
      <c r="G944" s="241"/>
      <c r="H944" s="241"/>
      <c r="I944" s="241"/>
      <c r="J944" s="241"/>
      <c r="K944" s="241"/>
      <c r="L944" s="241"/>
      <c r="M944" s="242"/>
      <c r="N944" s="241"/>
      <c r="O944" s="241"/>
      <c r="P944" s="241"/>
      <c r="Q944" s="241"/>
      <c r="R944" s="241"/>
      <c r="S944" s="241"/>
      <c r="T944" s="241"/>
      <c r="U944" s="241"/>
      <c r="V944" s="241"/>
      <c r="W944" s="241"/>
      <c r="X944" s="241"/>
      <c r="Y944" s="241"/>
      <c r="Z944" s="242"/>
      <c r="AA944" s="242"/>
      <c r="AB944" s="243"/>
      <c r="AC944" s="243"/>
      <c r="AD944" s="244"/>
      <c r="AE944" s="244"/>
      <c r="AF944" s="244"/>
      <c r="AG944" s="244"/>
    </row>
    <row r="945" spans="2:33" s="245" customFormat="1" hidden="1">
      <c r="B945" s="239"/>
      <c r="C945" s="240"/>
      <c r="D945" s="241"/>
      <c r="E945" s="241"/>
      <c r="F945" s="241"/>
      <c r="G945" s="241"/>
      <c r="H945" s="241"/>
      <c r="I945" s="241"/>
      <c r="J945" s="241"/>
      <c r="K945" s="241"/>
      <c r="L945" s="241"/>
      <c r="M945" s="242"/>
      <c r="N945" s="241"/>
      <c r="O945" s="241"/>
      <c r="P945" s="241"/>
      <c r="Q945" s="241"/>
      <c r="R945" s="241"/>
      <c r="S945" s="241"/>
      <c r="T945" s="241"/>
      <c r="U945" s="241"/>
      <c r="V945" s="241"/>
      <c r="W945" s="241"/>
      <c r="X945" s="241"/>
      <c r="Y945" s="241"/>
      <c r="Z945" s="242"/>
      <c r="AA945" s="242"/>
      <c r="AB945" s="243"/>
      <c r="AC945" s="243"/>
      <c r="AD945" s="244"/>
      <c r="AE945" s="244"/>
      <c r="AF945" s="244"/>
      <c r="AG945" s="244"/>
    </row>
    <row r="946" spans="2:33" s="245" customFormat="1" hidden="1">
      <c r="B946" s="239"/>
      <c r="C946" s="240"/>
      <c r="D946" s="241"/>
      <c r="E946" s="241"/>
      <c r="F946" s="241"/>
      <c r="G946" s="241"/>
      <c r="H946" s="241"/>
      <c r="I946" s="241"/>
      <c r="J946" s="241"/>
      <c r="K946" s="241"/>
      <c r="L946" s="241"/>
      <c r="M946" s="242"/>
      <c r="N946" s="241"/>
      <c r="O946" s="241"/>
      <c r="P946" s="241"/>
      <c r="Q946" s="241"/>
      <c r="R946" s="241"/>
      <c r="S946" s="241"/>
      <c r="T946" s="241"/>
      <c r="U946" s="241"/>
      <c r="V946" s="241"/>
      <c r="W946" s="241"/>
      <c r="X946" s="241"/>
      <c r="Y946" s="241"/>
      <c r="Z946" s="242"/>
      <c r="AA946" s="242"/>
      <c r="AB946" s="243"/>
      <c r="AC946" s="243"/>
      <c r="AD946" s="244"/>
      <c r="AE946" s="244"/>
      <c r="AF946" s="244"/>
      <c r="AG946" s="244"/>
    </row>
    <row r="947" spans="2:33" s="245" customFormat="1" hidden="1">
      <c r="B947" s="239"/>
      <c r="C947" s="240"/>
      <c r="D947" s="241"/>
      <c r="E947" s="241"/>
      <c r="F947" s="241"/>
      <c r="G947" s="241"/>
      <c r="H947" s="241"/>
      <c r="I947" s="241"/>
      <c r="J947" s="241"/>
      <c r="K947" s="241"/>
      <c r="L947" s="241"/>
      <c r="M947" s="242"/>
      <c r="N947" s="241"/>
      <c r="O947" s="241"/>
      <c r="P947" s="241"/>
      <c r="Q947" s="241"/>
      <c r="R947" s="241"/>
      <c r="S947" s="241"/>
      <c r="T947" s="241"/>
      <c r="U947" s="241"/>
      <c r="V947" s="241"/>
      <c r="W947" s="241"/>
      <c r="X947" s="241"/>
      <c r="Y947" s="241"/>
      <c r="Z947" s="242"/>
      <c r="AA947" s="242"/>
      <c r="AB947" s="243"/>
      <c r="AC947" s="243"/>
      <c r="AD947" s="244"/>
      <c r="AE947" s="244"/>
      <c r="AF947" s="244"/>
      <c r="AG947" s="244"/>
    </row>
    <row r="948" spans="2:33" s="245" customFormat="1" hidden="1">
      <c r="B948" s="239"/>
      <c r="C948" s="240"/>
      <c r="D948" s="241"/>
      <c r="E948" s="241"/>
      <c r="F948" s="241"/>
      <c r="G948" s="241"/>
      <c r="H948" s="241"/>
      <c r="I948" s="241"/>
      <c r="J948" s="241"/>
      <c r="K948" s="241"/>
      <c r="L948" s="241"/>
      <c r="M948" s="242"/>
      <c r="N948" s="241"/>
      <c r="O948" s="241"/>
      <c r="P948" s="241"/>
      <c r="Q948" s="241"/>
      <c r="R948" s="241"/>
      <c r="S948" s="241"/>
      <c r="T948" s="241"/>
      <c r="U948" s="241"/>
      <c r="V948" s="241"/>
      <c r="W948" s="241"/>
      <c r="X948" s="241"/>
      <c r="Y948" s="241"/>
      <c r="Z948" s="242"/>
      <c r="AA948" s="242"/>
      <c r="AB948" s="243"/>
      <c r="AC948" s="243"/>
      <c r="AD948" s="244"/>
      <c r="AE948" s="244"/>
      <c r="AF948" s="244"/>
      <c r="AG948" s="244"/>
    </row>
    <row r="949" spans="2:33" s="245" customFormat="1" hidden="1">
      <c r="B949" s="239"/>
      <c r="C949" s="240"/>
      <c r="D949" s="241"/>
      <c r="E949" s="241"/>
      <c r="F949" s="241"/>
      <c r="G949" s="241"/>
      <c r="H949" s="241"/>
      <c r="I949" s="241"/>
      <c r="J949" s="241"/>
      <c r="K949" s="241"/>
      <c r="L949" s="241"/>
      <c r="M949" s="242"/>
      <c r="N949" s="241"/>
      <c r="O949" s="241"/>
      <c r="P949" s="241"/>
      <c r="Q949" s="241"/>
      <c r="R949" s="241"/>
      <c r="S949" s="241"/>
      <c r="T949" s="241"/>
      <c r="U949" s="241"/>
      <c r="V949" s="241"/>
      <c r="W949" s="241"/>
      <c r="X949" s="241"/>
      <c r="Y949" s="241"/>
      <c r="Z949" s="242"/>
      <c r="AA949" s="242"/>
      <c r="AB949" s="243"/>
      <c r="AC949" s="243"/>
      <c r="AD949" s="244"/>
      <c r="AE949" s="244"/>
      <c r="AF949" s="244"/>
      <c r="AG949" s="244"/>
    </row>
    <row r="950" spans="2:33" s="245" customFormat="1" hidden="1">
      <c r="B950" s="239"/>
      <c r="C950" s="240"/>
      <c r="D950" s="241"/>
      <c r="E950" s="241"/>
      <c r="F950" s="241"/>
      <c r="G950" s="241"/>
      <c r="H950" s="241"/>
      <c r="I950" s="241"/>
      <c r="J950" s="241"/>
      <c r="K950" s="241"/>
      <c r="L950" s="241"/>
      <c r="M950" s="242"/>
      <c r="N950" s="241"/>
      <c r="O950" s="241"/>
      <c r="P950" s="241"/>
      <c r="Q950" s="241"/>
      <c r="R950" s="241"/>
      <c r="S950" s="241"/>
      <c r="T950" s="241"/>
      <c r="U950" s="241"/>
      <c r="V950" s="241"/>
      <c r="W950" s="241"/>
      <c r="X950" s="241"/>
      <c r="Y950" s="241"/>
      <c r="Z950" s="242"/>
      <c r="AA950" s="242"/>
      <c r="AB950" s="243"/>
      <c r="AC950" s="243"/>
      <c r="AD950" s="244"/>
      <c r="AE950" s="244"/>
      <c r="AF950" s="244"/>
      <c r="AG950" s="244"/>
    </row>
    <row r="951" spans="2:33" s="245" customFormat="1" hidden="1">
      <c r="B951" s="239"/>
      <c r="C951" s="240"/>
      <c r="D951" s="241"/>
      <c r="E951" s="241"/>
      <c r="F951" s="241"/>
      <c r="G951" s="241"/>
      <c r="H951" s="241"/>
      <c r="I951" s="241"/>
      <c r="J951" s="241"/>
      <c r="K951" s="241"/>
      <c r="L951" s="241"/>
      <c r="M951" s="242"/>
      <c r="N951" s="241"/>
      <c r="O951" s="241"/>
      <c r="P951" s="241"/>
      <c r="Q951" s="241"/>
      <c r="R951" s="241"/>
      <c r="S951" s="241"/>
      <c r="T951" s="241"/>
      <c r="U951" s="241"/>
      <c r="V951" s="241"/>
      <c r="W951" s="241"/>
      <c r="X951" s="241"/>
      <c r="Y951" s="241"/>
      <c r="Z951" s="242"/>
      <c r="AA951" s="242"/>
      <c r="AB951" s="243"/>
      <c r="AC951" s="243"/>
      <c r="AD951" s="244"/>
      <c r="AE951" s="244"/>
      <c r="AF951" s="244"/>
      <c r="AG951" s="244"/>
    </row>
    <row r="952" spans="2:33" s="245" customFormat="1" hidden="1">
      <c r="B952" s="239"/>
      <c r="C952" s="240"/>
      <c r="D952" s="241"/>
      <c r="E952" s="241"/>
      <c r="F952" s="241"/>
      <c r="G952" s="241"/>
      <c r="H952" s="241"/>
      <c r="I952" s="241"/>
      <c r="J952" s="241"/>
      <c r="K952" s="241"/>
      <c r="L952" s="241"/>
      <c r="M952" s="242"/>
      <c r="N952" s="241"/>
      <c r="O952" s="241"/>
      <c r="P952" s="241"/>
      <c r="Q952" s="241"/>
      <c r="R952" s="241"/>
      <c r="S952" s="241"/>
      <c r="T952" s="241"/>
      <c r="U952" s="241"/>
      <c r="V952" s="241"/>
      <c r="W952" s="241"/>
      <c r="X952" s="241"/>
      <c r="Y952" s="241"/>
      <c r="Z952" s="242"/>
      <c r="AA952" s="242"/>
      <c r="AB952" s="243"/>
      <c r="AC952" s="243"/>
      <c r="AD952" s="244"/>
      <c r="AE952" s="244"/>
      <c r="AF952" s="244"/>
      <c r="AG952" s="244"/>
    </row>
    <row r="953" spans="2:33" s="245" customFormat="1" hidden="1">
      <c r="B953" s="239"/>
      <c r="C953" s="240"/>
      <c r="D953" s="241"/>
      <c r="E953" s="241"/>
      <c r="F953" s="241"/>
      <c r="G953" s="241"/>
      <c r="H953" s="241"/>
      <c r="I953" s="241"/>
      <c r="J953" s="241"/>
      <c r="K953" s="241"/>
      <c r="L953" s="241"/>
      <c r="M953" s="242"/>
      <c r="N953" s="241"/>
      <c r="O953" s="241"/>
      <c r="P953" s="241"/>
      <c r="Q953" s="241"/>
      <c r="R953" s="241"/>
      <c r="S953" s="241"/>
      <c r="T953" s="241"/>
      <c r="U953" s="241"/>
      <c r="V953" s="241"/>
      <c r="W953" s="241"/>
      <c r="X953" s="241"/>
      <c r="Y953" s="241"/>
      <c r="Z953" s="242"/>
      <c r="AA953" s="242"/>
      <c r="AB953" s="243"/>
      <c r="AC953" s="243"/>
      <c r="AD953" s="244"/>
      <c r="AE953" s="244"/>
      <c r="AF953" s="244"/>
      <c r="AG953" s="244"/>
    </row>
    <row r="954" spans="2:33" s="245" customFormat="1" hidden="1">
      <c r="B954" s="239"/>
      <c r="C954" s="240"/>
      <c r="D954" s="241"/>
      <c r="E954" s="241"/>
      <c r="F954" s="241"/>
      <c r="G954" s="241"/>
      <c r="H954" s="241"/>
      <c r="I954" s="241"/>
      <c r="J954" s="241"/>
      <c r="K954" s="241"/>
      <c r="L954" s="241"/>
      <c r="M954" s="242"/>
      <c r="N954" s="241"/>
      <c r="O954" s="241"/>
      <c r="P954" s="241"/>
      <c r="Q954" s="241"/>
      <c r="R954" s="241"/>
      <c r="S954" s="241"/>
      <c r="T954" s="241"/>
      <c r="U954" s="241"/>
      <c r="V954" s="241"/>
      <c r="W954" s="241"/>
      <c r="X954" s="241"/>
      <c r="Y954" s="241"/>
      <c r="Z954" s="242"/>
      <c r="AA954" s="242"/>
      <c r="AB954" s="243"/>
      <c r="AC954" s="243"/>
      <c r="AD954" s="244"/>
      <c r="AE954" s="244"/>
      <c r="AF954" s="244"/>
      <c r="AG954" s="244"/>
    </row>
    <row r="955" spans="2:33" s="245" customFormat="1" hidden="1">
      <c r="B955" s="239"/>
      <c r="C955" s="240"/>
      <c r="D955" s="241"/>
      <c r="E955" s="241"/>
      <c r="F955" s="241"/>
      <c r="G955" s="241"/>
      <c r="H955" s="241"/>
      <c r="I955" s="241"/>
      <c r="J955" s="241"/>
      <c r="K955" s="241"/>
      <c r="L955" s="241"/>
      <c r="M955" s="242"/>
      <c r="N955" s="241"/>
      <c r="O955" s="241"/>
      <c r="P955" s="241"/>
      <c r="Q955" s="241"/>
      <c r="R955" s="241"/>
      <c r="S955" s="241"/>
      <c r="T955" s="241"/>
      <c r="U955" s="241"/>
      <c r="V955" s="241"/>
      <c r="W955" s="241"/>
      <c r="X955" s="241"/>
      <c r="Y955" s="241"/>
      <c r="Z955" s="242"/>
      <c r="AA955" s="242"/>
      <c r="AB955" s="243"/>
      <c r="AC955" s="243"/>
      <c r="AD955" s="244"/>
      <c r="AE955" s="244"/>
      <c r="AF955" s="244"/>
      <c r="AG955" s="244"/>
    </row>
    <row r="956" spans="2:33" s="245" customFormat="1" hidden="1">
      <c r="B956" s="239"/>
      <c r="C956" s="240"/>
      <c r="D956" s="241"/>
      <c r="E956" s="241"/>
      <c r="F956" s="241"/>
      <c r="G956" s="241"/>
      <c r="H956" s="241"/>
      <c r="I956" s="241"/>
      <c r="J956" s="241"/>
      <c r="K956" s="241"/>
      <c r="L956" s="241"/>
      <c r="M956" s="242"/>
      <c r="N956" s="241"/>
      <c r="O956" s="241"/>
      <c r="P956" s="241"/>
      <c r="Q956" s="241"/>
      <c r="R956" s="241"/>
      <c r="S956" s="241"/>
      <c r="T956" s="241"/>
      <c r="U956" s="241"/>
      <c r="V956" s="241"/>
      <c r="W956" s="241"/>
      <c r="X956" s="241"/>
      <c r="Y956" s="241"/>
      <c r="Z956" s="242"/>
      <c r="AA956" s="242"/>
      <c r="AB956" s="243"/>
      <c r="AC956" s="243"/>
      <c r="AD956" s="244"/>
      <c r="AE956" s="244"/>
      <c r="AF956" s="244"/>
      <c r="AG956" s="244"/>
    </row>
    <row r="957" spans="2:33" s="245" customFormat="1" hidden="1">
      <c r="B957" s="239"/>
      <c r="C957" s="240"/>
      <c r="D957" s="241"/>
      <c r="E957" s="241"/>
      <c r="F957" s="241"/>
      <c r="G957" s="241"/>
      <c r="H957" s="241"/>
      <c r="I957" s="241"/>
      <c r="J957" s="241"/>
      <c r="K957" s="241"/>
      <c r="L957" s="241"/>
      <c r="M957" s="242"/>
      <c r="N957" s="241"/>
      <c r="O957" s="241"/>
      <c r="P957" s="241"/>
      <c r="Q957" s="241"/>
      <c r="R957" s="241"/>
      <c r="S957" s="241"/>
      <c r="T957" s="241"/>
      <c r="U957" s="241"/>
      <c r="V957" s="241"/>
      <c r="W957" s="241"/>
      <c r="X957" s="241"/>
      <c r="Y957" s="241"/>
      <c r="Z957" s="242"/>
      <c r="AA957" s="242"/>
      <c r="AB957" s="243"/>
      <c r="AC957" s="243"/>
      <c r="AD957" s="244"/>
      <c r="AE957" s="244"/>
      <c r="AF957" s="244"/>
      <c r="AG957" s="244"/>
    </row>
    <row r="958" spans="2:33" s="245" customFormat="1" hidden="1">
      <c r="B958" s="239"/>
      <c r="C958" s="240"/>
      <c r="D958" s="241"/>
      <c r="E958" s="241"/>
      <c r="F958" s="241"/>
      <c r="G958" s="241"/>
      <c r="H958" s="241"/>
      <c r="I958" s="241"/>
      <c r="J958" s="241"/>
      <c r="K958" s="241"/>
      <c r="L958" s="241"/>
      <c r="M958" s="242"/>
      <c r="N958" s="241"/>
      <c r="O958" s="241"/>
      <c r="P958" s="241"/>
      <c r="Q958" s="241"/>
      <c r="R958" s="241"/>
      <c r="S958" s="241"/>
      <c r="T958" s="241"/>
      <c r="U958" s="241"/>
      <c r="V958" s="241"/>
      <c r="W958" s="241"/>
      <c r="X958" s="241"/>
      <c r="Y958" s="241"/>
      <c r="Z958" s="242"/>
      <c r="AA958" s="242"/>
      <c r="AB958" s="243"/>
      <c r="AC958" s="243"/>
      <c r="AD958" s="244"/>
      <c r="AE958" s="244"/>
      <c r="AF958" s="244"/>
      <c r="AG958" s="244"/>
    </row>
    <row r="959" spans="2:33" s="245" customFormat="1" hidden="1">
      <c r="B959" s="239"/>
      <c r="C959" s="240"/>
      <c r="D959" s="241"/>
      <c r="E959" s="241"/>
      <c r="F959" s="241"/>
      <c r="G959" s="241"/>
      <c r="H959" s="241"/>
      <c r="I959" s="241"/>
      <c r="J959" s="241"/>
      <c r="K959" s="241"/>
      <c r="L959" s="241"/>
      <c r="M959" s="246"/>
      <c r="N959" s="241"/>
      <c r="O959" s="241"/>
      <c r="P959" s="241"/>
      <c r="Q959" s="241"/>
      <c r="R959" s="241"/>
      <c r="S959" s="241"/>
      <c r="T959" s="241"/>
      <c r="U959" s="241"/>
      <c r="V959" s="241"/>
      <c r="W959" s="241"/>
      <c r="X959" s="241"/>
      <c r="Y959" s="241"/>
      <c r="Z959" s="246"/>
      <c r="AA959" s="246"/>
      <c r="AB959" s="239"/>
      <c r="AC959" s="239"/>
    </row>
    <row r="960" spans="2:33" s="245" customFormat="1" hidden="1">
      <c r="B960" s="239"/>
      <c r="C960" s="240"/>
      <c r="D960" s="241"/>
      <c r="E960" s="241"/>
      <c r="F960" s="241"/>
      <c r="G960" s="241"/>
      <c r="H960" s="241"/>
      <c r="I960" s="241"/>
      <c r="J960" s="241"/>
      <c r="K960" s="241"/>
      <c r="L960" s="241"/>
      <c r="M960" s="246"/>
      <c r="N960" s="241"/>
      <c r="O960" s="241"/>
      <c r="P960" s="241"/>
      <c r="Q960" s="241"/>
      <c r="R960" s="241"/>
      <c r="S960" s="241"/>
      <c r="T960" s="241"/>
      <c r="U960" s="241"/>
      <c r="V960" s="241"/>
      <c r="W960" s="241"/>
      <c r="X960" s="241"/>
      <c r="Y960" s="241"/>
      <c r="Z960" s="246"/>
      <c r="AA960" s="246"/>
      <c r="AB960" s="239"/>
      <c r="AC960" s="239"/>
    </row>
    <row r="961" spans="2:29" s="245" customFormat="1" hidden="1">
      <c r="B961" s="239"/>
      <c r="C961" s="240"/>
      <c r="D961" s="241"/>
      <c r="E961" s="241"/>
      <c r="F961" s="241"/>
      <c r="G961" s="241"/>
      <c r="H961" s="241"/>
      <c r="I961" s="241"/>
      <c r="J961" s="241"/>
      <c r="K961" s="241"/>
      <c r="L961" s="241"/>
      <c r="M961" s="246"/>
      <c r="N961" s="241"/>
      <c r="O961" s="241"/>
      <c r="P961" s="241"/>
      <c r="Q961" s="241"/>
      <c r="R961" s="241"/>
      <c r="S961" s="241"/>
      <c r="T961" s="241"/>
      <c r="U961" s="241"/>
      <c r="V961" s="241"/>
      <c r="W961" s="241"/>
      <c r="X961" s="241"/>
      <c r="Y961" s="241"/>
      <c r="Z961" s="246"/>
      <c r="AA961" s="246"/>
      <c r="AB961" s="239"/>
      <c r="AC961" s="239"/>
    </row>
    <row r="962" spans="2:29" s="245" customFormat="1" hidden="1">
      <c r="B962" s="239"/>
      <c r="C962" s="240"/>
      <c r="D962" s="241"/>
      <c r="E962" s="241"/>
      <c r="F962" s="241"/>
      <c r="G962" s="241"/>
      <c r="H962" s="241"/>
      <c r="I962" s="241"/>
      <c r="J962" s="241"/>
      <c r="K962" s="241"/>
      <c r="L962" s="241"/>
      <c r="M962" s="246"/>
      <c r="N962" s="241"/>
      <c r="O962" s="241"/>
      <c r="P962" s="241"/>
      <c r="Q962" s="241"/>
      <c r="R962" s="241"/>
      <c r="S962" s="241"/>
      <c r="T962" s="241"/>
      <c r="U962" s="241"/>
      <c r="V962" s="241"/>
      <c r="W962" s="241"/>
      <c r="X962" s="241"/>
      <c r="Y962" s="241"/>
      <c r="Z962" s="246"/>
      <c r="AA962" s="246"/>
      <c r="AB962" s="239"/>
      <c r="AC962" s="239"/>
    </row>
    <row r="963" spans="2:29" s="245" customFormat="1" hidden="1">
      <c r="B963" s="239"/>
      <c r="C963" s="240"/>
      <c r="D963" s="241"/>
      <c r="E963" s="241"/>
      <c r="F963" s="241"/>
      <c r="G963" s="241"/>
      <c r="H963" s="241"/>
      <c r="I963" s="241"/>
      <c r="J963" s="241"/>
      <c r="K963" s="241"/>
      <c r="L963" s="241"/>
      <c r="M963" s="246"/>
      <c r="N963" s="241"/>
      <c r="O963" s="241"/>
      <c r="P963" s="241"/>
      <c r="Q963" s="241"/>
      <c r="R963" s="241"/>
      <c r="S963" s="241"/>
      <c r="T963" s="241"/>
      <c r="U963" s="241"/>
      <c r="V963" s="241"/>
      <c r="W963" s="241"/>
      <c r="X963" s="241"/>
      <c r="Y963" s="241"/>
      <c r="Z963" s="246"/>
      <c r="AA963" s="246"/>
      <c r="AB963" s="239"/>
      <c r="AC963" s="239"/>
    </row>
    <row r="964" spans="2:29" s="245" customFormat="1" hidden="1">
      <c r="B964" s="239"/>
      <c r="C964" s="240"/>
      <c r="D964" s="241"/>
      <c r="E964" s="241"/>
      <c r="F964" s="241"/>
      <c r="G964" s="241"/>
      <c r="H964" s="241"/>
      <c r="I964" s="241"/>
      <c r="J964" s="241"/>
      <c r="K964" s="241"/>
      <c r="L964" s="241"/>
      <c r="M964" s="246"/>
      <c r="N964" s="241"/>
      <c r="O964" s="241"/>
      <c r="P964" s="241"/>
      <c r="Q964" s="241"/>
      <c r="R964" s="241"/>
      <c r="S964" s="241"/>
      <c r="T964" s="241"/>
      <c r="U964" s="241"/>
      <c r="V964" s="241"/>
      <c r="W964" s="241"/>
      <c r="X964" s="241"/>
      <c r="Y964" s="241"/>
      <c r="Z964" s="246"/>
      <c r="AA964" s="246"/>
      <c r="AB964" s="239"/>
      <c r="AC964" s="239"/>
    </row>
    <row r="965" spans="2:29" s="245" customFormat="1" hidden="1">
      <c r="B965" s="239"/>
      <c r="C965" s="240"/>
      <c r="D965" s="241"/>
      <c r="E965" s="241"/>
      <c r="F965" s="241"/>
      <c r="G965" s="241"/>
      <c r="H965" s="241"/>
      <c r="I965" s="241"/>
      <c r="J965" s="241"/>
      <c r="K965" s="241"/>
      <c r="L965" s="241"/>
      <c r="M965" s="246"/>
      <c r="N965" s="241"/>
      <c r="O965" s="241"/>
      <c r="P965" s="241"/>
      <c r="Q965" s="241"/>
      <c r="R965" s="241"/>
      <c r="S965" s="241"/>
      <c r="T965" s="241"/>
      <c r="U965" s="241"/>
      <c r="V965" s="241"/>
      <c r="W965" s="241"/>
      <c r="X965" s="241"/>
      <c r="Y965" s="241"/>
      <c r="Z965" s="246"/>
      <c r="AA965" s="246"/>
      <c r="AB965" s="239"/>
      <c r="AC965" s="239"/>
    </row>
    <row r="966" spans="2:29" s="245" customFormat="1" hidden="1">
      <c r="B966" s="239"/>
      <c r="C966" s="240"/>
      <c r="D966" s="241"/>
      <c r="E966" s="241"/>
      <c r="F966" s="241"/>
      <c r="G966" s="241"/>
      <c r="H966" s="241"/>
      <c r="I966" s="241"/>
      <c r="J966" s="241"/>
      <c r="K966" s="241"/>
      <c r="L966" s="241"/>
      <c r="M966" s="246"/>
      <c r="N966" s="241"/>
      <c r="O966" s="241"/>
      <c r="P966" s="241"/>
      <c r="Q966" s="241"/>
      <c r="R966" s="241"/>
      <c r="S966" s="241"/>
      <c r="T966" s="241"/>
      <c r="U966" s="241"/>
      <c r="V966" s="241"/>
      <c r="W966" s="241"/>
      <c r="X966" s="241"/>
      <c r="Y966" s="241"/>
      <c r="Z966" s="246"/>
      <c r="AA966" s="246"/>
      <c r="AB966" s="239"/>
      <c r="AC966" s="239"/>
    </row>
    <row r="967" spans="2:29" s="245" customFormat="1" hidden="1">
      <c r="B967" s="239"/>
      <c r="C967" s="240"/>
      <c r="D967" s="241"/>
      <c r="E967" s="241"/>
      <c r="F967" s="241"/>
      <c r="G967" s="241"/>
      <c r="H967" s="241"/>
      <c r="I967" s="241"/>
      <c r="J967" s="241"/>
      <c r="K967" s="241"/>
      <c r="L967" s="241"/>
      <c r="M967" s="241"/>
      <c r="N967" s="241"/>
      <c r="O967" s="241"/>
      <c r="P967" s="241"/>
      <c r="Q967" s="241"/>
      <c r="R967" s="241"/>
      <c r="S967" s="241"/>
      <c r="T967" s="241"/>
      <c r="U967" s="241"/>
      <c r="V967" s="241"/>
      <c r="W967" s="241"/>
      <c r="X967" s="241"/>
      <c r="Y967" s="241"/>
      <c r="Z967" s="241"/>
      <c r="AA967" s="241"/>
      <c r="AB967" s="239"/>
      <c r="AC967" s="239"/>
    </row>
    <row r="968" spans="2:29" s="245" customFormat="1" hidden="1">
      <c r="B968" s="239"/>
      <c r="C968" s="240"/>
      <c r="D968" s="241"/>
      <c r="E968" s="241"/>
      <c r="F968" s="241"/>
      <c r="G968" s="241"/>
      <c r="H968" s="241"/>
      <c r="I968" s="241"/>
      <c r="J968" s="241"/>
      <c r="K968" s="241"/>
      <c r="L968" s="241"/>
      <c r="M968" s="241"/>
      <c r="N968" s="241"/>
      <c r="O968" s="241"/>
      <c r="P968" s="241"/>
      <c r="Q968" s="241"/>
      <c r="R968" s="241"/>
      <c r="S968" s="241"/>
      <c r="T968" s="241"/>
      <c r="U968" s="241"/>
      <c r="V968" s="241"/>
      <c r="W968" s="241"/>
      <c r="X968" s="241"/>
      <c r="Y968" s="241"/>
      <c r="Z968" s="241"/>
      <c r="AA968" s="241"/>
      <c r="AB968" s="239"/>
      <c r="AC968" s="239"/>
    </row>
    <row r="969" spans="2:29" s="245" customFormat="1" hidden="1">
      <c r="B969" s="239"/>
      <c r="C969" s="240"/>
      <c r="D969" s="241"/>
      <c r="E969" s="241"/>
      <c r="F969" s="241"/>
      <c r="G969" s="241"/>
      <c r="H969" s="241"/>
      <c r="I969" s="241"/>
      <c r="J969" s="241"/>
      <c r="K969" s="241"/>
      <c r="L969" s="241"/>
      <c r="M969" s="241"/>
      <c r="N969" s="241"/>
      <c r="O969" s="241"/>
      <c r="P969" s="241"/>
      <c r="Q969" s="241"/>
      <c r="R969" s="241"/>
      <c r="S969" s="241"/>
      <c r="T969" s="241"/>
      <c r="U969" s="241"/>
      <c r="V969" s="241"/>
      <c r="W969" s="241"/>
      <c r="X969" s="241"/>
      <c r="Y969" s="241"/>
      <c r="Z969" s="241"/>
      <c r="AA969" s="241"/>
      <c r="AB969" s="239"/>
      <c r="AC969" s="239"/>
    </row>
    <row r="970" spans="2:29" s="245" customFormat="1" hidden="1">
      <c r="B970" s="239"/>
      <c r="C970" s="240"/>
      <c r="D970" s="241"/>
      <c r="E970" s="241"/>
      <c r="F970" s="241"/>
      <c r="G970" s="241"/>
      <c r="H970" s="241"/>
      <c r="I970" s="241"/>
      <c r="J970" s="241"/>
      <c r="K970" s="241"/>
      <c r="L970" s="241"/>
      <c r="M970" s="241"/>
      <c r="N970" s="241"/>
      <c r="O970" s="241"/>
      <c r="P970" s="241"/>
      <c r="Q970" s="241"/>
      <c r="R970" s="241"/>
      <c r="S970" s="241"/>
      <c r="T970" s="241"/>
      <c r="U970" s="241"/>
      <c r="V970" s="241"/>
      <c r="W970" s="241"/>
      <c r="X970" s="241"/>
      <c r="Y970" s="241"/>
      <c r="Z970" s="241"/>
      <c r="AA970" s="241"/>
      <c r="AB970" s="239"/>
      <c r="AC970" s="239"/>
    </row>
    <row r="971" spans="2:29" s="245" customFormat="1" hidden="1">
      <c r="B971" s="239"/>
      <c r="C971" s="240"/>
      <c r="D971" s="241"/>
      <c r="E971" s="241"/>
      <c r="F971" s="241"/>
      <c r="G971" s="241"/>
      <c r="H971" s="241"/>
      <c r="I971" s="241"/>
      <c r="J971" s="241"/>
      <c r="K971" s="241"/>
      <c r="L971" s="241"/>
      <c r="M971" s="241"/>
      <c r="N971" s="241"/>
      <c r="O971" s="241"/>
      <c r="P971" s="241"/>
      <c r="Q971" s="241"/>
      <c r="R971" s="241"/>
      <c r="S971" s="241"/>
      <c r="T971" s="241"/>
      <c r="U971" s="241"/>
      <c r="V971" s="241"/>
      <c r="W971" s="241"/>
      <c r="X971" s="241"/>
      <c r="Y971" s="241"/>
      <c r="Z971" s="241"/>
      <c r="AA971" s="241"/>
      <c r="AB971" s="239"/>
      <c r="AC971" s="239"/>
    </row>
    <row r="972" spans="2:29" s="245" customFormat="1" hidden="1">
      <c r="B972" s="239"/>
      <c r="C972" s="240"/>
      <c r="D972" s="241"/>
      <c r="E972" s="241"/>
      <c r="F972" s="241"/>
      <c r="G972" s="241"/>
      <c r="H972" s="241"/>
      <c r="I972" s="241"/>
      <c r="J972" s="241"/>
      <c r="K972" s="241"/>
      <c r="L972" s="241"/>
      <c r="M972" s="241"/>
      <c r="N972" s="241"/>
      <c r="O972" s="241"/>
      <c r="P972" s="241"/>
      <c r="Q972" s="241"/>
      <c r="R972" s="241"/>
      <c r="S972" s="241"/>
      <c r="T972" s="241"/>
      <c r="U972" s="241"/>
      <c r="V972" s="241"/>
      <c r="W972" s="241"/>
      <c r="X972" s="241"/>
      <c r="Y972" s="241"/>
      <c r="Z972" s="241"/>
      <c r="AA972" s="241"/>
      <c r="AB972" s="239"/>
      <c r="AC972" s="239"/>
    </row>
    <row r="973" spans="2:29" s="245" customFormat="1" hidden="1">
      <c r="B973" s="239"/>
      <c r="C973" s="240"/>
      <c r="D973" s="241"/>
      <c r="E973" s="241"/>
      <c r="F973" s="241"/>
      <c r="G973" s="241"/>
      <c r="H973" s="241"/>
      <c r="I973" s="241"/>
      <c r="J973" s="241"/>
      <c r="K973" s="241"/>
      <c r="L973" s="241"/>
      <c r="M973" s="241"/>
      <c r="N973" s="241"/>
      <c r="O973" s="241"/>
      <c r="P973" s="241"/>
      <c r="Q973" s="241"/>
      <c r="R973" s="241"/>
      <c r="S973" s="241"/>
      <c r="T973" s="241"/>
      <c r="U973" s="241"/>
      <c r="V973" s="241"/>
      <c r="W973" s="241"/>
      <c r="X973" s="241"/>
      <c r="Y973" s="241"/>
      <c r="Z973" s="241"/>
      <c r="AA973" s="241"/>
      <c r="AB973" s="239"/>
      <c r="AC973" s="239"/>
    </row>
    <row r="974" spans="2:29" s="245" customFormat="1" hidden="1">
      <c r="B974" s="239"/>
      <c r="C974" s="240"/>
      <c r="D974" s="241"/>
      <c r="E974" s="241"/>
      <c r="F974" s="241"/>
      <c r="G974" s="241"/>
      <c r="H974" s="241"/>
      <c r="I974" s="241"/>
      <c r="J974" s="241"/>
      <c r="K974" s="241"/>
      <c r="L974" s="241"/>
      <c r="M974" s="241"/>
      <c r="N974" s="241"/>
      <c r="O974" s="241"/>
      <c r="P974" s="241"/>
      <c r="Q974" s="241"/>
      <c r="R974" s="241"/>
      <c r="S974" s="241"/>
      <c r="T974" s="241"/>
      <c r="U974" s="241"/>
      <c r="V974" s="241"/>
      <c r="W974" s="241"/>
      <c r="X974" s="241"/>
      <c r="Y974" s="241"/>
      <c r="Z974" s="241"/>
      <c r="AA974" s="241"/>
      <c r="AB974" s="239"/>
      <c r="AC974" s="239"/>
    </row>
    <row r="975" spans="2:29" s="245" customFormat="1" hidden="1">
      <c r="B975" s="239"/>
      <c r="C975" s="240"/>
      <c r="D975" s="241"/>
      <c r="E975" s="241"/>
      <c r="F975" s="241"/>
      <c r="G975" s="241"/>
      <c r="H975" s="241"/>
      <c r="I975" s="241"/>
      <c r="J975" s="241"/>
      <c r="K975" s="241"/>
      <c r="L975" s="241"/>
      <c r="M975" s="241"/>
      <c r="N975" s="241"/>
      <c r="O975" s="241"/>
      <c r="P975" s="241"/>
      <c r="Q975" s="241"/>
      <c r="R975" s="241"/>
      <c r="S975" s="241"/>
      <c r="T975" s="241"/>
      <c r="U975" s="241"/>
      <c r="V975" s="241"/>
      <c r="W975" s="241"/>
      <c r="X975" s="241"/>
      <c r="Y975" s="241"/>
      <c r="Z975" s="241"/>
      <c r="AA975" s="241"/>
      <c r="AB975" s="239"/>
      <c r="AC975" s="239"/>
    </row>
    <row r="976" spans="2:29" s="245" customFormat="1" hidden="1">
      <c r="B976" s="239"/>
      <c r="C976" s="240"/>
      <c r="D976" s="241"/>
      <c r="E976" s="241"/>
      <c r="F976" s="241"/>
      <c r="G976" s="241"/>
      <c r="H976" s="241"/>
      <c r="I976" s="241"/>
      <c r="J976" s="241"/>
      <c r="K976" s="241"/>
      <c r="L976" s="241"/>
      <c r="M976" s="241"/>
      <c r="N976" s="241"/>
      <c r="O976" s="241"/>
      <c r="P976" s="241"/>
      <c r="Q976" s="241"/>
      <c r="R976" s="241"/>
      <c r="S976" s="241"/>
      <c r="T976" s="241"/>
      <c r="U976" s="241"/>
      <c r="V976" s="241"/>
      <c r="W976" s="241"/>
      <c r="X976" s="241"/>
      <c r="Y976" s="241"/>
      <c r="Z976" s="241"/>
      <c r="AA976" s="241"/>
      <c r="AB976" s="239"/>
      <c r="AC976" s="239"/>
    </row>
    <row r="977" spans="2:29" s="245" customFormat="1" hidden="1">
      <c r="B977" s="239"/>
      <c r="C977" s="240"/>
      <c r="D977" s="241"/>
      <c r="E977" s="241"/>
      <c r="F977" s="241"/>
      <c r="G977" s="241"/>
      <c r="H977" s="241"/>
      <c r="I977" s="241"/>
      <c r="J977" s="241"/>
      <c r="K977" s="241"/>
      <c r="L977" s="241"/>
      <c r="M977" s="241"/>
      <c r="N977" s="241"/>
      <c r="O977" s="241"/>
      <c r="P977" s="241"/>
      <c r="Q977" s="241"/>
      <c r="R977" s="241"/>
      <c r="S977" s="241"/>
      <c r="T977" s="241"/>
      <c r="U977" s="241"/>
      <c r="V977" s="241"/>
      <c r="W977" s="241"/>
      <c r="X977" s="241"/>
      <c r="Y977" s="241"/>
      <c r="Z977" s="241"/>
      <c r="AA977" s="241"/>
      <c r="AB977" s="239"/>
      <c r="AC977" s="239"/>
    </row>
    <row r="978" spans="2:29" s="245" customFormat="1" hidden="1">
      <c r="B978" s="239"/>
      <c r="C978" s="240"/>
      <c r="D978" s="241"/>
      <c r="E978" s="241"/>
      <c r="F978" s="241"/>
      <c r="G978" s="241"/>
      <c r="H978" s="241"/>
      <c r="I978" s="241"/>
      <c r="J978" s="241"/>
      <c r="K978" s="241"/>
      <c r="L978" s="241"/>
      <c r="M978" s="241"/>
      <c r="N978" s="241"/>
      <c r="O978" s="241"/>
      <c r="P978" s="241"/>
      <c r="Q978" s="241"/>
      <c r="R978" s="241"/>
      <c r="S978" s="241"/>
      <c r="T978" s="241"/>
      <c r="U978" s="241"/>
      <c r="V978" s="241"/>
      <c r="W978" s="241"/>
      <c r="X978" s="241"/>
      <c r="Y978" s="241"/>
      <c r="Z978" s="241"/>
      <c r="AA978" s="241"/>
      <c r="AB978" s="239"/>
      <c r="AC978" s="239"/>
    </row>
    <row r="979" spans="2:29" s="245" customFormat="1" hidden="1">
      <c r="B979" s="239"/>
      <c r="C979" s="240"/>
      <c r="D979" s="241"/>
      <c r="E979" s="241"/>
      <c r="F979" s="241"/>
      <c r="G979" s="241"/>
      <c r="H979" s="241"/>
      <c r="I979" s="241"/>
      <c r="J979" s="241"/>
      <c r="K979" s="241"/>
      <c r="L979" s="241"/>
      <c r="M979" s="241"/>
      <c r="N979" s="241"/>
      <c r="O979" s="241"/>
      <c r="P979" s="241"/>
      <c r="Q979" s="241"/>
      <c r="R979" s="241"/>
      <c r="S979" s="241"/>
      <c r="T979" s="241"/>
      <c r="U979" s="241"/>
      <c r="V979" s="241"/>
      <c r="W979" s="241"/>
      <c r="X979" s="241"/>
      <c r="Y979" s="241"/>
      <c r="Z979" s="241"/>
      <c r="AA979" s="241"/>
      <c r="AB979" s="239"/>
      <c r="AC979" s="239"/>
    </row>
    <row r="980" spans="2:29" s="245" customFormat="1" hidden="1">
      <c r="B980" s="239"/>
      <c r="C980" s="240"/>
      <c r="D980" s="241"/>
      <c r="E980" s="241"/>
      <c r="F980" s="241"/>
      <c r="G980" s="241"/>
      <c r="H980" s="241"/>
      <c r="I980" s="241"/>
      <c r="J980" s="241"/>
      <c r="K980" s="241"/>
      <c r="L980" s="241"/>
      <c r="M980" s="241"/>
      <c r="N980" s="241"/>
      <c r="O980" s="241"/>
      <c r="P980" s="241"/>
      <c r="Q980" s="241"/>
      <c r="R980" s="241"/>
      <c r="S980" s="241"/>
      <c r="T980" s="241"/>
      <c r="U980" s="241"/>
      <c r="V980" s="241"/>
      <c r="W980" s="241"/>
      <c r="X980" s="241"/>
      <c r="Y980" s="241"/>
      <c r="Z980" s="241"/>
      <c r="AA980" s="241"/>
      <c r="AB980" s="239"/>
      <c r="AC980" s="239"/>
    </row>
    <row r="981" spans="2:29" s="245" customFormat="1" hidden="1">
      <c r="B981" s="239"/>
      <c r="C981" s="240"/>
      <c r="D981" s="241"/>
      <c r="E981" s="241"/>
      <c r="F981" s="241"/>
      <c r="G981" s="241"/>
      <c r="H981" s="241"/>
      <c r="I981" s="241"/>
      <c r="J981" s="241"/>
      <c r="K981" s="241"/>
      <c r="L981" s="241"/>
      <c r="M981" s="241"/>
      <c r="N981" s="241"/>
      <c r="O981" s="241"/>
      <c r="P981" s="241"/>
      <c r="Q981" s="241"/>
      <c r="R981" s="241"/>
      <c r="S981" s="241"/>
      <c r="T981" s="241"/>
      <c r="U981" s="241"/>
      <c r="V981" s="241"/>
      <c r="W981" s="241"/>
      <c r="X981" s="241"/>
      <c r="Y981" s="241"/>
      <c r="Z981" s="241"/>
      <c r="AA981" s="241"/>
      <c r="AB981" s="239"/>
      <c r="AC981" s="239"/>
    </row>
    <row r="982" spans="2:29" s="245" customFormat="1" hidden="1">
      <c r="B982" s="239"/>
      <c r="C982" s="240"/>
      <c r="D982" s="241"/>
      <c r="E982" s="241"/>
      <c r="F982" s="241"/>
      <c r="G982" s="241"/>
      <c r="H982" s="241"/>
      <c r="I982" s="241"/>
      <c r="J982" s="241"/>
      <c r="K982" s="241"/>
      <c r="L982" s="241"/>
      <c r="M982" s="241"/>
      <c r="N982" s="241"/>
      <c r="O982" s="241"/>
      <c r="P982" s="241"/>
      <c r="Q982" s="241"/>
      <c r="R982" s="241"/>
      <c r="S982" s="241"/>
      <c r="T982" s="241"/>
      <c r="U982" s="241"/>
      <c r="V982" s="241"/>
      <c r="W982" s="241"/>
      <c r="X982" s="241"/>
      <c r="Y982" s="241"/>
      <c r="Z982" s="241"/>
      <c r="AA982" s="241"/>
      <c r="AB982" s="239"/>
      <c r="AC982" s="239"/>
    </row>
    <row r="983" spans="2:29" s="245" customFormat="1" hidden="1">
      <c r="B983" s="239"/>
      <c r="C983" s="240"/>
      <c r="D983" s="241"/>
      <c r="E983" s="241"/>
      <c r="F983" s="241"/>
      <c r="G983" s="241"/>
      <c r="H983" s="241"/>
      <c r="I983" s="241"/>
      <c r="J983" s="241"/>
      <c r="K983" s="241"/>
      <c r="L983" s="241"/>
      <c r="M983" s="241"/>
      <c r="N983" s="241"/>
      <c r="O983" s="241"/>
      <c r="P983" s="241"/>
      <c r="Q983" s="241"/>
      <c r="R983" s="241"/>
      <c r="S983" s="241"/>
      <c r="T983" s="241"/>
      <c r="U983" s="241"/>
      <c r="V983" s="241"/>
      <c r="W983" s="241"/>
      <c r="X983" s="241"/>
      <c r="Y983" s="241"/>
      <c r="Z983" s="241"/>
      <c r="AA983" s="241"/>
      <c r="AB983" s="239"/>
      <c r="AC983" s="239"/>
    </row>
    <row r="984" spans="2:29" s="245" customFormat="1" hidden="1">
      <c r="B984" s="239"/>
      <c r="C984" s="240"/>
      <c r="D984" s="241"/>
      <c r="E984" s="241"/>
      <c r="F984" s="241"/>
      <c r="G984" s="241"/>
      <c r="H984" s="241"/>
      <c r="I984" s="241"/>
      <c r="J984" s="241"/>
      <c r="K984" s="241"/>
      <c r="L984" s="241"/>
      <c r="M984" s="241"/>
      <c r="N984" s="241"/>
      <c r="O984" s="241"/>
      <c r="P984" s="241"/>
      <c r="Q984" s="241"/>
      <c r="R984" s="241"/>
      <c r="S984" s="241"/>
      <c r="T984" s="241"/>
      <c r="U984" s="241"/>
      <c r="V984" s="241"/>
      <c r="W984" s="241"/>
      <c r="X984" s="241"/>
      <c r="Y984" s="241"/>
      <c r="Z984" s="241"/>
      <c r="AA984" s="241"/>
      <c r="AB984" s="239"/>
      <c r="AC984" s="239"/>
    </row>
    <row r="985" spans="2:29" s="245" customFormat="1" hidden="1">
      <c r="B985" s="239"/>
      <c r="C985" s="240"/>
      <c r="D985" s="241"/>
      <c r="E985" s="241"/>
      <c r="F985" s="241"/>
      <c r="G985" s="241"/>
      <c r="H985" s="241"/>
      <c r="I985" s="241"/>
      <c r="J985" s="241"/>
      <c r="K985" s="241"/>
      <c r="L985" s="241"/>
      <c r="M985" s="241"/>
      <c r="N985" s="241"/>
      <c r="O985" s="241"/>
      <c r="P985" s="241"/>
      <c r="Q985" s="241"/>
      <c r="R985" s="241"/>
      <c r="S985" s="241"/>
      <c r="T985" s="241"/>
      <c r="U985" s="241"/>
      <c r="V985" s="241"/>
      <c r="W985" s="241"/>
      <c r="X985" s="241"/>
      <c r="Y985" s="241"/>
      <c r="Z985" s="241"/>
      <c r="AA985" s="241"/>
      <c r="AB985" s="239"/>
      <c r="AC985" s="239"/>
    </row>
    <row r="986" spans="2:29" s="245" customFormat="1" hidden="1">
      <c r="B986" s="239"/>
      <c r="C986" s="240"/>
      <c r="D986" s="241"/>
      <c r="E986" s="241"/>
      <c r="F986" s="241"/>
      <c r="G986" s="241"/>
      <c r="H986" s="241"/>
      <c r="I986" s="241"/>
      <c r="J986" s="241"/>
      <c r="K986" s="241"/>
      <c r="L986" s="241"/>
      <c r="M986" s="241"/>
      <c r="N986" s="241"/>
      <c r="O986" s="241"/>
      <c r="P986" s="241"/>
      <c r="Q986" s="241"/>
      <c r="R986" s="241"/>
      <c r="S986" s="241"/>
      <c r="T986" s="241"/>
      <c r="U986" s="241"/>
      <c r="V986" s="241"/>
      <c r="W986" s="241"/>
      <c r="X986" s="241"/>
      <c r="Y986" s="241"/>
      <c r="Z986" s="241"/>
      <c r="AA986" s="241"/>
      <c r="AB986" s="239"/>
      <c r="AC986" s="239"/>
    </row>
    <row r="987" spans="2:29" s="245" customFormat="1" hidden="1">
      <c r="B987" s="239"/>
      <c r="C987" s="240"/>
      <c r="D987" s="241"/>
      <c r="E987" s="241"/>
      <c r="F987" s="241"/>
      <c r="G987" s="241"/>
      <c r="H987" s="241"/>
      <c r="I987" s="241"/>
      <c r="J987" s="241"/>
      <c r="K987" s="241"/>
      <c r="L987" s="241"/>
      <c r="M987" s="241"/>
      <c r="N987" s="241"/>
      <c r="O987" s="241"/>
      <c r="P987" s="241"/>
      <c r="Q987" s="241"/>
      <c r="R987" s="241"/>
      <c r="S987" s="241"/>
      <c r="T987" s="241"/>
      <c r="U987" s="241"/>
      <c r="V987" s="241"/>
      <c r="W987" s="241"/>
      <c r="X987" s="241"/>
      <c r="Y987" s="241"/>
      <c r="Z987" s="241"/>
      <c r="AA987" s="241"/>
      <c r="AB987" s="239"/>
      <c r="AC987" s="239"/>
    </row>
    <row r="988" spans="2:29" s="245" customFormat="1" hidden="1">
      <c r="B988" s="239"/>
      <c r="C988" s="240"/>
      <c r="D988" s="241"/>
      <c r="E988" s="241"/>
      <c r="F988" s="241"/>
      <c r="G988" s="241"/>
      <c r="H988" s="241"/>
      <c r="I988" s="241"/>
      <c r="J988" s="241"/>
      <c r="K988" s="241"/>
      <c r="L988" s="241"/>
      <c r="M988" s="241"/>
      <c r="N988" s="241"/>
      <c r="O988" s="241"/>
      <c r="P988" s="241"/>
      <c r="Q988" s="241"/>
      <c r="R988" s="241"/>
      <c r="S988" s="241"/>
      <c r="T988" s="241"/>
      <c r="U988" s="241"/>
      <c r="V988" s="241"/>
      <c r="W988" s="241"/>
      <c r="X988" s="241"/>
      <c r="Y988" s="241"/>
      <c r="Z988" s="241"/>
      <c r="AA988" s="241"/>
      <c r="AB988" s="239"/>
      <c r="AC988" s="239"/>
    </row>
    <row r="989" spans="2:29" s="245" customFormat="1" hidden="1">
      <c r="B989" s="239"/>
      <c r="C989" s="240"/>
      <c r="D989" s="241"/>
      <c r="E989" s="241"/>
      <c r="F989" s="241"/>
      <c r="G989" s="241"/>
      <c r="H989" s="241"/>
      <c r="I989" s="241"/>
      <c r="J989" s="241"/>
      <c r="K989" s="241"/>
      <c r="L989" s="241"/>
      <c r="M989" s="241"/>
      <c r="N989" s="241"/>
      <c r="O989" s="241"/>
      <c r="P989" s="241"/>
      <c r="Q989" s="241"/>
      <c r="R989" s="241"/>
      <c r="S989" s="241"/>
      <c r="T989" s="241"/>
      <c r="U989" s="241"/>
      <c r="V989" s="241"/>
      <c r="W989" s="241"/>
      <c r="X989" s="241"/>
      <c r="Y989" s="241"/>
      <c r="Z989" s="241"/>
      <c r="AA989" s="241"/>
      <c r="AB989" s="239"/>
      <c r="AC989" s="239"/>
    </row>
    <row r="990" spans="2:29" s="245" customFormat="1" hidden="1">
      <c r="B990" s="239"/>
      <c r="C990" s="240"/>
      <c r="D990" s="241"/>
      <c r="E990" s="241"/>
      <c r="F990" s="241"/>
      <c r="G990" s="241"/>
      <c r="H990" s="241"/>
      <c r="I990" s="241"/>
      <c r="J990" s="241"/>
      <c r="K990" s="241"/>
      <c r="L990" s="241"/>
      <c r="M990" s="241"/>
      <c r="N990" s="241"/>
      <c r="O990" s="241"/>
      <c r="P990" s="241"/>
      <c r="Q990" s="241"/>
      <c r="R990" s="241"/>
      <c r="S990" s="241"/>
      <c r="T990" s="241"/>
      <c r="U990" s="241"/>
      <c r="V990" s="241"/>
      <c r="W990" s="241"/>
      <c r="X990" s="241"/>
      <c r="Y990" s="241"/>
      <c r="Z990" s="241"/>
      <c r="AA990" s="241"/>
      <c r="AB990" s="239"/>
      <c r="AC990" s="239"/>
    </row>
    <row r="991" spans="2:29" s="245" customFormat="1" hidden="1">
      <c r="B991" s="239"/>
      <c r="C991" s="240"/>
      <c r="D991" s="241"/>
      <c r="E991" s="241"/>
      <c r="F991" s="241"/>
      <c r="G991" s="241"/>
      <c r="H991" s="241"/>
      <c r="I991" s="241"/>
      <c r="J991" s="241"/>
      <c r="K991" s="241"/>
      <c r="L991" s="241"/>
      <c r="M991" s="241"/>
      <c r="N991" s="241"/>
      <c r="O991" s="241"/>
      <c r="P991" s="241"/>
      <c r="Q991" s="241"/>
      <c r="R991" s="241"/>
      <c r="S991" s="241"/>
      <c r="T991" s="241"/>
      <c r="U991" s="241"/>
      <c r="V991" s="241"/>
      <c r="W991" s="241"/>
      <c r="X991" s="241"/>
      <c r="Y991" s="241"/>
      <c r="Z991" s="241"/>
      <c r="AA991" s="241"/>
      <c r="AB991" s="239"/>
      <c r="AC991" s="239"/>
    </row>
    <row r="992" spans="2:29" s="245" customFormat="1" hidden="1">
      <c r="B992" s="239"/>
      <c r="C992" s="240"/>
      <c r="D992" s="241"/>
      <c r="E992" s="241"/>
      <c r="F992" s="241"/>
      <c r="G992" s="241"/>
      <c r="H992" s="241"/>
      <c r="I992" s="241"/>
      <c r="J992" s="241"/>
      <c r="K992" s="241"/>
      <c r="L992" s="241"/>
      <c r="M992" s="241"/>
      <c r="N992" s="241"/>
      <c r="O992" s="241"/>
      <c r="P992" s="241"/>
      <c r="Q992" s="241"/>
      <c r="R992" s="241"/>
      <c r="S992" s="241"/>
      <c r="T992" s="241"/>
      <c r="U992" s="241"/>
      <c r="V992" s="241"/>
      <c r="W992" s="241"/>
      <c r="X992" s="241"/>
      <c r="Y992" s="241"/>
      <c r="Z992" s="241"/>
      <c r="AA992" s="241"/>
      <c r="AB992" s="239"/>
      <c r="AC992" s="239"/>
    </row>
    <row r="993" spans="2:29" s="245" customFormat="1" hidden="1">
      <c r="B993" s="239"/>
      <c r="C993" s="240"/>
      <c r="D993" s="241"/>
      <c r="E993" s="241"/>
      <c r="F993" s="241"/>
      <c r="G993" s="241"/>
      <c r="H993" s="241"/>
      <c r="I993" s="241"/>
      <c r="J993" s="241"/>
      <c r="K993" s="241"/>
      <c r="L993" s="241"/>
      <c r="M993" s="241"/>
      <c r="N993" s="241"/>
      <c r="O993" s="241"/>
      <c r="P993" s="241"/>
      <c r="Q993" s="241"/>
      <c r="R993" s="241"/>
      <c r="S993" s="241"/>
      <c r="T993" s="241"/>
      <c r="U993" s="241"/>
      <c r="V993" s="241"/>
      <c r="W993" s="241"/>
      <c r="X993" s="241"/>
      <c r="Y993" s="241"/>
      <c r="Z993" s="241"/>
      <c r="AA993" s="241"/>
      <c r="AB993" s="239"/>
      <c r="AC993" s="239"/>
    </row>
    <row r="994" spans="2:29" s="245" customFormat="1" hidden="1">
      <c r="B994" s="239"/>
      <c r="C994" s="240"/>
      <c r="D994" s="241"/>
      <c r="E994" s="241"/>
      <c r="F994" s="241"/>
      <c r="G994" s="241"/>
      <c r="H994" s="241"/>
      <c r="I994" s="241"/>
      <c r="J994" s="241"/>
      <c r="K994" s="241"/>
      <c r="L994" s="241"/>
      <c r="M994" s="241"/>
      <c r="N994" s="241"/>
      <c r="O994" s="241"/>
      <c r="P994" s="241"/>
      <c r="Q994" s="241"/>
      <c r="R994" s="241"/>
      <c r="S994" s="241"/>
      <c r="T994" s="241"/>
      <c r="U994" s="241"/>
      <c r="V994" s="241"/>
      <c r="W994" s="241"/>
      <c r="X994" s="241"/>
      <c r="Y994" s="241"/>
      <c r="Z994" s="241"/>
      <c r="AA994" s="241"/>
      <c r="AB994" s="239"/>
      <c r="AC994" s="239"/>
    </row>
    <row r="995" spans="2:29" s="245" customFormat="1" hidden="1">
      <c r="B995" s="239"/>
      <c r="C995" s="240"/>
      <c r="D995" s="241"/>
      <c r="E995" s="241"/>
      <c r="F995" s="241"/>
      <c r="G995" s="241"/>
      <c r="H995" s="241"/>
      <c r="I995" s="241"/>
      <c r="J995" s="241"/>
      <c r="K995" s="241"/>
      <c r="L995" s="241"/>
      <c r="M995" s="241"/>
      <c r="N995" s="241"/>
      <c r="O995" s="241"/>
      <c r="P995" s="241"/>
      <c r="Q995" s="241"/>
      <c r="R995" s="241"/>
      <c r="S995" s="241"/>
      <c r="T995" s="241"/>
      <c r="U995" s="241"/>
      <c r="V995" s="241"/>
      <c r="W995" s="241"/>
      <c r="X995" s="241"/>
      <c r="Y995" s="241"/>
      <c r="Z995" s="241"/>
      <c r="AA995" s="241"/>
      <c r="AB995" s="239"/>
      <c r="AC995" s="239"/>
    </row>
    <row r="996" spans="2:29" s="245" customFormat="1" hidden="1">
      <c r="B996" s="239"/>
      <c r="C996" s="240"/>
      <c r="D996" s="241"/>
      <c r="E996" s="241"/>
      <c r="F996" s="241"/>
      <c r="G996" s="241"/>
      <c r="H996" s="241"/>
      <c r="I996" s="241"/>
      <c r="J996" s="241"/>
      <c r="K996" s="241"/>
      <c r="L996" s="241"/>
      <c r="M996" s="241"/>
      <c r="N996" s="241"/>
      <c r="O996" s="241"/>
      <c r="P996" s="241"/>
      <c r="Q996" s="241"/>
      <c r="R996" s="241"/>
      <c r="S996" s="241"/>
      <c r="T996" s="241"/>
      <c r="U996" s="241"/>
      <c r="V996" s="241"/>
      <c r="W996" s="241"/>
      <c r="X996" s="241"/>
      <c r="Y996" s="241"/>
      <c r="Z996" s="241"/>
      <c r="AA996" s="241"/>
      <c r="AB996" s="239"/>
      <c r="AC996" s="239"/>
    </row>
    <row r="997" spans="2:29" s="245" customFormat="1" hidden="1">
      <c r="B997" s="239"/>
      <c r="C997" s="240"/>
      <c r="D997" s="241"/>
      <c r="E997" s="241"/>
      <c r="F997" s="241"/>
      <c r="G997" s="241"/>
      <c r="H997" s="241"/>
      <c r="I997" s="241"/>
      <c r="J997" s="241"/>
      <c r="K997" s="241"/>
      <c r="L997" s="241"/>
      <c r="M997" s="241"/>
      <c r="N997" s="241"/>
      <c r="O997" s="241"/>
      <c r="P997" s="241"/>
      <c r="Q997" s="241"/>
      <c r="R997" s="241"/>
      <c r="S997" s="241"/>
      <c r="T997" s="241"/>
      <c r="U997" s="241"/>
      <c r="V997" s="241"/>
      <c r="W997" s="241"/>
      <c r="X997" s="241"/>
      <c r="Y997" s="241"/>
      <c r="Z997" s="241"/>
      <c r="AA997" s="241"/>
      <c r="AB997" s="239"/>
      <c r="AC997" s="239"/>
    </row>
    <row r="998" spans="2:29" s="245" customFormat="1" hidden="1">
      <c r="B998" s="239"/>
      <c r="C998" s="240"/>
      <c r="D998" s="241"/>
      <c r="E998" s="241"/>
      <c r="F998" s="241"/>
      <c r="G998" s="241"/>
      <c r="H998" s="241"/>
      <c r="I998" s="241"/>
      <c r="J998" s="241"/>
      <c r="K998" s="241"/>
      <c r="L998" s="241"/>
      <c r="M998" s="241"/>
      <c r="N998" s="241"/>
      <c r="O998" s="241"/>
      <c r="P998" s="241"/>
      <c r="Q998" s="241"/>
      <c r="R998" s="241"/>
      <c r="S998" s="241"/>
      <c r="T998" s="241"/>
      <c r="U998" s="241"/>
      <c r="V998" s="241"/>
      <c r="W998" s="241"/>
      <c r="X998" s="241"/>
      <c r="Y998" s="241"/>
      <c r="Z998" s="241"/>
      <c r="AA998" s="241"/>
      <c r="AB998" s="239"/>
      <c r="AC998" s="239"/>
    </row>
    <row r="999" spans="2:29" s="245" customFormat="1" hidden="1">
      <c r="B999" s="239"/>
      <c r="C999" s="240"/>
      <c r="D999" s="241"/>
      <c r="E999" s="241"/>
      <c r="F999" s="241"/>
      <c r="G999" s="241"/>
      <c r="H999" s="241"/>
      <c r="I999" s="241"/>
      <c r="J999" s="241"/>
      <c r="K999" s="241"/>
      <c r="L999" s="241"/>
      <c r="M999" s="241"/>
      <c r="N999" s="241"/>
      <c r="O999" s="241"/>
      <c r="P999" s="241"/>
      <c r="Q999" s="241"/>
      <c r="R999" s="241"/>
      <c r="S999" s="241"/>
      <c r="T999" s="241"/>
      <c r="U999" s="241"/>
      <c r="V999" s="241"/>
      <c r="W999" s="241"/>
      <c r="X999" s="241"/>
      <c r="Y999" s="241"/>
      <c r="Z999" s="241"/>
      <c r="AA999" s="241"/>
      <c r="AB999" s="239"/>
      <c r="AC999" s="239"/>
    </row>
    <row r="1000" spans="2:29" s="245" customFormat="1" hidden="1">
      <c r="B1000" s="239"/>
      <c r="C1000" s="240"/>
      <c r="D1000" s="241"/>
      <c r="E1000" s="241"/>
      <c r="F1000" s="241"/>
      <c r="G1000" s="241"/>
      <c r="H1000" s="241"/>
      <c r="I1000" s="241"/>
      <c r="J1000" s="241"/>
      <c r="K1000" s="241"/>
      <c r="L1000" s="241"/>
      <c r="M1000" s="241"/>
      <c r="N1000" s="241"/>
      <c r="O1000" s="241"/>
      <c r="P1000" s="241"/>
      <c r="Q1000" s="241"/>
      <c r="R1000" s="241"/>
      <c r="S1000" s="241"/>
      <c r="T1000" s="241"/>
      <c r="U1000" s="241"/>
      <c r="V1000" s="241"/>
      <c r="W1000" s="241"/>
      <c r="X1000" s="241"/>
      <c r="Y1000" s="241"/>
      <c r="Z1000" s="241"/>
      <c r="AA1000" s="241"/>
      <c r="AB1000" s="239"/>
      <c r="AC1000" s="239"/>
    </row>
    <row r="1001" spans="2:29" s="245" customFormat="1" hidden="1">
      <c r="B1001" s="239"/>
      <c r="C1001" s="240"/>
      <c r="D1001" s="241"/>
      <c r="E1001" s="241"/>
      <c r="F1001" s="241"/>
      <c r="G1001" s="241"/>
      <c r="H1001" s="241"/>
      <c r="I1001" s="241"/>
      <c r="J1001" s="241"/>
      <c r="K1001" s="241"/>
      <c r="L1001" s="241"/>
      <c r="M1001" s="241"/>
      <c r="N1001" s="241"/>
      <c r="O1001" s="241"/>
      <c r="P1001" s="241"/>
      <c r="Q1001" s="241"/>
      <c r="R1001" s="241"/>
      <c r="S1001" s="241"/>
      <c r="T1001" s="241"/>
      <c r="U1001" s="241"/>
      <c r="V1001" s="241"/>
      <c r="W1001" s="241"/>
      <c r="X1001" s="241"/>
      <c r="Y1001" s="241"/>
      <c r="Z1001" s="241"/>
      <c r="AA1001" s="241"/>
      <c r="AB1001" s="239"/>
      <c r="AC1001" s="239"/>
    </row>
    <row r="1002" spans="2:29" s="245" customFormat="1" hidden="1">
      <c r="B1002" s="239"/>
      <c r="C1002" s="240"/>
      <c r="D1002" s="241"/>
      <c r="E1002" s="241"/>
      <c r="F1002" s="241"/>
      <c r="G1002" s="241"/>
      <c r="H1002" s="241"/>
      <c r="I1002" s="241"/>
      <c r="J1002" s="241"/>
      <c r="K1002" s="241"/>
      <c r="L1002" s="241"/>
      <c r="M1002" s="241"/>
      <c r="N1002" s="241"/>
      <c r="O1002" s="241"/>
      <c r="P1002" s="241"/>
      <c r="Q1002" s="241"/>
      <c r="R1002" s="241"/>
      <c r="S1002" s="241"/>
      <c r="T1002" s="241"/>
      <c r="U1002" s="241"/>
      <c r="V1002" s="241"/>
      <c r="W1002" s="241"/>
      <c r="X1002" s="241"/>
      <c r="Y1002" s="241"/>
      <c r="Z1002" s="241"/>
      <c r="AA1002" s="241"/>
      <c r="AB1002" s="239"/>
      <c r="AC1002" s="239"/>
    </row>
    <row r="1003" spans="2:29" s="245" customFormat="1" hidden="1">
      <c r="B1003" s="239"/>
      <c r="C1003" s="240"/>
      <c r="D1003" s="241"/>
      <c r="E1003" s="241"/>
      <c r="F1003" s="241"/>
      <c r="G1003" s="241"/>
      <c r="H1003" s="241"/>
      <c r="I1003" s="241"/>
      <c r="J1003" s="241"/>
      <c r="K1003" s="241"/>
      <c r="L1003" s="241"/>
      <c r="M1003" s="241"/>
      <c r="N1003" s="241"/>
      <c r="O1003" s="241"/>
      <c r="P1003" s="241"/>
      <c r="Q1003" s="241"/>
      <c r="R1003" s="241"/>
      <c r="S1003" s="241"/>
      <c r="T1003" s="241"/>
      <c r="U1003" s="241"/>
      <c r="V1003" s="241"/>
      <c r="W1003" s="241"/>
      <c r="X1003" s="241"/>
      <c r="Y1003" s="241"/>
      <c r="Z1003" s="241"/>
      <c r="AA1003" s="241"/>
      <c r="AB1003" s="239"/>
      <c r="AC1003" s="239"/>
    </row>
    <row r="1004" spans="2:29" s="245" customFormat="1" hidden="1">
      <c r="B1004" s="239"/>
      <c r="C1004" s="240"/>
      <c r="D1004" s="241"/>
      <c r="E1004" s="241"/>
      <c r="F1004" s="241"/>
      <c r="G1004" s="241"/>
      <c r="H1004" s="241"/>
      <c r="I1004" s="241"/>
      <c r="J1004" s="241"/>
      <c r="K1004" s="241"/>
      <c r="L1004" s="241"/>
      <c r="M1004" s="241"/>
      <c r="N1004" s="241"/>
      <c r="O1004" s="241"/>
      <c r="P1004" s="241"/>
      <c r="Q1004" s="241"/>
      <c r="R1004" s="241"/>
      <c r="S1004" s="241"/>
      <c r="T1004" s="241"/>
      <c r="U1004" s="241"/>
      <c r="V1004" s="241"/>
      <c r="W1004" s="241"/>
      <c r="X1004" s="241"/>
      <c r="Y1004" s="241"/>
      <c r="Z1004" s="241"/>
      <c r="AA1004" s="241"/>
      <c r="AB1004" s="239"/>
      <c r="AC1004" s="239"/>
    </row>
    <row r="1005" spans="2:29" s="245" customFormat="1" hidden="1">
      <c r="B1005" s="239"/>
      <c r="C1005" s="240"/>
      <c r="D1005" s="241"/>
      <c r="E1005" s="241"/>
      <c r="F1005" s="241"/>
      <c r="G1005" s="241"/>
      <c r="H1005" s="241"/>
      <c r="I1005" s="241"/>
      <c r="J1005" s="241"/>
      <c r="K1005" s="241"/>
      <c r="L1005" s="241"/>
      <c r="M1005" s="241"/>
      <c r="N1005" s="241"/>
      <c r="O1005" s="241"/>
      <c r="P1005" s="241"/>
      <c r="Q1005" s="241"/>
      <c r="R1005" s="241"/>
      <c r="S1005" s="241"/>
      <c r="T1005" s="241"/>
      <c r="U1005" s="241"/>
      <c r="V1005" s="241"/>
      <c r="W1005" s="241"/>
      <c r="X1005" s="241"/>
      <c r="Y1005" s="241"/>
      <c r="Z1005" s="241"/>
      <c r="AA1005" s="241"/>
      <c r="AB1005" s="239"/>
      <c r="AC1005" s="239"/>
    </row>
    <row r="1006" spans="2:29" s="245" customFormat="1" hidden="1">
      <c r="B1006" s="239"/>
      <c r="C1006" s="240"/>
      <c r="D1006" s="241"/>
      <c r="E1006" s="241"/>
      <c r="F1006" s="241"/>
      <c r="G1006" s="241"/>
      <c r="H1006" s="241"/>
      <c r="I1006" s="241"/>
      <c r="J1006" s="241"/>
      <c r="K1006" s="241"/>
      <c r="L1006" s="241"/>
      <c r="M1006" s="241"/>
      <c r="N1006" s="241"/>
      <c r="O1006" s="241"/>
      <c r="P1006" s="241"/>
      <c r="Q1006" s="241"/>
      <c r="R1006" s="241"/>
      <c r="S1006" s="241"/>
      <c r="T1006" s="241"/>
      <c r="U1006" s="241"/>
      <c r="V1006" s="241"/>
      <c r="W1006" s="241"/>
      <c r="X1006" s="241"/>
      <c r="Y1006" s="241"/>
      <c r="Z1006" s="241"/>
      <c r="AA1006" s="241"/>
      <c r="AB1006" s="239"/>
      <c r="AC1006" s="239"/>
    </row>
    <row r="1007" spans="2:29" s="245" customFormat="1" hidden="1">
      <c r="B1007" s="239"/>
      <c r="C1007" s="240"/>
      <c r="D1007" s="241"/>
      <c r="E1007" s="241"/>
      <c r="F1007" s="241"/>
      <c r="G1007" s="241"/>
      <c r="H1007" s="241"/>
      <c r="I1007" s="241"/>
      <c r="J1007" s="241"/>
      <c r="K1007" s="241"/>
      <c r="L1007" s="241"/>
      <c r="M1007" s="241"/>
      <c r="N1007" s="241"/>
      <c r="O1007" s="241"/>
      <c r="P1007" s="241"/>
      <c r="Q1007" s="241"/>
      <c r="R1007" s="241"/>
      <c r="S1007" s="241"/>
      <c r="T1007" s="241"/>
      <c r="U1007" s="241"/>
      <c r="V1007" s="241"/>
      <c r="W1007" s="241"/>
      <c r="X1007" s="241"/>
      <c r="Y1007" s="241"/>
      <c r="Z1007" s="241"/>
      <c r="AA1007" s="241"/>
      <c r="AB1007" s="239"/>
      <c r="AC1007" s="239"/>
    </row>
    <row r="1008" spans="2:29" s="245" customFormat="1" hidden="1">
      <c r="B1008" s="239"/>
      <c r="C1008" s="240"/>
      <c r="D1008" s="241"/>
      <c r="E1008" s="241"/>
      <c r="F1008" s="241"/>
      <c r="G1008" s="241"/>
      <c r="H1008" s="241"/>
      <c r="I1008" s="241"/>
      <c r="J1008" s="241"/>
      <c r="K1008" s="241"/>
      <c r="L1008" s="241"/>
      <c r="M1008" s="241"/>
      <c r="N1008" s="241"/>
      <c r="O1008" s="241"/>
      <c r="P1008" s="241"/>
      <c r="Q1008" s="241"/>
      <c r="R1008" s="241"/>
      <c r="S1008" s="241"/>
      <c r="T1008" s="241"/>
      <c r="U1008" s="241"/>
      <c r="V1008" s="241"/>
      <c r="W1008" s="241"/>
      <c r="X1008" s="241"/>
      <c r="Y1008" s="241"/>
      <c r="Z1008" s="241"/>
      <c r="AA1008" s="241"/>
      <c r="AB1008" s="239"/>
      <c r="AC1008" s="239"/>
    </row>
    <row r="1009" spans="2:29" s="245" customFormat="1" hidden="1">
      <c r="B1009" s="239"/>
      <c r="C1009" s="240"/>
      <c r="D1009" s="241"/>
      <c r="E1009" s="241"/>
      <c r="F1009" s="241"/>
      <c r="G1009" s="241"/>
      <c r="H1009" s="241"/>
      <c r="I1009" s="241"/>
      <c r="J1009" s="241"/>
      <c r="K1009" s="241"/>
      <c r="L1009" s="241"/>
      <c r="M1009" s="241"/>
      <c r="N1009" s="241"/>
      <c r="O1009" s="241"/>
      <c r="P1009" s="241"/>
      <c r="Q1009" s="241"/>
      <c r="R1009" s="241"/>
      <c r="S1009" s="241"/>
      <c r="T1009" s="241"/>
      <c r="U1009" s="241"/>
      <c r="V1009" s="241"/>
      <c r="W1009" s="241"/>
      <c r="X1009" s="241"/>
      <c r="Y1009" s="241"/>
      <c r="Z1009" s="241"/>
      <c r="AA1009" s="241"/>
      <c r="AB1009" s="239"/>
      <c r="AC1009" s="239"/>
    </row>
    <row r="1010" spans="2:29" s="245" customFormat="1" hidden="1">
      <c r="B1010" s="239"/>
      <c r="C1010" s="240"/>
      <c r="D1010" s="241"/>
      <c r="E1010" s="241"/>
      <c r="F1010" s="241"/>
      <c r="G1010" s="241"/>
      <c r="H1010" s="241"/>
      <c r="I1010" s="241"/>
      <c r="J1010" s="241"/>
      <c r="K1010" s="241"/>
      <c r="L1010" s="241"/>
      <c r="M1010" s="241"/>
      <c r="N1010" s="241"/>
      <c r="O1010" s="241"/>
      <c r="P1010" s="241"/>
      <c r="Q1010" s="241"/>
      <c r="R1010" s="241"/>
      <c r="S1010" s="241"/>
      <c r="T1010" s="241"/>
      <c r="U1010" s="241"/>
      <c r="V1010" s="241"/>
      <c r="W1010" s="241"/>
      <c r="X1010" s="241"/>
      <c r="Y1010" s="241"/>
      <c r="Z1010" s="241"/>
      <c r="AA1010" s="241"/>
      <c r="AB1010" s="239"/>
      <c r="AC1010" s="239"/>
    </row>
    <row r="1011" spans="2:29" s="245" customFormat="1" hidden="1">
      <c r="B1011" s="239"/>
      <c r="C1011" s="240"/>
      <c r="D1011" s="241"/>
      <c r="E1011" s="241"/>
      <c r="F1011" s="241"/>
      <c r="G1011" s="241"/>
      <c r="H1011" s="241"/>
      <c r="I1011" s="241"/>
      <c r="J1011" s="241"/>
      <c r="K1011" s="241"/>
      <c r="L1011" s="241"/>
      <c r="M1011" s="241"/>
      <c r="N1011" s="241"/>
      <c r="O1011" s="241"/>
      <c r="P1011" s="241"/>
      <c r="Q1011" s="241"/>
      <c r="R1011" s="241"/>
      <c r="S1011" s="241"/>
      <c r="T1011" s="241"/>
      <c r="U1011" s="241"/>
      <c r="V1011" s="241"/>
      <c r="W1011" s="241"/>
      <c r="X1011" s="241"/>
      <c r="Y1011" s="241"/>
      <c r="Z1011" s="241"/>
      <c r="AA1011" s="241"/>
      <c r="AB1011" s="239"/>
      <c r="AC1011" s="239"/>
    </row>
    <row r="1012" spans="2:29" s="245" customFormat="1" hidden="1">
      <c r="B1012" s="239"/>
      <c r="C1012" s="240"/>
      <c r="D1012" s="241"/>
      <c r="E1012" s="241"/>
      <c r="F1012" s="241"/>
      <c r="G1012" s="241"/>
      <c r="H1012" s="241"/>
      <c r="I1012" s="241"/>
      <c r="J1012" s="241"/>
      <c r="K1012" s="241"/>
      <c r="L1012" s="241"/>
      <c r="M1012" s="241"/>
      <c r="N1012" s="241"/>
      <c r="O1012" s="241"/>
      <c r="P1012" s="241"/>
      <c r="Q1012" s="241"/>
      <c r="R1012" s="241"/>
      <c r="S1012" s="241"/>
      <c r="T1012" s="241"/>
      <c r="U1012" s="241"/>
      <c r="V1012" s="241"/>
      <c r="W1012" s="241"/>
      <c r="X1012" s="241"/>
      <c r="Y1012" s="241"/>
      <c r="Z1012" s="241"/>
      <c r="AA1012" s="241"/>
      <c r="AB1012" s="239"/>
      <c r="AC1012" s="239"/>
    </row>
    <row r="1013" spans="2:29" s="245" customFormat="1" hidden="1">
      <c r="B1013" s="239"/>
      <c r="C1013" s="240"/>
      <c r="D1013" s="241"/>
      <c r="E1013" s="241"/>
      <c r="F1013" s="241"/>
      <c r="G1013" s="241"/>
      <c r="H1013" s="241"/>
      <c r="I1013" s="241"/>
      <c r="J1013" s="241"/>
      <c r="K1013" s="241"/>
      <c r="L1013" s="241"/>
      <c r="M1013" s="241"/>
      <c r="N1013" s="241"/>
      <c r="O1013" s="241"/>
      <c r="P1013" s="241"/>
      <c r="Q1013" s="241"/>
      <c r="R1013" s="241"/>
      <c r="S1013" s="241"/>
      <c r="T1013" s="241"/>
      <c r="U1013" s="241"/>
      <c r="V1013" s="241"/>
      <c r="W1013" s="241"/>
      <c r="X1013" s="241"/>
      <c r="Y1013" s="241"/>
      <c r="Z1013" s="241"/>
      <c r="AA1013" s="241"/>
      <c r="AB1013" s="239"/>
      <c r="AC1013" s="239"/>
    </row>
    <row r="1014" spans="2:29" s="245" customFormat="1" hidden="1">
      <c r="B1014" s="239"/>
      <c r="C1014" s="240"/>
      <c r="D1014" s="241"/>
      <c r="E1014" s="241"/>
      <c r="F1014" s="241"/>
      <c r="G1014" s="241"/>
      <c r="H1014" s="241"/>
      <c r="I1014" s="241"/>
      <c r="J1014" s="241"/>
      <c r="K1014" s="241"/>
      <c r="L1014" s="241"/>
      <c r="M1014" s="241"/>
      <c r="N1014" s="241"/>
      <c r="O1014" s="241"/>
      <c r="P1014" s="241"/>
      <c r="Q1014" s="241"/>
      <c r="R1014" s="241"/>
      <c r="S1014" s="241"/>
      <c r="T1014" s="241"/>
      <c r="U1014" s="241"/>
      <c r="V1014" s="241"/>
      <c r="W1014" s="241"/>
      <c r="X1014" s="241"/>
      <c r="Y1014" s="241"/>
      <c r="Z1014" s="241"/>
      <c r="AA1014" s="241"/>
      <c r="AB1014" s="239"/>
      <c r="AC1014" s="239"/>
    </row>
    <row r="1015" spans="2:29" s="245" customFormat="1" hidden="1">
      <c r="B1015" s="239"/>
      <c r="C1015" s="240"/>
      <c r="D1015" s="241"/>
      <c r="E1015" s="241"/>
      <c r="F1015" s="241"/>
      <c r="G1015" s="241"/>
      <c r="H1015" s="241"/>
      <c r="I1015" s="241"/>
      <c r="J1015" s="241"/>
      <c r="K1015" s="241"/>
      <c r="L1015" s="241"/>
      <c r="M1015" s="241"/>
      <c r="N1015" s="241"/>
      <c r="O1015" s="241"/>
      <c r="P1015" s="241"/>
      <c r="Q1015" s="241"/>
      <c r="R1015" s="241"/>
      <c r="S1015" s="241"/>
      <c r="T1015" s="241"/>
      <c r="U1015" s="241"/>
      <c r="V1015" s="241"/>
      <c r="W1015" s="241"/>
      <c r="X1015" s="241"/>
      <c r="Y1015" s="241"/>
      <c r="Z1015" s="241"/>
      <c r="AA1015" s="241"/>
      <c r="AB1015" s="239"/>
      <c r="AC1015" s="239"/>
    </row>
    <row r="1016" spans="2:29" s="245" customFormat="1" hidden="1">
      <c r="B1016" s="239"/>
      <c r="C1016" s="240"/>
      <c r="D1016" s="241"/>
      <c r="E1016" s="241"/>
      <c r="F1016" s="241"/>
      <c r="G1016" s="241"/>
      <c r="H1016" s="241"/>
      <c r="I1016" s="241"/>
      <c r="J1016" s="241"/>
      <c r="K1016" s="241"/>
      <c r="L1016" s="241"/>
      <c r="M1016" s="241"/>
      <c r="N1016" s="241"/>
      <c r="O1016" s="241"/>
      <c r="P1016" s="241"/>
      <c r="Q1016" s="241"/>
      <c r="R1016" s="241"/>
      <c r="S1016" s="241"/>
      <c r="T1016" s="241"/>
      <c r="U1016" s="241"/>
      <c r="V1016" s="241"/>
      <c r="W1016" s="241"/>
      <c r="X1016" s="241"/>
      <c r="Y1016" s="241"/>
      <c r="Z1016" s="241"/>
      <c r="AA1016" s="241"/>
      <c r="AB1016" s="239"/>
      <c r="AC1016" s="239"/>
    </row>
    <row r="1017" spans="2:29" s="245" customFormat="1" hidden="1">
      <c r="B1017" s="239"/>
      <c r="C1017" s="240"/>
      <c r="D1017" s="241"/>
      <c r="E1017" s="241"/>
      <c r="F1017" s="241"/>
      <c r="G1017" s="241"/>
      <c r="H1017" s="241"/>
      <c r="I1017" s="241"/>
      <c r="J1017" s="241"/>
      <c r="K1017" s="241"/>
      <c r="L1017" s="241"/>
      <c r="M1017" s="241"/>
      <c r="N1017" s="241"/>
      <c r="O1017" s="241"/>
      <c r="P1017" s="241"/>
      <c r="Q1017" s="241"/>
      <c r="R1017" s="241"/>
      <c r="S1017" s="241"/>
      <c r="T1017" s="241"/>
      <c r="U1017" s="241"/>
      <c r="V1017" s="241"/>
      <c r="W1017" s="241"/>
      <c r="X1017" s="241"/>
      <c r="Y1017" s="241"/>
      <c r="Z1017" s="241"/>
      <c r="AA1017" s="241"/>
      <c r="AB1017" s="239"/>
      <c r="AC1017" s="239"/>
    </row>
    <row r="1018" spans="2:29" s="245" customFormat="1" hidden="1">
      <c r="B1018" s="239"/>
      <c r="C1018" s="240"/>
      <c r="D1018" s="241"/>
      <c r="E1018" s="241"/>
      <c r="F1018" s="241"/>
      <c r="G1018" s="241"/>
      <c r="H1018" s="241"/>
      <c r="I1018" s="241"/>
      <c r="J1018" s="241"/>
      <c r="K1018" s="241"/>
      <c r="L1018" s="241"/>
      <c r="M1018" s="241"/>
      <c r="N1018" s="241"/>
      <c r="O1018" s="241"/>
      <c r="P1018" s="241"/>
      <c r="Q1018" s="241"/>
      <c r="R1018" s="241"/>
      <c r="S1018" s="241"/>
      <c r="T1018" s="241"/>
      <c r="U1018" s="241"/>
      <c r="V1018" s="241"/>
      <c r="W1018" s="241"/>
      <c r="X1018" s="241"/>
      <c r="Y1018" s="241"/>
      <c r="Z1018" s="241"/>
      <c r="AA1018" s="241"/>
      <c r="AB1018" s="239"/>
      <c r="AC1018" s="239"/>
    </row>
    <row r="1019" spans="2:29" s="245" customFormat="1" hidden="1">
      <c r="B1019" s="239"/>
      <c r="C1019" s="240"/>
      <c r="D1019" s="241"/>
      <c r="E1019" s="241"/>
      <c r="F1019" s="241"/>
      <c r="G1019" s="241"/>
      <c r="H1019" s="241"/>
      <c r="I1019" s="241"/>
      <c r="J1019" s="241"/>
      <c r="K1019" s="241"/>
      <c r="L1019" s="241"/>
      <c r="M1019" s="241"/>
      <c r="N1019" s="241"/>
      <c r="O1019" s="241"/>
      <c r="P1019" s="241"/>
      <c r="Q1019" s="241"/>
      <c r="R1019" s="241"/>
      <c r="S1019" s="241"/>
      <c r="T1019" s="241"/>
      <c r="U1019" s="241"/>
      <c r="V1019" s="241"/>
      <c r="W1019" s="241"/>
      <c r="X1019" s="241"/>
      <c r="Y1019" s="241"/>
      <c r="Z1019" s="241"/>
      <c r="AA1019" s="241"/>
      <c r="AB1019" s="239"/>
      <c r="AC1019" s="239"/>
    </row>
    <row r="1020" spans="2:29" s="245" customFormat="1" hidden="1">
      <c r="B1020" s="239"/>
      <c r="C1020" s="240"/>
      <c r="D1020" s="241"/>
      <c r="E1020" s="241"/>
      <c r="F1020" s="241"/>
      <c r="G1020" s="241"/>
      <c r="H1020" s="241"/>
      <c r="I1020" s="241"/>
      <c r="J1020" s="241"/>
      <c r="K1020" s="241"/>
      <c r="L1020" s="241"/>
      <c r="M1020" s="241"/>
      <c r="N1020" s="241"/>
      <c r="O1020" s="241"/>
      <c r="P1020" s="241"/>
      <c r="Q1020" s="241"/>
      <c r="R1020" s="241"/>
      <c r="S1020" s="241"/>
      <c r="T1020" s="241"/>
      <c r="U1020" s="241"/>
      <c r="V1020" s="241"/>
      <c r="W1020" s="241"/>
      <c r="X1020" s="241"/>
      <c r="Y1020" s="241"/>
      <c r="Z1020" s="241"/>
      <c r="AA1020" s="241"/>
      <c r="AB1020" s="239"/>
      <c r="AC1020" s="239"/>
    </row>
    <row r="1021" spans="2:29" s="245" customFormat="1" hidden="1">
      <c r="B1021" s="239"/>
      <c r="C1021" s="240"/>
      <c r="D1021" s="241"/>
      <c r="E1021" s="241"/>
      <c r="F1021" s="241"/>
      <c r="G1021" s="241"/>
      <c r="H1021" s="241"/>
      <c r="I1021" s="241"/>
      <c r="J1021" s="241"/>
      <c r="K1021" s="241"/>
      <c r="L1021" s="241"/>
      <c r="M1021" s="241"/>
      <c r="N1021" s="241"/>
      <c r="O1021" s="241"/>
      <c r="P1021" s="241"/>
      <c r="Q1021" s="241"/>
      <c r="R1021" s="241"/>
      <c r="S1021" s="241"/>
      <c r="T1021" s="241"/>
      <c r="U1021" s="241"/>
      <c r="V1021" s="241"/>
      <c r="W1021" s="241"/>
      <c r="X1021" s="241"/>
      <c r="Y1021" s="241"/>
      <c r="Z1021" s="241"/>
      <c r="AA1021" s="241"/>
      <c r="AB1021" s="239"/>
      <c r="AC1021" s="239"/>
    </row>
    <row r="1022" spans="2:29" s="245" customFormat="1" hidden="1">
      <c r="B1022" s="239"/>
      <c r="C1022" s="240"/>
      <c r="D1022" s="241"/>
      <c r="E1022" s="241"/>
      <c r="F1022" s="241"/>
      <c r="G1022" s="241"/>
      <c r="H1022" s="241"/>
      <c r="I1022" s="241"/>
      <c r="J1022" s="241"/>
      <c r="K1022" s="241"/>
      <c r="L1022" s="241"/>
      <c r="M1022" s="241"/>
      <c r="N1022" s="241"/>
      <c r="O1022" s="241"/>
      <c r="P1022" s="241"/>
      <c r="Q1022" s="241"/>
      <c r="R1022" s="241"/>
      <c r="S1022" s="241"/>
      <c r="T1022" s="241"/>
      <c r="U1022" s="241"/>
      <c r="V1022" s="241"/>
      <c r="W1022" s="241"/>
      <c r="X1022" s="241"/>
      <c r="Y1022" s="241"/>
      <c r="Z1022" s="241"/>
      <c r="AA1022" s="241"/>
      <c r="AB1022" s="239"/>
      <c r="AC1022" s="239"/>
    </row>
    <row r="1023" spans="2:29" s="245" customFormat="1" hidden="1">
      <c r="B1023" s="239"/>
      <c r="C1023" s="240"/>
      <c r="D1023" s="241"/>
      <c r="E1023" s="241"/>
      <c r="F1023" s="241"/>
      <c r="G1023" s="241"/>
      <c r="H1023" s="241"/>
      <c r="I1023" s="241"/>
      <c r="J1023" s="241"/>
      <c r="K1023" s="241"/>
      <c r="L1023" s="241"/>
      <c r="M1023" s="241"/>
      <c r="N1023" s="241"/>
      <c r="O1023" s="241"/>
      <c r="P1023" s="241"/>
      <c r="Q1023" s="241"/>
      <c r="R1023" s="241"/>
      <c r="S1023" s="241"/>
      <c r="T1023" s="241"/>
      <c r="U1023" s="241"/>
      <c r="V1023" s="241"/>
      <c r="W1023" s="241"/>
      <c r="X1023" s="241"/>
      <c r="Y1023" s="241"/>
      <c r="Z1023" s="241"/>
      <c r="AA1023" s="241"/>
      <c r="AB1023" s="239"/>
      <c r="AC1023" s="239"/>
    </row>
    <row r="1024" spans="2:29" s="245" customFormat="1" hidden="1">
      <c r="B1024" s="239"/>
      <c r="C1024" s="240"/>
      <c r="D1024" s="241"/>
      <c r="E1024" s="241"/>
      <c r="F1024" s="241"/>
      <c r="G1024" s="241"/>
      <c r="H1024" s="241"/>
      <c r="I1024" s="241"/>
      <c r="J1024" s="241"/>
      <c r="K1024" s="241"/>
      <c r="L1024" s="241"/>
      <c r="M1024" s="241"/>
      <c r="N1024" s="241"/>
      <c r="O1024" s="241"/>
      <c r="P1024" s="241"/>
      <c r="Q1024" s="241"/>
      <c r="R1024" s="241"/>
      <c r="S1024" s="241"/>
      <c r="T1024" s="241"/>
      <c r="U1024" s="241"/>
      <c r="V1024" s="241"/>
      <c r="W1024" s="241"/>
      <c r="X1024" s="241"/>
      <c r="Y1024" s="241"/>
      <c r="Z1024" s="241"/>
      <c r="AA1024" s="241"/>
      <c r="AB1024" s="239"/>
      <c r="AC1024" s="239"/>
    </row>
    <row r="1025" spans="2:29" s="245" customFormat="1" hidden="1">
      <c r="B1025" s="239"/>
      <c r="C1025" s="240"/>
      <c r="D1025" s="241"/>
      <c r="E1025" s="241"/>
      <c r="F1025" s="241"/>
      <c r="G1025" s="241"/>
      <c r="H1025" s="241"/>
      <c r="I1025" s="241"/>
      <c r="J1025" s="241"/>
      <c r="K1025" s="241"/>
      <c r="L1025" s="241"/>
      <c r="M1025" s="241"/>
      <c r="N1025" s="241"/>
      <c r="O1025" s="241"/>
      <c r="P1025" s="241"/>
      <c r="Q1025" s="241"/>
      <c r="R1025" s="241"/>
      <c r="S1025" s="241"/>
      <c r="T1025" s="241"/>
      <c r="U1025" s="241"/>
      <c r="V1025" s="241"/>
      <c r="W1025" s="241"/>
      <c r="X1025" s="241"/>
      <c r="Y1025" s="241"/>
      <c r="Z1025" s="241"/>
      <c r="AA1025" s="241"/>
      <c r="AB1025" s="239"/>
      <c r="AC1025" s="239"/>
    </row>
    <row r="1026" spans="2:29" s="245" customFormat="1" hidden="1">
      <c r="B1026" s="239"/>
      <c r="C1026" s="240"/>
      <c r="D1026" s="241"/>
      <c r="E1026" s="241"/>
      <c r="F1026" s="241"/>
      <c r="G1026" s="241"/>
      <c r="H1026" s="241"/>
      <c r="I1026" s="241"/>
      <c r="J1026" s="241"/>
      <c r="K1026" s="241"/>
      <c r="L1026" s="241"/>
      <c r="M1026" s="241"/>
      <c r="N1026" s="241"/>
      <c r="O1026" s="241"/>
      <c r="P1026" s="241"/>
      <c r="Q1026" s="241"/>
      <c r="R1026" s="241"/>
      <c r="S1026" s="241"/>
      <c r="T1026" s="241"/>
      <c r="U1026" s="241"/>
      <c r="V1026" s="241"/>
      <c r="W1026" s="241"/>
      <c r="X1026" s="241"/>
      <c r="Y1026" s="241"/>
      <c r="Z1026" s="241"/>
      <c r="AA1026" s="241"/>
      <c r="AB1026" s="239"/>
      <c r="AC1026" s="239"/>
    </row>
    <row r="1027" spans="2:29" s="245" customFormat="1" hidden="1">
      <c r="B1027" s="239"/>
      <c r="C1027" s="240"/>
      <c r="D1027" s="241"/>
      <c r="E1027" s="241"/>
      <c r="F1027" s="241"/>
      <c r="G1027" s="241"/>
      <c r="H1027" s="241"/>
      <c r="I1027" s="241"/>
      <c r="J1027" s="241"/>
      <c r="K1027" s="241"/>
      <c r="L1027" s="241"/>
      <c r="M1027" s="241"/>
      <c r="N1027" s="241"/>
      <c r="O1027" s="241"/>
      <c r="P1027" s="241"/>
      <c r="Q1027" s="241"/>
      <c r="R1027" s="241"/>
      <c r="S1027" s="241"/>
      <c r="T1027" s="241"/>
      <c r="U1027" s="241"/>
      <c r="V1027" s="241"/>
      <c r="W1027" s="241"/>
      <c r="X1027" s="241"/>
      <c r="Y1027" s="241"/>
      <c r="Z1027" s="241"/>
      <c r="AA1027" s="241"/>
      <c r="AB1027" s="239"/>
      <c r="AC1027" s="239"/>
    </row>
    <row r="1028" spans="2:29" s="245" customFormat="1" hidden="1">
      <c r="B1028" s="239"/>
      <c r="C1028" s="240"/>
      <c r="D1028" s="241"/>
      <c r="E1028" s="241"/>
      <c r="F1028" s="241"/>
      <c r="G1028" s="241"/>
      <c r="H1028" s="241"/>
      <c r="I1028" s="241"/>
      <c r="J1028" s="241"/>
      <c r="K1028" s="241"/>
      <c r="L1028" s="241"/>
      <c r="M1028" s="241"/>
      <c r="N1028" s="241"/>
      <c r="O1028" s="241"/>
      <c r="P1028" s="241"/>
      <c r="Q1028" s="241"/>
      <c r="R1028" s="241"/>
      <c r="S1028" s="241"/>
      <c r="T1028" s="241"/>
      <c r="U1028" s="241"/>
      <c r="V1028" s="241"/>
      <c r="W1028" s="241"/>
      <c r="X1028" s="241"/>
      <c r="Y1028" s="241"/>
      <c r="Z1028" s="241"/>
      <c r="AA1028" s="241"/>
      <c r="AB1028" s="239"/>
      <c r="AC1028" s="239"/>
    </row>
    <row r="1029" spans="2:29" s="245" customFormat="1" hidden="1">
      <c r="B1029" s="239"/>
      <c r="C1029" s="240"/>
      <c r="D1029" s="241"/>
      <c r="E1029" s="241"/>
      <c r="F1029" s="241"/>
      <c r="G1029" s="241"/>
      <c r="H1029" s="241"/>
      <c r="I1029" s="241"/>
      <c r="J1029" s="241"/>
      <c r="K1029" s="241"/>
      <c r="L1029" s="241"/>
      <c r="M1029" s="241"/>
      <c r="N1029" s="241"/>
      <c r="O1029" s="241"/>
      <c r="P1029" s="241"/>
      <c r="Q1029" s="241"/>
      <c r="R1029" s="241"/>
      <c r="S1029" s="241"/>
      <c r="T1029" s="241"/>
      <c r="U1029" s="241"/>
      <c r="V1029" s="241"/>
      <c r="W1029" s="241"/>
      <c r="X1029" s="241"/>
      <c r="Y1029" s="241"/>
      <c r="Z1029" s="241"/>
      <c r="AA1029" s="241"/>
      <c r="AB1029" s="239"/>
      <c r="AC1029" s="239"/>
    </row>
    <row r="1030" spans="2:29" s="245" customFormat="1" hidden="1">
      <c r="B1030" s="239"/>
      <c r="C1030" s="240"/>
      <c r="D1030" s="241"/>
      <c r="E1030" s="241"/>
      <c r="F1030" s="241"/>
      <c r="G1030" s="241"/>
      <c r="H1030" s="241"/>
      <c r="I1030" s="241"/>
      <c r="J1030" s="241"/>
      <c r="K1030" s="241"/>
      <c r="L1030" s="241"/>
      <c r="M1030" s="241"/>
      <c r="N1030" s="241"/>
      <c r="O1030" s="241"/>
      <c r="P1030" s="241"/>
      <c r="Q1030" s="241"/>
      <c r="R1030" s="241"/>
      <c r="S1030" s="241"/>
      <c r="T1030" s="241"/>
      <c r="U1030" s="241"/>
      <c r="V1030" s="241"/>
      <c r="W1030" s="241"/>
      <c r="X1030" s="241"/>
      <c r="Y1030" s="241"/>
      <c r="Z1030" s="241"/>
      <c r="AA1030" s="241"/>
      <c r="AB1030" s="239"/>
      <c r="AC1030" s="239"/>
    </row>
    <row r="1031" spans="2:29" s="245" customFormat="1" hidden="1">
      <c r="B1031" s="239"/>
      <c r="C1031" s="240"/>
      <c r="D1031" s="241"/>
      <c r="E1031" s="241"/>
      <c r="F1031" s="241"/>
      <c r="G1031" s="241"/>
      <c r="H1031" s="241"/>
      <c r="I1031" s="241"/>
      <c r="J1031" s="241"/>
      <c r="K1031" s="241"/>
      <c r="L1031" s="241"/>
      <c r="M1031" s="241"/>
      <c r="N1031" s="241"/>
      <c r="O1031" s="241"/>
      <c r="P1031" s="241"/>
      <c r="Q1031" s="241"/>
      <c r="R1031" s="241"/>
      <c r="S1031" s="241"/>
      <c r="T1031" s="241"/>
      <c r="U1031" s="241"/>
      <c r="V1031" s="241"/>
      <c r="W1031" s="241"/>
      <c r="X1031" s="241"/>
      <c r="Y1031" s="241"/>
      <c r="Z1031" s="241"/>
      <c r="AA1031" s="241"/>
      <c r="AB1031" s="239"/>
      <c r="AC1031" s="239"/>
    </row>
    <row r="1032" spans="2:29" s="245" customFormat="1" hidden="1">
      <c r="B1032" s="239"/>
      <c r="C1032" s="240"/>
      <c r="D1032" s="241"/>
      <c r="E1032" s="241"/>
      <c r="F1032" s="241"/>
      <c r="G1032" s="241"/>
      <c r="H1032" s="241"/>
      <c r="I1032" s="241"/>
      <c r="J1032" s="241"/>
      <c r="K1032" s="241"/>
      <c r="L1032" s="241"/>
      <c r="M1032" s="241"/>
      <c r="N1032" s="241"/>
      <c r="O1032" s="241"/>
      <c r="P1032" s="241"/>
      <c r="Q1032" s="241"/>
      <c r="R1032" s="241"/>
      <c r="S1032" s="241"/>
      <c r="T1032" s="241"/>
      <c r="U1032" s="241"/>
      <c r="V1032" s="241"/>
      <c r="W1032" s="241"/>
      <c r="X1032" s="241"/>
      <c r="Y1032" s="241"/>
      <c r="Z1032" s="241"/>
      <c r="AA1032" s="241"/>
      <c r="AB1032" s="239"/>
      <c r="AC1032" s="239"/>
    </row>
    <row r="1033" spans="2:29" s="245" customFormat="1" hidden="1">
      <c r="B1033" s="239"/>
      <c r="C1033" s="240"/>
      <c r="D1033" s="241"/>
      <c r="E1033" s="241"/>
      <c r="F1033" s="241"/>
      <c r="G1033" s="241"/>
      <c r="H1033" s="241"/>
      <c r="I1033" s="241"/>
      <c r="J1033" s="241"/>
      <c r="K1033" s="241"/>
      <c r="L1033" s="241"/>
      <c r="M1033" s="241"/>
      <c r="N1033" s="241"/>
      <c r="O1033" s="241"/>
      <c r="P1033" s="241"/>
      <c r="Q1033" s="241"/>
      <c r="R1033" s="241"/>
      <c r="S1033" s="241"/>
      <c r="T1033" s="241"/>
      <c r="U1033" s="241"/>
      <c r="V1033" s="241"/>
      <c r="W1033" s="241"/>
      <c r="X1033" s="241"/>
      <c r="Y1033" s="241"/>
      <c r="Z1033" s="241"/>
      <c r="AA1033" s="241"/>
      <c r="AB1033" s="239"/>
      <c r="AC1033" s="239"/>
    </row>
    <row r="1034" spans="2:29" s="245" customFormat="1" hidden="1">
      <c r="B1034" s="239"/>
      <c r="C1034" s="240"/>
      <c r="D1034" s="241"/>
      <c r="E1034" s="241"/>
      <c r="F1034" s="241"/>
      <c r="G1034" s="241"/>
      <c r="H1034" s="241"/>
      <c r="I1034" s="241"/>
      <c r="J1034" s="241"/>
      <c r="K1034" s="241"/>
      <c r="L1034" s="241"/>
      <c r="M1034" s="241"/>
      <c r="N1034" s="241"/>
      <c r="O1034" s="241"/>
      <c r="P1034" s="241"/>
      <c r="Q1034" s="241"/>
      <c r="R1034" s="241"/>
      <c r="S1034" s="241"/>
      <c r="T1034" s="241"/>
      <c r="U1034" s="241"/>
      <c r="V1034" s="241"/>
      <c r="W1034" s="241"/>
      <c r="X1034" s="241"/>
      <c r="Y1034" s="241"/>
      <c r="Z1034" s="241"/>
      <c r="AA1034" s="241"/>
      <c r="AB1034" s="239"/>
      <c r="AC1034" s="239"/>
    </row>
    <row r="1035" spans="2:29" s="245" customFormat="1" hidden="1">
      <c r="B1035" s="239"/>
      <c r="C1035" s="240"/>
      <c r="D1035" s="241"/>
      <c r="E1035" s="241"/>
      <c r="F1035" s="241"/>
      <c r="G1035" s="241"/>
      <c r="H1035" s="241"/>
      <c r="I1035" s="241"/>
      <c r="J1035" s="241"/>
      <c r="K1035" s="241"/>
      <c r="L1035" s="241"/>
      <c r="M1035" s="241"/>
      <c r="N1035" s="241"/>
      <c r="O1035" s="241"/>
      <c r="P1035" s="241"/>
      <c r="Q1035" s="241"/>
      <c r="R1035" s="241"/>
      <c r="S1035" s="241"/>
      <c r="T1035" s="241"/>
      <c r="U1035" s="241"/>
      <c r="V1035" s="241"/>
      <c r="W1035" s="241"/>
      <c r="X1035" s="241"/>
      <c r="Y1035" s="241"/>
      <c r="Z1035" s="241"/>
      <c r="AA1035" s="241"/>
      <c r="AB1035" s="239"/>
      <c r="AC1035" s="239"/>
    </row>
    <row r="1036" spans="2:29" s="245" customFormat="1" hidden="1">
      <c r="B1036" s="239"/>
      <c r="C1036" s="240"/>
      <c r="D1036" s="241"/>
      <c r="E1036" s="241"/>
      <c r="F1036" s="241"/>
      <c r="G1036" s="241"/>
      <c r="H1036" s="241"/>
      <c r="I1036" s="241"/>
      <c r="J1036" s="241"/>
      <c r="K1036" s="241"/>
      <c r="L1036" s="241"/>
      <c r="M1036" s="241"/>
      <c r="N1036" s="241"/>
      <c r="O1036" s="241"/>
      <c r="P1036" s="241"/>
      <c r="Q1036" s="241"/>
      <c r="R1036" s="241"/>
      <c r="S1036" s="241"/>
      <c r="T1036" s="241"/>
      <c r="U1036" s="241"/>
      <c r="V1036" s="241"/>
      <c r="W1036" s="241"/>
      <c r="X1036" s="241"/>
      <c r="Y1036" s="241"/>
      <c r="Z1036" s="241"/>
      <c r="AA1036" s="241"/>
      <c r="AB1036" s="239"/>
      <c r="AC1036" s="239"/>
    </row>
    <row r="1037" spans="2:29" s="245" customFormat="1" hidden="1">
      <c r="B1037" s="239"/>
      <c r="C1037" s="240"/>
      <c r="D1037" s="241"/>
      <c r="E1037" s="241"/>
      <c r="F1037" s="241"/>
      <c r="G1037" s="241"/>
      <c r="H1037" s="241"/>
      <c r="I1037" s="241"/>
      <c r="J1037" s="241"/>
      <c r="K1037" s="241"/>
      <c r="L1037" s="241"/>
      <c r="M1037" s="241"/>
      <c r="N1037" s="241"/>
      <c r="O1037" s="241"/>
      <c r="P1037" s="241"/>
      <c r="Q1037" s="241"/>
      <c r="R1037" s="241"/>
      <c r="S1037" s="241"/>
      <c r="T1037" s="241"/>
      <c r="U1037" s="241"/>
      <c r="V1037" s="241"/>
      <c r="W1037" s="241"/>
      <c r="X1037" s="241"/>
      <c r="Y1037" s="241"/>
      <c r="Z1037" s="241"/>
      <c r="AA1037" s="241"/>
      <c r="AB1037" s="239"/>
      <c r="AC1037" s="239"/>
    </row>
    <row r="1038" spans="2:29" s="245" customFormat="1" hidden="1">
      <c r="B1038" s="239"/>
      <c r="C1038" s="240"/>
      <c r="D1038" s="241"/>
      <c r="E1038" s="241"/>
      <c r="F1038" s="241"/>
      <c r="G1038" s="241"/>
      <c r="H1038" s="241"/>
      <c r="I1038" s="241"/>
      <c r="J1038" s="241"/>
      <c r="K1038" s="241"/>
      <c r="L1038" s="241"/>
      <c r="M1038" s="241"/>
      <c r="N1038" s="241"/>
      <c r="O1038" s="241"/>
      <c r="P1038" s="241"/>
      <c r="Q1038" s="241"/>
      <c r="R1038" s="241"/>
      <c r="S1038" s="241"/>
      <c r="T1038" s="241"/>
      <c r="U1038" s="241"/>
      <c r="V1038" s="241"/>
      <c r="W1038" s="241"/>
      <c r="X1038" s="241"/>
      <c r="Y1038" s="241"/>
      <c r="Z1038" s="241"/>
      <c r="AA1038" s="241"/>
      <c r="AB1038" s="239"/>
      <c r="AC1038" s="239"/>
    </row>
    <row r="1039" spans="2:29" s="245" customFormat="1" hidden="1">
      <c r="B1039" s="239"/>
      <c r="C1039" s="240"/>
      <c r="D1039" s="241"/>
      <c r="E1039" s="241"/>
      <c r="F1039" s="241"/>
      <c r="G1039" s="241"/>
      <c r="H1039" s="241"/>
      <c r="I1039" s="241"/>
      <c r="J1039" s="241"/>
      <c r="K1039" s="241"/>
      <c r="L1039" s="241"/>
      <c r="M1039" s="241"/>
      <c r="N1039" s="241"/>
      <c r="O1039" s="241"/>
      <c r="P1039" s="241"/>
      <c r="Q1039" s="241"/>
      <c r="R1039" s="241"/>
      <c r="S1039" s="241"/>
      <c r="T1039" s="241"/>
      <c r="U1039" s="241"/>
      <c r="V1039" s="241"/>
      <c r="W1039" s="241"/>
      <c r="X1039" s="241"/>
      <c r="Y1039" s="241"/>
      <c r="Z1039" s="241"/>
      <c r="AA1039" s="241"/>
      <c r="AB1039" s="239"/>
      <c r="AC1039" s="239"/>
    </row>
    <row r="1040" spans="2:29" s="245" customFormat="1" hidden="1">
      <c r="B1040" s="239"/>
      <c r="C1040" s="240"/>
      <c r="D1040" s="241"/>
      <c r="E1040" s="241"/>
      <c r="F1040" s="241"/>
      <c r="G1040" s="241"/>
      <c r="H1040" s="241"/>
      <c r="I1040" s="241"/>
      <c r="J1040" s="241"/>
      <c r="K1040" s="241"/>
      <c r="L1040" s="241"/>
      <c r="M1040" s="241"/>
      <c r="N1040" s="241"/>
      <c r="O1040" s="241"/>
      <c r="P1040" s="241"/>
      <c r="Q1040" s="241"/>
      <c r="R1040" s="241"/>
      <c r="S1040" s="241"/>
      <c r="T1040" s="241"/>
      <c r="U1040" s="241"/>
      <c r="V1040" s="241"/>
      <c r="W1040" s="241"/>
      <c r="X1040" s="241"/>
      <c r="Y1040" s="241"/>
      <c r="Z1040" s="241"/>
      <c r="AA1040" s="241"/>
      <c r="AB1040" s="239"/>
      <c r="AC1040" s="239"/>
    </row>
    <row r="1041" spans="2:29" s="245" customFormat="1" hidden="1">
      <c r="B1041" s="239"/>
      <c r="C1041" s="240"/>
      <c r="D1041" s="241"/>
      <c r="E1041" s="241"/>
      <c r="F1041" s="241"/>
      <c r="G1041" s="241"/>
      <c r="H1041" s="241"/>
      <c r="I1041" s="241"/>
      <c r="J1041" s="241"/>
      <c r="K1041" s="241"/>
      <c r="L1041" s="241"/>
      <c r="M1041" s="241"/>
      <c r="N1041" s="241"/>
      <c r="O1041" s="241"/>
      <c r="P1041" s="241"/>
      <c r="Q1041" s="241"/>
      <c r="R1041" s="241"/>
      <c r="S1041" s="241"/>
      <c r="T1041" s="241"/>
      <c r="U1041" s="241"/>
      <c r="V1041" s="241"/>
      <c r="W1041" s="241"/>
      <c r="X1041" s="241"/>
      <c r="Y1041" s="241"/>
      <c r="Z1041" s="241"/>
      <c r="AA1041" s="241"/>
      <c r="AB1041" s="239"/>
      <c r="AC1041" s="239"/>
    </row>
    <row r="1042" spans="2:29" s="245" customFormat="1" hidden="1">
      <c r="B1042" s="239"/>
      <c r="C1042" s="240"/>
      <c r="D1042" s="241"/>
      <c r="E1042" s="241"/>
      <c r="F1042" s="241"/>
      <c r="G1042" s="241"/>
      <c r="H1042" s="241"/>
      <c r="I1042" s="241"/>
      <c r="J1042" s="241"/>
      <c r="K1042" s="241"/>
      <c r="L1042" s="241"/>
      <c r="M1042" s="241"/>
      <c r="N1042" s="241"/>
      <c r="O1042" s="241"/>
      <c r="P1042" s="241"/>
      <c r="Q1042" s="241"/>
      <c r="R1042" s="241"/>
      <c r="S1042" s="241"/>
      <c r="T1042" s="241"/>
      <c r="U1042" s="241"/>
      <c r="V1042" s="241"/>
      <c r="W1042" s="241"/>
      <c r="X1042" s="241"/>
      <c r="Y1042" s="241"/>
      <c r="Z1042" s="241"/>
      <c r="AA1042" s="241"/>
      <c r="AB1042" s="239"/>
      <c r="AC1042" s="239"/>
    </row>
    <row r="1043" spans="2:29" s="245" customFormat="1" hidden="1">
      <c r="B1043" s="239"/>
      <c r="C1043" s="240"/>
      <c r="D1043" s="241"/>
      <c r="E1043" s="241"/>
      <c r="F1043" s="241"/>
      <c r="G1043" s="241"/>
      <c r="H1043" s="241"/>
      <c r="I1043" s="241"/>
      <c r="J1043" s="241"/>
      <c r="K1043" s="241"/>
      <c r="L1043" s="241"/>
      <c r="M1043" s="241"/>
      <c r="N1043" s="241"/>
      <c r="O1043" s="241"/>
      <c r="P1043" s="241"/>
      <c r="Q1043" s="241"/>
      <c r="R1043" s="241"/>
      <c r="S1043" s="241"/>
      <c r="T1043" s="241"/>
      <c r="U1043" s="241"/>
      <c r="V1043" s="241"/>
      <c r="W1043" s="241"/>
      <c r="X1043" s="241"/>
      <c r="Y1043" s="241"/>
      <c r="Z1043" s="241"/>
      <c r="AA1043" s="241"/>
      <c r="AB1043" s="239"/>
      <c r="AC1043" s="239"/>
    </row>
    <row r="1044" spans="2:29" s="245" customFormat="1" hidden="1">
      <c r="B1044" s="239"/>
      <c r="C1044" s="240"/>
      <c r="D1044" s="241"/>
      <c r="E1044" s="241"/>
      <c r="F1044" s="241"/>
      <c r="G1044" s="241"/>
      <c r="H1044" s="241"/>
      <c r="I1044" s="241"/>
      <c r="J1044" s="241"/>
      <c r="K1044" s="241"/>
      <c r="L1044" s="241"/>
      <c r="M1044" s="241"/>
      <c r="N1044" s="241"/>
      <c r="O1044" s="241"/>
      <c r="P1044" s="241"/>
      <c r="Q1044" s="241"/>
      <c r="R1044" s="241"/>
      <c r="S1044" s="241"/>
      <c r="T1044" s="241"/>
      <c r="U1044" s="241"/>
      <c r="V1044" s="241"/>
      <c r="W1044" s="241"/>
      <c r="X1044" s="241"/>
      <c r="Y1044" s="241"/>
      <c r="Z1044" s="241"/>
      <c r="AA1044" s="241"/>
      <c r="AB1044" s="239"/>
      <c r="AC1044" s="239"/>
    </row>
    <row r="1045" spans="2:29" s="245" customFormat="1" hidden="1">
      <c r="B1045" s="239"/>
      <c r="C1045" s="240"/>
      <c r="D1045" s="241"/>
      <c r="E1045" s="241"/>
      <c r="F1045" s="241"/>
      <c r="G1045" s="241"/>
      <c r="H1045" s="241"/>
      <c r="I1045" s="241"/>
      <c r="J1045" s="241"/>
      <c r="K1045" s="241"/>
      <c r="L1045" s="241"/>
      <c r="M1045" s="241"/>
      <c r="N1045" s="241"/>
      <c r="O1045" s="241"/>
      <c r="P1045" s="241"/>
      <c r="Q1045" s="241"/>
      <c r="R1045" s="241"/>
      <c r="S1045" s="241"/>
      <c r="T1045" s="241"/>
      <c r="U1045" s="241"/>
      <c r="V1045" s="241"/>
      <c r="W1045" s="241"/>
      <c r="X1045" s="241"/>
      <c r="Y1045" s="241"/>
      <c r="Z1045" s="241"/>
      <c r="AA1045" s="241"/>
      <c r="AB1045" s="239"/>
      <c r="AC1045" s="239"/>
    </row>
    <row r="1046" spans="2:29" s="245" customFormat="1" hidden="1">
      <c r="B1046" s="239"/>
      <c r="C1046" s="240"/>
      <c r="D1046" s="241"/>
      <c r="E1046" s="241"/>
      <c r="F1046" s="241"/>
      <c r="G1046" s="241"/>
      <c r="H1046" s="241"/>
      <c r="I1046" s="241"/>
      <c r="J1046" s="241"/>
      <c r="K1046" s="241"/>
      <c r="L1046" s="241"/>
      <c r="M1046" s="241"/>
      <c r="N1046" s="241"/>
      <c r="O1046" s="241"/>
      <c r="P1046" s="241"/>
      <c r="Q1046" s="241"/>
      <c r="R1046" s="241"/>
      <c r="S1046" s="241"/>
      <c r="T1046" s="241"/>
      <c r="U1046" s="241"/>
      <c r="V1046" s="241"/>
      <c r="W1046" s="241"/>
      <c r="X1046" s="241"/>
      <c r="Y1046" s="241"/>
      <c r="Z1046" s="241"/>
      <c r="AA1046" s="241"/>
      <c r="AB1046" s="239"/>
      <c r="AC1046" s="239"/>
    </row>
    <row r="1047" spans="2:29" s="245" customFormat="1" hidden="1">
      <c r="B1047" s="239"/>
      <c r="C1047" s="240"/>
      <c r="D1047" s="241"/>
      <c r="E1047" s="241"/>
      <c r="F1047" s="241"/>
      <c r="G1047" s="241"/>
      <c r="H1047" s="241"/>
      <c r="I1047" s="241"/>
      <c r="J1047" s="241"/>
      <c r="K1047" s="241"/>
      <c r="L1047" s="241"/>
      <c r="M1047" s="241"/>
      <c r="N1047" s="241"/>
      <c r="O1047" s="241"/>
      <c r="P1047" s="241"/>
      <c r="Q1047" s="241"/>
      <c r="R1047" s="241"/>
      <c r="S1047" s="241"/>
      <c r="T1047" s="241"/>
      <c r="U1047" s="241"/>
      <c r="V1047" s="241"/>
      <c r="W1047" s="241"/>
      <c r="X1047" s="241"/>
      <c r="Y1047" s="241"/>
      <c r="Z1047" s="241"/>
      <c r="AA1047" s="241"/>
      <c r="AB1047" s="239"/>
      <c r="AC1047" s="239"/>
    </row>
    <row r="1048" spans="2:29" s="245" customFormat="1" hidden="1">
      <c r="B1048" s="239"/>
      <c r="C1048" s="240"/>
      <c r="D1048" s="241"/>
      <c r="E1048" s="241"/>
      <c r="F1048" s="241"/>
      <c r="G1048" s="241"/>
      <c r="H1048" s="241"/>
      <c r="I1048" s="241"/>
      <c r="J1048" s="241"/>
      <c r="K1048" s="241"/>
      <c r="L1048" s="241"/>
      <c r="M1048" s="241"/>
      <c r="N1048" s="241"/>
      <c r="O1048" s="241"/>
      <c r="P1048" s="241"/>
      <c r="Q1048" s="241"/>
      <c r="R1048" s="241"/>
      <c r="S1048" s="241"/>
      <c r="T1048" s="241"/>
      <c r="U1048" s="241"/>
      <c r="V1048" s="241"/>
      <c r="W1048" s="241"/>
      <c r="X1048" s="241"/>
      <c r="Y1048" s="241"/>
      <c r="Z1048" s="241"/>
      <c r="AA1048" s="241"/>
      <c r="AB1048" s="239"/>
      <c r="AC1048" s="239"/>
    </row>
    <row r="1049" spans="2:29" s="245" customFormat="1" hidden="1">
      <c r="B1049" s="239"/>
      <c r="C1049" s="240"/>
      <c r="D1049" s="241"/>
      <c r="E1049" s="241"/>
      <c r="F1049" s="241"/>
      <c r="G1049" s="241"/>
      <c r="H1049" s="241"/>
      <c r="I1049" s="241"/>
      <c r="J1049" s="241"/>
      <c r="K1049" s="241"/>
      <c r="L1049" s="241"/>
      <c r="M1049" s="241"/>
      <c r="N1049" s="241"/>
      <c r="O1049" s="241"/>
      <c r="P1049" s="241"/>
      <c r="Q1049" s="241"/>
      <c r="R1049" s="241"/>
      <c r="S1049" s="241"/>
      <c r="T1049" s="241"/>
      <c r="U1049" s="241"/>
      <c r="V1049" s="241"/>
      <c r="W1049" s="241"/>
      <c r="X1049" s="241"/>
      <c r="Y1049" s="241"/>
      <c r="Z1049" s="241"/>
      <c r="AA1049" s="241"/>
      <c r="AB1049" s="239"/>
      <c r="AC1049" s="239"/>
    </row>
    <row r="1050" spans="2:29" s="245" customFormat="1" hidden="1">
      <c r="B1050" s="239"/>
      <c r="C1050" s="240"/>
      <c r="D1050" s="241"/>
      <c r="E1050" s="241"/>
      <c r="F1050" s="241"/>
      <c r="G1050" s="241"/>
      <c r="H1050" s="241"/>
      <c r="I1050" s="241"/>
      <c r="J1050" s="241"/>
      <c r="K1050" s="241"/>
      <c r="L1050" s="241"/>
      <c r="M1050" s="241"/>
      <c r="N1050" s="241"/>
      <c r="O1050" s="241"/>
      <c r="P1050" s="241"/>
      <c r="Q1050" s="241"/>
      <c r="R1050" s="241"/>
      <c r="S1050" s="241"/>
      <c r="T1050" s="241"/>
      <c r="U1050" s="241"/>
      <c r="V1050" s="241"/>
      <c r="W1050" s="241"/>
      <c r="X1050" s="241"/>
      <c r="Y1050" s="241"/>
      <c r="Z1050" s="241"/>
      <c r="AA1050" s="241"/>
      <c r="AB1050" s="239"/>
      <c r="AC1050" s="239"/>
    </row>
    <row r="1051" spans="2:29" s="245" customFormat="1" hidden="1">
      <c r="B1051" s="239"/>
      <c r="C1051" s="240"/>
      <c r="D1051" s="241"/>
      <c r="E1051" s="241"/>
      <c r="F1051" s="241"/>
      <c r="G1051" s="241"/>
      <c r="H1051" s="241"/>
      <c r="I1051" s="241"/>
      <c r="J1051" s="241"/>
      <c r="K1051" s="241"/>
      <c r="L1051" s="241"/>
      <c r="M1051" s="241"/>
      <c r="N1051" s="241"/>
      <c r="O1051" s="241"/>
      <c r="P1051" s="241"/>
      <c r="Q1051" s="241"/>
      <c r="R1051" s="241"/>
      <c r="S1051" s="241"/>
      <c r="T1051" s="241"/>
      <c r="U1051" s="241"/>
      <c r="V1051" s="241"/>
      <c r="W1051" s="241"/>
      <c r="X1051" s="241"/>
      <c r="Y1051" s="241"/>
      <c r="Z1051" s="241"/>
      <c r="AA1051" s="241"/>
      <c r="AB1051" s="239"/>
      <c r="AC1051" s="239"/>
    </row>
    <row r="1052" spans="2:29" s="245" customFormat="1" hidden="1">
      <c r="B1052" s="239"/>
      <c r="C1052" s="240"/>
      <c r="D1052" s="241"/>
      <c r="E1052" s="241"/>
      <c r="F1052" s="241"/>
      <c r="G1052" s="241"/>
      <c r="H1052" s="241"/>
      <c r="I1052" s="241"/>
      <c r="J1052" s="241"/>
      <c r="K1052" s="241"/>
      <c r="L1052" s="241"/>
      <c r="M1052" s="241"/>
      <c r="N1052" s="241"/>
      <c r="O1052" s="241"/>
      <c r="P1052" s="241"/>
      <c r="Q1052" s="241"/>
      <c r="R1052" s="241"/>
      <c r="S1052" s="241"/>
      <c r="T1052" s="241"/>
      <c r="U1052" s="241"/>
      <c r="V1052" s="241"/>
      <c r="W1052" s="241"/>
      <c r="X1052" s="241"/>
      <c r="Y1052" s="241"/>
      <c r="Z1052" s="241"/>
      <c r="AA1052" s="241"/>
      <c r="AB1052" s="239"/>
      <c r="AC1052" s="239"/>
    </row>
    <row r="1053" spans="2:29" s="245" customFormat="1" hidden="1">
      <c r="B1053" s="239"/>
      <c r="C1053" s="240"/>
      <c r="D1053" s="241"/>
      <c r="E1053" s="241"/>
      <c r="F1053" s="241"/>
      <c r="G1053" s="241"/>
      <c r="H1053" s="241"/>
      <c r="I1053" s="241"/>
      <c r="J1053" s="241"/>
      <c r="K1053" s="241"/>
      <c r="L1053" s="241"/>
      <c r="M1053" s="241"/>
      <c r="N1053" s="241"/>
      <c r="O1053" s="241"/>
      <c r="P1053" s="241"/>
      <c r="Q1053" s="241"/>
      <c r="R1053" s="241"/>
      <c r="S1053" s="241"/>
      <c r="T1053" s="241"/>
      <c r="U1053" s="241"/>
      <c r="V1053" s="241"/>
      <c r="W1053" s="241"/>
      <c r="X1053" s="241"/>
      <c r="Y1053" s="241"/>
      <c r="Z1053" s="241"/>
      <c r="AA1053" s="241"/>
      <c r="AB1053" s="239"/>
      <c r="AC1053" s="239"/>
    </row>
    <row r="1054" spans="2:29" s="245" customFormat="1" hidden="1">
      <c r="B1054" s="239"/>
      <c r="C1054" s="240"/>
      <c r="D1054" s="241"/>
      <c r="E1054" s="241"/>
      <c r="F1054" s="241"/>
      <c r="G1054" s="241"/>
      <c r="H1054" s="241"/>
      <c r="I1054" s="241"/>
      <c r="J1054" s="241"/>
      <c r="K1054" s="241"/>
      <c r="L1054" s="241"/>
      <c r="M1054" s="241"/>
      <c r="N1054" s="241"/>
      <c r="O1054" s="241"/>
      <c r="P1054" s="241"/>
      <c r="Q1054" s="241"/>
      <c r="R1054" s="241"/>
      <c r="S1054" s="241"/>
      <c r="T1054" s="241"/>
      <c r="U1054" s="241"/>
      <c r="V1054" s="241"/>
      <c r="W1054" s="241"/>
      <c r="X1054" s="241"/>
      <c r="Y1054" s="241"/>
      <c r="Z1054" s="241"/>
      <c r="AA1054" s="241"/>
      <c r="AB1054" s="239"/>
      <c r="AC1054" s="239"/>
    </row>
    <row r="1055" spans="2:29" s="245" customFormat="1" hidden="1">
      <c r="B1055" s="239"/>
      <c r="C1055" s="240"/>
      <c r="D1055" s="241"/>
      <c r="E1055" s="241"/>
      <c r="F1055" s="241"/>
      <c r="G1055" s="241"/>
      <c r="H1055" s="241"/>
      <c r="I1055" s="241"/>
      <c r="J1055" s="241"/>
      <c r="K1055" s="241"/>
      <c r="L1055" s="241"/>
      <c r="M1055" s="241"/>
      <c r="N1055" s="241"/>
      <c r="O1055" s="241"/>
      <c r="P1055" s="241"/>
      <c r="Q1055" s="241"/>
      <c r="R1055" s="241"/>
      <c r="S1055" s="241"/>
      <c r="T1055" s="241"/>
      <c r="U1055" s="241"/>
      <c r="V1055" s="241"/>
      <c r="W1055" s="241"/>
      <c r="X1055" s="241"/>
      <c r="Y1055" s="241"/>
      <c r="Z1055" s="241"/>
      <c r="AA1055" s="241"/>
      <c r="AB1055" s="239"/>
      <c r="AC1055" s="239"/>
    </row>
    <row r="1056" spans="2:29" s="245" customFormat="1" hidden="1">
      <c r="B1056" s="239"/>
      <c r="C1056" s="240"/>
      <c r="D1056" s="241"/>
      <c r="E1056" s="241"/>
      <c r="F1056" s="241"/>
      <c r="G1056" s="241"/>
      <c r="H1056" s="241"/>
      <c r="I1056" s="241"/>
      <c r="J1056" s="241"/>
      <c r="K1056" s="241"/>
      <c r="L1056" s="241"/>
      <c r="M1056" s="241"/>
      <c r="N1056" s="241"/>
      <c r="O1056" s="241"/>
      <c r="P1056" s="241"/>
      <c r="Q1056" s="241"/>
      <c r="R1056" s="241"/>
      <c r="S1056" s="241"/>
      <c r="T1056" s="241"/>
      <c r="U1056" s="241"/>
      <c r="V1056" s="241"/>
      <c r="W1056" s="241"/>
      <c r="X1056" s="241"/>
      <c r="Y1056" s="241"/>
      <c r="Z1056" s="241"/>
      <c r="AA1056" s="241"/>
      <c r="AB1056" s="239"/>
      <c r="AC1056" s="239"/>
    </row>
    <row r="1057" spans="2:29" s="245" customFormat="1" hidden="1">
      <c r="B1057" s="239"/>
      <c r="C1057" s="240"/>
      <c r="D1057" s="241"/>
      <c r="E1057" s="241"/>
      <c r="F1057" s="241"/>
      <c r="G1057" s="241"/>
      <c r="H1057" s="241"/>
      <c r="I1057" s="241"/>
      <c r="J1057" s="241"/>
      <c r="K1057" s="241"/>
      <c r="L1057" s="241"/>
      <c r="M1057" s="241"/>
      <c r="N1057" s="241"/>
      <c r="O1057" s="241"/>
      <c r="P1057" s="241"/>
      <c r="Q1057" s="241"/>
      <c r="R1057" s="241"/>
      <c r="S1057" s="241"/>
      <c r="T1057" s="241"/>
      <c r="U1057" s="241"/>
      <c r="V1057" s="241"/>
      <c r="W1057" s="241"/>
      <c r="X1057" s="241"/>
      <c r="Y1057" s="241"/>
      <c r="Z1057" s="241"/>
      <c r="AA1057" s="241"/>
      <c r="AB1057" s="239"/>
      <c r="AC1057" s="239"/>
    </row>
    <row r="1058" spans="2:29" s="245" customFormat="1" hidden="1">
      <c r="B1058" s="239"/>
      <c r="C1058" s="240"/>
      <c r="D1058" s="241"/>
      <c r="E1058" s="241"/>
      <c r="F1058" s="241"/>
      <c r="G1058" s="241"/>
      <c r="H1058" s="241"/>
      <c r="I1058" s="241"/>
      <c r="J1058" s="241"/>
      <c r="K1058" s="241"/>
      <c r="L1058" s="241"/>
      <c r="M1058" s="241"/>
      <c r="N1058" s="241"/>
      <c r="O1058" s="241"/>
      <c r="P1058" s="241"/>
      <c r="Q1058" s="241"/>
      <c r="R1058" s="241"/>
      <c r="S1058" s="241"/>
      <c r="T1058" s="241"/>
      <c r="U1058" s="241"/>
      <c r="V1058" s="241"/>
      <c r="W1058" s="241"/>
      <c r="X1058" s="241"/>
      <c r="Y1058" s="241"/>
      <c r="Z1058" s="241"/>
      <c r="AA1058" s="241"/>
      <c r="AB1058" s="239"/>
      <c r="AC1058" s="239"/>
    </row>
    <row r="1059" spans="2:29" hidden="1">
      <c r="C1059" s="35"/>
      <c r="D1059" s="40"/>
      <c r="E1059" s="40"/>
      <c r="F1059" s="40"/>
      <c r="G1059" s="40"/>
      <c r="H1059" s="40"/>
      <c r="I1059" s="40"/>
      <c r="J1059" s="40"/>
      <c r="K1059" s="40"/>
      <c r="L1059" s="40"/>
      <c r="M1059" s="40"/>
      <c r="N1059" s="40"/>
      <c r="O1059" s="40"/>
      <c r="P1059" s="40"/>
      <c r="Q1059" s="40"/>
      <c r="R1059" s="40"/>
      <c r="S1059" s="40"/>
      <c r="T1059" s="40"/>
      <c r="U1059" s="40"/>
      <c r="V1059" s="40"/>
      <c r="W1059" s="40"/>
      <c r="X1059" s="40"/>
      <c r="Y1059" s="40"/>
      <c r="Z1059" s="40"/>
      <c r="AA1059" s="40"/>
    </row>
    <row r="1060" spans="2:29" hidden="1">
      <c r="C1060" s="35"/>
      <c r="D1060" s="40"/>
      <c r="E1060" s="40"/>
      <c r="F1060" s="40"/>
      <c r="G1060" s="40"/>
      <c r="H1060" s="40"/>
      <c r="I1060" s="40"/>
      <c r="J1060" s="40"/>
      <c r="K1060" s="40"/>
      <c r="L1060" s="40"/>
      <c r="M1060" s="40"/>
      <c r="N1060" s="40"/>
      <c r="O1060" s="40"/>
      <c r="P1060" s="40"/>
      <c r="Q1060" s="40"/>
      <c r="R1060" s="40"/>
      <c r="S1060" s="40"/>
      <c r="T1060" s="40"/>
      <c r="U1060" s="40"/>
      <c r="V1060" s="40"/>
      <c r="W1060" s="40"/>
      <c r="X1060" s="40"/>
      <c r="Y1060" s="40"/>
      <c r="Z1060" s="40"/>
      <c r="AA1060" s="40"/>
    </row>
    <row r="1061" spans="2:29" hidden="1">
      <c r="C1061" s="35"/>
      <c r="D1061" s="40"/>
      <c r="E1061" s="40"/>
      <c r="F1061" s="40"/>
      <c r="G1061" s="40"/>
      <c r="H1061" s="40"/>
      <c r="I1061" s="40"/>
      <c r="J1061" s="40"/>
      <c r="K1061" s="40"/>
      <c r="L1061" s="40"/>
      <c r="M1061" s="40"/>
      <c r="N1061" s="40"/>
      <c r="O1061" s="40"/>
      <c r="P1061" s="40"/>
      <c r="Q1061" s="40"/>
      <c r="R1061" s="40"/>
      <c r="S1061" s="40"/>
      <c r="T1061" s="40"/>
      <c r="U1061" s="40"/>
      <c r="V1061" s="40"/>
      <c r="W1061" s="40"/>
      <c r="X1061" s="40"/>
      <c r="Y1061" s="40"/>
      <c r="Z1061" s="40"/>
      <c r="AA1061" s="40"/>
    </row>
    <row r="1062" spans="2:29" hidden="1">
      <c r="C1062" s="35"/>
      <c r="D1062" s="40"/>
      <c r="E1062" s="40"/>
      <c r="F1062" s="40"/>
      <c r="G1062" s="40"/>
      <c r="H1062" s="40"/>
      <c r="I1062" s="40"/>
      <c r="J1062" s="40"/>
      <c r="K1062" s="40"/>
      <c r="L1062" s="40"/>
      <c r="M1062" s="40"/>
      <c r="N1062" s="40"/>
      <c r="O1062" s="40"/>
      <c r="P1062" s="40"/>
      <c r="Q1062" s="40"/>
      <c r="R1062" s="40"/>
      <c r="S1062" s="40"/>
      <c r="T1062" s="40"/>
      <c r="U1062" s="40"/>
      <c r="V1062" s="40"/>
      <c r="W1062" s="40"/>
      <c r="X1062" s="40"/>
      <c r="Y1062" s="40"/>
      <c r="Z1062" s="40"/>
      <c r="AA1062" s="40"/>
    </row>
    <row r="1063" spans="2:29" hidden="1">
      <c r="C1063" s="35"/>
      <c r="D1063" s="40"/>
      <c r="E1063" s="40"/>
      <c r="F1063" s="40"/>
      <c r="G1063" s="40"/>
      <c r="H1063" s="40"/>
      <c r="I1063" s="40"/>
      <c r="J1063" s="40"/>
      <c r="K1063" s="40"/>
      <c r="L1063" s="40"/>
      <c r="M1063" s="40"/>
      <c r="N1063" s="40"/>
      <c r="O1063" s="40"/>
      <c r="P1063" s="40"/>
      <c r="Q1063" s="40"/>
      <c r="R1063" s="40"/>
      <c r="S1063" s="40"/>
      <c r="T1063" s="40"/>
      <c r="U1063" s="40"/>
      <c r="V1063" s="40"/>
      <c r="W1063" s="40"/>
      <c r="X1063" s="40"/>
      <c r="Y1063" s="40"/>
      <c r="Z1063" s="40"/>
      <c r="AA1063" s="40"/>
    </row>
    <row r="1064" spans="2:29" hidden="1">
      <c r="C1064" s="35"/>
      <c r="D1064" s="40"/>
      <c r="E1064" s="40"/>
      <c r="F1064" s="40"/>
      <c r="G1064" s="40"/>
      <c r="H1064" s="40"/>
      <c r="I1064" s="40"/>
      <c r="J1064" s="40"/>
      <c r="K1064" s="40"/>
      <c r="L1064" s="40"/>
      <c r="M1064" s="40"/>
      <c r="N1064" s="40"/>
      <c r="O1064" s="40"/>
      <c r="P1064" s="40"/>
      <c r="Q1064" s="40"/>
      <c r="R1064" s="40"/>
      <c r="S1064" s="40"/>
      <c r="T1064" s="40"/>
      <c r="U1064" s="40"/>
      <c r="V1064" s="40"/>
      <c r="W1064" s="40"/>
      <c r="X1064" s="40"/>
      <c r="Y1064" s="40"/>
      <c r="Z1064" s="40"/>
      <c r="AA1064" s="40"/>
    </row>
    <row r="1065" spans="2:29" hidden="1">
      <c r="C1065" s="35"/>
      <c r="D1065" s="40"/>
      <c r="E1065" s="40"/>
      <c r="F1065" s="40"/>
      <c r="G1065" s="40"/>
      <c r="H1065" s="40"/>
      <c r="I1065" s="40"/>
      <c r="J1065" s="40"/>
      <c r="K1065" s="40"/>
      <c r="L1065" s="40"/>
      <c r="M1065" s="40"/>
      <c r="N1065" s="40"/>
      <c r="O1065" s="40"/>
      <c r="P1065" s="40"/>
      <c r="Q1065" s="40"/>
      <c r="R1065" s="40"/>
      <c r="S1065" s="40"/>
      <c r="T1065" s="40"/>
      <c r="U1065" s="40"/>
      <c r="V1065" s="40"/>
      <c r="W1065" s="40"/>
      <c r="X1065" s="40"/>
      <c r="Y1065" s="40"/>
      <c r="Z1065" s="40"/>
      <c r="AA1065" s="40"/>
    </row>
    <row r="1066" spans="2:29" hidden="1">
      <c r="C1066" s="35"/>
      <c r="D1066" s="40"/>
      <c r="E1066" s="40"/>
      <c r="F1066" s="40"/>
      <c r="G1066" s="40"/>
      <c r="H1066" s="40"/>
      <c r="I1066" s="40"/>
      <c r="J1066" s="40"/>
      <c r="K1066" s="40"/>
      <c r="L1066" s="40"/>
      <c r="M1066" s="40"/>
      <c r="N1066" s="40"/>
      <c r="O1066" s="40"/>
      <c r="P1066" s="40"/>
      <c r="Q1066" s="40"/>
      <c r="R1066" s="40"/>
      <c r="S1066" s="40"/>
      <c r="T1066" s="40"/>
      <c r="U1066" s="40"/>
      <c r="V1066" s="40"/>
      <c r="W1066" s="40"/>
      <c r="X1066" s="40"/>
      <c r="Y1066" s="40"/>
      <c r="Z1066" s="40"/>
      <c r="AA1066" s="40"/>
    </row>
  </sheetData>
  <sheetProtection password="C1FB" sheet="1" objects="1" scenarios="1" formatCells="0" formatColumns="0" formatRows="0" selectLockedCells="1"/>
  <protectedRanges>
    <protectedRange sqref="AB6:AC11 AB26:AC27 AB15:AC22 AB12:AB14" name="Range4"/>
    <protectedRange sqref="C6:C26" name="Range1"/>
    <protectedRange sqref="D6:I6 L6 E23:F27 K23:K27 D7:L22" name="Range2"/>
    <protectedRange sqref="N20:P20 X19:Y22 K6 N21:O21 W19:W27 N19:O19 S19:V22 N22:P22 N6:Y7 Q19:Q22 N8:Q18 S8:Y18 R8:R22 Q23:R27" name="Range3"/>
    <protectedRange sqref="C23:C27" name="Range5"/>
    <protectedRange sqref="G23:J27 L23:L27 D23:D27" name="Range6"/>
    <protectedRange sqref="X23:Y27 N23:P27 S23:V27" name="Range7"/>
  </protectedRanges>
  <customSheetViews>
    <customSheetView guid="{8E92581F-007A-4A12-99AF-FBD8FA5F0BC8}" scale="90" hiddenRows="1" hiddenColumns="1">
      <pane xSplit="8" ySplit="6" topLeftCell="I7" activePane="bottomRight" state="frozen"/>
      <selection pane="bottomRight" activeCell="X3" sqref="X3"/>
      <pageMargins left="0.7" right="0.7" top="0.75" bottom="0.75" header="0.3" footer="0.3"/>
      <pageSetup paperSize="5" orientation="landscape" verticalDpi="300" r:id="rId1"/>
    </customSheetView>
  </customSheetViews>
  <mergeCells count="25">
    <mergeCell ref="B1:D1"/>
    <mergeCell ref="B2:D2"/>
    <mergeCell ref="B3:D3"/>
    <mergeCell ref="E1:H1"/>
    <mergeCell ref="D5:D6"/>
    <mergeCell ref="E5:E6"/>
    <mergeCell ref="F5:F6"/>
    <mergeCell ref="G3:I3"/>
    <mergeCell ref="E3:F3"/>
    <mergeCell ref="E2:F2"/>
    <mergeCell ref="C5:C6"/>
    <mergeCell ref="B5:B6"/>
    <mergeCell ref="K5:K6"/>
    <mergeCell ref="J3:K3"/>
    <mergeCell ref="L3:U3"/>
    <mergeCell ref="AE4:AJ6"/>
    <mergeCell ref="I5:I6"/>
    <mergeCell ref="Q5:Q6"/>
    <mergeCell ref="AB5:AB6"/>
    <mergeCell ref="AC5:AC6"/>
    <mergeCell ref="Z5:Z6"/>
    <mergeCell ref="AA5:AA6"/>
    <mergeCell ref="M5:M6"/>
    <mergeCell ref="P5:P6"/>
    <mergeCell ref="R5:R6"/>
  </mergeCells>
  <conditionalFormatting sqref="D7:D18">
    <cfRule type="cellIs" dxfId="0" priority="20" operator="greaterThan">
      <formula>$D$14</formula>
    </cfRule>
  </conditionalFormatting>
  <dataValidations count="2">
    <dataValidation type="list" allowBlank="1" showInputMessage="1" showErrorMessage="1" prompt="Sellect Month" sqref="E3 J3">
      <formula1>$AL$12:$AL$24</formula1>
    </dataValidation>
    <dataValidation type="list" allowBlank="1" showInputMessage="1" showErrorMessage="1" sqref="C882:C883">
      <formula1>$C$887:$C$898</formula1>
    </dataValidation>
  </dataValidations>
  <pageMargins left="0.7" right="0.7" top="0.75" bottom="0.75" header="0.3" footer="0.3"/>
  <pageSetup paperSize="5" orientation="landscape" verticalDpi="300" r:id="rId2"/>
  <customProperties>
    <customPr name="DVSECTIONID" r:id="rId3"/>
  </customProperties>
  <drawing r:id="rId4"/>
  <legacyDrawing r:id="rId5"/>
</worksheet>
</file>

<file path=xl/worksheets/sheet4.xml><?xml version="1.0" encoding="utf-8"?>
<worksheet xmlns="http://schemas.openxmlformats.org/spreadsheetml/2006/main" xmlns:r="http://schemas.openxmlformats.org/officeDocument/2006/relationships">
  <sheetPr codeName="Sheet3">
    <tabColor theme="1"/>
  </sheetPr>
  <dimension ref="A1:AO1077"/>
  <sheetViews>
    <sheetView zoomScale="90" zoomScaleNormal="90" workbookViewId="0">
      <selection activeCell="G15" sqref="G15"/>
    </sheetView>
  </sheetViews>
  <sheetFormatPr defaultColWidth="0" defaultRowHeight="15" zeroHeight="1"/>
  <cols>
    <col min="1" max="1" width="16.7109375" customWidth="1"/>
    <col min="2" max="2" width="9.140625" customWidth="1"/>
    <col min="3" max="4" width="9.140625" hidden="1" customWidth="1"/>
    <col min="5" max="5" width="51" style="12" customWidth="1"/>
    <col min="6" max="6" width="12.42578125" style="12" customWidth="1"/>
    <col min="7" max="7" width="21.85546875" customWidth="1"/>
    <col min="8" max="8" width="87.28515625" customWidth="1"/>
    <col min="9" max="9" width="14.42578125" style="123" customWidth="1"/>
    <col min="10" max="10" width="22.42578125" customWidth="1"/>
    <col min="11" max="12" width="9.140625" customWidth="1"/>
    <col min="13" max="16384" width="9.140625" hidden="1"/>
  </cols>
  <sheetData>
    <row r="1" spans="1:41" ht="7.5" customHeight="1">
      <c r="A1" s="43"/>
      <c r="B1" s="43"/>
      <c r="C1" s="43"/>
      <c r="D1" s="43"/>
      <c r="E1" s="42"/>
      <c r="F1" s="42"/>
      <c r="G1" s="42"/>
      <c r="H1" s="42"/>
      <c r="I1" s="42"/>
      <c r="J1" s="42"/>
      <c r="K1" s="42"/>
      <c r="L1" s="42"/>
      <c r="M1" s="42"/>
      <c r="N1" s="42"/>
      <c r="O1" s="42"/>
      <c r="P1" s="42"/>
      <c r="Q1" s="42"/>
      <c r="R1" s="42"/>
      <c r="S1" s="42"/>
      <c r="T1" s="42"/>
      <c r="U1" s="42"/>
      <c r="V1" s="42"/>
      <c r="W1" s="42"/>
      <c r="X1" s="42"/>
      <c r="Y1" s="42"/>
      <c r="Z1" s="42"/>
      <c r="AA1" s="43"/>
      <c r="AB1" s="43"/>
      <c r="AC1" s="43"/>
      <c r="AD1" s="43"/>
      <c r="AE1" s="43"/>
      <c r="AF1" s="43"/>
      <c r="AG1" s="43"/>
      <c r="AH1" s="12"/>
      <c r="AI1" s="12"/>
    </row>
    <row r="2" spans="1:41" ht="24.95" customHeight="1">
      <c r="A2" s="43"/>
      <c r="B2" s="43"/>
      <c r="C2" s="43"/>
      <c r="D2" s="43"/>
      <c r="E2" s="553" t="s">
        <v>60</v>
      </c>
      <c r="F2" s="553"/>
      <c r="G2" s="553"/>
      <c r="H2" s="553"/>
      <c r="I2" s="553"/>
      <c r="J2" s="553"/>
      <c r="K2" s="42"/>
      <c r="L2" s="42"/>
      <c r="M2" s="42"/>
      <c r="N2" s="42"/>
      <c r="O2" s="42"/>
      <c r="P2" s="42"/>
      <c r="Q2" s="42"/>
      <c r="R2" s="42"/>
      <c r="S2" s="42"/>
      <c r="T2" s="42"/>
      <c r="U2" s="42"/>
      <c r="V2" s="42"/>
      <c r="W2" s="42"/>
      <c r="X2" s="42"/>
      <c r="Y2" s="42"/>
      <c r="Z2" s="42"/>
      <c r="AA2" s="42"/>
      <c r="AB2" s="42"/>
      <c r="AC2" s="42"/>
      <c r="AD2" s="43"/>
      <c r="AE2" s="43"/>
      <c r="AF2" s="43"/>
      <c r="AG2" s="43"/>
      <c r="AH2" s="12"/>
      <c r="AI2" s="12"/>
    </row>
    <row r="3" spans="1:41" ht="21" customHeight="1">
      <c r="A3" s="43"/>
      <c r="B3" s="43"/>
      <c r="C3" s="43"/>
      <c r="D3" s="43"/>
      <c r="E3" s="554" t="s">
        <v>268</v>
      </c>
      <c r="F3" s="554"/>
      <c r="G3" s="554"/>
      <c r="H3" s="554"/>
      <c r="I3" s="554"/>
      <c r="J3" s="554"/>
      <c r="K3" s="42"/>
      <c r="L3" s="42"/>
      <c r="M3" s="42"/>
      <c r="N3" s="42"/>
      <c r="O3" s="42"/>
      <c r="P3" s="42"/>
      <c r="Q3" s="42"/>
      <c r="R3" s="42"/>
      <c r="S3" s="42"/>
      <c r="T3" s="42"/>
      <c r="U3" s="42"/>
      <c r="V3" s="42"/>
      <c r="W3" s="42"/>
      <c r="X3" s="42"/>
      <c r="Y3" s="42"/>
      <c r="Z3" s="42"/>
      <c r="AA3" s="42"/>
      <c r="AB3" s="42"/>
      <c r="AC3" s="42"/>
      <c r="AD3" s="43"/>
      <c r="AE3" s="43"/>
      <c r="AF3" s="43"/>
      <c r="AG3" s="43"/>
      <c r="AH3" s="221"/>
      <c r="AI3" s="12"/>
      <c r="AO3" s="123" t="s">
        <v>354</v>
      </c>
    </row>
    <row r="4" spans="1:41" ht="22.5" customHeight="1">
      <c r="A4" s="43"/>
      <c r="B4" s="43"/>
      <c r="C4" s="43"/>
      <c r="D4" s="43"/>
      <c r="E4" s="554"/>
      <c r="F4" s="554"/>
      <c r="G4" s="554"/>
      <c r="H4" s="554"/>
      <c r="I4" s="554"/>
      <c r="J4" s="554"/>
      <c r="K4" s="42"/>
      <c r="L4" s="42"/>
      <c r="M4" s="42"/>
      <c r="N4" s="42"/>
      <c r="O4" s="42"/>
      <c r="P4" s="42"/>
      <c r="Q4" s="42"/>
      <c r="R4" s="42"/>
      <c r="S4" s="42"/>
      <c r="T4" s="42"/>
      <c r="U4" s="42"/>
      <c r="V4" s="42"/>
      <c r="W4" s="42"/>
      <c r="X4" s="42"/>
      <c r="Y4" s="42"/>
      <c r="Z4" s="42"/>
      <c r="AA4" s="42"/>
      <c r="AB4" s="42"/>
      <c r="AC4" s="42"/>
      <c r="AD4" s="43"/>
      <c r="AE4" s="43"/>
      <c r="AF4" s="43"/>
      <c r="AG4" s="43"/>
      <c r="AH4" s="221"/>
      <c r="AI4" s="12"/>
      <c r="AO4" s="123" t="s">
        <v>233</v>
      </c>
    </row>
    <row r="5" spans="1:41" ht="42" customHeight="1">
      <c r="A5" s="43"/>
      <c r="B5" s="43"/>
      <c r="C5" s="43"/>
      <c r="D5" s="43"/>
      <c r="E5" s="222" t="s">
        <v>355</v>
      </c>
      <c r="F5" s="223" t="s">
        <v>233</v>
      </c>
      <c r="G5" s="318" t="str">
        <f>IF(AND(F5=""),"0",IF(AND(F5=AO4),"0",G32))</f>
        <v>0</v>
      </c>
      <c r="H5" s="540" t="s">
        <v>291</v>
      </c>
      <c r="I5" s="541"/>
      <c r="J5" s="113"/>
      <c r="K5" s="42"/>
      <c r="L5" s="42"/>
      <c r="M5" s="42"/>
      <c r="N5" s="42"/>
      <c r="O5" s="42"/>
      <c r="P5" s="42"/>
      <c r="Q5" s="42"/>
      <c r="R5" s="42"/>
      <c r="S5" s="42"/>
      <c r="T5" s="42"/>
      <c r="U5" s="42"/>
      <c r="V5" s="42"/>
      <c r="W5" s="42"/>
      <c r="X5" s="42"/>
      <c r="Y5" s="42"/>
      <c r="Z5" s="42"/>
      <c r="AA5" s="42"/>
      <c r="AB5" s="42"/>
      <c r="AC5" s="42"/>
      <c r="AD5" s="43"/>
      <c r="AE5" s="43"/>
      <c r="AF5" s="43"/>
      <c r="AG5" s="43"/>
      <c r="AH5" s="12"/>
      <c r="AI5" s="12"/>
    </row>
    <row r="6" spans="1:41" ht="21" customHeight="1">
      <c r="A6" s="43"/>
      <c r="B6" s="43"/>
      <c r="C6" s="43"/>
      <c r="D6" s="43"/>
      <c r="E6" s="556" t="s">
        <v>257</v>
      </c>
      <c r="F6" s="557"/>
      <c r="G6" s="113"/>
      <c r="H6" s="538" t="s">
        <v>270</v>
      </c>
      <c r="I6" s="539"/>
      <c r="J6" s="113"/>
      <c r="K6" s="42"/>
      <c r="L6" s="42"/>
      <c r="M6" s="42"/>
      <c r="N6" s="42"/>
      <c r="O6" s="42"/>
      <c r="P6" s="42"/>
      <c r="Q6" s="42"/>
      <c r="R6" s="42"/>
      <c r="S6" s="42"/>
      <c r="T6" s="42"/>
      <c r="U6" s="42"/>
      <c r="V6" s="42"/>
      <c r="W6" s="42"/>
      <c r="X6" s="42"/>
      <c r="Y6" s="42"/>
      <c r="Z6" s="42"/>
      <c r="AA6" s="42"/>
      <c r="AB6" s="42"/>
      <c r="AC6" s="42"/>
      <c r="AD6" s="43"/>
      <c r="AE6" s="43"/>
      <c r="AF6" s="43"/>
      <c r="AG6" s="43"/>
      <c r="AH6" s="12"/>
      <c r="AI6" s="12"/>
    </row>
    <row r="7" spans="1:41" ht="21" customHeight="1">
      <c r="A7" s="43"/>
      <c r="B7" s="43"/>
      <c r="C7" s="43"/>
      <c r="D7" s="43"/>
      <c r="E7" s="558" t="s">
        <v>258</v>
      </c>
      <c r="F7" s="559"/>
      <c r="G7" s="113"/>
      <c r="H7" s="540" t="s">
        <v>282</v>
      </c>
      <c r="I7" s="541"/>
      <c r="J7" s="113"/>
      <c r="K7" s="42"/>
      <c r="L7" s="42"/>
      <c r="M7" s="42"/>
      <c r="N7" s="42"/>
      <c r="O7" s="42"/>
      <c r="P7" s="42"/>
      <c r="Q7" s="42"/>
      <c r="R7" s="42"/>
      <c r="S7" s="42"/>
      <c r="T7" s="42"/>
      <c r="U7" s="42"/>
      <c r="V7" s="42"/>
      <c r="W7" s="42"/>
      <c r="X7" s="42"/>
      <c r="Y7" s="42"/>
      <c r="Z7" s="42"/>
      <c r="AA7" s="42"/>
      <c r="AB7" s="42"/>
      <c r="AC7" s="42"/>
      <c r="AD7" s="43"/>
      <c r="AE7" s="43"/>
      <c r="AF7" s="43"/>
      <c r="AG7" s="43"/>
      <c r="AH7" s="12"/>
      <c r="AI7" s="12"/>
    </row>
    <row r="8" spans="1:41" ht="21" customHeight="1">
      <c r="A8" s="43"/>
      <c r="B8" s="43"/>
      <c r="C8" s="43"/>
      <c r="D8" s="43"/>
      <c r="E8" s="560" t="s">
        <v>253</v>
      </c>
      <c r="F8" s="561"/>
      <c r="G8" s="113"/>
      <c r="H8" s="566" t="s">
        <v>271</v>
      </c>
      <c r="I8" s="567"/>
      <c r="J8" s="113"/>
      <c r="K8" s="42"/>
      <c r="L8" s="42"/>
      <c r="M8" s="42"/>
      <c r="N8" s="42"/>
      <c r="O8" s="42"/>
      <c r="P8" s="42"/>
      <c r="Q8" s="42"/>
      <c r="R8" s="42"/>
      <c r="S8" s="42"/>
      <c r="T8" s="42"/>
      <c r="U8" s="42"/>
      <c r="V8" s="42"/>
      <c r="W8" s="42"/>
      <c r="X8" s="42"/>
      <c r="Y8" s="42"/>
      <c r="Z8" s="42"/>
      <c r="AA8" s="42"/>
      <c r="AB8" s="42"/>
      <c r="AC8" s="42"/>
      <c r="AD8" s="43"/>
      <c r="AE8" s="43"/>
      <c r="AF8" s="43"/>
      <c r="AG8" s="43"/>
      <c r="AH8" s="12"/>
      <c r="AI8" s="12"/>
    </row>
    <row r="9" spans="1:41" ht="22.5" customHeight="1">
      <c r="A9" s="43"/>
      <c r="B9" s="43"/>
      <c r="C9" s="43"/>
      <c r="D9" s="43"/>
      <c r="E9" s="558" t="s">
        <v>254</v>
      </c>
      <c r="F9" s="559"/>
      <c r="G9" s="113"/>
      <c r="H9" s="540" t="s">
        <v>272</v>
      </c>
      <c r="I9" s="541"/>
      <c r="J9" s="113"/>
      <c r="K9" s="42"/>
      <c r="L9" s="42"/>
      <c r="M9" s="42"/>
      <c r="N9" s="42"/>
      <c r="O9" s="42"/>
      <c r="P9" s="42"/>
      <c r="Q9" s="42"/>
      <c r="R9" s="42"/>
      <c r="S9" s="42"/>
      <c r="T9" s="42"/>
      <c r="U9" s="42"/>
      <c r="V9" s="42"/>
      <c r="W9" s="42"/>
      <c r="X9" s="42"/>
      <c r="Y9" s="42"/>
      <c r="Z9" s="42"/>
      <c r="AA9" s="42"/>
      <c r="AB9" s="42"/>
      <c r="AC9" s="42"/>
      <c r="AD9" s="43"/>
      <c r="AE9" s="43"/>
      <c r="AF9" s="43"/>
      <c r="AG9" s="43"/>
      <c r="AH9" s="12"/>
      <c r="AI9" s="12"/>
    </row>
    <row r="10" spans="1:41" ht="21" customHeight="1">
      <c r="A10" s="43"/>
      <c r="B10" s="43"/>
      <c r="C10" s="43"/>
      <c r="D10" s="43"/>
      <c r="E10" s="562" t="s">
        <v>352</v>
      </c>
      <c r="F10" s="563"/>
      <c r="G10" s="113"/>
      <c r="H10" s="538" t="s">
        <v>283</v>
      </c>
      <c r="I10" s="539"/>
      <c r="J10" s="113"/>
      <c r="K10" s="42"/>
      <c r="L10" s="42"/>
      <c r="M10" s="42"/>
      <c r="N10" s="42"/>
      <c r="O10" s="42"/>
      <c r="P10" s="42"/>
      <c r="Q10" s="42"/>
      <c r="R10" s="42"/>
      <c r="S10" s="42"/>
      <c r="T10" s="42"/>
      <c r="U10" s="42"/>
      <c r="V10" s="42"/>
      <c r="W10" s="42"/>
      <c r="X10" s="42"/>
      <c r="Y10" s="42"/>
      <c r="Z10" s="42"/>
      <c r="AA10" s="42"/>
      <c r="AB10" s="42"/>
      <c r="AC10" s="42"/>
      <c r="AD10" s="43"/>
      <c r="AE10" s="43"/>
      <c r="AF10" s="43"/>
      <c r="AG10" s="43"/>
      <c r="AH10" s="12"/>
      <c r="AI10" s="12"/>
    </row>
    <row r="11" spans="1:41" ht="21" customHeight="1">
      <c r="A11" s="43"/>
      <c r="B11" s="43"/>
      <c r="C11" s="43"/>
      <c r="D11" s="43"/>
      <c r="E11" s="564" t="s">
        <v>353</v>
      </c>
      <c r="F11" s="565"/>
      <c r="G11" s="113"/>
      <c r="H11" s="540" t="s">
        <v>273</v>
      </c>
      <c r="I11" s="541"/>
      <c r="J11" s="113"/>
      <c r="K11" s="42"/>
      <c r="L11" s="42"/>
      <c r="M11" s="42"/>
      <c r="N11" s="42"/>
      <c r="O11" s="42"/>
      <c r="P11" s="42"/>
      <c r="Q11" s="42"/>
      <c r="R11" s="42"/>
      <c r="S11" s="42"/>
      <c r="T11" s="42"/>
      <c r="U11" s="42"/>
      <c r="V11" s="42"/>
      <c r="W11" s="42"/>
      <c r="X11" s="42"/>
      <c r="Y11" s="42"/>
      <c r="Z11" s="42"/>
      <c r="AA11" s="42"/>
      <c r="AB11" s="42"/>
      <c r="AC11" s="42"/>
      <c r="AD11" s="43"/>
      <c r="AE11" s="43"/>
      <c r="AF11" s="43"/>
      <c r="AG11" s="43"/>
      <c r="AH11" s="12"/>
      <c r="AI11" s="12"/>
    </row>
    <row r="12" spans="1:41" ht="21" customHeight="1">
      <c r="A12" s="43"/>
      <c r="B12" s="43"/>
      <c r="C12" s="43"/>
      <c r="D12" s="43"/>
      <c r="E12" s="534" t="s">
        <v>528</v>
      </c>
      <c r="F12" s="535"/>
      <c r="G12" s="113"/>
      <c r="H12" s="538" t="s">
        <v>274</v>
      </c>
      <c r="I12" s="539"/>
      <c r="J12" s="113"/>
      <c r="K12" s="42"/>
      <c r="L12" s="42"/>
      <c r="M12" s="42"/>
      <c r="N12" s="42"/>
      <c r="O12" s="42"/>
      <c r="P12" s="42"/>
      <c r="Q12" s="42"/>
      <c r="R12" s="42"/>
      <c r="S12" s="42"/>
      <c r="T12" s="42"/>
      <c r="U12" s="42"/>
      <c r="V12" s="42"/>
      <c r="W12" s="42"/>
      <c r="X12" s="42"/>
      <c r="Y12" s="42"/>
      <c r="Z12" s="42"/>
      <c r="AA12" s="42"/>
      <c r="AB12" s="42"/>
      <c r="AC12" s="42"/>
      <c r="AD12" s="43"/>
      <c r="AE12" s="43"/>
      <c r="AF12" s="43"/>
      <c r="AG12" s="43"/>
      <c r="AH12" s="12"/>
      <c r="AI12" s="12"/>
    </row>
    <row r="13" spans="1:41" ht="21" customHeight="1">
      <c r="A13" s="43"/>
      <c r="B13" s="43"/>
      <c r="C13" s="43"/>
      <c r="D13" s="43"/>
      <c r="E13" s="111" t="s">
        <v>259</v>
      </c>
      <c r="F13" s="111"/>
      <c r="G13" s="113"/>
      <c r="H13" s="540" t="s">
        <v>275</v>
      </c>
      <c r="I13" s="541"/>
      <c r="J13" s="113"/>
      <c r="K13" s="42"/>
      <c r="L13" s="42"/>
      <c r="M13" s="42"/>
      <c r="N13" s="42"/>
      <c r="O13" s="42"/>
      <c r="P13" s="42"/>
      <c r="Q13" s="42"/>
      <c r="R13" s="42"/>
      <c r="S13" s="42"/>
      <c r="T13" s="42"/>
      <c r="U13" s="42"/>
      <c r="V13" s="42"/>
      <c r="W13" s="42"/>
      <c r="X13" s="42"/>
      <c r="Y13" s="42"/>
      <c r="Z13" s="42"/>
      <c r="AA13" s="42"/>
      <c r="AB13" s="42"/>
      <c r="AC13" s="42"/>
      <c r="AD13" s="43"/>
      <c r="AE13" s="43"/>
      <c r="AF13" s="43"/>
      <c r="AG13" s="43"/>
      <c r="AH13" s="12"/>
      <c r="AI13" s="12"/>
    </row>
    <row r="14" spans="1:41" ht="21" customHeight="1">
      <c r="A14" s="43"/>
      <c r="B14" s="43"/>
      <c r="C14" s="43"/>
      <c r="D14" s="43"/>
      <c r="E14" s="112" t="s">
        <v>260</v>
      </c>
      <c r="F14" s="112"/>
      <c r="G14" s="113"/>
      <c r="H14" s="538" t="s">
        <v>276</v>
      </c>
      <c r="I14" s="539"/>
      <c r="J14" s="113"/>
      <c r="K14" s="42"/>
      <c r="L14" s="42"/>
      <c r="M14" s="42"/>
      <c r="N14" s="42"/>
      <c r="O14" s="42"/>
      <c r="P14" s="42"/>
      <c r="Q14" s="42"/>
      <c r="R14" s="42"/>
      <c r="S14" s="42"/>
      <c r="T14" s="42"/>
      <c r="U14" s="42"/>
      <c r="V14" s="42"/>
      <c r="W14" s="42"/>
      <c r="X14" s="42"/>
      <c r="Y14" s="42"/>
      <c r="Z14" s="42"/>
      <c r="AA14" s="42"/>
      <c r="AB14" s="42"/>
      <c r="AC14" s="42"/>
      <c r="AD14" s="43"/>
      <c r="AE14" s="43"/>
      <c r="AF14" s="43"/>
      <c r="AG14" s="43"/>
      <c r="AH14" s="12"/>
      <c r="AI14" s="12"/>
    </row>
    <row r="15" spans="1:41" ht="21" customHeight="1">
      <c r="A15" s="43"/>
      <c r="B15" s="43"/>
      <c r="C15" s="43"/>
      <c r="D15" s="43"/>
      <c r="E15" s="111" t="s">
        <v>255</v>
      </c>
      <c r="F15" s="111"/>
      <c r="G15" s="113"/>
      <c r="H15" s="540" t="s">
        <v>277</v>
      </c>
      <c r="I15" s="541"/>
      <c r="J15" s="113"/>
      <c r="K15" s="42"/>
      <c r="L15" s="42"/>
      <c r="M15" s="42"/>
      <c r="N15" s="42"/>
      <c r="O15" s="42"/>
      <c r="P15" s="42"/>
      <c r="Q15" s="42"/>
      <c r="R15" s="42"/>
      <c r="S15" s="42"/>
      <c r="T15" s="42"/>
      <c r="U15" s="42"/>
      <c r="V15" s="42"/>
      <c r="W15" s="42"/>
      <c r="X15" s="42"/>
      <c r="Y15" s="42"/>
      <c r="Z15" s="42"/>
      <c r="AA15" s="42"/>
      <c r="AB15" s="42"/>
      <c r="AC15" s="42"/>
      <c r="AD15" s="43"/>
      <c r="AE15" s="43"/>
      <c r="AF15" s="43"/>
      <c r="AG15" s="43"/>
      <c r="AH15" s="12"/>
      <c r="AI15" s="12"/>
    </row>
    <row r="16" spans="1:41" ht="21" customHeight="1">
      <c r="A16" s="43"/>
      <c r="B16" s="43"/>
      <c r="C16" s="43"/>
      <c r="D16" s="43"/>
      <c r="E16" s="112" t="s">
        <v>261</v>
      </c>
      <c r="F16" s="112"/>
      <c r="G16" s="113"/>
      <c r="H16" s="538" t="s">
        <v>278</v>
      </c>
      <c r="I16" s="539"/>
      <c r="J16" s="113"/>
      <c r="K16" s="42"/>
      <c r="L16" s="42"/>
      <c r="M16" s="42"/>
      <c r="N16" s="42"/>
      <c r="O16" s="42"/>
      <c r="P16" s="42"/>
      <c r="Q16" s="42"/>
      <c r="R16" s="42"/>
      <c r="S16" s="42"/>
      <c r="T16" s="42"/>
      <c r="U16" s="42"/>
      <c r="V16" s="42"/>
      <c r="W16" s="42"/>
      <c r="X16" s="42"/>
      <c r="Y16" s="42"/>
      <c r="Z16" s="42"/>
      <c r="AA16" s="42"/>
      <c r="AB16" s="42"/>
      <c r="AC16" s="42"/>
      <c r="AD16" s="43"/>
      <c r="AE16" s="43"/>
      <c r="AF16" s="43"/>
      <c r="AG16" s="43"/>
      <c r="AH16" s="12"/>
      <c r="AI16" s="12"/>
    </row>
    <row r="17" spans="1:35" ht="21" customHeight="1">
      <c r="A17" s="43"/>
      <c r="B17" s="43"/>
      <c r="C17" s="43"/>
      <c r="D17" s="43"/>
      <c r="E17" s="111" t="s">
        <v>256</v>
      </c>
      <c r="F17" s="111"/>
      <c r="G17" s="113"/>
      <c r="H17" s="310" t="s">
        <v>414</v>
      </c>
      <c r="I17" s="223" t="s">
        <v>233</v>
      </c>
      <c r="J17" s="113" t="str">
        <f>IF(AND(I17=""),"0",IF(AND(I17=AO4),"0",form10E!L28))</f>
        <v>0</v>
      </c>
      <c r="K17" s="42"/>
      <c r="L17" s="42"/>
      <c r="M17" s="42"/>
      <c r="N17" s="42"/>
      <c r="O17" s="42"/>
      <c r="P17" s="42"/>
      <c r="Q17" s="42"/>
      <c r="R17" s="42"/>
      <c r="S17" s="42"/>
      <c r="T17" s="42"/>
      <c r="U17" s="42"/>
      <c r="V17" s="42"/>
      <c r="W17" s="42"/>
      <c r="X17" s="42"/>
      <c r="Y17" s="42"/>
      <c r="Z17" s="42"/>
      <c r="AA17" s="42"/>
      <c r="AB17" s="42"/>
      <c r="AC17" s="42"/>
      <c r="AD17" s="43"/>
      <c r="AE17" s="43"/>
      <c r="AF17" s="43"/>
      <c r="AG17" s="43"/>
      <c r="AH17" s="12"/>
      <c r="AI17" s="12"/>
    </row>
    <row r="18" spans="1:35" ht="21" customHeight="1">
      <c r="A18" s="43"/>
      <c r="B18" s="43"/>
      <c r="C18" s="43"/>
      <c r="D18" s="43"/>
      <c r="E18" s="112" t="s">
        <v>262</v>
      </c>
      <c r="F18" s="112"/>
      <c r="G18" s="113"/>
      <c r="H18" s="538" t="s">
        <v>279</v>
      </c>
      <c r="I18" s="539"/>
      <c r="J18" s="113"/>
      <c r="K18" s="42"/>
      <c r="L18" s="42"/>
      <c r="M18" s="42"/>
      <c r="N18" s="42"/>
      <c r="O18" s="42"/>
      <c r="P18" s="42"/>
      <c r="Q18" s="42"/>
      <c r="R18" s="42"/>
      <c r="S18" s="42"/>
      <c r="T18" s="42"/>
      <c r="U18" s="42"/>
      <c r="V18" s="42"/>
      <c r="W18" s="42"/>
      <c r="X18" s="42"/>
      <c r="Y18" s="42"/>
      <c r="Z18" s="42"/>
      <c r="AA18" s="42"/>
      <c r="AB18" s="42"/>
      <c r="AC18" s="42"/>
      <c r="AD18" s="43"/>
      <c r="AE18" s="43"/>
      <c r="AF18" s="43"/>
      <c r="AG18" s="43"/>
      <c r="AH18" s="12"/>
      <c r="AI18" s="12"/>
    </row>
    <row r="19" spans="1:35" ht="18.75">
      <c r="A19" s="43"/>
      <c r="B19" s="43"/>
      <c r="C19" s="43"/>
      <c r="D19" s="43"/>
      <c r="E19" s="111" t="s">
        <v>269</v>
      </c>
      <c r="F19" s="111"/>
      <c r="G19" s="113"/>
      <c r="H19" s="540" t="s">
        <v>280</v>
      </c>
      <c r="I19" s="541"/>
      <c r="J19" s="113"/>
      <c r="K19" s="42"/>
      <c r="L19" s="42"/>
      <c r="M19" s="42"/>
      <c r="N19" s="42"/>
      <c r="O19" s="42"/>
      <c r="P19" s="42"/>
      <c r="Q19" s="42"/>
      <c r="R19" s="42"/>
      <c r="S19" s="42"/>
      <c r="T19" s="42"/>
      <c r="U19" s="42"/>
      <c r="V19" s="42"/>
      <c r="W19" s="42"/>
      <c r="X19" s="42"/>
      <c r="Y19" s="42"/>
      <c r="Z19" s="42"/>
      <c r="AA19" s="42"/>
      <c r="AB19" s="42"/>
      <c r="AC19" s="42"/>
      <c r="AD19" s="43"/>
      <c r="AE19" s="43"/>
      <c r="AF19" s="43"/>
      <c r="AG19" s="43"/>
      <c r="AH19" s="12"/>
      <c r="AI19" s="12"/>
    </row>
    <row r="20" spans="1:35" ht="18.75">
      <c r="A20" s="43"/>
      <c r="B20" s="43"/>
      <c r="C20" s="43"/>
      <c r="D20" s="43"/>
      <c r="E20" s="112" t="s">
        <v>263</v>
      </c>
      <c r="F20" s="112"/>
      <c r="G20" s="113"/>
      <c r="H20" s="538" t="s">
        <v>281</v>
      </c>
      <c r="I20" s="539"/>
      <c r="J20" s="229"/>
      <c r="K20" s="42"/>
      <c r="L20" s="42"/>
      <c r="M20" s="42"/>
      <c r="N20" s="42"/>
      <c r="O20" s="42"/>
      <c r="P20" s="42"/>
      <c r="Q20" s="42"/>
      <c r="R20" s="42"/>
      <c r="S20" s="42"/>
      <c r="T20" s="42"/>
      <c r="U20" s="42"/>
      <c r="V20" s="42"/>
      <c r="W20" s="42"/>
      <c r="X20" s="42"/>
      <c r="Y20" s="42"/>
      <c r="Z20" s="42"/>
      <c r="AA20" s="42"/>
      <c r="AB20" s="42"/>
      <c r="AC20" s="42"/>
      <c r="AD20" s="43"/>
      <c r="AE20" s="43"/>
      <c r="AF20" s="43"/>
      <c r="AG20" s="43"/>
      <c r="AH20" s="12"/>
      <c r="AI20" s="12"/>
    </row>
    <row r="21" spans="1:35" ht="36" customHeight="1">
      <c r="A21" s="42"/>
      <c r="B21" s="42"/>
      <c r="C21" s="42"/>
      <c r="D21" s="42"/>
      <c r="E21" s="328" t="s">
        <v>425</v>
      </c>
      <c r="F21" s="328"/>
      <c r="G21" s="113"/>
      <c r="H21" s="536" t="s">
        <v>426</v>
      </c>
      <c r="I21" s="537"/>
      <c r="J21" s="319"/>
      <c r="K21" s="42"/>
      <c r="L21" s="42"/>
      <c r="M21" s="42"/>
      <c r="N21" s="42"/>
      <c r="O21" s="42"/>
      <c r="P21" s="42"/>
      <c r="Q21" s="42"/>
      <c r="R21" s="42"/>
      <c r="S21" s="42"/>
      <c r="T21" s="42"/>
      <c r="U21" s="42"/>
      <c r="V21" s="42"/>
      <c r="W21" s="42"/>
      <c r="X21" s="42"/>
      <c r="Y21" s="42"/>
      <c r="Z21" s="42"/>
      <c r="AA21" s="42"/>
      <c r="AB21" s="42"/>
      <c r="AC21" s="42"/>
      <c r="AD21" s="42"/>
      <c r="AE21" s="42"/>
      <c r="AF21" s="42"/>
      <c r="AG21" s="42"/>
      <c r="AH21" s="7"/>
      <c r="AI21" s="7"/>
    </row>
    <row r="22" spans="1:35" s="123" customFormat="1">
      <c r="A22" s="42"/>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7"/>
      <c r="AI22" s="7"/>
    </row>
    <row r="23" spans="1:35" ht="24" customHeight="1">
      <c r="A23" s="42"/>
      <c r="B23" s="42"/>
      <c r="C23" s="42"/>
      <c r="D23" s="42"/>
      <c r="E23" s="42"/>
      <c r="F23" s="42"/>
      <c r="G23" s="190" t="s">
        <v>340</v>
      </c>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7"/>
      <c r="AI23" s="7"/>
    </row>
    <row r="24" spans="1:35" ht="19.5" customHeight="1" thickBot="1">
      <c r="A24" s="188"/>
      <c r="B24" s="188"/>
      <c r="C24" s="188"/>
      <c r="D24" s="188"/>
      <c r="E24" s="188"/>
      <c r="F24" s="188"/>
      <c r="G24" s="188"/>
      <c r="H24" s="188"/>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7"/>
      <c r="AI24" s="7"/>
    </row>
    <row r="25" spans="1:35" ht="34.5" customHeight="1">
      <c r="A25" s="550" t="s">
        <v>305</v>
      </c>
      <c r="B25" s="551"/>
      <c r="C25" s="551"/>
      <c r="D25" s="551"/>
      <c r="E25" s="551"/>
      <c r="F25" s="551"/>
      <c r="G25" s="551"/>
      <c r="H25" s="552"/>
      <c r="I25" s="311"/>
      <c r="J25" s="96"/>
      <c r="K25" s="96"/>
      <c r="L25" s="42"/>
      <c r="M25" s="42"/>
      <c r="N25" s="42"/>
      <c r="O25" s="42"/>
      <c r="P25" s="42"/>
      <c r="Q25" s="42"/>
      <c r="R25" s="42"/>
      <c r="S25" s="42"/>
      <c r="T25" s="42"/>
      <c r="U25" s="42"/>
      <c r="V25" s="42"/>
      <c r="W25" s="42"/>
      <c r="X25" s="42"/>
      <c r="Y25" s="42"/>
      <c r="Z25" s="42"/>
      <c r="AA25" s="42"/>
      <c r="AB25" s="42"/>
      <c r="AC25" s="42"/>
      <c r="AD25" s="42"/>
      <c r="AE25" s="42"/>
      <c r="AF25" s="42"/>
      <c r="AG25" s="42"/>
      <c r="AH25" s="7"/>
      <c r="AI25" s="7"/>
    </row>
    <row r="26" spans="1:35" ht="21" customHeight="1">
      <c r="A26" s="179" t="s">
        <v>292</v>
      </c>
      <c r="B26" s="97" t="s">
        <v>293</v>
      </c>
      <c r="C26" s="98" t="s">
        <v>294</v>
      </c>
      <c r="D26" s="98" t="s">
        <v>3</v>
      </c>
      <c r="E26" s="99" t="s">
        <v>304</v>
      </c>
      <c r="F26" s="99"/>
      <c r="G26" s="100"/>
      <c r="H26" s="180"/>
      <c r="I26" s="100"/>
      <c r="J26" s="100"/>
      <c r="K26" s="98"/>
      <c r="L26" s="42"/>
      <c r="M26" s="42"/>
      <c r="N26" s="42"/>
      <c r="O26" s="42"/>
      <c r="P26" s="42"/>
      <c r="Q26" s="42"/>
      <c r="R26" s="42"/>
      <c r="S26" s="42"/>
      <c r="T26" s="42"/>
      <c r="U26" s="42"/>
      <c r="V26" s="42"/>
      <c r="W26" s="42"/>
      <c r="X26" s="42"/>
      <c r="Y26" s="42"/>
      <c r="Z26" s="42"/>
      <c r="AA26" s="42"/>
      <c r="AB26" s="42"/>
      <c r="AC26" s="42"/>
      <c r="AD26" s="42"/>
      <c r="AE26" s="42"/>
      <c r="AF26" s="42"/>
      <c r="AG26" s="42"/>
      <c r="AH26" s="7"/>
      <c r="AI26" s="7"/>
    </row>
    <row r="27" spans="1:35" ht="21" customHeight="1">
      <c r="A27" s="181" t="s">
        <v>503</v>
      </c>
      <c r="B27" s="119" t="s">
        <v>295</v>
      </c>
      <c r="C27" s="98">
        <f>IF(B27="Y",'GA55 Only Print'!C6+IF(AND('GA55 Entry'!D7='GA55 Entry'!H$3),ROUND(142%*'GA55 Entry'!D7,0),ROUND(7%*'GA55 Entry'!D7,0)))</f>
        <v>51253</v>
      </c>
      <c r="D27" s="98">
        <f>IF(B27="Y",'GA55 Only Print'!E6,"0")</f>
        <v>3832</v>
      </c>
      <c r="E27" s="100"/>
      <c r="F27" s="100"/>
      <c r="G27" s="100"/>
      <c r="H27" s="180"/>
      <c r="I27" s="100"/>
      <c r="J27" s="100"/>
      <c r="K27" s="98"/>
      <c r="L27" s="42"/>
      <c r="M27" s="42"/>
      <c r="N27" s="42"/>
      <c r="O27" s="42"/>
      <c r="P27" s="42"/>
      <c r="Q27" s="42"/>
      <c r="R27" s="42"/>
      <c r="S27" s="42"/>
      <c r="T27" s="42"/>
      <c r="U27" s="42"/>
      <c r="V27" s="42"/>
      <c r="W27" s="42"/>
      <c r="X27" s="42"/>
      <c r="Y27" s="42"/>
      <c r="Z27" s="42"/>
      <c r="AA27" s="42"/>
      <c r="AB27" s="42"/>
      <c r="AC27" s="42"/>
      <c r="AD27" s="42"/>
      <c r="AE27" s="42"/>
      <c r="AF27" s="42"/>
      <c r="AG27" s="42"/>
      <c r="AH27" s="7"/>
      <c r="AI27" s="7"/>
    </row>
    <row r="28" spans="1:35" ht="21" customHeight="1">
      <c r="A28" s="181" t="s">
        <v>504</v>
      </c>
      <c r="B28" s="119" t="s">
        <v>295</v>
      </c>
      <c r="C28" s="98">
        <f>IF(B28="Y",'GA55 Only Print'!C7+IF(AND('GA55 Entry'!D8='GA55 Entry'!H$3),ROUND(142%*'GA55 Entry'!D8,0),ROUND(7%*'GA55 Entry'!D8,0)))</f>
        <v>51253</v>
      </c>
      <c r="D28" s="98">
        <f>IF(B28="Y",'GA55 Only Print'!E7,"0")</f>
        <v>3832</v>
      </c>
      <c r="E28" s="555" t="s">
        <v>296</v>
      </c>
      <c r="F28" s="555"/>
      <c r="G28" s="555"/>
      <c r="H28" s="182"/>
      <c r="I28" s="101"/>
      <c r="J28" s="101"/>
      <c r="K28" s="98"/>
      <c r="L28" s="42"/>
      <c r="M28" s="42"/>
      <c r="N28" s="42"/>
      <c r="O28" s="42"/>
      <c r="P28" s="42"/>
      <c r="Q28" s="42"/>
      <c r="R28" s="42"/>
      <c r="S28" s="42"/>
      <c r="T28" s="42"/>
      <c r="U28" s="42"/>
      <c r="V28" s="42"/>
      <c r="W28" s="42"/>
      <c r="X28" s="42"/>
      <c r="Y28" s="42"/>
      <c r="Z28" s="42"/>
      <c r="AA28" s="42"/>
      <c r="AB28" s="42"/>
      <c r="AC28" s="42"/>
      <c r="AD28" s="42"/>
      <c r="AE28" s="42"/>
      <c r="AF28" s="42"/>
      <c r="AG28" s="42"/>
      <c r="AH28" s="7"/>
      <c r="AI28" s="7"/>
    </row>
    <row r="29" spans="1:35" ht="21" customHeight="1">
      <c r="A29" s="181" t="s">
        <v>505</v>
      </c>
      <c r="B29" s="119" t="s">
        <v>295</v>
      </c>
      <c r="C29" s="98">
        <f>IF(B29="Y",'GA55 Only Print'!C8+IF(AND('GA55 Entry'!D9='GA55 Entry'!H$3),ROUND(142%*'GA55 Entry'!D9,0),ROUND(7%*'GA55 Entry'!D9,0)))</f>
        <v>51253</v>
      </c>
      <c r="D29" s="98">
        <f>IF(B29="Y",'GA55 Only Print'!E8,"0")</f>
        <v>3832</v>
      </c>
      <c r="E29" s="101"/>
      <c r="F29" s="101"/>
      <c r="G29" s="101"/>
      <c r="H29" s="191" t="s">
        <v>341</v>
      </c>
      <c r="I29" s="312"/>
      <c r="J29" s="101"/>
      <c r="K29" s="98"/>
      <c r="L29" s="42"/>
      <c r="M29" s="42"/>
      <c r="N29" s="42"/>
      <c r="O29" s="42"/>
      <c r="P29" s="42"/>
      <c r="Q29" s="42"/>
      <c r="R29" s="42"/>
      <c r="S29" s="42"/>
      <c r="T29" s="42"/>
      <c r="U29" s="42"/>
      <c r="V29" s="42"/>
      <c r="W29" s="42"/>
      <c r="X29" s="42"/>
      <c r="Y29" s="42"/>
      <c r="Z29" s="42"/>
      <c r="AA29" s="42"/>
      <c r="AB29" s="42"/>
      <c r="AC29" s="42"/>
      <c r="AD29" s="42"/>
      <c r="AE29" s="42"/>
      <c r="AF29" s="42"/>
      <c r="AG29" s="42"/>
      <c r="AH29" s="7"/>
      <c r="AI29" s="7"/>
    </row>
    <row r="30" spans="1:35" ht="21" customHeight="1">
      <c r="A30" s="181" t="s">
        <v>506</v>
      </c>
      <c r="B30" s="119" t="s">
        <v>295</v>
      </c>
      <c r="C30" s="98">
        <f>IF(B30="Y",'GA55 Only Print'!C9+IF(AND('GA55 Entry'!D10='GA55 Entry'!H$3),ROUND(142%*'GA55 Entry'!D10,0),ROUND(7%*'GA55 Entry'!D10,0)))</f>
        <v>51253</v>
      </c>
      <c r="D30" s="98">
        <f>IF(B30="Y",'GA55 Only Print'!E9,"0")</f>
        <v>3832</v>
      </c>
      <c r="E30" s="98"/>
      <c r="F30" s="98"/>
      <c r="G30" s="98"/>
      <c r="H30" s="544" t="s">
        <v>357</v>
      </c>
      <c r="I30" s="178"/>
      <c r="J30" s="178"/>
      <c r="K30" s="178"/>
      <c r="L30" s="178"/>
      <c r="M30" s="178"/>
      <c r="N30" s="178"/>
      <c r="O30" s="42"/>
      <c r="P30" s="42"/>
      <c r="Q30" s="42"/>
      <c r="R30" s="42"/>
      <c r="S30" s="42"/>
      <c r="T30" s="42"/>
      <c r="U30" s="42"/>
      <c r="V30" s="42"/>
      <c r="W30" s="42"/>
      <c r="X30" s="42"/>
      <c r="Y30" s="42"/>
      <c r="Z30" s="42"/>
      <c r="AA30" s="42"/>
      <c r="AB30" s="42"/>
      <c r="AC30" s="42"/>
      <c r="AD30" s="42"/>
      <c r="AE30" s="42"/>
      <c r="AF30" s="42"/>
      <c r="AG30" s="42"/>
      <c r="AH30" s="7"/>
      <c r="AI30" s="7"/>
    </row>
    <row r="31" spans="1:35" ht="21" customHeight="1">
      <c r="A31" s="181" t="s">
        <v>507</v>
      </c>
      <c r="B31" s="119" t="s">
        <v>295</v>
      </c>
      <c r="C31" s="98">
        <f>IF(B31="Y",'GA55 Only Print'!C10+IF(AND('GA55 Entry'!D11='GA55 Entry'!I$1),ROUND(142%*'GA55 Entry'!D11,0),ROUND(7%*'GA55 Entry'!D11,0)))</f>
        <v>52751</v>
      </c>
      <c r="D31" s="98">
        <f>IF(B31="Y",'GA55 Only Print'!E10,"0")</f>
        <v>3944</v>
      </c>
      <c r="E31" s="547" t="s">
        <v>298</v>
      </c>
      <c r="F31" s="547"/>
      <c r="G31" s="95">
        <f>G37</f>
        <v>9386</v>
      </c>
      <c r="H31" s="544"/>
      <c r="I31" s="178"/>
      <c r="J31" s="178"/>
      <c r="K31" s="178"/>
      <c r="L31" s="178"/>
      <c r="M31" s="178"/>
      <c r="N31" s="178"/>
      <c r="O31" s="42"/>
      <c r="P31" s="42"/>
      <c r="Q31" s="42"/>
      <c r="R31" s="42"/>
      <c r="S31" s="42"/>
      <c r="T31" s="42"/>
      <c r="U31" s="42"/>
      <c r="V31" s="42"/>
      <c r="W31" s="42"/>
      <c r="X31" s="42"/>
      <c r="Y31" s="42"/>
      <c r="Z31" s="42"/>
      <c r="AA31" s="42"/>
      <c r="AB31" s="42"/>
      <c r="AC31" s="42"/>
      <c r="AD31" s="42"/>
      <c r="AE31" s="42"/>
      <c r="AF31" s="42"/>
      <c r="AG31" s="42"/>
      <c r="AH31" s="7"/>
      <c r="AI31" s="7"/>
    </row>
    <row r="32" spans="1:35" ht="21" customHeight="1">
      <c r="A32" s="181" t="s">
        <v>508</v>
      </c>
      <c r="B32" s="119" t="s">
        <v>295</v>
      </c>
      <c r="C32" s="98">
        <f>IF(B32="Y",'GA55 Only Print'!C11+IF(AND('GA55 Entry'!D12='GA55 Entry'!I$1),ROUND(142%*'GA55 Entry'!D12,0),ROUND(7%*'GA55 Entry'!D12,0)))</f>
        <v>52751</v>
      </c>
      <c r="D32" s="98">
        <f>IF(B32="Y",'GA55 Only Print'!E11,"0")</f>
        <v>3944</v>
      </c>
      <c r="E32" s="548" t="s">
        <v>462</v>
      </c>
      <c r="F32" s="548"/>
      <c r="G32" s="193">
        <f>IF((G31*12)&gt;C39*10%, MIN(ROUND(G31*12-(C39)*10%,0),G35),0)</f>
        <v>46880</v>
      </c>
      <c r="H32" s="545" t="s">
        <v>463</v>
      </c>
      <c r="I32" s="313"/>
      <c r="J32" s="94"/>
      <c r="K32" s="98"/>
      <c r="L32" s="42"/>
      <c r="M32" s="42"/>
      <c r="N32" s="42"/>
      <c r="O32" s="42"/>
      <c r="P32" s="42"/>
      <c r="Q32" s="42"/>
      <c r="R32" s="42"/>
      <c r="S32" s="42"/>
      <c r="T32" s="42"/>
      <c r="U32" s="42"/>
      <c r="V32" s="42"/>
      <c r="W32" s="42"/>
      <c r="X32" s="42"/>
      <c r="Y32" s="42"/>
      <c r="Z32" s="42"/>
      <c r="AA32" s="42"/>
      <c r="AB32" s="42"/>
      <c r="AC32" s="42"/>
      <c r="AD32" s="42"/>
      <c r="AE32" s="42"/>
      <c r="AF32" s="42"/>
      <c r="AG32" s="42"/>
      <c r="AH32" s="7"/>
      <c r="AI32" s="7"/>
    </row>
    <row r="33" spans="1:35" ht="21" customHeight="1">
      <c r="A33" s="181" t="s">
        <v>509</v>
      </c>
      <c r="B33" s="119" t="s">
        <v>295</v>
      </c>
      <c r="C33" s="98">
        <f>IF(B33="Y",'GA55 Only Print'!C12+IF(AND('GA55 Entry'!D13='GA55 Entry'!I$1),ROUND(142%*'GA55 Entry'!D13,0),ROUND(7%*'GA55 Entry'!D13,0)))</f>
        <v>52751</v>
      </c>
      <c r="D33" s="98">
        <f>IF(B33="Y",'GA55 Only Print'!E12,"0")</f>
        <v>3944</v>
      </c>
      <c r="E33" s="102"/>
      <c r="F33" s="102"/>
      <c r="G33" s="98"/>
      <c r="H33" s="545"/>
      <c r="I33" s="313"/>
      <c r="J33" s="98"/>
      <c r="K33" s="98"/>
      <c r="L33" s="42"/>
      <c r="M33" s="42"/>
      <c r="N33" s="42"/>
      <c r="O33" s="42"/>
      <c r="P33" s="42"/>
      <c r="Q33" s="42"/>
      <c r="R33" s="42"/>
      <c r="S33" s="42"/>
      <c r="T33" s="42"/>
      <c r="U33" s="42"/>
      <c r="V33" s="42"/>
      <c r="W33" s="42"/>
      <c r="X33" s="42"/>
      <c r="Y33" s="42"/>
      <c r="Z33" s="42"/>
      <c r="AA33" s="42"/>
      <c r="AB33" s="42"/>
      <c r="AC33" s="42"/>
      <c r="AD33" s="42"/>
      <c r="AE33" s="42"/>
      <c r="AF33" s="42"/>
      <c r="AG33" s="42"/>
      <c r="AH33" s="7"/>
      <c r="AI33" s="7"/>
    </row>
    <row r="34" spans="1:35" ht="21" customHeight="1">
      <c r="A34" s="181" t="s">
        <v>510</v>
      </c>
      <c r="B34" s="119" t="s">
        <v>295</v>
      </c>
      <c r="C34" s="98">
        <f>IF(B34="Y",'GA55 Only Print'!C13+IF(AND('GA55 Entry'!D14='GA55 Entry'!I$1),ROUND(142%*'GA55 Entry'!D14,0),ROUND(7%*'GA55 Entry'!D14,0)))</f>
        <v>52751</v>
      </c>
      <c r="D34" s="98">
        <f>IF(B34="Y",'GA55 Only Print'!E13,"0")</f>
        <v>3944</v>
      </c>
      <c r="E34" s="102"/>
      <c r="F34" s="102"/>
      <c r="G34" s="98"/>
      <c r="H34" s="183"/>
      <c r="I34" s="98"/>
      <c r="J34" s="98"/>
      <c r="K34" s="98"/>
      <c r="L34" s="42"/>
      <c r="M34" s="42"/>
      <c r="N34" s="42"/>
      <c r="O34" s="42"/>
      <c r="P34" s="42"/>
      <c r="Q34" s="42"/>
      <c r="R34" s="42"/>
      <c r="S34" s="42"/>
      <c r="T34" s="42"/>
      <c r="U34" s="42"/>
      <c r="V34" s="42"/>
      <c r="W34" s="42"/>
      <c r="X34" s="42"/>
      <c r="Y34" s="42"/>
      <c r="Z34" s="42"/>
      <c r="AA34" s="42"/>
      <c r="AB34" s="42"/>
      <c r="AC34" s="42"/>
      <c r="AD34" s="42"/>
      <c r="AE34" s="42"/>
      <c r="AF34" s="42"/>
      <c r="AG34" s="42"/>
      <c r="AH34" s="7"/>
      <c r="AI34" s="7"/>
    </row>
    <row r="35" spans="1:35" ht="39" customHeight="1">
      <c r="A35" s="181" t="s">
        <v>511</v>
      </c>
      <c r="B35" s="119" t="s">
        <v>295</v>
      </c>
      <c r="C35" s="98">
        <f>IF(B35="Y",'GA55 Only Print'!C14+IF(AND('GA55 Entry'!D15='GA55 Entry'!I$1),ROUND(142%*'GA55 Entry'!D15,0),ROUND(7%*'GA55 Entry'!D15,0)))</f>
        <v>52751</v>
      </c>
      <c r="D35" s="98">
        <f>IF(B35="Y",'GA55 Only Print'!E14,"0")</f>
        <v>3944</v>
      </c>
      <c r="E35" s="549" t="s">
        <v>299</v>
      </c>
      <c r="F35" s="549"/>
      <c r="G35" s="103">
        <f>D39</f>
        <v>46880</v>
      </c>
      <c r="H35" s="317" t="s">
        <v>356</v>
      </c>
      <c r="I35" s="314"/>
      <c r="J35" s="104"/>
      <c r="K35" s="98"/>
      <c r="L35" s="42"/>
      <c r="M35" s="42"/>
      <c r="N35" s="42"/>
      <c r="O35" s="42"/>
      <c r="P35" s="42"/>
      <c r="Q35" s="42"/>
      <c r="R35" s="42"/>
      <c r="S35" s="42"/>
      <c r="T35" s="42"/>
      <c r="U35" s="42"/>
      <c r="V35" s="42"/>
      <c r="W35" s="42"/>
      <c r="X35" s="42"/>
      <c r="Y35" s="42"/>
      <c r="Z35" s="42"/>
      <c r="AA35" s="42"/>
      <c r="AB35" s="42"/>
      <c r="AC35" s="42"/>
      <c r="AD35" s="42"/>
      <c r="AE35" s="42"/>
      <c r="AF35" s="42"/>
      <c r="AG35" s="42"/>
      <c r="AH35" s="7"/>
      <c r="AI35" s="7"/>
    </row>
    <row r="36" spans="1:35" ht="21" customHeight="1">
      <c r="A36" s="181" t="s">
        <v>512</v>
      </c>
      <c r="B36" s="119" t="s">
        <v>295</v>
      </c>
      <c r="C36" s="98">
        <f>IF(B36="Y",'GA55 Only Print'!C15+IF(AND('GA55 Entry'!D16='GA55 Entry'!I$1),ROUND(142%*'GA55 Entry'!D16,0),ROUND(7%*'GA55 Entry'!D16,0)))</f>
        <v>52751</v>
      </c>
      <c r="D36" s="98">
        <f>IF(B36="Y",'GA55 Only Print'!E15,"0")</f>
        <v>3944</v>
      </c>
      <c r="E36" s="542" t="s">
        <v>300</v>
      </c>
      <c r="F36" s="542"/>
      <c r="G36" s="105">
        <f>ROUND(((10%*C39)+D39),0)</f>
        <v>112630</v>
      </c>
      <c r="H36" s="192" t="s">
        <v>349</v>
      </c>
      <c r="I36" s="315"/>
      <c r="J36" s="106"/>
      <c r="K36" s="98"/>
      <c r="L36" s="42"/>
      <c r="M36" s="42"/>
      <c r="N36" s="42"/>
      <c r="O36" s="42"/>
      <c r="P36" s="42"/>
      <c r="Q36" s="42"/>
      <c r="R36" s="42"/>
      <c r="S36" s="42"/>
      <c r="T36" s="42"/>
      <c r="U36" s="42"/>
      <c r="V36" s="42"/>
      <c r="W36" s="42"/>
      <c r="X36" s="42"/>
      <c r="Y36" s="42"/>
      <c r="Z36" s="42"/>
      <c r="AA36" s="42"/>
      <c r="AB36" s="42"/>
      <c r="AC36" s="42"/>
      <c r="AD36" s="42"/>
      <c r="AE36" s="42"/>
      <c r="AF36" s="42"/>
      <c r="AG36" s="42"/>
      <c r="AH36" s="7"/>
      <c r="AI36" s="7"/>
    </row>
    <row r="37" spans="1:35" ht="21" customHeight="1">
      <c r="A37" s="181" t="s">
        <v>513</v>
      </c>
      <c r="B37" s="119" t="s">
        <v>295</v>
      </c>
      <c r="C37" s="98">
        <f>IF(B37="Y",'GA55 Only Print'!C16+IF(AND('GA55 Entry'!D17='GA55 Entry'!I$1),ROUND(142%*'GA55 Entry'!D17,0),ROUND(7%*'GA55 Entry'!D17,0)))</f>
        <v>52751</v>
      </c>
      <c r="D37" s="98">
        <f>IF(B37="Y",'GA55 Only Print'!E16,"0")</f>
        <v>3944</v>
      </c>
      <c r="E37" s="543" t="s">
        <v>301</v>
      </c>
      <c r="F37" s="543"/>
      <c r="G37" s="107">
        <f>ROUND(G36/B39, 0)</f>
        <v>9386</v>
      </c>
      <c r="H37" s="546" t="s">
        <v>342</v>
      </c>
      <c r="I37" s="316"/>
      <c r="J37" s="98"/>
      <c r="K37" s="98"/>
      <c r="L37" s="42"/>
      <c r="M37" s="42"/>
      <c r="N37" s="42"/>
      <c r="O37" s="42"/>
      <c r="P37" s="42"/>
      <c r="Q37" s="42"/>
      <c r="R37" s="42"/>
      <c r="S37" s="42"/>
      <c r="T37" s="42"/>
      <c r="U37" s="42"/>
      <c r="V37" s="42"/>
      <c r="W37" s="42"/>
      <c r="X37" s="42"/>
      <c r="Y37" s="42"/>
      <c r="Z37" s="42"/>
      <c r="AA37" s="42"/>
      <c r="AB37" s="42"/>
      <c r="AC37" s="42"/>
      <c r="AD37" s="42"/>
      <c r="AE37" s="42"/>
      <c r="AF37" s="42"/>
      <c r="AG37" s="42"/>
      <c r="AH37" s="7"/>
      <c r="AI37" s="7"/>
    </row>
    <row r="38" spans="1:35" ht="21" customHeight="1">
      <c r="A38" s="181" t="s">
        <v>297</v>
      </c>
      <c r="B38" s="119" t="s">
        <v>295</v>
      </c>
      <c r="C38" s="98">
        <f>IF(B38="Y",'GA55 Only Print'!C17+IF(AND('GA55 Entry'!D18='GA55 Entry'!I$1),ROUND(142%*'GA55 Entry'!D18,0),ROUND(7%*'GA55 Entry'!D18,0)))</f>
        <v>52751</v>
      </c>
      <c r="D38" s="98">
        <f>IF(B38="Y",'GA55 Only Print'!E17,"0")</f>
        <v>3944</v>
      </c>
      <c r="E38" s="114"/>
      <c r="F38" s="114"/>
      <c r="G38" s="114"/>
      <c r="H38" s="546"/>
      <c r="I38" s="316"/>
      <c r="J38" s="114"/>
      <c r="K38" s="114"/>
      <c r="L38" s="42"/>
      <c r="M38" s="42"/>
      <c r="N38" s="42"/>
      <c r="O38" s="42"/>
      <c r="P38" s="42"/>
      <c r="Q38" s="42"/>
      <c r="R38" s="42"/>
      <c r="S38" s="42"/>
      <c r="T38" s="42"/>
      <c r="U38" s="42"/>
      <c r="V38" s="42"/>
      <c r="W38" s="42"/>
      <c r="X38" s="42"/>
      <c r="Y38" s="42"/>
      <c r="Z38" s="42"/>
      <c r="AA38" s="42"/>
      <c r="AB38" s="42"/>
      <c r="AC38" s="42"/>
      <c r="AD38" s="42"/>
      <c r="AE38" s="42"/>
      <c r="AF38" s="42"/>
      <c r="AG38" s="42"/>
      <c r="AH38" s="7"/>
      <c r="AI38" s="7"/>
    </row>
    <row r="39" spans="1:35" ht="22.5" customHeight="1" thickBot="1">
      <c r="A39" s="184" t="s">
        <v>302</v>
      </c>
      <c r="B39" s="185">
        <f>COUNTIF(B27:B38, "Y")</f>
        <v>12</v>
      </c>
      <c r="C39" s="270">
        <f>ROUND((SUM(C27:C38)),0)+C40</f>
        <v>657502</v>
      </c>
      <c r="D39" s="270">
        <f>ROUND((SUM(D27:D38)),0)+D40</f>
        <v>46880</v>
      </c>
      <c r="E39" s="194" t="s">
        <v>343</v>
      </c>
      <c r="F39" s="194"/>
      <c r="G39" s="186"/>
      <c r="H39" s="187"/>
      <c r="I39" s="98"/>
      <c r="J39" s="98"/>
      <c r="K39" s="98"/>
      <c r="L39" s="42"/>
      <c r="M39" s="42"/>
      <c r="N39" s="42"/>
      <c r="O39" s="42"/>
      <c r="P39" s="42"/>
      <c r="Q39" s="42"/>
      <c r="R39" s="42"/>
      <c r="S39" s="42"/>
      <c r="T39" s="42"/>
      <c r="U39" s="42"/>
      <c r="V39" s="42"/>
      <c r="W39" s="42"/>
      <c r="X39" s="42"/>
      <c r="Y39" s="42"/>
      <c r="Z39" s="42"/>
      <c r="AA39" s="42"/>
      <c r="AB39" s="42"/>
      <c r="AC39" s="42"/>
      <c r="AD39" s="42"/>
      <c r="AE39" s="42"/>
      <c r="AF39" s="42"/>
      <c r="AG39" s="42"/>
      <c r="AH39" s="7"/>
      <c r="AI39" s="7"/>
    </row>
    <row r="40" spans="1:35">
      <c r="A40" s="189"/>
      <c r="B40" s="189"/>
      <c r="C40" s="269">
        <f>SUM('GA55 Entry'!D20:D27)+SUM('GA55 Entry'!E20:E27)</f>
        <v>30482</v>
      </c>
      <c r="D40" s="269">
        <f>SUM('GA55 Entry'!F23:F27)</f>
        <v>0</v>
      </c>
      <c r="E40" s="189"/>
      <c r="F40" s="189"/>
      <c r="G40" s="189"/>
      <c r="H40" s="189"/>
      <c r="I40" s="108"/>
      <c r="J40" s="108"/>
      <c r="K40" s="108"/>
      <c r="L40" s="42"/>
      <c r="M40" s="42"/>
      <c r="N40" s="42"/>
      <c r="O40" s="42"/>
      <c r="P40" s="42"/>
      <c r="Q40" s="42"/>
      <c r="R40" s="42"/>
      <c r="S40" s="42"/>
      <c r="T40" s="42"/>
      <c r="U40" s="42"/>
      <c r="V40" s="42"/>
      <c r="W40" s="42"/>
      <c r="X40" s="42"/>
      <c r="Y40" s="42"/>
      <c r="Z40" s="42"/>
      <c r="AA40" s="42"/>
      <c r="AB40" s="42"/>
      <c r="AC40" s="42"/>
      <c r="AD40" s="42"/>
      <c r="AE40" s="42"/>
      <c r="AF40" s="42"/>
      <c r="AG40" s="42"/>
      <c r="AH40" s="7"/>
      <c r="AI40" s="7"/>
    </row>
    <row r="41" spans="1:35" ht="18.75">
      <c r="A41" s="108"/>
      <c r="B41" s="108"/>
      <c r="C41" s="108"/>
      <c r="D41" s="108"/>
      <c r="E41" s="109" t="s">
        <v>303</v>
      </c>
      <c r="F41" s="109"/>
      <c r="G41" s="110">
        <f>IF((G31*12)&gt;('GA55 Only Print'!C27+'GA55 Only Print'!D27)*10%, MIN(ROUND(G31*12-('GA55 Only Print'!C27+'GA55 Only Print'!D27)*10%,0),G35),0)</f>
        <v>43952</v>
      </c>
      <c r="H41" s="108"/>
      <c r="I41" s="108"/>
      <c r="J41" s="108"/>
      <c r="K41" s="108"/>
      <c r="L41" s="42"/>
      <c r="M41" s="42"/>
      <c r="N41" s="42"/>
      <c r="O41" s="42"/>
      <c r="P41" s="42"/>
      <c r="Q41" s="42"/>
      <c r="R41" s="42"/>
      <c r="S41" s="42"/>
      <c r="T41" s="42"/>
      <c r="U41" s="42"/>
      <c r="V41" s="42"/>
      <c r="W41" s="42"/>
      <c r="X41" s="42"/>
      <c r="Y41" s="42"/>
      <c r="Z41" s="42"/>
      <c r="AA41" s="42"/>
      <c r="AB41" s="42"/>
      <c r="AC41" s="42"/>
      <c r="AD41" s="42"/>
      <c r="AE41" s="42"/>
      <c r="AF41" s="42"/>
      <c r="AG41" s="42"/>
      <c r="AH41" s="7"/>
      <c r="AI41" s="7"/>
    </row>
    <row r="42" spans="1:35">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7"/>
      <c r="AI42" s="7"/>
    </row>
    <row r="43" spans="1:35">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7"/>
      <c r="AI43" s="7"/>
    </row>
    <row r="44" spans="1:35">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7"/>
      <c r="AI44" s="7"/>
    </row>
    <row r="45" spans="1:35">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7"/>
      <c r="AI45" s="7"/>
    </row>
    <row r="46" spans="1:35" hidden="1">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7"/>
      <c r="AI46" s="7"/>
    </row>
    <row r="47" spans="1:35" hidden="1">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7"/>
      <c r="AI47" s="7"/>
    </row>
    <row r="48" spans="1:35" hidden="1">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7"/>
      <c r="AI48" s="7"/>
    </row>
    <row r="49" spans="1:35" hidden="1">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7"/>
      <c r="AI49" s="7"/>
    </row>
    <row r="50" spans="1:35" hidden="1">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7"/>
      <c r="AI50" s="7"/>
    </row>
    <row r="51" spans="1:35" hidden="1">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7"/>
      <c r="AI51" s="7"/>
    </row>
    <row r="52" spans="1:35" hidden="1">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7"/>
      <c r="AI52" s="7"/>
    </row>
    <row r="53" spans="1:35" hidden="1">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7"/>
      <c r="AI53" s="7"/>
    </row>
    <row r="54" spans="1:35" hidden="1">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7"/>
      <c r="AI54" s="7"/>
    </row>
    <row r="55" spans="1:35" hidden="1">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7"/>
      <c r="AI55" s="7"/>
    </row>
    <row r="56" spans="1:35" hidden="1">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7"/>
      <c r="AI56" s="7"/>
    </row>
    <row r="57" spans="1:35" hidden="1">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7"/>
      <c r="AI57" s="7"/>
    </row>
    <row r="58" spans="1:35" hidden="1">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7"/>
      <c r="AI58" s="7"/>
    </row>
    <row r="59" spans="1:35" hidden="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7"/>
      <c r="AI59" s="7"/>
    </row>
    <row r="60" spans="1:35" hidden="1">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7"/>
      <c r="AI60" s="7"/>
    </row>
    <row r="61" spans="1:35" hidden="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7"/>
      <c r="AI61" s="7"/>
    </row>
    <row r="62" spans="1:35" hidden="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7"/>
      <c r="AI62" s="7"/>
    </row>
    <row r="63" spans="1:35" hidden="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7"/>
      <c r="AI63" s="7"/>
    </row>
    <row r="64" spans="1:35" hidden="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7"/>
      <c r="AI64" s="7"/>
    </row>
    <row r="65" spans="1:35" hidden="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7"/>
      <c r="AI65" s="7"/>
    </row>
    <row r="66" spans="1:35" hidden="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7"/>
      <c r="AI66" s="7"/>
    </row>
    <row r="67" spans="1:35" hidden="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7"/>
      <c r="AI67" s="7"/>
    </row>
    <row r="68" spans="1:35" hidden="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7"/>
      <c r="AI68" s="7"/>
    </row>
    <row r="69" spans="1:35" hidden="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7"/>
      <c r="AI69" s="7"/>
    </row>
    <row r="70" spans="1:35" hidden="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7"/>
      <c r="AI70" s="7"/>
    </row>
    <row r="71" spans="1:35" hidden="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7"/>
      <c r="AI71" s="7"/>
    </row>
    <row r="72" spans="1:35" hidden="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7"/>
      <c r="AI72" s="7"/>
    </row>
    <row r="73" spans="1:35" hidden="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7"/>
      <c r="AI73" s="7"/>
    </row>
    <row r="74" spans="1:35" hidden="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7"/>
      <c r="AI74" s="7"/>
    </row>
    <row r="75" spans="1:35" hidden="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7"/>
      <c r="AI75" s="7"/>
    </row>
    <row r="76" spans="1:35" hidden="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7"/>
      <c r="AI76" s="7"/>
    </row>
    <row r="77" spans="1:35" hidden="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7"/>
      <c r="AI77" s="7"/>
    </row>
    <row r="78" spans="1:35" hidden="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7"/>
      <c r="AI78" s="7"/>
    </row>
    <row r="79" spans="1:35" hidden="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7"/>
      <c r="AI79" s="7"/>
    </row>
    <row r="80" spans="1:35" hidden="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7"/>
      <c r="AI80" s="7"/>
    </row>
    <row r="81" spans="1:35" hidden="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7"/>
      <c r="AI81" s="7"/>
    </row>
    <row r="82" spans="1:35" hidden="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7"/>
      <c r="AI82" s="7"/>
    </row>
    <row r="83" spans="1:35" hidden="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7"/>
      <c r="AI83" s="7"/>
    </row>
    <row r="84" spans="1:35" hidden="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7"/>
      <c r="AI84" s="7"/>
    </row>
    <row r="85" spans="1:35" hidden="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7"/>
      <c r="AI85" s="7"/>
    </row>
    <row r="86" spans="1:35" hidden="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7"/>
      <c r="AI86" s="7"/>
    </row>
    <row r="87" spans="1:35" hidden="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7"/>
      <c r="AI87" s="7"/>
    </row>
    <row r="88" spans="1:35" hidden="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7"/>
      <c r="AI88" s="7"/>
    </row>
    <row r="89" spans="1:35" hidden="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7"/>
      <c r="AI89" s="7"/>
    </row>
    <row r="90" spans="1:35" hidden="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7"/>
      <c r="AI90" s="7"/>
    </row>
    <row r="91" spans="1:35" hidden="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7"/>
      <c r="AI91" s="7"/>
    </row>
    <row r="92" spans="1:35" hidden="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7"/>
      <c r="AI92" s="7"/>
    </row>
    <row r="93" spans="1:35" hidden="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7"/>
      <c r="AI93" s="7"/>
    </row>
    <row r="94" spans="1:35" hidden="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7"/>
      <c r="AI94" s="7"/>
    </row>
    <row r="95" spans="1:35" hidden="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7"/>
      <c r="AI95" s="7"/>
    </row>
    <row r="96" spans="1:35" hidden="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7"/>
      <c r="AI96" s="7"/>
    </row>
    <row r="97" spans="1:35" hidden="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7"/>
      <c r="AI97" s="7"/>
    </row>
    <row r="98" spans="1:35" hidden="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7"/>
      <c r="AI98" s="7"/>
    </row>
    <row r="99" spans="1:35" hidden="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7"/>
      <c r="AI99" s="7"/>
    </row>
    <row r="100" spans="1:35" hidden="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7"/>
      <c r="AI100" s="7"/>
    </row>
    <row r="101" spans="1:35" hidden="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7"/>
      <c r="AI101" s="7"/>
    </row>
    <row r="102" spans="1:35" hidden="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7"/>
      <c r="AI102" s="7"/>
    </row>
    <row r="103" spans="1:35" hidden="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7"/>
      <c r="AI103" s="7"/>
    </row>
    <row r="104" spans="1:35" hidden="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7"/>
      <c r="AI104" s="7"/>
    </row>
    <row r="105" spans="1:35" hidden="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7"/>
      <c r="AI105" s="7"/>
    </row>
    <row r="106" spans="1:35" hidden="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7"/>
      <c r="AI106" s="7"/>
    </row>
    <row r="107" spans="1:35" hidden="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7"/>
      <c r="AI107" s="7"/>
    </row>
    <row r="108" spans="1:35" hidden="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7"/>
      <c r="AI108" s="7"/>
    </row>
    <row r="109" spans="1:35" hidden="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7"/>
      <c r="AI109" s="7"/>
    </row>
    <row r="110" spans="1:35" hidden="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7"/>
      <c r="AI110" s="7"/>
    </row>
    <row r="111" spans="1:35" hidden="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7"/>
      <c r="AI111" s="7"/>
    </row>
    <row r="112" spans="1:35" hidden="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7"/>
      <c r="AI112" s="7"/>
    </row>
    <row r="113" spans="1:35" hidden="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7"/>
      <c r="AI113" s="7"/>
    </row>
    <row r="114" spans="1:35" hidden="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7"/>
      <c r="AI114" s="7"/>
    </row>
    <row r="115" spans="1:35" hidden="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7"/>
      <c r="AI115" s="7"/>
    </row>
    <row r="116" spans="1:35" hidden="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7"/>
      <c r="AI116" s="7"/>
    </row>
    <row r="117" spans="1:35" hidden="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7"/>
      <c r="AI117" s="7"/>
    </row>
    <row r="118" spans="1:35" hidden="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7"/>
      <c r="AI118" s="7"/>
    </row>
    <row r="119" spans="1:35" hidden="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7"/>
      <c r="AI119" s="7"/>
    </row>
    <row r="120" spans="1:35" hidden="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7"/>
      <c r="AI120" s="7"/>
    </row>
    <row r="121" spans="1:35" hidden="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7"/>
      <c r="AI121" s="7"/>
    </row>
    <row r="122" spans="1:35" hidden="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7"/>
      <c r="AI122" s="7"/>
    </row>
    <row r="123" spans="1:35" hidden="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7"/>
      <c r="AI123" s="7"/>
    </row>
    <row r="124" spans="1:35" hidden="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7"/>
      <c r="AI124" s="7"/>
    </row>
    <row r="125" spans="1:35" hidden="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7"/>
      <c r="AI125" s="7"/>
    </row>
    <row r="126" spans="1:35" hidden="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7"/>
      <c r="AI126" s="7"/>
    </row>
    <row r="127" spans="1:35" hidden="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7"/>
      <c r="AI127" s="7"/>
    </row>
    <row r="128" spans="1:35" hidden="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7"/>
      <c r="AI128" s="7"/>
    </row>
    <row r="129" spans="1:35" hidden="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7"/>
      <c r="AI129" s="7"/>
    </row>
    <row r="130" spans="1:35" hidden="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7"/>
      <c r="AI130" s="7"/>
    </row>
    <row r="131" spans="1:35" hidden="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7"/>
      <c r="AI131" s="7"/>
    </row>
    <row r="132" spans="1:35" hidden="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7"/>
      <c r="AI132" s="7"/>
    </row>
    <row r="133" spans="1:35" hidden="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7"/>
      <c r="AI133" s="7"/>
    </row>
    <row r="134" spans="1:35" hidden="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7"/>
      <c r="AI134" s="7"/>
    </row>
    <row r="135" spans="1:35" hidden="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7"/>
      <c r="AI135" s="7"/>
    </row>
    <row r="136" spans="1:35" hidden="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7"/>
      <c r="AI136" s="7"/>
    </row>
    <row r="137" spans="1:35" hidden="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42"/>
      <c r="AH137" s="7"/>
      <c r="AI137" s="7"/>
    </row>
    <row r="138" spans="1:35" hidden="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7"/>
      <c r="AI138" s="7"/>
    </row>
    <row r="139" spans="1:35" hidden="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7"/>
      <c r="AI139" s="7"/>
    </row>
    <row r="140" spans="1:35" hidden="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c r="AH140" s="7"/>
      <c r="AI140" s="7"/>
    </row>
    <row r="141" spans="1:35" hidden="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7"/>
      <c r="AI141" s="7"/>
    </row>
    <row r="142" spans="1:35" hidden="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7"/>
      <c r="AI142" s="7"/>
    </row>
    <row r="143" spans="1:35" hidden="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7"/>
      <c r="AI143" s="7"/>
    </row>
    <row r="144" spans="1:35" hidden="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7"/>
      <c r="AI144" s="7"/>
    </row>
    <row r="145" spans="1:35" hidden="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c r="AH145" s="7"/>
      <c r="AI145" s="7"/>
    </row>
    <row r="146" spans="1:35" hidden="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c r="AH146" s="7"/>
      <c r="AI146" s="7"/>
    </row>
    <row r="147" spans="1:35" hidden="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c r="AH147" s="7"/>
      <c r="AI147" s="7"/>
    </row>
    <row r="148" spans="1:35" hidden="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c r="AH148" s="7"/>
      <c r="AI148" s="7"/>
    </row>
    <row r="149" spans="1:35" hidden="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c r="AH149" s="7"/>
      <c r="AI149" s="7"/>
    </row>
    <row r="150" spans="1:35" hidden="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c r="AH150" s="7"/>
      <c r="AI150" s="7"/>
    </row>
    <row r="151" spans="1:35" hidden="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7"/>
      <c r="AI151" s="7"/>
    </row>
    <row r="152" spans="1:35" hidden="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7"/>
      <c r="AI152" s="7"/>
    </row>
    <row r="153" spans="1:35" hidden="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7"/>
      <c r="AI153" s="7"/>
    </row>
    <row r="154" spans="1:35" hidden="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7"/>
      <c r="AI154" s="7"/>
    </row>
    <row r="155" spans="1:35" hidden="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c r="AH155" s="7"/>
      <c r="AI155" s="7"/>
    </row>
    <row r="156" spans="1:35" hidden="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c r="AH156" s="7"/>
      <c r="AI156" s="7"/>
    </row>
    <row r="157" spans="1:35" hidden="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c r="AH157" s="7"/>
      <c r="AI157" s="7"/>
    </row>
    <row r="158" spans="1:35" hidden="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c r="AH158" s="7"/>
      <c r="AI158" s="7"/>
    </row>
    <row r="159" spans="1:35" hidden="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7"/>
      <c r="AI159" s="7"/>
    </row>
    <row r="160" spans="1:35" hidden="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7"/>
      <c r="AI160" s="7"/>
    </row>
    <row r="161" spans="1:35" hidden="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7"/>
      <c r="AI161" s="7"/>
    </row>
    <row r="162" spans="1:35" hidden="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7"/>
      <c r="AI162" s="7"/>
    </row>
    <row r="163" spans="1:35" hidden="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7"/>
      <c r="AI163" s="7"/>
    </row>
    <row r="164" spans="1:35" hidden="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7"/>
      <c r="AI164" s="7"/>
    </row>
    <row r="165" spans="1:35" hidden="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7"/>
      <c r="AI165" s="7"/>
    </row>
    <row r="166" spans="1:35" hidden="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7"/>
      <c r="AI166" s="7"/>
    </row>
    <row r="167" spans="1:35" hidden="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7"/>
      <c r="AI167" s="7"/>
    </row>
    <row r="168" spans="1:35" hidden="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7"/>
      <c r="AI168" s="7"/>
    </row>
    <row r="169" spans="1:35" hidden="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7"/>
      <c r="AI169" s="7"/>
    </row>
    <row r="170" spans="1:35" hidden="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7"/>
      <c r="AI170" s="7"/>
    </row>
    <row r="171" spans="1:35" hidden="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7"/>
      <c r="AI171" s="7"/>
    </row>
    <row r="172" spans="1:35" hidden="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7"/>
      <c r="AI172" s="7"/>
    </row>
    <row r="173" spans="1:35" hidden="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7"/>
      <c r="AI173" s="7"/>
    </row>
    <row r="174" spans="1:35" hidden="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7"/>
      <c r="AI174" s="7"/>
    </row>
    <row r="175" spans="1:35" hidden="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7"/>
      <c r="AI175" s="7"/>
    </row>
    <row r="176" spans="1:35" hidden="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7"/>
      <c r="AI176" s="7"/>
    </row>
    <row r="177" spans="1:35" hidden="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7"/>
      <c r="AI177" s="7"/>
    </row>
    <row r="178" spans="1:35" hidden="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7"/>
      <c r="AI178" s="7"/>
    </row>
    <row r="179" spans="1:35" hidden="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7"/>
      <c r="AI179" s="7"/>
    </row>
    <row r="180" spans="1:35" hidden="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7"/>
      <c r="AI180" s="7"/>
    </row>
    <row r="181" spans="1:35" hidden="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7"/>
      <c r="AI181" s="7"/>
    </row>
    <row r="182" spans="1:35" hidden="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7"/>
      <c r="AI182" s="7"/>
    </row>
    <row r="183" spans="1:35" hidden="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7"/>
      <c r="AI183" s="7"/>
    </row>
    <row r="184" spans="1:35" hidden="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7"/>
      <c r="AI184" s="7"/>
    </row>
    <row r="185" spans="1:35" hidden="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7"/>
      <c r="AI185" s="7"/>
    </row>
    <row r="186" spans="1:35" hidden="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7"/>
      <c r="AI186" s="7"/>
    </row>
    <row r="187" spans="1:35" hidden="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7"/>
      <c r="AI187" s="7"/>
    </row>
    <row r="188" spans="1:35" hidden="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7"/>
      <c r="AI188" s="7"/>
    </row>
    <row r="189" spans="1:35" hidden="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7"/>
      <c r="AI189" s="7"/>
    </row>
    <row r="190" spans="1:35" hidden="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7"/>
      <c r="AI190" s="7"/>
    </row>
    <row r="191" spans="1:35" hidden="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7"/>
      <c r="AI191" s="7"/>
    </row>
    <row r="192" spans="1:35" hidden="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7"/>
      <c r="AI192" s="7"/>
    </row>
    <row r="193" spans="1:35" hidden="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c r="AH193" s="7"/>
      <c r="AI193" s="7"/>
    </row>
    <row r="194" spans="1:35" hidden="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c r="AH194" s="7"/>
      <c r="AI194" s="7"/>
    </row>
    <row r="195" spans="1:35" hidden="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c r="AH195" s="7"/>
      <c r="AI195" s="7"/>
    </row>
    <row r="196" spans="1:35" hidden="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c r="AH196" s="7"/>
      <c r="AI196" s="7"/>
    </row>
    <row r="197" spans="1:35" hidden="1">
      <c r="A197" s="4"/>
      <c r="B197" s="4"/>
      <c r="C197" s="4"/>
      <c r="D197" s="4"/>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row>
    <row r="198" spans="1:35" hidden="1">
      <c r="A198" s="4"/>
      <c r="B198" s="4"/>
      <c r="C198" s="4"/>
      <c r="D198" s="4"/>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row>
    <row r="199" spans="1:35" hidden="1">
      <c r="A199" s="4"/>
      <c r="B199" s="4"/>
      <c r="C199" s="4"/>
      <c r="D199" s="4"/>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row>
    <row r="200" spans="1:35" hidden="1">
      <c r="A200" s="4"/>
      <c r="B200" s="4"/>
      <c r="C200" s="4"/>
      <c r="D200" s="4"/>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row>
    <row r="201" spans="1:35" hidden="1">
      <c r="A201" s="4"/>
      <c r="B201" s="4"/>
      <c r="C201" s="4"/>
      <c r="D201" s="4"/>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row>
    <row r="202" spans="1:35" hidden="1">
      <c r="A202" s="4"/>
      <c r="B202" s="4"/>
      <c r="C202" s="4"/>
      <c r="D202" s="4"/>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row>
    <row r="203" spans="1:35" hidden="1">
      <c r="A203" s="4"/>
      <c r="B203" s="4"/>
      <c r="C203" s="4"/>
      <c r="D203" s="4"/>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row>
    <row r="204" spans="1:35" hidden="1">
      <c r="A204" s="4"/>
      <c r="B204" s="4"/>
      <c r="C204" s="4"/>
      <c r="D204" s="4"/>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row>
    <row r="205" spans="1:35" hidden="1">
      <c r="A205" s="4"/>
      <c r="B205" s="4"/>
      <c r="C205" s="4"/>
      <c r="D205" s="4"/>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row>
    <row r="206" spans="1:35" hidden="1">
      <c r="A206" s="4"/>
      <c r="B206" s="4"/>
      <c r="C206" s="4"/>
      <c r="D206" s="4"/>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row>
    <row r="207" spans="1:35" hidden="1">
      <c r="A207" s="4"/>
      <c r="B207" s="4"/>
      <c r="C207" s="4"/>
      <c r="D207" s="4"/>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row>
    <row r="208" spans="1:35" hidden="1">
      <c r="A208" s="4"/>
      <c r="B208" s="4"/>
      <c r="C208" s="4"/>
      <c r="D208" s="4"/>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row>
    <row r="209" spans="1:35" hidden="1">
      <c r="A209" s="4"/>
      <c r="B209" s="4"/>
      <c r="C209" s="4"/>
      <c r="D209" s="4"/>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row>
    <row r="210" spans="1:35" hidden="1">
      <c r="A210" s="4"/>
      <c r="B210" s="4"/>
      <c r="C210" s="4"/>
      <c r="D210" s="4"/>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row>
    <row r="211" spans="1:35" hidden="1">
      <c r="A211" s="4"/>
      <c r="B211" s="4"/>
      <c r="C211" s="4"/>
      <c r="D211" s="4"/>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row>
    <row r="212" spans="1:35" hidden="1">
      <c r="A212" s="4"/>
      <c r="B212" s="4"/>
      <c r="C212" s="4"/>
      <c r="D212" s="4"/>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row>
    <row r="213" spans="1:35" hidden="1">
      <c r="A213" s="4"/>
      <c r="B213" s="4"/>
      <c r="C213" s="4"/>
      <c r="D213" s="4"/>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row>
    <row r="214" spans="1:35" hidden="1">
      <c r="A214" s="4"/>
      <c r="B214" s="4"/>
      <c r="C214" s="4"/>
      <c r="D214" s="4"/>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row>
    <row r="215" spans="1:35" hidden="1">
      <c r="A215" s="4"/>
      <c r="B215" s="4"/>
      <c r="C215" s="4"/>
      <c r="D215" s="4"/>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row>
    <row r="216" spans="1:35" hidden="1">
      <c r="A216" s="4"/>
      <c r="B216" s="4"/>
      <c r="C216" s="4"/>
      <c r="D216" s="4"/>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row>
    <row r="217" spans="1:35" hidden="1">
      <c r="A217" s="4"/>
      <c r="B217" s="4"/>
      <c r="C217" s="4"/>
      <c r="D217" s="4"/>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row>
    <row r="218" spans="1:35" hidden="1">
      <c r="A218" s="4"/>
      <c r="B218" s="4"/>
      <c r="C218" s="4"/>
      <c r="D218" s="4"/>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row>
    <row r="219" spans="1:35" hidden="1">
      <c r="A219" s="4"/>
      <c r="B219" s="4"/>
      <c r="C219" s="4"/>
      <c r="D219" s="4"/>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row>
    <row r="220" spans="1:35" hidden="1">
      <c r="A220" s="4"/>
      <c r="B220" s="4"/>
      <c r="C220" s="4"/>
      <c r="D220" s="4"/>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row>
    <row r="221" spans="1:35" hidden="1">
      <c r="A221" s="4"/>
      <c r="B221" s="4"/>
      <c r="C221" s="4"/>
      <c r="D221" s="4"/>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row>
    <row r="222" spans="1:35" hidden="1">
      <c r="A222" s="4"/>
      <c r="B222" s="4"/>
      <c r="C222" s="4"/>
      <c r="D222" s="4"/>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row>
    <row r="223" spans="1:35" hidden="1">
      <c r="A223" s="4"/>
      <c r="B223" s="4"/>
      <c r="C223" s="4"/>
      <c r="D223" s="4"/>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row>
    <row r="224" spans="1:35" hidden="1">
      <c r="A224" s="4"/>
      <c r="B224" s="4"/>
      <c r="C224" s="4"/>
      <c r="D224" s="4"/>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row>
    <row r="225" spans="1:35" hidden="1">
      <c r="A225" s="4"/>
      <c r="B225" s="4"/>
      <c r="C225" s="4"/>
      <c r="D225" s="4"/>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row>
    <row r="226" spans="1:35" hidden="1">
      <c r="A226" s="4"/>
      <c r="B226" s="4"/>
      <c r="C226" s="4"/>
      <c r="D226" s="4"/>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row>
    <row r="227" spans="1:35" hidden="1">
      <c r="A227" s="4"/>
      <c r="B227" s="4"/>
      <c r="C227" s="4"/>
      <c r="D227" s="4"/>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row>
    <row r="228" spans="1:35" hidden="1">
      <c r="A228" s="4"/>
      <c r="B228" s="4"/>
      <c r="C228" s="4"/>
      <c r="D228" s="4"/>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row>
    <row r="229" spans="1:35" hidden="1">
      <c r="A229" s="4"/>
      <c r="B229" s="4"/>
      <c r="C229" s="4"/>
      <c r="D229" s="4"/>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row>
    <row r="230" spans="1:35" hidden="1">
      <c r="A230" s="4"/>
      <c r="B230" s="4"/>
      <c r="C230" s="4"/>
      <c r="D230" s="4"/>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row>
    <row r="231" spans="1:35" hidden="1">
      <c r="A231" s="4"/>
      <c r="B231" s="4"/>
      <c r="C231" s="4"/>
      <c r="D231" s="4"/>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row>
    <row r="232" spans="1:35" hidden="1">
      <c r="A232" s="4"/>
      <c r="B232" s="4"/>
      <c r="C232" s="4"/>
      <c r="D232" s="4"/>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row>
    <row r="233" spans="1:35" hidden="1">
      <c r="A233" s="4"/>
      <c r="B233" s="4"/>
      <c r="C233" s="4"/>
      <c r="D233" s="4"/>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row>
    <row r="234" spans="1:35" hidden="1">
      <c r="A234" s="4"/>
      <c r="B234" s="4"/>
      <c r="C234" s="4"/>
      <c r="D234" s="4"/>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row>
    <row r="235" spans="1:35" hidden="1">
      <c r="A235" s="4"/>
      <c r="B235" s="4"/>
      <c r="C235" s="4"/>
      <c r="D235" s="4"/>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row>
    <row r="236" spans="1:35" hidden="1">
      <c r="A236" s="4"/>
      <c r="B236" s="4"/>
      <c r="C236" s="4"/>
      <c r="D236" s="4"/>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row>
    <row r="237" spans="1:35" hidden="1">
      <c r="A237" s="4"/>
      <c r="B237" s="4"/>
      <c r="C237" s="4"/>
      <c r="D237" s="4"/>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row>
    <row r="238" spans="1:35" hidden="1">
      <c r="A238" s="4"/>
      <c r="B238" s="4"/>
      <c r="C238" s="4"/>
      <c r="D238" s="4"/>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row>
    <row r="239" spans="1:35" hidden="1">
      <c r="A239" s="4"/>
      <c r="B239" s="4"/>
      <c r="C239" s="4"/>
      <c r="D239" s="4"/>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row>
    <row r="240" spans="1:35" hidden="1">
      <c r="A240" s="4"/>
      <c r="B240" s="4"/>
      <c r="C240" s="4"/>
      <c r="D240" s="4"/>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row>
    <row r="241" spans="1:35" hidden="1">
      <c r="A241" s="4"/>
      <c r="B241" s="4"/>
      <c r="C241" s="4"/>
      <c r="D241" s="4"/>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row>
    <row r="242" spans="1:35" hidden="1">
      <c r="A242" s="4"/>
      <c r="B242" s="4"/>
      <c r="C242" s="4"/>
      <c r="D242" s="4"/>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row>
    <row r="243" spans="1:35" hidden="1">
      <c r="A243" s="4"/>
      <c r="B243" s="4"/>
      <c r="C243" s="4"/>
      <c r="D243" s="4"/>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row>
    <row r="244" spans="1:35" hidden="1">
      <c r="A244" s="4"/>
      <c r="B244" s="4"/>
      <c r="C244" s="4"/>
      <c r="D244" s="4"/>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row>
    <row r="245" spans="1:35" hidden="1">
      <c r="A245" s="4"/>
      <c r="B245" s="4"/>
      <c r="C245" s="4"/>
      <c r="D245" s="4"/>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row>
    <row r="246" spans="1:35" hidden="1">
      <c r="A246" s="4"/>
      <c r="B246" s="4"/>
      <c r="C246" s="4"/>
      <c r="D246" s="4"/>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row>
    <row r="247" spans="1:35" hidden="1">
      <c r="A247" s="4"/>
      <c r="B247" s="4"/>
      <c r="C247" s="4"/>
      <c r="D247" s="4"/>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row>
    <row r="248" spans="1:35" hidden="1">
      <c r="A248" s="4"/>
      <c r="B248" s="4"/>
      <c r="C248" s="4"/>
      <c r="D248" s="4"/>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row>
    <row r="249" spans="1:35" hidden="1">
      <c r="A249" s="4"/>
      <c r="B249" s="4"/>
      <c r="C249" s="4"/>
      <c r="D249" s="4"/>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row>
    <row r="250" spans="1:35" hidden="1">
      <c r="A250" s="4"/>
      <c r="B250" s="4"/>
      <c r="C250" s="4"/>
      <c r="D250" s="4"/>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row>
    <row r="251" spans="1:35" hidden="1">
      <c r="A251" s="4"/>
      <c r="B251" s="4"/>
      <c r="C251" s="4"/>
      <c r="D251" s="4"/>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row>
    <row r="252" spans="1:35" hidden="1">
      <c r="A252" s="4"/>
      <c r="B252" s="4"/>
      <c r="C252" s="4"/>
      <c r="D252" s="4"/>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row>
    <row r="253" spans="1:35" hidden="1">
      <c r="A253" s="4"/>
      <c r="B253" s="4"/>
      <c r="C253" s="4"/>
      <c r="D253" s="4"/>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row>
    <row r="254" spans="1:35" hidden="1">
      <c r="A254" s="4"/>
      <c r="B254" s="4"/>
      <c r="C254" s="4"/>
      <c r="D254" s="4"/>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row>
    <row r="255" spans="1:35" hidden="1">
      <c r="A255" s="4"/>
      <c r="B255" s="4"/>
      <c r="C255" s="4"/>
      <c r="D255" s="4"/>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row>
    <row r="256" spans="1:35" hidden="1">
      <c r="A256" s="4"/>
      <c r="B256" s="4"/>
      <c r="C256" s="4"/>
      <c r="D256" s="4"/>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row>
    <row r="257" spans="1:35" hidden="1">
      <c r="A257" s="4"/>
      <c r="B257" s="4"/>
      <c r="C257" s="4"/>
      <c r="D257" s="4"/>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row>
    <row r="258" spans="1:35" hidden="1">
      <c r="A258" s="4"/>
      <c r="B258" s="4"/>
      <c r="C258" s="4"/>
      <c r="D258" s="4"/>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row>
    <row r="259" spans="1:35" hidden="1">
      <c r="A259" s="4"/>
      <c r="B259" s="4"/>
      <c r="C259" s="4"/>
      <c r="D259" s="4"/>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row>
    <row r="260" spans="1:35" hidden="1">
      <c r="A260" s="4"/>
      <c r="B260" s="4"/>
      <c r="C260" s="4"/>
      <c r="D260" s="4"/>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row>
    <row r="261" spans="1:35" hidden="1">
      <c r="A261" s="4"/>
      <c r="B261" s="4"/>
      <c r="C261" s="4"/>
      <c r="D261" s="4"/>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row>
    <row r="262" spans="1:35" hidden="1">
      <c r="A262" s="4"/>
      <c r="B262" s="4"/>
      <c r="C262" s="4"/>
      <c r="D262" s="4"/>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row>
    <row r="263" spans="1:35" hidden="1">
      <c r="A263" s="4"/>
      <c r="B263" s="4"/>
      <c r="C263" s="4"/>
      <c r="D263" s="4"/>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row>
    <row r="264" spans="1:35" hidden="1">
      <c r="A264" s="4"/>
      <c r="B264" s="4"/>
      <c r="C264" s="4"/>
      <c r="D264" s="4"/>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row>
    <row r="265" spans="1:35" hidden="1">
      <c r="A265" s="4"/>
      <c r="B265" s="4"/>
      <c r="C265" s="4"/>
      <c r="D265" s="4"/>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row>
    <row r="266" spans="1:35" hidden="1">
      <c r="A266" s="4"/>
      <c r="B266" s="4"/>
      <c r="C266" s="4"/>
      <c r="D266" s="4"/>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row>
    <row r="267" spans="1:35" hidden="1">
      <c r="A267" s="4"/>
      <c r="B267" s="4"/>
      <c r="C267" s="4"/>
      <c r="D267" s="4"/>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row>
    <row r="268" spans="1:35" hidden="1">
      <c r="A268" s="4"/>
      <c r="B268" s="4"/>
      <c r="C268" s="4"/>
      <c r="D268" s="4"/>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row>
    <row r="269" spans="1:35" hidden="1">
      <c r="A269" s="4"/>
      <c r="B269" s="4"/>
      <c r="C269" s="4"/>
      <c r="D269" s="4"/>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row>
    <row r="270" spans="1:35" hidden="1">
      <c r="A270" s="4"/>
      <c r="B270" s="4"/>
      <c r="C270" s="4"/>
      <c r="D270" s="4"/>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row>
    <row r="271" spans="1:35" hidden="1">
      <c r="A271" s="4"/>
      <c r="B271" s="4"/>
      <c r="C271" s="4"/>
      <c r="D271" s="4"/>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row>
    <row r="272" spans="1:35" hidden="1">
      <c r="A272" s="4"/>
      <c r="B272" s="4"/>
      <c r="C272" s="4"/>
      <c r="D272" s="4"/>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row>
    <row r="273" spans="1:35" hidden="1">
      <c r="A273" s="4"/>
      <c r="B273" s="4"/>
      <c r="C273" s="4"/>
      <c r="D273" s="4"/>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row>
    <row r="274" spans="1:35" hidden="1">
      <c r="A274" s="4"/>
      <c r="B274" s="4"/>
      <c r="C274" s="4"/>
      <c r="D274" s="4"/>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row>
    <row r="275" spans="1:35" hidden="1">
      <c r="A275" s="4"/>
      <c r="B275" s="4"/>
      <c r="C275" s="4"/>
      <c r="D275" s="4"/>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row>
    <row r="276" spans="1:35" hidden="1">
      <c r="A276" s="4"/>
      <c r="B276" s="4"/>
      <c r="C276" s="4"/>
      <c r="D276" s="4"/>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row>
    <row r="277" spans="1:35" hidden="1">
      <c r="A277" s="4"/>
      <c r="B277" s="4"/>
      <c r="C277" s="4"/>
      <c r="D277" s="4"/>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row>
    <row r="278" spans="1:35" hidden="1">
      <c r="A278" s="4"/>
      <c r="B278" s="4"/>
      <c r="C278" s="4"/>
      <c r="D278" s="4"/>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row>
    <row r="279" spans="1:35" hidden="1">
      <c r="A279" s="4"/>
      <c r="B279" s="4"/>
      <c r="C279" s="4"/>
      <c r="D279" s="4"/>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row>
    <row r="280" spans="1:35" hidden="1">
      <c r="A280" s="4"/>
      <c r="B280" s="4"/>
      <c r="C280" s="4"/>
      <c r="D280" s="4"/>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row>
    <row r="281" spans="1:35" hidden="1">
      <c r="A281" s="4"/>
      <c r="B281" s="4"/>
      <c r="C281" s="4"/>
      <c r="D281" s="4"/>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row>
    <row r="282" spans="1:35" hidden="1">
      <c r="A282" s="4"/>
      <c r="B282" s="4"/>
      <c r="C282" s="4"/>
      <c r="D282" s="4"/>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row>
    <row r="283" spans="1:35" hidden="1">
      <c r="A283" s="4"/>
      <c r="B283" s="4"/>
      <c r="C283" s="4"/>
      <c r="D283" s="4"/>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row>
    <row r="284" spans="1:35" hidden="1">
      <c r="A284" s="4"/>
      <c r="B284" s="4"/>
      <c r="C284" s="4"/>
      <c r="D284" s="4"/>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row>
    <row r="285" spans="1:35" hidden="1">
      <c r="A285" s="4"/>
      <c r="B285" s="4"/>
      <c r="C285" s="4"/>
      <c r="D285" s="4"/>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row>
    <row r="286" spans="1:35" hidden="1">
      <c r="A286" s="4"/>
      <c r="B286" s="4"/>
      <c r="C286" s="4"/>
      <c r="D286" s="4"/>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row>
    <row r="287" spans="1:35" hidden="1">
      <c r="A287" s="4"/>
      <c r="B287" s="4"/>
      <c r="C287" s="4"/>
      <c r="D287" s="4"/>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row>
    <row r="288" spans="1:35" hidden="1">
      <c r="A288" s="4"/>
      <c r="B288" s="4"/>
      <c r="C288" s="4"/>
      <c r="D288" s="4"/>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row>
    <row r="289" spans="1:35" hidden="1">
      <c r="A289" s="4"/>
      <c r="B289" s="4"/>
      <c r="C289" s="4"/>
      <c r="D289" s="4"/>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row>
    <row r="290" spans="1:35" hidden="1">
      <c r="A290" s="4"/>
      <c r="B290" s="4"/>
      <c r="C290" s="4"/>
      <c r="D290" s="4"/>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row>
    <row r="291" spans="1:35" hidden="1">
      <c r="A291" s="4"/>
      <c r="B291" s="4"/>
      <c r="C291" s="4"/>
      <c r="D291" s="4"/>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row>
    <row r="292" spans="1:35" hidden="1">
      <c r="A292" s="4"/>
      <c r="B292" s="4"/>
      <c r="C292" s="4"/>
      <c r="D292" s="4"/>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row>
    <row r="293" spans="1:35" hidden="1">
      <c r="A293" s="4"/>
      <c r="B293" s="4"/>
      <c r="C293" s="4"/>
      <c r="D293" s="4"/>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row>
    <row r="294" spans="1:35" hidden="1">
      <c r="A294" s="4"/>
      <c r="B294" s="4"/>
      <c r="C294" s="4"/>
      <c r="D294" s="4"/>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row>
    <row r="295" spans="1:35" hidden="1">
      <c r="A295" s="4"/>
      <c r="B295" s="4"/>
      <c r="C295" s="4"/>
      <c r="D295" s="4"/>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row>
    <row r="296" spans="1:35" hidden="1">
      <c r="A296" s="4"/>
      <c r="B296" s="4"/>
      <c r="C296" s="4"/>
      <c r="D296" s="4"/>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row>
    <row r="297" spans="1:35" hidden="1">
      <c r="A297" s="4"/>
      <c r="B297" s="4"/>
      <c r="C297" s="4"/>
      <c r="D297" s="4"/>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row>
    <row r="298" spans="1:35" hidden="1">
      <c r="A298" s="4"/>
      <c r="B298" s="4"/>
      <c r="C298" s="4"/>
      <c r="D298" s="4"/>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row>
    <row r="299" spans="1:35" hidden="1">
      <c r="A299" s="4"/>
      <c r="B299" s="4"/>
      <c r="C299" s="4"/>
      <c r="D299" s="4"/>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row>
    <row r="300" spans="1:35" hidden="1">
      <c r="A300" s="4"/>
      <c r="B300" s="4"/>
      <c r="C300" s="4"/>
      <c r="D300" s="4"/>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row>
    <row r="301" spans="1:35" hidden="1">
      <c r="A301" s="4"/>
      <c r="B301" s="4"/>
      <c r="C301" s="4"/>
      <c r="D301" s="4"/>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row>
    <row r="302" spans="1:35" hidden="1">
      <c r="A302" s="4"/>
      <c r="B302" s="4"/>
      <c r="C302" s="4"/>
      <c r="D302" s="4"/>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row>
    <row r="303" spans="1:35" hidden="1">
      <c r="A303" s="4"/>
      <c r="B303" s="4"/>
      <c r="C303" s="4"/>
      <c r="D303" s="4"/>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row>
    <row r="304" spans="1:35" hidden="1">
      <c r="A304" s="4"/>
      <c r="B304" s="4"/>
      <c r="C304" s="4"/>
      <c r="D304" s="4"/>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row>
    <row r="305" spans="1:35" hidden="1">
      <c r="A305" s="4"/>
      <c r="B305" s="4"/>
      <c r="C305" s="4"/>
      <c r="D305" s="4"/>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row>
    <row r="306" spans="1:35" hidden="1">
      <c r="A306" s="4"/>
      <c r="B306" s="4"/>
      <c r="C306" s="4"/>
      <c r="D306" s="4"/>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row>
    <row r="307" spans="1:35" hidden="1">
      <c r="A307" s="4"/>
      <c r="B307" s="4"/>
      <c r="C307" s="4"/>
      <c r="D307" s="4"/>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row>
    <row r="308" spans="1:35" hidden="1">
      <c r="A308" s="4"/>
      <c r="B308" s="4"/>
      <c r="C308" s="4"/>
      <c r="D308" s="4"/>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row>
    <row r="309" spans="1:35" hidden="1">
      <c r="A309" s="4"/>
      <c r="B309" s="4"/>
      <c r="C309" s="4"/>
      <c r="D309" s="4"/>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row>
    <row r="310" spans="1:35" hidden="1">
      <c r="A310" s="4"/>
      <c r="B310" s="4"/>
      <c r="C310" s="4"/>
      <c r="D310" s="4"/>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row>
    <row r="311" spans="1:35" hidden="1">
      <c r="A311" s="4"/>
      <c r="B311" s="4"/>
      <c r="C311" s="4"/>
      <c r="D311" s="4"/>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row>
    <row r="312" spans="1:35" hidden="1">
      <c r="A312" s="4"/>
      <c r="B312" s="4"/>
      <c r="C312" s="4"/>
      <c r="D312" s="4"/>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row>
    <row r="313" spans="1:35" hidden="1">
      <c r="A313" s="4"/>
      <c r="B313" s="4"/>
      <c r="C313" s="4"/>
      <c r="D313" s="4"/>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row>
    <row r="314" spans="1:35" hidden="1">
      <c r="A314" s="4"/>
      <c r="B314" s="4"/>
      <c r="C314" s="4"/>
      <c r="D314" s="4"/>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row>
    <row r="315" spans="1:35" hidden="1">
      <c r="A315" s="4"/>
      <c r="B315" s="4"/>
      <c r="C315" s="4"/>
      <c r="D315" s="4"/>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row>
    <row r="316" spans="1:35" hidden="1">
      <c r="A316" s="4"/>
      <c r="B316" s="4"/>
      <c r="C316" s="4"/>
      <c r="D316" s="4"/>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row>
    <row r="317" spans="1:35" hidden="1">
      <c r="A317" s="4"/>
      <c r="B317" s="4"/>
      <c r="C317" s="4"/>
      <c r="D317" s="4"/>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row>
    <row r="318" spans="1:35" hidden="1">
      <c r="A318" s="4"/>
      <c r="B318" s="4"/>
      <c r="C318" s="4"/>
      <c r="D318" s="4"/>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row>
    <row r="319" spans="1:35" hidden="1">
      <c r="A319" s="4"/>
      <c r="B319" s="4"/>
      <c r="C319" s="4"/>
      <c r="D319" s="4"/>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row>
    <row r="320" spans="1:35" hidden="1">
      <c r="A320" s="4"/>
      <c r="B320" s="4"/>
      <c r="C320" s="4"/>
      <c r="D320" s="4"/>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row>
    <row r="321" spans="1:35" hidden="1">
      <c r="A321" s="4"/>
      <c r="B321" s="4"/>
      <c r="C321" s="4"/>
      <c r="D321" s="4"/>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row>
    <row r="322" spans="1:35" hidden="1">
      <c r="A322" s="4"/>
      <c r="B322" s="4"/>
      <c r="C322" s="4"/>
      <c r="D322" s="4"/>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row>
    <row r="323" spans="1:35" hidden="1">
      <c r="A323" s="4"/>
      <c r="B323" s="4"/>
      <c r="C323" s="4"/>
      <c r="D323" s="4"/>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row>
    <row r="324" spans="1:35" hidden="1">
      <c r="A324" s="4"/>
      <c r="B324" s="4"/>
      <c r="C324" s="4"/>
      <c r="D324" s="4"/>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row>
    <row r="325" spans="1:35" hidden="1">
      <c r="A325" s="4"/>
      <c r="B325" s="4"/>
      <c r="C325" s="4"/>
      <c r="D325" s="4"/>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row>
    <row r="326" spans="1:35" hidden="1">
      <c r="A326" s="4"/>
      <c r="B326" s="4"/>
      <c r="C326" s="4"/>
      <c r="D326" s="4"/>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row>
    <row r="327" spans="1:35" hidden="1">
      <c r="A327" s="4"/>
      <c r="B327" s="4"/>
      <c r="C327" s="4"/>
      <c r="D327" s="4"/>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row>
    <row r="328" spans="1:35" hidden="1">
      <c r="A328" s="4"/>
      <c r="B328" s="4"/>
      <c r="C328" s="4"/>
      <c r="D328" s="4"/>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row>
    <row r="329" spans="1:35" hidden="1">
      <c r="A329" s="4"/>
      <c r="B329" s="4"/>
      <c r="C329" s="4"/>
      <c r="D329" s="4"/>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row>
    <row r="330" spans="1:35" hidden="1">
      <c r="A330" s="4"/>
      <c r="B330" s="4"/>
      <c r="C330" s="4"/>
      <c r="D330" s="4"/>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row>
    <row r="331" spans="1:35" hidden="1">
      <c r="A331" s="4"/>
      <c r="B331" s="4"/>
      <c r="C331" s="4"/>
      <c r="D331" s="4"/>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row>
    <row r="332" spans="1:35" hidden="1">
      <c r="A332" s="4"/>
      <c r="B332" s="4"/>
      <c r="C332" s="4"/>
      <c r="D332" s="4"/>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row>
    <row r="333" spans="1:35" hidden="1">
      <c r="A333" s="4"/>
      <c r="B333" s="4"/>
      <c r="C333" s="4"/>
      <c r="D333" s="4"/>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row>
    <row r="334" spans="1:35" hidden="1">
      <c r="A334" s="4"/>
      <c r="B334" s="4"/>
      <c r="C334" s="4"/>
      <c r="D334" s="4"/>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row>
    <row r="335" spans="1:35" hidden="1">
      <c r="A335" s="4"/>
      <c r="B335" s="4"/>
      <c r="C335" s="4"/>
      <c r="D335" s="4"/>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row>
    <row r="336" spans="1:35" hidden="1">
      <c r="A336" s="4"/>
      <c r="B336" s="4"/>
      <c r="C336" s="4"/>
      <c r="D336" s="4"/>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row>
    <row r="337" spans="7:35" hidden="1">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row>
    <row r="338" spans="7:35" hidden="1">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row>
    <row r="339" spans="7:35" hidden="1">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row>
    <row r="340" spans="7:35" hidden="1">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row>
    <row r="341" spans="7:35" hidden="1">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row>
    <row r="342" spans="7:35" hidden="1">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row>
    <row r="343" spans="7:35" hidden="1">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row>
    <row r="344" spans="7:35" hidden="1">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row>
    <row r="345" spans="7:35" hidden="1">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row>
    <row r="346" spans="7:35" hidden="1">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row>
    <row r="347" spans="7:35" hidden="1">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row>
    <row r="348" spans="7:35" hidden="1">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row>
    <row r="349" spans="7:35" hidden="1">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row>
    <row r="350" spans="7:35" hidden="1">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row>
    <row r="351" spans="7:35" hidden="1">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row>
    <row r="352" spans="7:35" hidden="1">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row>
    <row r="353" spans="7:35" hidden="1">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row>
    <row r="354" spans="7:35" hidden="1">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row>
    <row r="355" spans="7:35" hidden="1">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row>
    <row r="356" spans="7:35" hidden="1">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row>
    <row r="357" spans="7:35" hidden="1">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row>
    <row r="358" spans="7:35" hidden="1">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row>
    <row r="359" spans="7:35" hidden="1">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row>
    <row r="360" spans="7:35" hidden="1">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row>
    <row r="361" spans="7:35" hidden="1">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row>
    <row r="362" spans="7:35" hidden="1">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row>
    <row r="363" spans="7:35" hidden="1">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row>
    <row r="364" spans="7:35" hidden="1">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row>
    <row r="365" spans="7:35" hidden="1">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row>
    <row r="366" spans="7:35" hidden="1">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row>
    <row r="367" spans="7:35" hidden="1">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row>
    <row r="368" spans="7:35" hidden="1">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row>
    <row r="369" spans="7:35" hidden="1">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row>
    <row r="370" spans="7:35" hidden="1">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row>
    <row r="371" spans="7:35" hidden="1">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row>
    <row r="372" spans="7:35" hidden="1">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row>
    <row r="373" spans="7:35" hidden="1">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row>
    <row r="374" spans="7:35" hidden="1">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row>
    <row r="375" spans="7:35" hidden="1">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row>
    <row r="376" spans="7:35" hidden="1">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row>
    <row r="377" spans="7:35" hidden="1">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row>
    <row r="378" spans="7:35" hidden="1">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row>
    <row r="379" spans="7:35" hidden="1">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row>
    <row r="380" spans="7:35" hidden="1">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row>
    <row r="381" spans="7:35" hidden="1">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row>
    <row r="382" spans="7:35" hidden="1">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row>
    <row r="383" spans="7:35" hidden="1">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row>
    <row r="384" spans="7:35" hidden="1">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row>
    <row r="385" spans="7:35" hidden="1">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row>
    <row r="386" spans="7:35" hidden="1">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row>
    <row r="387" spans="7:35" hidden="1">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row>
    <row r="388" spans="7:35" hidden="1">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row>
    <row r="389" spans="7:35" hidden="1">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row>
    <row r="390" spans="7:35" hidden="1">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row>
    <row r="391" spans="7:35" hidden="1">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row>
    <row r="392" spans="7:35" hidden="1">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row>
    <row r="393" spans="7:35" hidden="1">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row>
    <row r="394" spans="7:35" hidden="1">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row>
    <row r="395" spans="7:35" hidden="1">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row>
    <row r="396" spans="7:35" hidden="1">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row>
    <row r="397" spans="7:35" hidden="1">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row>
    <row r="398" spans="7:35" hidden="1">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row>
    <row r="399" spans="7:35" hidden="1">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row>
    <row r="400" spans="7:35" hidden="1">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row>
    <row r="401" spans="7:35" hidden="1">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row>
    <row r="402" spans="7:35" hidden="1">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row>
    <row r="403" spans="7:35" hidden="1">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row>
    <row r="404" spans="7:35" hidden="1">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row>
    <row r="405" spans="7:35" hidden="1">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row>
    <row r="406" spans="7:35" hidden="1">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row>
    <row r="407" spans="7:35" hidden="1">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row>
    <row r="408" spans="7:35" hidden="1">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row>
    <row r="409" spans="7:35" hidden="1">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row>
    <row r="410" spans="7:35" hidden="1">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row>
    <row r="411" spans="7:35" hidden="1">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row>
    <row r="412" spans="7:35" hidden="1">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row>
    <row r="413" spans="7:35" hidden="1">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row>
    <row r="414" spans="7:35" hidden="1">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row>
    <row r="415" spans="7:35" hidden="1">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row>
    <row r="416" spans="7:35" hidden="1">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row>
    <row r="417" spans="7:35" hidden="1">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row>
    <row r="418" spans="7:35" hidden="1">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row>
    <row r="419" spans="7:35" hidden="1">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row>
    <row r="420" spans="7:35" hidden="1">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row>
    <row r="421" spans="7:35" hidden="1">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row>
    <row r="422" spans="7:35" hidden="1">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row>
    <row r="423" spans="7:35" hidden="1">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row>
    <row r="424" spans="7:35" hidden="1">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row>
    <row r="425" spans="7:35" hidden="1">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row>
    <row r="426" spans="7:35" hidden="1">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row>
    <row r="427" spans="7:35" hidden="1">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row>
    <row r="428" spans="7:35" hidden="1">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row>
    <row r="429" spans="7:35" hidden="1">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row>
    <row r="430" spans="7:35" hidden="1">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row>
    <row r="431" spans="7:35" hidden="1">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row>
    <row r="432" spans="7:35" hidden="1">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row>
    <row r="433" spans="7:35" hidden="1">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row>
    <row r="434" spans="7:35" hidden="1">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row>
    <row r="435" spans="7:35" hidden="1">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row>
    <row r="436" spans="7:35" hidden="1">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row>
    <row r="437" spans="7:35" hidden="1">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row>
    <row r="438" spans="7:35" hidden="1">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row>
    <row r="439" spans="7:35" hidden="1">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row>
    <row r="440" spans="7:35" hidden="1">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row>
    <row r="441" spans="7:35" hidden="1">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row>
    <row r="442" spans="7:35" hidden="1">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row>
    <row r="443" spans="7:35" hidden="1">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row>
    <row r="444" spans="7:35" hidden="1">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row>
    <row r="445" spans="7:35" hidden="1">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row>
    <row r="446" spans="7:35" hidden="1">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row>
    <row r="447" spans="7:35" hidden="1">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row>
    <row r="448" spans="7:35" hidden="1">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row>
    <row r="449" spans="7:35" hidden="1">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row>
    <row r="450" spans="7:35" hidden="1">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row>
    <row r="451" spans="7:35" hidden="1">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row>
    <row r="452" spans="7:35" hidden="1">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row>
    <row r="453" spans="7:35" hidden="1">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row>
    <row r="454" spans="7:35" hidden="1">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row>
    <row r="455" spans="7:35" hidden="1">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row>
    <row r="456" spans="7:35" hidden="1">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row>
    <row r="457" spans="7:35" hidden="1">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row>
    <row r="458" spans="7:35" hidden="1">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row>
    <row r="459" spans="7:35" hidden="1">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row>
    <row r="460" spans="7:35" hidden="1">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row>
    <row r="461" spans="7:35" hidden="1">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row>
    <row r="462" spans="7:35" hidden="1">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row>
    <row r="463" spans="7:35" hidden="1">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row>
    <row r="464" spans="7:35" hidden="1">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row>
    <row r="465" spans="7:35" hidden="1">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row>
    <row r="466" spans="7:35" hidden="1">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row>
    <row r="467" spans="7:35" hidden="1">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row>
    <row r="468" spans="7:35" hidden="1">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row>
    <row r="469" spans="7:35" hidden="1">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row>
    <row r="470" spans="7:35" hidden="1">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row>
    <row r="471" spans="7:35" hidden="1">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row>
    <row r="472" spans="7:35" hidden="1">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row>
    <row r="473" spans="7:35" hidden="1">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row>
    <row r="474" spans="7:35" hidden="1">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row>
    <row r="475" spans="7:35" hidden="1">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row>
    <row r="476" spans="7:35" hidden="1">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row>
    <row r="477" spans="7:35" hidden="1">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row>
    <row r="478" spans="7:35" hidden="1">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row>
    <row r="479" spans="7:35" hidden="1">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row>
    <row r="480" spans="7:35" hidden="1">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row>
    <row r="481" spans="7:35" hidden="1">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row>
    <row r="482" spans="7:35" hidden="1">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row>
    <row r="483" spans="7:35" hidden="1">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row>
    <row r="484" spans="7:35" hidden="1">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row>
    <row r="485" spans="7:35" hidden="1">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row>
    <row r="486" spans="7:35" hidden="1">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row>
    <row r="487" spans="7:35" hidden="1">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row>
    <row r="488" spans="7:35" hidden="1">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row>
    <row r="489" spans="7:35" hidden="1">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row>
    <row r="490" spans="7:35" hidden="1">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row>
    <row r="491" spans="7:35" hidden="1">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row>
    <row r="492" spans="7:35" hidden="1">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row>
    <row r="493" spans="7:35" hidden="1">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row>
    <row r="494" spans="7:35" hidden="1">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row>
    <row r="495" spans="7:35" hidden="1">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row>
    <row r="496" spans="7:35" hidden="1">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row>
    <row r="497" spans="7:35" hidden="1">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row>
    <row r="498" spans="7:35" hidden="1">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row>
    <row r="499" spans="7:35" hidden="1">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row>
    <row r="500" spans="7:35" hidden="1">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row>
    <row r="501" spans="7:35" hidden="1">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row>
    <row r="502" spans="7:35" hidden="1">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row>
    <row r="503" spans="7:35" hidden="1">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row>
    <row r="504" spans="7:35" hidden="1">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row>
    <row r="505" spans="7:35" hidden="1">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row>
    <row r="506" spans="7:35" hidden="1">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row>
    <row r="507" spans="7:35" hidden="1">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row>
    <row r="508" spans="7:35" hidden="1">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row>
    <row r="509" spans="7:35" hidden="1">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row>
    <row r="510" spans="7:35" hidden="1">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row>
    <row r="511" spans="7:35" hidden="1">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row>
    <row r="512" spans="7:35" hidden="1">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row>
    <row r="513" spans="7:35" hidden="1">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row>
    <row r="514" spans="7:35" hidden="1">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row>
    <row r="515" spans="7:35" hidden="1">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row>
    <row r="516" spans="7:35" hidden="1">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row>
    <row r="517" spans="7:35" hidden="1">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row>
    <row r="518" spans="7:35" hidden="1">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row>
    <row r="519" spans="7:35" hidden="1">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row>
    <row r="520" spans="7:35" hidden="1">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row>
    <row r="521" spans="7:35" hidden="1">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row>
    <row r="522" spans="7:35" hidden="1">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row>
    <row r="523" spans="7:35" hidden="1">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row>
    <row r="524" spans="7:35" hidden="1">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row>
    <row r="525" spans="7:35" hidden="1">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row>
    <row r="526" spans="7:35" hidden="1">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row>
    <row r="527" spans="7:35" hidden="1">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row>
    <row r="528" spans="7:35" hidden="1">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row>
    <row r="529" spans="7:35" hidden="1">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row>
    <row r="530" spans="7:35" hidden="1">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row>
    <row r="531" spans="7:35" hidden="1">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row>
    <row r="532" spans="7:35" hidden="1">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row>
    <row r="533" spans="7:35" hidden="1">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row>
    <row r="534" spans="7:35" hidden="1">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row>
    <row r="535" spans="7:35" hidden="1">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row>
    <row r="536" spans="7:35" hidden="1">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row>
    <row r="537" spans="7:35" hidden="1">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row>
    <row r="538" spans="7:35" hidden="1">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row>
    <row r="539" spans="7:35" hidden="1">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row>
    <row r="540" spans="7:35" hidden="1">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row>
    <row r="541" spans="7:35" hidden="1">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row>
    <row r="542" spans="7:35" hidden="1">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row>
    <row r="543" spans="7:35" hidden="1">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row>
    <row r="544" spans="7:35" hidden="1">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row>
    <row r="545" spans="7:35" hidden="1">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row>
    <row r="546" spans="7:35" hidden="1">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row>
    <row r="547" spans="7:35" hidden="1">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row>
    <row r="548" spans="7:35" hidden="1">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row>
    <row r="549" spans="7:35" hidden="1">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row>
    <row r="550" spans="7:35" hidden="1">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row>
    <row r="551" spans="7:35" hidden="1">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row>
    <row r="552" spans="7:35" hidden="1">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row>
    <row r="553" spans="7:35" hidden="1">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row>
    <row r="554" spans="7:35" hidden="1">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row>
    <row r="555" spans="7:35" hidden="1">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row>
    <row r="556" spans="7:35" hidden="1">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row>
    <row r="557" spans="7:35" hidden="1">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row>
    <row r="558" spans="7:35" hidden="1">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row>
    <row r="559" spans="7:35" hidden="1">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row>
    <row r="560" spans="7:35" hidden="1">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row>
    <row r="561" spans="7:35" hidden="1">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row>
    <row r="562" spans="7:35" hidden="1">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row>
    <row r="563" spans="7:35" hidden="1">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row>
    <row r="564" spans="7:35" hidden="1">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row>
    <row r="565" spans="7:35" hidden="1">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row>
    <row r="566" spans="7:35" hidden="1">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row>
    <row r="567" spans="7:35" hidden="1">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row>
    <row r="568" spans="7:35" hidden="1">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row>
    <row r="569" spans="7:35" hidden="1">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row>
    <row r="570" spans="7:35" hidden="1">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row>
    <row r="571" spans="7:35" hidden="1">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row>
    <row r="572" spans="7:35" hidden="1">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row>
    <row r="573" spans="7:35" hidden="1">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row>
    <row r="574" spans="7:35" hidden="1">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row>
    <row r="575" spans="7:35" hidden="1">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row>
    <row r="576" spans="7:35" hidden="1">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row>
    <row r="577" spans="7:35" hidden="1">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row>
    <row r="578" spans="7:35" hidden="1">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row>
    <row r="579" spans="7:35" hidden="1">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row>
    <row r="580" spans="7:35" hidden="1">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row>
    <row r="581" spans="7:35" hidden="1">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row>
    <row r="582" spans="7:35" hidden="1">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row>
    <row r="583" spans="7:35" hidden="1">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row>
    <row r="584" spans="7:35" hidden="1">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row>
    <row r="585" spans="7:35" hidden="1">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row>
    <row r="586" spans="7:35" hidden="1">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row>
    <row r="587" spans="7:35" hidden="1">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row>
    <row r="588" spans="7:35" hidden="1">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row>
    <row r="589" spans="7:35" hidden="1">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row>
    <row r="590" spans="7:35" hidden="1">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row>
    <row r="591" spans="7:35" hidden="1">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row>
    <row r="592" spans="7:35" hidden="1">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row>
    <row r="593" spans="7:35" hidden="1">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row>
    <row r="594" spans="7:35" hidden="1">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row>
    <row r="595" spans="7:35" hidden="1">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row>
    <row r="596" spans="7:35" hidden="1">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row>
    <row r="597" spans="7:35" hidden="1">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row>
    <row r="598" spans="7:35" hidden="1">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row>
    <row r="599" spans="7:35" hidden="1">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row>
    <row r="600" spans="7:35" hidden="1">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row>
    <row r="601" spans="7:35" hidden="1">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row>
    <row r="602" spans="7:35" hidden="1">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row>
    <row r="603" spans="7:35" hidden="1">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row>
    <row r="604" spans="7:35" hidden="1">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row>
    <row r="605" spans="7:35" hidden="1">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row>
    <row r="606" spans="7:35" hidden="1">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row>
    <row r="607" spans="7:35" hidden="1">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row>
    <row r="608" spans="7:35" hidden="1">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row>
    <row r="609" spans="7:35" hidden="1">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row>
    <row r="610" spans="7:35" hidden="1">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row>
    <row r="611" spans="7:35" hidden="1">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row>
    <row r="612" spans="7:35" hidden="1">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row>
    <row r="613" spans="7:35" hidden="1">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row>
    <row r="614" spans="7:35" hidden="1">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row>
    <row r="615" spans="7:35" hidden="1">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row>
    <row r="616" spans="7:35" hidden="1">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row>
    <row r="617" spans="7:35" hidden="1">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row>
    <row r="618" spans="7:35" hidden="1">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row>
    <row r="619" spans="7:35" hidden="1">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row>
    <row r="620" spans="7:35" hidden="1">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row>
    <row r="621" spans="7:35" hidden="1">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row>
    <row r="622" spans="7:35" hidden="1">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row>
    <row r="623" spans="7:35" hidden="1">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row>
    <row r="624" spans="7:35" hidden="1">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row>
    <row r="625" spans="7:35" hidden="1">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row>
    <row r="626" spans="7:35" hidden="1">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row>
    <row r="627" spans="7:35" hidden="1">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row>
    <row r="628" spans="7:35" hidden="1">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row>
    <row r="629" spans="7:35" hidden="1">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row>
    <row r="630" spans="7:35" hidden="1">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row>
    <row r="631" spans="7:35" hidden="1">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row>
    <row r="632" spans="7:35" hidden="1">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row>
    <row r="633" spans="7:35" hidden="1">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row>
    <row r="634" spans="7:35" hidden="1">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row>
    <row r="635" spans="7:35" hidden="1">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row>
    <row r="636" spans="7:35" hidden="1">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row>
    <row r="637" spans="7:35" hidden="1">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row>
    <row r="638" spans="7:35" hidden="1">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row>
    <row r="639" spans="7:35" hidden="1">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row>
    <row r="640" spans="7:35" hidden="1">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row>
    <row r="641" spans="7:35" hidden="1">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row>
    <row r="642" spans="7:35" hidden="1">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row>
    <row r="643" spans="7:35" hidden="1">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row>
    <row r="644" spans="7:35" hidden="1">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row>
    <row r="645" spans="7:35" hidden="1">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row>
    <row r="646" spans="7:35" hidden="1">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row>
    <row r="647" spans="7:35" hidden="1">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row>
    <row r="648" spans="7:35" hidden="1">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row>
    <row r="649" spans="7:35" hidden="1">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row>
    <row r="650" spans="7:35" hidden="1">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row>
    <row r="651" spans="7:35" hidden="1">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row>
    <row r="652" spans="7:35" hidden="1">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row>
    <row r="653" spans="7:35" hidden="1">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row>
    <row r="654" spans="7:35" hidden="1">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row>
    <row r="655" spans="7:35" hidden="1">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row>
    <row r="656" spans="7:35" hidden="1">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row>
    <row r="657" spans="7:35" hidden="1">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row>
    <row r="658" spans="7:35" hidden="1">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row>
    <row r="659" spans="7:35" hidden="1">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row>
    <row r="660" spans="7:35" hidden="1">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row>
    <row r="661" spans="7:35" hidden="1">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row>
    <row r="662" spans="7:35" hidden="1">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row>
    <row r="663" spans="7:35" hidden="1">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row>
    <row r="664" spans="7:35" hidden="1">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row>
    <row r="665" spans="7:35" hidden="1">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row>
    <row r="666" spans="7:35" hidden="1">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row>
    <row r="667" spans="7:35" hidden="1">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row>
    <row r="668" spans="7:35" hidden="1">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row>
    <row r="669" spans="7:35" hidden="1">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row>
    <row r="670" spans="7:35" hidden="1">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row>
    <row r="671" spans="7:35" hidden="1">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row>
    <row r="672" spans="7:35" hidden="1">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row>
    <row r="673" spans="7:35" hidden="1">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row>
    <row r="674" spans="7:35" hidden="1">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row>
    <row r="675" spans="7:35" hidden="1">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row>
    <row r="676" spans="7:35" hidden="1">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row>
    <row r="677" spans="7:35" hidden="1">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row>
    <row r="678" spans="7:35" hidden="1">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row>
    <row r="679" spans="7:35" hidden="1">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row>
    <row r="680" spans="7:35" hidden="1">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row>
    <row r="681" spans="7:35" hidden="1">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row>
    <row r="682" spans="7:35" hidden="1">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row>
    <row r="683" spans="7:35" hidden="1">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row>
    <row r="684" spans="7:35" hidden="1">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row>
    <row r="685" spans="7:35" hidden="1">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row>
    <row r="686" spans="7:35" hidden="1">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row>
    <row r="687" spans="7:35" hidden="1">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row>
    <row r="688" spans="7:35" hidden="1">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row>
    <row r="689" spans="7:35" hidden="1">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row>
    <row r="690" spans="7:35" hidden="1">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row>
    <row r="691" spans="7:35" hidden="1">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row>
    <row r="692" spans="7:35" hidden="1">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row>
    <row r="693" spans="7:35" hidden="1">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row>
    <row r="694" spans="7:35" hidden="1">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row>
    <row r="695" spans="7:35" hidden="1">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row>
    <row r="696" spans="7:35" hidden="1">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row>
    <row r="697" spans="7:35" hidden="1">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row>
    <row r="698" spans="7:35" hidden="1">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row>
    <row r="699" spans="7:35" hidden="1">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row>
    <row r="700" spans="7:35" hidden="1">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row>
    <row r="701" spans="7:35" hidden="1">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row>
    <row r="702" spans="7:35" hidden="1">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row>
    <row r="703" spans="7:35" hidden="1">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row>
    <row r="704" spans="7:35" hidden="1">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row>
    <row r="705" spans="7:35" hidden="1">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row>
    <row r="706" spans="7:35" hidden="1">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row>
    <row r="707" spans="7:35" hidden="1">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row>
    <row r="708" spans="7:35" hidden="1">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row>
    <row r="709" spans="7:35" hidden="1">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row>
    <row r="710" spans="7:35" hidden="1">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row>
    <row r="711" spans="7:35" hidden="1">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row>
    <row r="712" spans="7:35" hidden="1">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row>
    <row r="713" spans="7:35" hidden="1">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row>
    <row r="714" spans="7:35" hidden="1">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row>
    <row r="715" spans="7:35" hidden="1">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row>
    <row r="716" spans="7:35" hidden="1">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row>
    <row r="717" spans="7:35" hidden="1">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row>
    <row r="718" spans="7:35" hidden="1">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row>
    <row r="719" spans="7:35" hidden="1">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row>
    <row r="720" spans="7:35" hidden="1">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row>
    <row r="721" spans="7:35" hidden="1">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row>
    <row r="722" spans="7:35" hidden="1">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row>
    <row r="723" spans="7:35" hidden="1">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row>
    <row r="724" spans="7:35" hidden="1">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row>
    <row r="725" spans="7:35" hidden="1">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row>
    <row r="726" spans="7:35" hidden="1">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row>
    <row r="727" spans="7:35" hidden="1">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row>
    <row r="728" spans="7:35" hidden="1">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row>
    <row r="729" spans="7:35" hidden="1">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row>
    <row r="730" spans="7:35" hidden="1">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row>
    <row r="731" spans="7:35" hidden="1">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row>
    <row r="732" spans="7:35" hidden="1">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row>
    <row r="733" spans="7:35" hidden="1">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row>
    <row r="734" spans="7:35" hidden="1">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row>
    <row r="735" spans="7:35" hidden="1">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row>
    <row r="736" spans="7:35" hidden="1">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row>
    <row r="737" spans="7:35" hidden="1">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row>
    <row r="738" spans="7:35" hidden="1">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row>
    <row r="739" spans="7:35" hidden="1">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row>
    <row r="740" spans="7:35" hidden="1">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row>
    <row r="741" spans="7:35" hidden="1">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row>
    <row r="742" spans="7:35" hidden="1">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row>
    <row r="743" spans="7:35" hidden="1">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row>
    <row r="744" spans="7:35" hidden="1">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row>
    <row r="745" spans="7:35" hidden="1">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row>
    <row r="746" spans="7:35" hidden="1">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row>
    <row r="747" spans="7:35" hidden="1">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row>
    <row r="748" spans="7:35" hidden="1">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row>
    <row r="749" spans="7:35" hidden="1">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row>
    <row r="750" spans="7:35" hidden="1">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row>
    <row r="751" spans="7:35" hidden="1">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row>
    <row r="752" spans="7:35" hidden="1">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row>
    <row r="753" spans="7:35" hidden="1">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row>
    <row r="754" spans="7:35" hidden="1">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row>
    <row r="755" spans="7:35" hidden="1">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row>
    <row r="756" spans="7:35" hidden="1">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row>
    <row r="757" spans="7:35" hidden="1">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row>
    <row r="758" spans="7:35" hidden="1">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row>
    <row r="759" spans="7:35" hidden="1">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row>
    <row r="760" spans="7:35" hidden="1">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row>
    <row r="761" spans="7:35" hidden="1">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row>
    <row r="762" spans="7:35" hidden="1">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row>
    <row r="763" spans="7:35" hidden="1">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row>
    <row r="764" spans="7:35" hidden="1">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row>
    <row r="765" spans="7:35" hidden="1">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row>
    <row r="766" spans="7:35" hidden="1">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row>
    <row r="767" spans="7:35" hidden="1">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row>
    <row r="768" spans="7:35" hidden="1">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row>
    <row r="769" spans="7:35" hidden="1">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row>
    <row r="770" spans="7:35" hidden="1">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row>
    <row r="771" spans="7:35" hidden="1">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row>
    <row r="772" spans="7:35" hidden="1">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row>
    <row r="773" spans="7:35" hidden="1">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row>
    <row r="774" spans="7:35" hidden="1">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row>
    <row r="775" spans="7:35" hidden="1">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row>
    <row r="776" spans="7:35" hidden="1">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row>
    <row r="777" spans="7:35" hidden="1">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row>
    <row r="778" spans="7:35" hidden="1">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row>
    <row r="779" spans="7:35" hidden="1">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row>
    <row r="780" spans="7:35" hidden="1">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row>
    <row r="781" spans="7:35" hidden="1">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row>
    <row r="782" spans="7:35" hidden="1">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row>
    <row r="783" spans="7:35" hidden="1">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row>
    <row r="784" spans="7:35" hidden="1">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row>
    <row r="785" spans="7:35" hidden="1">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row>
    <row r="786" spans="7:35" hidden="1">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row>
    <row r="787" spans="7:35" hidden="1">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row>
    <row r="788" spans="7:35" hidden="1">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row>
    <row r="789" spans="7:35" hidden="1">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row>
    <row r="790" spans="7:35" hidden="1">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row>
    <row r="791" spans="7:35" hidden="1">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row>
    <row r="792" spans="7:35" hidden="1">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row>
    <row r="793" spans="7:35" hidden="1">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row>
    <row r="794" spans="7:35" hidden="1">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row>
    <row r="795" spans="7:35" hidden="1">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row>
    <row r="796" spans="7:35" hidden="1">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row>
    <row r="797" spans="7:35" hidden="1">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row>
    <row r="798" spans="7:35" hidden="1">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row>
    <row r="799" spans="7:35" hidden="1">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row>
    <row r="800" spans="7:35" hidden="1">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row>
    <row r="801" spans="7:35" hidden="1">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row>
    <row r="802" spans="7:35" hidden="1">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row>
    <row r="803" spans="7:35" hidden="1">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row>
    <row r="804" spans="7:35" hidden="1">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row>
    <row r="805" spans="7:35" hidden="1">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row>
    <row r="806" spans="7:35" hidden="1">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row>
    <row r="807" spans="7:35" hidden="1">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row>
    <row r="808" spans="7:35" hidden="1">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row>
    <row r="809" spans="7:35" hidden="1">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row>
    <row r="810" spans="7:35" hidden="1">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row>
    <row r="811" spans="7:35" hidden="1">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row>
    <row r="812" spans="7:35" hidden="1">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row>
    <row r="813" spans="7:35" hidden="1">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row>
    <row r="814" spans="7:35" hidden="1">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row>
    <row r="815" spans="7:35" hidden="1">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row>
    <row r="816" spans="7:35" hidden="1">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row>
    <row r="817" spans="7:35" hidden="1">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row>
    <row r="818" spans="7:35" hidden="1">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row>
    <row r="819" spans="7:35" hidden="1">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row>
    <row r="820" spans="7:35" hidden="1">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row>
    <row r="821" spans="7:35" hidden="1">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row>
    <row r="822" spans="7:35" hidden="1">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row>
    <row r="823" spans="7:35" hidden="1">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row>
    <row r="824" spans="7:35" hidden="1">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row>
    <row r="825" spans="7:35" hidden="1">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row>
    <row r="826" spans="7:35" hidden="1">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row>
    <row r="827" spans="7:35" hidden="1">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row>
    <row r="828" spans="7:35" hidden="1">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row>
    <row r="829" spans="7:35" hidden="1">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row>
    <row r="830" spans="7:35" hidden="1">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row>
    <row r="831" spans="7:35" hidden="1">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row>
    <row r="832" spans="7:35" hidden="1">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row>
    <row r="833" spans="7:35" hidden="1">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row>
    <row r="834" spans="7:35" hidden="1">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row>
    <row r="835" spans="7:35" hidden="1">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row>
    <row r="836" spans="7:35" hidden="1">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row>
    <row r="837" spans="7:35" hidden="1">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row>
    <row r="838" spans="7:35" hidden="1">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row>
    <row r="839" spans="7:35" hidden="1">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row>
    <row r="840" spans="7:35" hidden="1">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row>
    <row r="841" spans="7:35" hidden="1">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row>
    <row r="842" spans="7:35" hidden="1">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row>
    <row r="843" spans="7:35" hidden="1">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row>
    <row r="844" spans="7:35" hidden="1">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row>
    <row r="845" spans="7:35" hidden="1">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row>
    <row r="846" spans="7:35" hidden="1">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row>
    <row r="847" spans="7:35" hidden="1">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row>
    <row r="848" spans="7:35" hidden="1">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row>
    <row r="849" spans="7:35" hidden="1">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row>
    <row r="850" spans="7:35" hidden="1">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row>
    <row r="851" spans="7:35" hidden="1">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row>
    <row r="852" spans="7:35" hidden="1">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row>
    <row r="853" spans="7:35" hidden="1">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row>
    <row r="854" spans="7:35" hidden="1">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row>
    <row r="855" spans="7:35" hidden="1">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row>
    <row r="856" spans="7:35" hidden="1">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row>
    <row r="857" spans="7:35" hidden="1">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row>
    <row r="858" spans="7:35" hidden="1">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row>
    <row r="859" spans="7:35" hidden="1">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row>
    <row r="860" spans="7:35" hidden="1">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row>
    <row r="861" spans="7:35" hidden="1">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row>
    <row r="862" spans="7:35" hidden="1">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row>
    <row r="863" spans="7:35" hidden="1">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row>
    <row r="864" spans="7:35" hidden="1">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row>
    <row r="865" spans="7:35" hidden="1">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row>
    <row r="866" spans="7:35" hidden="1">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row>
    <row r="867" spans="7:35" hidden="1">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row>
    <row r="868" spans="7:35" hidden="1">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row>
    <row r="869" spans="7:35" hidden="1">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row>
    <row r="870" spans="7:35" hidden="1">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row>
    <row r="871" spans="7:35" hidden="1">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row>
    <row r="872" spans="7:35" hidden="1">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row>
    <row r="873" spans="7:35" hidden="1">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row>
    <row r="874" spans="7:35" hidden="1">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row>
    <row r="875" spans="7:35" hidden="1">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row>
    <row r="876" spans="7:35" hidden="1">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row>
    <row r="877" spans="7:35" hidden="1">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row>
    <row r="878" spans="7:35" hidden="1">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row>
    <row r="879" spans="7:35" hidden="1">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row>
    <row r="880" spans="7:35" hidden="1">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row>
    <row r="881" spans="7:35" hidden="1">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row>
    <row r="882" spans="7:35" hidden="1">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row>
    <row r="883" spans="7:35" hidden="1">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row>
    <row r="884" spans="7:35" hidden="1">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row>
    <row r="885" spans="7:35" hidden="1">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row>
    <row r="886" spans="7:35" hidden="1">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row>
    <row r="887" spans="7:35" hidden="1">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row>
    <row r="888" spans="7:35" hidden="1">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row>
    <row r="889" spans="7:35" hidden="1">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row>
    <row r="890" spans="7:35" hidden="1">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row>
    <row r="891" spans="7:35" hidden="1">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row>
    <row r="892" spans="7:35" hidden="1">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row>
    <row r="893" spans="7:35" hidden="1">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row>
    <row r="894" spans="7:35" hidden="1">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row>
    <row r="895" spans="7:35" hidden="1">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row>
    <row r="896" spans="7:35" hidden="1">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row>
    <row r="897" spans="7:35" hidden="1">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row>
    <row r="898" spans="7:35" hidden="1">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row>
    <row r="899" spans="7:35" hidden="1">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row>
    <row r="900" spans="7:35" hidden="1">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row>
    <row r="901" spans="7:35" hidden="1">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row>
    <row r="902" spans="7:35" hidden="1">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row>
    <row r="903" spans="7:35" hidden="1">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row>
    <row r="904" spans="7:35" hidden="1">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row>
    <row r="905" spans="7:35" hidden="1">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row>
    <row r="906" spans="7:35" hidden="1">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row>
    <row r="907" spans="7:35" hidden="1">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row>
    <row r="908" spans="7:35" hidden="1">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row>
    <row r="909" spans="7:35" hidden="1">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row>
    <row r="910" spans="7:35" hidden="1">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row>
    <row r="911" spans="7:35" hidden="1">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row>
    <row r="912" spans="7:35" hidden="1">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row>
    <row r="913" spans="7:35" hidden="1">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row>
    <row r="914" spans="7:35" hidden="1">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row>
    <row r="915" spans="7:35" hidden="1">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row>
    <row r="916" spans="7:35" hidden="1">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row>
    <row r="917" spans="7:35" hidden="1">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row>
    <row r="918" spans="7:35" hidden="1">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row>
    <row r="919" spans="7:35" hidden="1">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row>
    <row r="920" spans="7:35" hidden="1">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row>
    <row r="921" spans="7:35" hidden="1">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row>
    <row r="922" spans="7:35" hidden="1">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row>
    <row r="923" spans="7:35" hidden="1">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row>
    <row r="924" spans="7:35" hidden="1">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row>
    <row r="925" spans="7:35" hidden="1">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row>
    <row r="926" spans="7:35" hidden="1">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row>
    <row r="927" spans="7:35" hidden="1">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row>
    <row r="928" spans="7:35" hidden="1">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row>
    <row r="929" spans="7:35" hidden="1">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row>
    <row r="930" spans="7:35" hidden="1">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row>
    <row r="931" spans="7:35" hidden="1">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row>
    <row r="932" spans="7:35" hidden="1">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row>
    <row r="933" spans="7:35" hidden="1">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row>
    <row r="934" spans="7:35" hidden="1">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row>
    <row r="935" spans="7:35" hidden="1">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row>
    <row r="936" spans="7:35" hidden="1">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row>
    <row r="937" spans="7:35" hidden="1">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row>
    <row r="938" spans="7:35" hidden="1">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row>
    <row r="939" spans="7:35" hidden="1">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row>
    <row r="940" spans="7:35" hidden="1">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row>
    <row r="941" spans="7:35" hidden="1">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row>
    <row r="942" spans="7:35" hidden="1">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row>
    <row r="943" spans="7:35" hidden="1">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row>
    <row r="944" spans="7:35" hidden="1">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row>
    <row r="945" spans="7:35" hidden="1">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row>
    <row r="946" spans="7:35" hidden="1">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row>
    <row r="947" spans="7:35" hidden="1">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row>
    <row r="948" spans="7:35" hidden="1">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row>
    <row r="949" spans="7:35" hidden="1">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row>
    <row r="950" spans="7:35" hidden="1">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row>
    <row r="951" spans="7:35" hidden="1">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row>
    <row r="952" spans="7:35" hidden="1">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row>
    <row r="953" spans="7:35" hidden="1">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row>
    <row r="954" spans="7:35" hidden="1">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row>
    <row r="955" spans="7:35" hidden="1">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row>
    <row r="956" spans="7:35" hidden="1">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row>
    <row r="957" spans="7:35" hidden="1">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row>
    <row r="958" spans="7:35" hidden="1">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row>
    <row r="959" spans="7:35" hidden="1">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row>
    <row r="960" spans="7:35" hidden="1">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row>
    <row r="961" spans="7:35" hidden="1">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row>
    <row r="962" spans="7:35" hidden="1">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row>
    <row r="963" spans="7:35" hidden="1">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row>
    <row r="964" spans="7:35" hidden="1">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row>
    <row r="965" spans="7:35" hidden="1">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row>
    <row r="966" spans="7:35" hidden="1">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row>
    <row r="967" spans="7:35" hidden="1">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row>
    <row r="968" spans="7:35" hidden="1">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row>
    <row r="969" spans="7:35" hidden="1">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row>
    <row r="970" spans="7:35" hidden="1">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row>
    <row r="971" spans="7:35" hidden="1">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row>
    <row r="972" spans="7:35" hidden="1">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row>
    <row r="973" spans="7:35" hidden="1">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row>
    <row r="974" spans="7:35" hidden="1">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row>
    <row r="975" spans="7:35" hidden="1">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row>
    <row r="976" spans="7:35" hidden="1">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row>
    <row r="977" spans="7:35" hidden="1">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row>
    <row r="978" spans="7:35" hidden="1">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row>
    <row r="979" spans="7:35" hidden="1">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row>
    <row r="980" spans="7:35" hidden="1">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row>
    <row r="981" spans="7:35" hidden="1">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row>
    <row r="982" spans="7:35" hidden="1">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row>
    <row r="983" spans="7:35" hidden="1">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row>
    <row r="984" spans="7:35" hidden="1">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row>
    <row r="985" spans="7:35" hidden="1">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row>
    <row r="986" spans="7:35" hidden="1">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row>
    <row r="987" spans="7:35" hidden="1">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row>
    <row r="988" spans="7:35" hidden="1">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row>
    <row r="989" spans="7:35" hidden="1">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row>
    <row r="990" spans="7:35" hidden="1">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row>
    <row r="991" spans="7:35" hidden="1">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row>
    <row r="992" spans="7:35" hidden="1">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row>
    <row r="993" spans="7:35" hidden="1">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row>
    <row r="994" spans="7:35" hidden="1">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row>
    <row r="995" spans="7:35" hidden="1">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row>
    <row r="996" spans="7:35" hidden="1">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row>
    <row r="997" spans="7:35" hidden="1">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row>
    <row r="998" spans="7:35" hidden="1">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row>
    <row r="999" spans="7:35" hidden="1">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row>
    <row r="1000" spans="7:35" hidden="1">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row>
    <row r="1001" spans="7:35" hidden="1">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row>
    <row r="1002" spans="7:35" hidden="1">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row>
    <row r="1003" spans="7:35" hidden="1">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row>
    <row r="1004" spans="7:35" hidden="1">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row>
    <row r="1005" spans="7:35" hidden="1">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row>
    <row r="1006" spans="7:35" hidden="1">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row>
    <row r="1007" spans="7:35" hidden="1">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row>
    <row r="1008" spans="7:35" hidden="1">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row>
    <row r="1009" spans="7:35" hidden="1">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row>
    <row r="1010" spans="7:35" hidden="1">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row>
    <row r="1011" spans="7:35" hidden="1">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row>
    <row r="1012" spans="7:35" hidden="1">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row>
    <row r="1013" spans="7:35" hidden="1">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row>
    <row r="1014" spans="7:35" hidden="1">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row>
    <row r="1015" spans="7:35" hidden="1">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row>
    <row r="1016" spans="7:35" hidden="1">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row>
    <row r="1017" spans="7:35" hidden="1">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row>
    <row r="1018" spans="7:35" hidden="1">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row>
    <row r="1019" spans="7:35" hidden="1">
      <c r="G1019" s="12"/>
      <c r="H1019" s="12"/>
      <c r="I1019" s="12"/>
      <c r="J1019" s="12"/>
      <c r="K1019" s="12"/>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row>
    <row r="1020" spans="7:35" hidden="1">
      <c r="G1020" s="12"/>
      <c r="H1020" s="12"/>
      <c r="I1020" s="12"/>
      <c r="J1020" s="12"/>
      <c r="K1020" s="12"/>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row>
    <row r="1021" spans="7:35" hidden="1">
      <c r="G1021" s="12"/>
      <c r="H1021" s="12"/>
      <c r="I1021" s="12"/>
      <c r="J1021" s="12"/>
      <c r="K1021" s="12"/>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row>
    <row r="1022" spans="7:35" hidden="1">
      <c r="G1022" s="12"/>
      <c r="H1022" s="12"/>
      <c r="I1022" s="12"/>
      <c r="J1022" s="12"/>
      <c r="K1022" s="12"/>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row>
    <row r="1023" spans="7:35" hidden="1">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row>
    <row r="1024" spans="7:35" hidden="1">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row>
    <row r="1025" spans="7:35" hidden="1">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row>
    <row r="1026" spans="7:35" hidden="1">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row>
    <row r="1027" spans="7:35" hidden="1">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row>
    <row r="1028" spans="7:35" hidden="1">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row>
    <row r="1029" spans="7:35" hidden="1">
      <c r="G1029" s="12"/>
      <c r="H1029" s="12"/>
      <c r="I1029" s="12"/>
      <c r="J1029" s="12"/>
      <c r="K1029" s="12"/>
      <c r="L1029" s="12"/>
      <c r="M1029" s="12"/>
      <c r="N1029" s="12"/>
      <c r="O1029" s="12"/>
      <c r="P1029" s="12"/>
      <c r="Q1029" s="12"/>
      <c r="R1029" s="12"/>
      <c r="S1029" s="12"/>
      <c r="T1029" s="12"/>
      <c r="U1029" s="12"/>
      <c r="V1029" s="12"/>
      <c r="W1029" s="12"/>
      <c r="X1029" s="12"/>
      <c r="Y1029" s="12"/>
      <c r="Z1029" s="12"/>
      <c r="AA1029" s="12"/>
      <c r="AB1029" s="12"/>
      <c r="AC1029" s="12"/>
      <c r="AD1029" s="12"/>
      <c r="AE1029" s="12"/>
      <c r="AF1029" s="12"/>
      <c r="AG1029" s="12"/>
      <c r="AH1029" s="12"/>
      <c r="AI1029" s="12"/>
    </row>
    <row r="1030" spans="7:35" hidden="1">
      <c r="G1030" s="12"/>
      <c r="H1030" s="12"/>
      <c r="I1030" s="12"/>
      <c r="J1030" s="12"/>
      <c r="K1030" s="12"/>
      <c r="L1030" s="12"/>
      <c r="M1030" s="12"/>
      <c r="N1030" s="12"/>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row>
    <row r="1031" spans="7:35" hidden="1">
      <c r="G1031" s="12"/>
      <c r="H1031" s="12"/>
      <c r="I1031" s="12"/>
      <c r="J1031" s="12"/>
      <c r="K1031" s="12"/>
      <c r="L1031" s="12"/>
      <c r="M1031" s="12"/>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row>
    <row r="1032" spans="7:35" hidden="1">
      <c r="G1032" s="12"/>
      <c r="H1032" s="12"/>
      <c r="I1032" s="12"/>
      <c r="J1032" s="12"/>
      <c r="K1032" s="12"/>
      <c r="L1032" s="12"/>
      <c r="M1032" s="12"/>
      <c r="N1032" s="12"/>
      <c r="O1032" s="12"/>
      <c r="P1032" s="12"/>
      <c r="Q1032" s="12"/>
      <c r="R1032" s="12"/>
      <c r="S1032" s="12"/>
      <c r="T1032" s="12"/>
      <c r="U1032" s="12"/>
      <c r="V1032" s="12"/>
      <c r="W1032" s="12"/>
      <c r="X1032" s="12"/>
      <c r="Y1032" s="12"/>
      <c r="Z1032" s="12"/>
      <c r="AA1032" s="12"/>
      <c r="AB1032" s="12"/>
      <c r="AC1032" s="12"/>
      <c r="AD1032" s="12"/>
      <c r="AE1032" s="12"/>
      <c r="AF1032" s="12"/>
      <c r="AG1032" s="12"/>
      <c r="AH1032" s="12"/>
      <c r="AI1032" s="12"/>
    </row>
    <row r="1033" spans="7:35" hidden="1">
      <c r="G1033" s="12"/>
      <c r="H1033" s="12"/>
      <c r="I1033" s="12"/>
      <c r="J1033" s="12"/>
      <c r="K1033" s="12"/>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row>
    <row r="1034" spans="7:35" hidden="1">
      <c r="G1034" s="12"/>
      <c r="H1034" s="12"/>
      <c r="I1034" s="12"/>
      <c r="J1034" s="12"/>
      <c r="K1034" s="12"/>
      <c r="L1034" s="12"/>
      <c r="M1034" s="12"/>
      <c r="N1034" s="12"/>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row>
    <row r="1035" spans="7:35" hidden="1">
      <c r="G1035" s="12"/>
      <c r="H1035" s="12"/>
      <c r="I1035" s="12"/>
      <c r="J1035" s="12"/>
      <c r="K1035" s="12"/>
      <c r="L1035" s="12"/>
      <c r="M1035" s="12"/>
      <c r="N1035" s="12"/>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row>
    <row r="1036" spans="7:35" hidden="1">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row>
    <row r="1037" spans="7:35" hidden="1">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row>
    <row r="1038" spans="7:35" hidden="1">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row>
    <row r="1039" spans="7:35" hidden="1">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row>
    <row r="1040" spans="7:35" hidden="1">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row>
    <row r="1041" spans="7:35" hidden="1">
      <c r="G1041" s="12"/>
      <c r="H1041" s="12"/>
      <c r="I1041" s="12"/>
      <c r="J1041" s="12"/>
      <c r="K1041" s="12"/>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row>
    <row r="1042" spans="7:35" hidden="1">
      <c r="G1042" s="12"/>
      <c r="H1042" s="12"/>
      <c r="I1042" s="12"/>
      <c r="J1042" s="12"/>
      <c r="K1042" s="12"/>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row>
    <row r="1043" spans="7:35" hidden="1">
      <c r="G1043" s="12"/>
      <c r="H1043" s="12"/>
      <c r="I1043" s="12"/>
      <c r="J1043" s="12"/>
      <c r="K1043" s="12"/>
      <c r="L1043" s="12"/>
      <c r="M1043" s="12"/>
      <c r="N1043" s="12"/>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row>
    <row r="1044" spans="7:35" hidden="1">
      <c r="G1044" s="12"/>
      <c r="H1044" s="12"/>
      <c r="I1044" s="12"/>
      <c r="J1044" s="12"/>
      <c r="K1044" s="12"/>
      <c r="L1044" s="12"/>
      <c r="M1044" s="12"/>
      <c r="N1044" s="12"/>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row>
    <row r="1045" spans="7:35" hidden="1">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row>
    <row r="1046" spans="7:35" hidden="1">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row>
    <row r="1047" spans="7:35" hidden="1">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row>
    <row r="1048" spans="7:35" hidden="1">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row>
    <row r="1049" spans="7:35" hidden="1">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row>
    <row r="1050" spans="7:35" hidden="1">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row>
    <row r="1051" spans="7:35" hidden="1">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row>
    <row r="1052" spans="7:35" hidden="1">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row>
    <row r="1053" spans="7:35" hidden="1">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row>
    <row r="1054" spans="7:35" hidden="1">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row>
    <row r="1055" spans="7:35" hidden="1">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row>
    <row r="1056" spans="7:35" hidden="1">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row>
    <row r="1057" spans="7:35" hidden="1">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row>
    <row r="1058" spans="7:35" hidden="1">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row>
    <row r="1059" spans="7:35" hidden="1">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row>
    <row r="1060" spans="7:35" hidden="1">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row>
    <row r="1061" spans="7:35" hidden="1">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row>
    <row r="1062" spans="7:35" hidden="1">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row>
    <row r="1063" spans="7:35" hidden="1">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row>
    <row r="1064" spans="7:35" hidden="1">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row>
    <row r="1065" spans="7:35" hidden="1">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row>
    <row r="1066" spans="7:35" hidden="1">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row>
    <row r="1067" spans="7:35" hidden="1">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row>
    <row r="1068" spans="7:35" hidden="1">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row>
    <row r="1069" spans="7:35" hidden="1">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row>
    <row r="1070" spans="7:35" hidden="1">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row>
    <row r="1071" spans="7:35" hidden="1">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row>
    <row r="1072" spans="7:35" hidden="1">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row>
    <row r="1073" spans="7:35" hidden="1">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row>
    <row r="1074" spans="7:35" hidden="1">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row>
    <row r="1075" spans="7:35" hidden="1">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row>
    <row r="1076" spans="7:35" hidden="1">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row>
    <row r="1077" spans="7:35" hidden="1">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row>
  </sheetData>
  <sheetProtection password="C1FB" sheet="1" objects="1" scenarios="1" formatCells="0" formatColumns="0" formatRows="0" selectLockedCells="1"/>
  <customSheetViews>
    <customSheetView guid="{8E92581F-007A-4A12-99AF-FBD8FA5F0BC8}" scale="90" printArea="1" hiddenColumns="1">
      <selection activeCell="G8" sqref="G8"/>
      <pageMargins left="0.7" right="0.7" top="0.75" bottom="0.75" header="0.3" footer="0.3"/>
      <pageSetup paperSize="9" scale="70" orientation="landscape" r:id="rId1"/>
    </customSheetView>
  </customSheetViews>
  <mergeCells count="35">
    <mergeCell ref="A25:H25"/>
    <mergeCell ref="E2:J2"/>
    <mergeCell ref="E3:J4"/>
    <mergeCell ref="E28:G28"/>
    <mergeCell ref="E6:F6"/>
    <mergeCell ref="E7:F7"/>
    <mergeCell ref="E8:F8"/>
    <mergeCell ref="E9:F9"/>
    <mergeCell ref="E10:F10"/>
    <mergeCell ref="E11:F11"/>
    <mergeCell ref="H5:I5"/>
    <mergeCell ref="H6:I6"/>
    <mergeCell ref="H7:I7"/>
    <mergeCell ref="H8:I8"/>
    <mergeCell ref="H9:I9"/>
    <mergeCell ref="H10:I10"/>
    <mergeCell ref="E36:F36"/>
    <mergeCell ref="E37:F37"/>
    <mergeCell ref="H30:H31"/>
    <mergeCell ref="H32:H33"/>
    <mergeCell ref="H37:H38"/>
    <mergeCell ref="E31:F31"/>
    <mergeCell ref="E32:F32"/>
    <mergeCell ref="E35:F35"/>
    <mergeCell ref="H11:I11"/>
    <mergeCell ref="H12:I12"/>
    <mergeCell ref="H13:I13"/>
    <mergeCell ref="H14:I14"/>
    <mergeCell ref="H15:I15"/>
    <mergeCell ref="E12:F12"/>
    <mergeCell ref="H21:I21"/>
    <mergeCell ref="H16:I16"/>
    <mergeCell ref="H18:I18"/>
    <mergeCell ref="H19:I19"/>
    <mergeCell ref="H20:I20"/>
  </mergeCells>
  <dataValidations count="3">
    <dataValidation operator="lessThanOrEqual" allowBlank="1" showInputMessage="1" showErrorMessage="1" errorTitle="Sorry...!!! Not Allow" error="HRA Rebate Permissible up to Actual HRA Recieved" sqref="J32 G32"/>
    <dataValidation type="list" allowBlank="1" showInputMessage="1" showErrorMessage="1" sqref="B27:B38">
      <formula1>"Y,N"</formula1>
    </dataValidation>
    <dataValidation type="list" allowBlank="1" showInputMessage="1" showErrorMessage="1" sqref="F5 I17">
      <formula1>$AO$3:$AO$5</formula1>
    </dataValidation>
  </dataValidations>
  <pageMargins left="0.7" right="0.7" top="0.75" bottom="0.75" header="0.3" footer="0.3"/>
  <pageSetup paperSize="9" scale="70" orientation="landscape" r:id="rId2"/>
  <drawing r:id="rId3"/>
</worksheet>
</file>

<file path=xl/worksheets/sheet5.xml><?xml version="1.0" encoding="utf-8"?>
<worksheet xmlns="http://schemas.openxmlformats.org/spreadsheetml/2006/main" xmlns:r="http://schemas.openxmlformats.org/officeDocument/2006/relationships">
  <sheetPr codeName="Sheet31">
    <tabColor rgb="FF7030A0"/>
  </sheetPr>
  <dimension ref="A1:CL32"/>
  <sheetViews>
    <sheetView view="pageBreakPreview" zoomScaleSheetLayoutView="100" workbookViewId="0">
      <selection activeCell="AE5" sqref="AE5"/>
    </sheetView>
  </sheetViews>
  <sheetFormatPr defaultRowHeight="15.75"/>
  <cols>
    <col min="1" max="1" width="4" style="3" customWidth="1"/>
    <col min="2" max="2" width="13.42578125" style="3" customWidth="1"/>
    <col min="3" max="3" width="7.7109375" style="3" customWidth="1"/>
    <col min="4" max="4" width="6.5703125" style="3" customWidth="1"/>
    <col min="5" max="5" width="5.5703125" style="3" customWidth="1"/>
    <col min="6" max="6" width="5.7109375" style="3" customWidth="1"/>
    <col min="7" max="7" width="5.42578125" style="3" customWidth="1"/>
    <col min="8" max="8" width="5.28515625" style="3" customWidth="1"/>
    <col min="9" max="9" width="6.28515625" style="3" customWidth="1"/>
    <col min="10" max="10" width="6.42578125" style="3" customWidth="1"/>
    <col min="11" max="11" width="5.85546875" style="3" customWidth="1"/>
    <col min="12" max="12" width="7.5703125" style="3" customWidth="1"/>
    <col min="13" max="13" width="5.28515625" style="3" customWidth="1"/>
    <col min="14" max="14" width="5.42578125" style="3" customWidth="1"/>
    <col min="15" max="15" width="5.28515625" style="3" customWidth="1"/>
    <col min="16" max="17" width="5.5703125" style="3" customWidth="1"/>
    <col min="18" max="18" width="5.7109375" style="3" customWidth="1"/>
    <col min="19" max="21" width="5.28515625" style="3" customWidth="1"/>
    <col min="22" max="22" width="6" style="3" customWidth="1"/>
    <col min="23" max="24" width="5.7109375" style="3" customWidth="1"/>
    <col min="25" max="25" width="7.7109375" style="3" customWidth="1"/>
    <col min="26" max="26" width="8" style="83" customWidth="1"/>
    <col min="27" max="27" width="7.140625" style="83" customWidth="1"/>
    <col min="28" max="28" width="7.5703125" style="4" customWidth="1"/>
    <col min="29" max="31" width="9.140625" style="4" customWidth="1"/>
    <col min="32" max="32" width="22.5703125" style="3" customWidth="1"/>
    <col min="33" max="33" width="9.140625" style="4" customWidth="1"/>
    <col min="34" max="34" width="10.85546875" style="4" customWidth="1"/>
    <col min="35" max="50" width="9.140625" style="4" customWidth="1"/>
    <col min="51" max="51" width="11.28515625" style="4" customWidth="1"/>
    <col min="52" max="84" width="9.140625" style="4" customWidth="1"/>
    <col min="85" max="85" width="8.42578125" style="4" customWidth="1"/>
    <col min="86" max="86" width="9.140625" style="4" customWidth="1"/>
    <col min="87" max="88" width="9.140625" style="4" hidden="1" customWidth="1"/>
    <col min="89" max="89" width="8.5703125" style="4" customWidth="1"/>
    <col min="90" max="90" width="9.140625" style="4" hidden="1" customWidth="1"/>
    <col min="91" max="275" width="9.140625" style="4" customWidth="1"/>
    <col min="276" max="16384" width="9.140625" style="4"/>
  </cols>
  <sheetData>
    <row r="1" spans="1:90" ht="21.75" customHeight="1">
      <c r="A1" s="450"/>
      <c r="B1" s="592" t="str">
        <f>IF(AND(Master!D8=""),"",CONCATENATE("Office Name :- ",PROPER(Master!D8)))</f>
        <v>Office Name :- Government Senior Secondary School Inderwara , Rani (Pali)</v>
      </c>
      <c r="C1" s="592"/>
      <c r="D1" s="592"/>
      <c r="E1" s="592"/>
      <c r="F1" s="592"/>
      <c r="G1" s="592"/>
      <c r="H1" s="592"/>
      <c r="I1" s="592"/>
      <c r="J1" s="592"/>
      <c r="K1" s="592"/>
      <c r="L1" s="592"/>
      <c r="M1" s="592"/>
      <c r="N1" s="592"/>
      <c r="O1" s="592"/>
      <c r="P1" s="592"/>
      <c r="Q1" s="592"/>
      <c r="R1" s="592"/>
      <c r="S1" s="592"/>
      <c r="T1" s="592"/>
      <c r="U1" s="592"/>
      <c r="V1" s="592"/>
      <c r="W1" s="588" t="s">
        <v>225</v>
      </c>
      <c r="X1" s="588"/>
      <c r="Y1" s="588"/>
      <c r="Z1" s="584" t="str">
        <f>PROPER(IF(Master!H15="","",Master!H15))</f>
        <v>Pd Head</v>
      </c>
      <c r="AA1" s="584"/>
      <c r="AB1" s="585"/>
    </row>
    <row r="2" spans="1:90" s="67" customFormat="1" ht="23.1" customHeight="1">
      <c r="A2" s="568" t="s">
        <v>207</v>
      </c>
      <c r="B2" s="569"/>
      <c r="C2" s="569"/>
      <c r="D2" s="594" t="str">
        <f>UPPER(IF(Master!D9="","",Master!D9))</f>
        <v>HEERA LAL JAT</v>
      </c>
      <c r="E2" s="594"/>
      <c r="F2" s="594"/>
      <c r="G2" s="594"/>
      <c r="H2" s="594"/>
      <c r="I2" s="569" t="s">
        <v>206</v>
      </c>
      <c r="J2" s="569"/>
      <c r="K2" s="569"/>
      <c r="L2" s="572" t="str">
        <f>UPPER(IF(Master!H9="","",Master!H9))</f>
        <v>SR. TEACHER</v>
      </c>
      <c r="M2" s="572"/>
      <c r="N2" s="572"/>
      <c r="O2" s="572"/>
      <c r="P2" s="569" t="s">
        <v>205</v>
      </c>
      <c r="Q2" s="569"/>
      <c r="R2" s="569"/>
      <c r="S2" s="569"/>
      <c r="T2" s="569"/>
      <c r="U2" s="572" t="str">
        <f>UPPER(IF(Master!D10="","",Master!D10))</f>
        <v>G.S.S.S INDERWARA</v>
      </c>
      <c r="V2" s="572"/>
      <c r="W2" s="572"/>
      <c r="X2" s="572"/>
      <c r="Y2" s="572"/>
      <c r="Z2" s="572"/>
      <c r="AA2" s="570" t="s">
        <v>18</v>
      </c>
      <c r="AB2" s="571"/>
      <c r="AF2" s="68"/>
    </row>
    <row r="3" spans="1:90" s="67" customFormat="1" ht="23.1" customHeight="1">
      <c r="A3" s="579" t="s">
        <v>208</v>
      </c>
      <c r="B3" s="580"/>
      <c r="C3" s="573" t="str">
        <f>UPPER(IF(Master!D12="","",Master!D12))</f>
        <v>ADEPLXXXXX</v>
      </c>
      <c r="D3" s="573"/>
      <c r="E3" s="573"/>
      <c r="F3" s="449" t="s">
        <v>86</v>
      </c>
      <c r="G3" s="573" t="str">
        <f>IF(AND(Master!H13=""),"",Master!H13)</f>
        <v>9xxxx66</v>
      </c>
      <c r="H3" s="573"/>
      <c r="I3" s="573"/>
      <c r="J3" s="54" t="s">
        <v>6</v>
      </c>
      <c r="K3" s="574" t="str">
        <f>IF(AND(J3=""),"",IF(AND(J3=CI3),Master!H14,IF(AND(J3=CI4),Master!D13,"")))</f>
        <v>10xxx33</v>
      </c>
      <c r="L3" s="574"/>
      <c r="M3" s="574"/>
      <c r="N3" s="589" t="s">
        <v>209</v>
      </c>
      <c r="O3" s="589"/>
      <c r="P3" s="589"/>
      <c r="Q3" s="452"/>
      <c r="R3" s="574" t="str">
        <f>IF(AND(Master!D14=""),"",Master!D14)</f>
        <v/>
      </c>
      <c r="S3" s="574"/>
      <c r="T3" s="574"/>
      <c r="U3" s="574"/>
      <c r="V3" s="574"/>
      <c r="W3" s="575" t="s">
        <v>153</v>
      </c>
      <c r="X3" s="575"/>
      <c r="Y3" s="575"/>
      <c r="Z3" s="595" t="str">
        <f>IF(AND(Master!D15=""),"",Master!D15)</f>
        <v>510xxxxxxxx56</v>
      </c>
      <c r="AA3" s="595"/>
      <c r="AB3" s="596"/>
      <c r="AF3" s="68"/>
      <c r="CI3" s="67" t="s">
        <v>152</v>
      </c>
    </row>
    <row r="4" spans="1:90" s="69" customFormat="1" ht="18.75" customHeight="1">
      <c r="A4" s="590" t="s">
        <v>16</v>
      </c>
      <c r="B4" s="582"/>
      <c r="C4" s="582"/>
      <c r="D4" s="582"/>
      <c r="E4" s="582"/>
      <c r="F4" s="582"/>
      <c r="G4" s="582"/>
      <c r="H4" s="582"/>
      <c r="I4" s="582"/>
      <c r="J4" s="582"/>
      <c r="K4" s="582"/>
      <c r="L4" s="591"/>
      <c r="M4" s="581" t="s">
        <v>17</v>
      </c>
      <c r="N4" s="582"/>
      <c r="O4" s="582"/>
      <c r="P4" s="582"/>
      <c r="Q4" s="582"/>
      <c r="R4" s="582"/>
      <c r="S4" s="582"/>
      <c r="T4" s="582"/>
      <c r="U4" s="582"/>
      <c r="V4" s="582"/>
      <c r="W4" s="582"/>
      <c r="X4" s="582"/>
      <c r="Y4" s="582"/>
      <c r="Z4" s="583" t="str">
        <f>IF(AND('GA55 Entry'!AA5=""),"",'GA55 Entry'!AA5)</f>
        <v>NET PAY</v>
      </c>
      <c r="AA4" s="586" t="str">
        <f>IF(AND('GA55 Entry'!AB5=""),"",'GA55 Entry'!AB5)</f>
        <v>TV.NO.</v>
      </c>
      <c r="AB4" s="587" t="str">
        <f>IF(AND('GA55 Entry'!AC5=""),"",'GA55 Entry'!AC5)</f>
        <v>Enc.  DATE</v>
      </c>
      <c r="AF4" s="70"/>
      <c r="CI4" s="69" t="s">
        <v>6</v>
      </c>
    </row>
    <row r="5" spans="1:90" s="71" customFormat="1" ht="47.25" customHeight="1">
      <c r="A5" s="47" t="str">
        <f>IF(AND('GA55 Entry'!B5=""),"",'GA55 Entry'!B5)</f>
        <v>S.N.</v>
      </c>
      <c r="B5" s="46" t="str">
        <f>IF(AND('GA55 Entry'!C5=""),"",'GA55 Entry'!C5)</f>
        <v>Month</v>
      </c>
      <c r="C5" s="46" t="str">
        <f>IF(AND('GA55 Entry'!D5=""),"",'GA55 Entry'!D5)</f>
        <v>Basic with Grade Pay</v>
      </c>
      <c r="D5" s="46" t="str">
        <f>IF(AND('GA55 Entry'!E5=""),"",'GA55 Entry'!E5)</f>
        <v>DA</v>
      </c>
      <c r="E5" s="46" t="str">
        <f>IF(AND('GA55 Entry'!F5=""),"",'GA55 Entry'!F5)</f>
        <v>HRA</v>
      </c>
      <c r="F5" s="46" t="str">
        <f>IF(AND('GA55 Entry'!G5=""),"",'GA55 Entry'!G5)</f>
        <v>Wash All.</v>
      </c>
      <c r="G5" s="46" t="str">
        <f>IF(AND('GA55 Entry'!H5=""),"",'GA55 Entry'!H5)</f>
        <v>Handi. All.</v>
      </c>
      <c r="H5" s="46" t="str">
        <f>IF(AND('GA55 Entry'!I5=""),"",'GA55 Entry'!I5)</f>
        <v>Bonus</v>
      </c>
      <c r="I5" s="46" t="str">
        <f>IF(AND('GA55 Entry'!J5=""),"",'GA55 Entry'!J5)</f>
        <v>CCA</v>
      </c>
      <c r="J5" s="46" t="str">
        <f>IF(AND('GA55 Entry'!K5=""),"",'GA55 Entry'!K5)</f>
        <v>N.P.S. By Govt.</v>
      </c>
      <c r="K5" s="46" t="str">
        <f>IF(AND('GA55 Entry'!L5=""),"",'GA55 Entry'!L5)</f>
        <v>other</v>
      </c>
      <c r="L5" s="46" t="str">
        <f>IF(AND('GA55 Entry'!M5=""),"",'GA55 Entry'!M5)</f>
        <v>TOTAL</v>
      </c>
      <c r="M5" s="46" t="str">
        <f>IF(AND('GA55 Entry'!N5=""),"",'GA55 Entry'!N5)</f>
        <v>SI</v>
      </c>
      <c r="N5" s="46" t="str">
        <f>IF(AND('GA55 Entry'!O5=""),"",'GA55 Entry'!O5)</f>
        <v>GPF</v>
      </c>
      <c r="O5" s="46" t="str">
        <f>IF(AND('GA55 Entry'!P5=""),"",'GA55 Entry'!P5)</f>
        <v>RPMF</v>
      </c>
      <c r="P5" s="46" t="str">
        <f>IF(AND('GA55 Entry'!Q5=""),"",'GA55 Entry'!Q5)</f>
        <v>N.P.S. By SELF</v>
      </c>
      <c r="Q5" s="46" t="str">
        <f>IF(AND('GA55 Entry'!R5=""),"",'GA55 Entry'!R5)</f>
        <v>N.P.S. By Govt.</v>
      </c>
      <c r="R5" s="46" t="str">
        <f>IF(AND('GA55 Entry'!S5=""),"",'GA55 Entry'!S5)</f>
        <v>L.I.C.</v>
      </c>
      <c r="S5" s="46" t="str">
        <f>IF(AND('GA55 Entry'!T5=""),"",'GA55 Entry'!T5)</f>
        <v>S.I. LOAN</v>
      </c>
      <c r="T5" s="46" t="str">
        <f>IF(AND('GA55 Entry'!U5=""),"",'GA55 Entry'!U5)</f>
        <v>GPF LOAN</v>
      </c>
      <c r="U5" s="46" t="str">
        <f>IF(AND('GA55 Entry'!V5=""),"",'GA55 Entry'!V5)</f>
        <v>Other</v>
      </c>
      <c r="V5" s="46" t="str">
        <f>IF(AND('GA55 Entry'!W5=""),"",'GA55 Entry'!W5)</f>
        <v>Income Tax</v>
      </c>
      <c r="W5" s="46" t="str">
        <f>IF(AND('GA55 Entry'!X5=""),"",'GA55 Entry'!X5)</f>
        <v>G.I. + S. Tax</v>
      </c>
      <c r="X5" s="46" t="str">
        <f>IF(AND('GA55 Entry'!Y5=""),"",'GA55 Entry'!Y5)</f>
        <v>OTHER</v>
      </c>
      <c r="Y5" s="48" t="str">
        <f>IF(AND('GA55 Entry'!Z5=""),"",'GA55 Entry'!Z5)</f>
        <v>Total Ded.</v>
      </c>
      <c r="Z5" s="583"/>
      <c r="AA5" s="586"/>
      <c r="AB5" s="587"/>
      <c r="AF5" s="72"/>
    </row>
    <row r="6" spans="1:90" ht="22.5" customHeight="1">
      <c r="A6" s="44">
        <v>1</v>
      </c>
      <c r="B6" s="372">
        <f>IF(AND('GA55 Entry'!C7=""),"",'GA55 Entry'!C7)</f>
        <v>43525</v>
      </c>
      <c r="C6" s="61">
        <f>IF(AND('GA55 Entry'!D7=""),"",'GA55 Entry'!D7)</f>
        <v>47900</v>
      </c>
      <c r="D6" s="61">
        <f>IF(AND('GA55 Entry'!E7=""),"",'GA55 Entry'!E7)</f>
        <v>5748</v>
      </c>
      <c r="E6" s="61">
        <f>IF(AND('GA55 Entry'!F7=""),"",'GA55 Entry'!F7)</f>
        <v>3832</v>
      </c>
      <c r="F6" s="61" t="str">
        <f>IF(AND('GA55 Entry'!G7=""),"",'GA55 Entry'!G7)</f>
        <v/>
      </c>
      <c r="G6" s="61" t="str">
        <f>IF(AND('GA55 Entry'!H7=""),"",'GA55 Entry'!H7)</f>
        <v/>
      </c>
      <c r="H6" s="61" t="str">
        <f>IF(AND('GA55 Entry'!I7=""),"",'GA55 Entry'!I7)</f>
        <v/>
      </c>
      <c r="I6" s="61" t="str">
        <f>IF(AND('GA55 Entry'!J7=""),"",'GA55 Entry'!J7)</f>
        <v/>
      </c>
      <c r="J6" s="61">
        <f>IF(AND('GA55 Entry'!K7=""),"",'GA55 Entry'!K7)</f>
        <v>5365</v>
      </c>
      <c r="K6" s="61" t="str">
        <f>IF(AND('GA55 Entry'!L7=""),"",'GA55 Entry'!L7)</f>
        <v/>
      </c>
      <c r="L6" s="61">
        <f>IF(AND('GA55 Entry'!M7=""),"",'GA55 Entry'!M7)</f>
        <v>62845</v>
      </c>
      <c r="M6" s="61">
        <f>IF(AND('GA55 Entry'!N7=""),"",'GA55 Entry'!N7)</f>
        <v>4000</v>
      </c>
      <c r="N6" s="61" t="str">
        <f>IF(AND('GA55 Entry'!O7=""),"",'GA55 Entry'!O7)</f>
        <v/>
      </c>
      <c r="O6" s="61" t="str">
        <f>IF(AND('GA55 Entry'!P7=""),"",'GA55 Entry'!P7)</f>
        <v/>
      </c>
      <c r="P6" s="61">
        <f>IF(AND('GA55 Entry'!Q7=""),"",'GA55 Entry'!Q7)</f>
        <v>5365</v>
      </c>
      <c r="Q6" s="61">
        <f>IF(AND('GA55 Entry'!R7=""),"",'GA55 Entry'!R7)</f>
        <v>5365</v>
      </c>
      <c r="R6" s="61">
        <f>IF(AND('GA55 Entry'!S7=""),"",'GA55 Entry'!S7)</f>
        <v>2158</v>
      </c>
      <c r="S6" s="61" t="str">
        <f>IF(AND('GA55 Entry'!T7=""),"",'GA55 Entry'!T7)</f>
        <v/>
      </c>
      <c r="T6" s="61" t="str">
        <f>IF(AND('GA55 Entry'!U7=""),"",'GA55 Entry'!U7)</f>
        <v/>
      </c>
      <c r="U6" s="61" t="str">
        <f>IF(AND('GA55 Entry'!V7=""),"",'GA55 Entry'!V7)</f>
        <v/>
      </c>
      <c r="V6" s="61">
        <f>IF(AND('GA55 Entry'!W7=""),"",'GA55 Entry'!W7)</f>
        <v>500</v>
      </c>
      <c r="W6" s="61" t="str">
        <f>IF(AND('GA55 Entry'!X7=""),"",'GA55 Entry'!X7)</f>
        <v/>
      </c>
      <c r="X6" s="61" t="str">
        <f>IF(AND('GA55 Entry'!Y7=""),"",'GA55 Entry'!Y7)</f>
        <v/>
      </c>
      <c r="Y6" s="61">
        <f>IF(AND('GA55 Entry'!Z7=""),"",'GA55 Entry'!Z7)</f>
        <v>17388</v>
      </c>
      <c r="Z6" s="62">
        <f>IF(AND('GA55 Entry'!AA7=""),"",'GA55 Entry'!AA7)</f>
        <v>45457</v>
      </c>
      <c r="AA6" s="322" t="str">
        <f>IF(AND('GA55 Entry'!AB7=""),"",'GA55 Entry'!AB7)</f>
        <v/>
      </c>
      <c r="AB6" s="410" t="str">
        <f>IF(AND('GA55 Entry'!AC7=""),"",'GA55 Entry'!AC7)</f>
        <v/>
      </c>
      <c r="CL6" s="4" t="s">
        <v>6</v>
      </c>
    </row>
    <row r="7" spans="1:90" ht="20.100000000000001" customHeight="1">
      <c r="A7" s="44">
        <v>2</v>
      </c>
      <c r="B7" s="372">
        <f>IF(AND('GA55 Entry'!C8=""),"",'GA55 Entry'!C8)</f>
        <v>43556</v>
      </c>
      <c r="C7" s="61">
        <f>IF(AND('GA55 Entry'!D8=""),"",'GA55 Entry'!D8)</f>
        <v>47900</v>
      </c>
      <c r="D7" s="61">
        <f>IF(AND('GA55 Entry'!E8=""),"",'GA55 Entry'!E8)</f>
        <v>5748</v>
      </c>
      <c r="E7" s="61">
        <f>IF(AND('GA55 Entry'!F8=""),"",'GA55 Entry'!F8)</f>
        <v>3832</v>
      </c>
      <c r="F7" s="61" t="str">
        <f>IF(AND('GA55 Entry'!G8=""),"",'GA55 Entry'!G8)</f>
        <v/>
      </c>
      <c r="G7" s="61" t="str">
        <f>IF(AND('GA55 Entry'!H8=""),"",'GA55 Entry'!H8)</f>
        <v/>
      </c>
      <c r="H7" s="61" t="str">
        <f>IF(AND('GA55 Entry'!I8=""),"",'GA55 Entry'!I8)</f>
        <v/>
      </c>
      <c r="I7" s="61" t="str">
        <f>IF(AND('GA55 Entry'!J8=""),"",'GA55 Entry'!J8)</f>
        <v/>
      </c>
      <c r="J7" s="61">
        <f>IF(AND('GA55 Entry'!K8=""),"",'GA55 Entry'!K8)</f>
        <v>5365</v>
      </c>
      <c r="K7" s="61" t="str">
        <f>IF(AND('GA55 Entry'!L8=""),"",'GA55 Entry'!L8)</f>
        <v/>
      </c>
      <c r="L7" s="61">
        <f>IF(AND('GA55 Entry'!M8=""),"",'GA55 Entry'!M8)</f>
        <v>62845</v>
      </c>
      <c r="M7" s="61">
        <f>IF(AND('GA55 Entry'!N8=""),"",'GA55 Entry'!N8)</f>
        <v>4000</v>
      </c>
      <c r="N7" s="61" t="str">
        <f>IF(AND('GA55 Entry'!O8=""),"",'GA55 Entry'!O8)</f>
        <v/>
      </c>
      <c r="O7" s="61" t="str">
        <f>IF(AND('GA55 Entry'!P8=""),"",'GA55 Entry'!P8)</f>
        <v/>
      </c>
      <c r="P7" s="61">
        <f>IF(AND('GA55 Entry'!Q8=""),"",'GA55 Entry'!Q8)</f>
        <v>5365</v>
      </c>
      <c r="Q7" s="61">
        <f>IF(AND('GA55 Entry'!R8=""),"",'GA55 Entry'!R8)</f>
        <v>5365</v>
      </c>
      <c r="R7" s="61">
        <f>IF(AND('GA55 Entry'!S8=""),"",'GA55 Entry'!S8)</f>
        <v>2158</v>
      </c>
      <c r="S7" s="61" t="str">
        <f>IF(AND('GA55 Entry'!T8=""),"",'GA55 Entry'!T8)</f>
        <v/>
      </c>
      <c r="T7" s="61" t="str">
        <f>IF(AND('GA55 Entry'!U8=""),"",'GA55 Entry'!U8)</f>
        <v/>
      </c>
      <c r="U7" s="61" t="str">
        <f>IF(AND('GA55 Entry'!V8=""),"",'GA55 Entry'!V8)</f>
        <v/>
      </c>
      <c r="V7" s="61">
        <f>IF(AND('GA55 Entry'!W8=""),"",'GA55 Entry'!W8)</f>
        <v>500</v>
      </c>
      <c r="W7" s="61">
        <f>IF(AND('GA55 Entry'!X8=""),"",'GA55 Entry'!X8)</f>
        <v>220</v>
      </c>
      <c r="X7" s="61" t="str">
        <f>IF(AND('GA55 Entry'!Y8=""),"",'GA55 Entry'!Y8)</f>
        <v/>
      </c>
      <c r="Y7" s="61">
        <f>IF(AND('GA55 Entry'!Z8=""),"",'GA55 Entry'!Z8)</f>
        <v>17608</v>
      </c>
      <c r="Z7" s="62">
        <f>IF(AND('GA55 Entry'!AA8=""),"",'GA55 Entry'!AA8)</f>
        <v>45237</v>
      </c>
      <c r="AA7" s="322" t="str">
        <f>IF(AND('GA55 Entry'!AB8=""),"",'GA55 Entry'!AB8)</f>
        <v/>
      </c>
      <c r="AB7" s="410" t="str">
        <f>IF(AND('GA55 Entry'!AC8=""),"",'GA55 Entry'!AC8)</f>
        <v/>
      </c>
      <c r="CL7" s="4" t="s">
        <v>151</v>
      </c>
    </row>
    <row r="8" spans="1:90" ht="20.100000000000001" customHeight="1">
      <c r="A8" s="44">
        <v>3</v>
      </c>
      <c r="B8" s="372">
        <f>IF(AND('GA55 Entry'!C9=""),"",'GA55 Entry'!C9)</f>
        <v>43586</v>
      </c>
      <c r="C8" s="61">
        <f>IF(AND('GA55 Entry'!D9=""),"",'GA55 Entry'!D9)</f>
        <v>47900</v>
      </c>
      <c r="D8" s="61">
        <f>IF(AND('GA55 Entry'!E9=""),"",'GA55 Entry'!E9)</f>
        <v>5748</v>
      </c>
      <c r="E8" s="61">
        <f>IF(AND('GA55 Entry'!F9=""),"",'GA55 Entry'!F9)</f>
        <v>3832</v>
      </c>
      <c r="F8" s="61" t="str">
        <f>IF(AND('GA55 Entry'!G9=""),"",'GA55 Entry'!G9)</f>
        <v/>
      </c>
      <c r="G8" s="61" t="str">
        <f>IF(AND('GA55 Entry'!H9=""),"",'GA55 Entry'!H9)</f>
        <v/>
      </c>
      <c r="H8" s="61" t="str">
        <f>IF(AND('GA55 Entry'!I9=""),"",'GA55 Entry'!I9)</f>
        <v/>
      </c>
      <c r="I8" s="61" t="str">
        <f>IF(AND('GA55 Entry'!J9=""),"",'GA55 Entry'!J9)</f>
        <v/>
      </c>
      <c r="J8" s="61">
        <f>IF(AND('GA55 Entry'!K9=""),"",'GA55 Entry'!K9)</f>
        <v>5365</v>
      </c>
      <c r="K8" s="61" t="str">
        <f>IF(AND('GA55 Entry'!L9=""),"",'GA55 Entry'!L9)</f>
        <v/>
      </c>
      <c r="L8" s="61">
        <f>IF(AND('GA55 Entry'!M9=""),"",'GA55 Entry'!M9)</f>
        <v>62845</v>
      </c>
      <c r="M8" s="61">
        <f>IF(AND('GA55 Entry'!N9=""),"",'GA55 Entry'!N9)</f>
        <v>4000</v>
      </c>
      <c r="N8" s="61" t="str">
        <f>IF(AND('GA55 Entry'!O9=""),"",'GA55 Entry'!O9)</f>
        <v/>
      </c>
      <c r="O8" s="61" t="str">
        <f>IF(AND('GA55 Entry'!P9=""),"",'GA55 Entry'!P9)</f>
        <v/>
      </c>
      <c r="P8" s="61">
        <f>IF(AND('GA55 Entry'!Q9=""),"",'GA55 Entry'!Q9)</f>
        <v>5365</v>
      </c>
      <c r="Q8" s="61">
        <f>IF(AND('GA55 Entry'!R9=""),"",'GA55 Entry'!R9)</f>
        <v>5365</v>
      </c>
      <c r="R8" s="61">
        <f>IF(AND('GA55 Entry'!S9=""),"",'GA55 Entry'!S9)</f>
        <v>2158</v>
      </c>
      <c r="S8" s="61" t="str">
        <f>IF(AND('GA55 Entry'!T9=""),"",'GA55 Entry'!T9)</f>
        <v/>
      </c>
      <c r="T8" s="61" t="str">
        <f>IF(AND('GA55 Entry'!U9=""),"",'GA55 Entry'!U9)</f>
        <v/>
      </c>
      <c r="U8" s="61" t="str">
        <f>IF(AND('GA55 Entry'!V9=""),"",'GA55 Entry'!V9)</f>
        <v/>
      </c>
      <c r="V8" s="61">
        <f>IF(AND('GA55 Entry'!W9=""),"",'GA55 Entry'!W9)</f>
        <v>500</v>
      </c>
      <c r="W8" s="61" t="str">
        <f>IF(AND('GA55 Entry'!X9=""),"",'GA55 Entry'!X9)</f>
        <v/>
      </c>
      <c r="X8" s="61" t="str">
        <f>IF(AND('GA55 Entry'!Y9=""),"",'GA55 Entry'!Y9)</f>
        <v/>
      </c>
      <c r="Y8" s="61">
        <f>IF(AND('GA55 Entry'!Z9=""),"",'GA55 Entry'!Z9)</f>
        <v>17388</v>
      </c>
      <c r="Z8" s="62">
        <f>IF(AND('GA55 Entry'!AA9=""),"",'GA55 Entry'!AA9)</f>
        <v>45457</v>
      </c>
      <c r="AA8" s="322" t="str">
        <f>IF(AND('GA55 Entry'!AB9=""),"",'GA55 Entry'!AB9)</f>
        <v/>
      </c>
      <c r="AB8" s="410" t="str">
        <f>IF(AND('GA55 Entry'!AC9=""),"",'GA55 Entry'!AC9)</f>
        <v/>
      </c>
      <c r="CL8" s="4" t="s">
        <v>152</v>
      </c>
    </row>
    <row r="9" spans="1:90" ht="20.100000000000001" customHeight="1">
      <c r="A9" s="44">
        <v>4</v>
      </c>
      <c r="B9" s="372">
        <f>IF(AND('GA55 Entry'!C10=""),"",'GA55 Entry'!C10)</f>
        <v>43617</v>
      </c>
      <c r="C9" s="61">
        <f>IF(AND('GA55 Entry'!D10=""),"",'GA55 Entry'!D10)</f>
        <v>47900</v>
      </c>
      <c r="D9" s="61">
        <f>IF(AND('GA55 Entry'!E10=""),"",'GA55 Entry'!E10)</f>
        <v>5748</v>
      </c>
      <c r="E9" s="61">
        <f>IF(AND('GA55 Entry'!F10=""),"",'GA55 Entry'!F10)</f>
        <v>3832</v>
      </c>
      <c r="F9" s="61" t="str">
        <f>IF(AND('GA55 Entry'!G10=""),"",'GA55 Entry'!G10)</f>
        <v/>
      </c>
      <c r="G9" s="61" t="str">
        <f>IF(AND('GA55 Entry'!H10=""),"",'GA55 Entry'!H10)</f>
        <v/>
      </c>
      <c r="H9" s="61" t="str">
        <f>IF(AND('GA55 Entry'!I10=""),"",'GA55 Entry'!I10)</f>
        <v/>
      </c>
      <c r="I9" s="61" t="str">
        <f>IF(AND('GA55 Entry'!J10=""),"",'GA55 Entry'!J10)</f>
        <v/>
      </c>
      <c r="J9" s="61">
        <f>IF(AND('GA55 Entry'!K10=""),"",'GA55 Entry'!K10)</f>
        <v>5365</v>
      </c>
      <c r="K9" s="61" t="str">
        <f>IF(AND('GA55 Entry'!L10=""),"",'GA55 Entry'!L10)</f>
        <v/>
      </c>
      <c r="L9" s="61">
        <f>IF(AND('GA55 Entry'!M10=""),"",'GA55 Entry'!M10)</f>
        <v>62845</v>
      </c>
      <c r="M9" s="61">
        <f>IF(AND('GA55 Entry'!N10=""),"",'GA55 Entry'!N10)</f>
        <v>4000</v>
      </c>
      <c r="N9" s="61" t="str">
        <f>IF(AND('GA55 Entry'!O10=""),"",'GA55 Entry'!O10)</f>
        <v/>
      </c>
      <c r="O9" s="61" t="str">
        <f>IF(AND('GA55 Entry'!P10=""),"",'GA55 Entry'!P10)</f>
        <v/>
      </c>
      <c r="P9" s="61">
        <f>IF(AND('GA55 Entry'!Q10=""),"",'GA55 Entry'!Q10)</f>
        <v>5365</v>
      </c>
      <c r="Q9" s="61">
        <f>IF(AND('GA55 Entry'!R10=""),"",'GA55 Entry'!R10)</f>
        <v>5365</v>
      </c>
      <c r="R9" s="61">
        <f>IF(AND('GA55 Entry'!S10=""),"",'GA55 Entry'!S10)</f>
        <v>2158</v>
      </c>
      <c r="S9" s="61" t="str">
        <f>IF(AND('GA55 Entry'!T10=""),"",'GA55 Entry'!T10)</f>
        <v/>
      </c>
      <c r="T9" s="61" t="str">
        <f>IF(AND('GA55 Entry'!U10=""),"",'GA55 Entry'!U10)</f>
        <v/>
      </c>
      <c r="U9" s="61" t="str">
        <f>IF(AND('GA55 Entry'!V10=""),"",'GA55 Entry'!V10)</f>
        <v/>
      </c>
      <c r="V9" s="61">
        <f>IF(AND('GA55 Entry'!W10=""),"",'GA55 Entry'!W10)</f>
        <v>500</v>
      </c>
      <c r="W9" s="61" t="str">
        <f>IF(AND('GA55 Entry'!X10=""),"",'GA55 Entry'!X10)</f>
        <v/>
      </c>
      <c r="X9" s="61" t="str">
        <f>IF(AND('GA55 Entry'!Y10=""),"",'GA55 Entry'!Y10)</f>
        <v/>
      </c>
      <c r="Y9" s="61">
        <f>IF(AND('GA55 Entry'!Z10=""),"",'GA55 Entry'!Z10)</f>
        <v>17388</v>
      </c>
      <c r="Z9" s="62">
        <f>IF(AND('GA55 Entry'!AA10=""),"",'GA55 Entry'!AA10)</f>
        <v>45457</v>
      </c>
      <c r="AA9" s="322" t="str">
        <f>IF(AND('GA55 Entry'!AB10=""),"",'GA55 Entry'!AB10)</f>
        <v/>
      </c>
      <c r="AB9" s="410" t="str">
        <f>IF(AND('GA55 Entry'!AC10=""),"",'GA55 Entry'!AC10)</f>
        <v/>
      </c>
    </row>
    <row r="10" spans="1:90" ht="20.100000000000001" customHeight="1">
      <c r="A10" s="44">
        <v>5</v>
      </c>
      <c r="B10" s="372">
        <f>IF(AND('GA55 Entry'!C11=""),"",'GA55 Entry'!C11)</f>
        <v>43647</v>
      </c>
      <c r="C10" s="61">
        <f>IF(AND('GA55 Entry'!D11=""),"",'GA55 Entry'!D11)</f>
        <v>49300</v>
      </c>
      <c r="D10" s="61">
        <f>IF(AND('GA55 Entry'!E11=""),"",'GA55 Entry'!E11)</f>
        <v>5916</v>
      </c>
      <c r="E10" s="61">
        <f>IF(AND('GA55 Entry'!F11=""),"",'GA55 Entry'!F11)</f>
        <v>3944</v>
      </c>
      <c r="F10" s="61" t="str">
        <f>IF(AND('GA55 Entry'!G11=""),"",'GA55 Entry'!G11)</f>
        <v/>
      </c>
      <c r="G10" s="61" t="str">
        <f>IF(AND('GA55 Entry'!H11=""),"",'GA55 Entry'!H11)</f>
        <v/>
      </c>
      <c r="H10" s="61" t="str">
        <f>IF(AND('GA55 Entry'!I11=""),"",'GA55 Entry'!I11)</f>
        <v/>
      </c>
      <c r="I10" s="61" t="str">
        <f>IF(AND('GA55 Entry'!J11=""),"",'GA55 Entry'!J11)</f>
        <v/>
      </c>
      <c r="J10" s="61">
        <f>IF(AND('GA55 Entry'!K11=""),"",'GA55 Entry'!K11)</f>
        <v>5522</v>
      </c>
      <c r="K10" s="61" t="str">
        <f>IF(AND('GA55 Entry'!L11=""),"",'GA55 Entry'!L11)</f>
        <v/>
      </c>
      <c r="L10" s="61">
        <f>IF(AND('GA55 Entry'!M11=""),"",'GA55 Entry'!M11)</f>
        <v>64682</v>
      </c>
      <c r="M10" s="61">
        <f>IF(AND('GA55 Entry'!N11=""),"",'GA55 Entry'!N11)</f>
        <v>4000</v>
      </c>
      <c r="N10" s="61" t="str">
        <f>IF(AND('GA55 Entry'!O11=""),"",'GA55 Entry'!O11)</f>
        <v/>
      </c>
      <c r="O10" s="61" t="str">
        <f>IF(AND('GA55 Entry'!P11=""),"",'GA55 Entry'!P11)</f>
        <v/>
      </c>
      <c r="P10" s="61">
        <f>IF(AND('GA55 Entry'!Q11=""),"",'GA55 Entry'!Q11)</f>
        <v>5522</v>
      </c>
      <c r="Q10" s="61">
        <f>IF(AND('GA55 Entry'!R11=""),"",'GA55 Entry'!R11)</f>
        <v>5522</v>
      </c>
      <c r="R10" s="61">
        <f>IF(AND('GA55 Entry'!S11=""),"",'GA55 Entry'!S11)</f>
        <v>2158</v>
      </c>
      <c r="S10" s="61" t="str">
        <f>IF(AND('GA55 Entry'!T11=""),"",'GA55 Entry'!T11)</f>
        <v/>
      </c>
      <c r="T10" s="61" t="str">
        <f>IF(AND('GA55 Entry'!U11=""),"",'GA55 Entry'!U11)</f>
        <v/>
      </c>
      <c r="U10" s="61" t="str">
        <f>IF(AND('GA55 Entry'!V11=""),"",'GA55 Entry'!V11)</f>
        <v/>
      </c>
      <c r="V10" s="61">
        <f>IF(AND('GA55 Entry'!W11=""),"",'GA55 Entry'!W11)</f>
        <v>500</v>
      </c>
      <c r="W10" s="61" t="str">
        <f>IF(AND('GA55 Entry'!X11=""),"",'GA55 Entry'!X11)</f>
        <v/>
      </c>
      <c r="X10" s="61" t="str">
        <f>IF(AND('GA55 Entry'!Y11=""),"",'GA55 Entry'!Y11)</f>
        <v/>
      </c>
      <c r="Y10" s="61">
        <f>IF(AND('GA55 Entry'!Z11=""),"",'GA55 Entry'!Z11)</f>
        <v>17702</v>
      </c>
      <c r="Z10" s="62">
        <f>IF(AND('GA55 Entry'!AA11=""),"",'GA55 Entry'!AA11)</f>
        <v>46980</v>
      </c>
      <c r="AA10" s="322" t="str">
        <f>IF(AND('GA55 Entry'!AB11=""),"",'GA55 Entry'!AB11)</f>
        <v/>
      </c>
      <c r="AB10" s="410" t="str">
        <f>IF(AND('GA55 Entry'!AC11=""),"",'GA55 Entry'!AC11)</f>
        <v/>
      </c>
    </row>
    <row r="11" spans="1:90" ht="20.100000000000001" customHeight="1">
      <c r="A11" s="44">
        <v>6</v>
      </c>
      <c r="B11" s="372">
        <f>IF(AND('GA55 Entry'!C12=""),"",'GA55 Entry'!C12)</f>
        <v>43678</v>
      </c>
      <c r="C11" s="61">
        <f>IF(AND('GA55 Entry'!D12=""),"",'GA55 Entry'!D12)</f>
        <v>49300</v>
      </c>
      <c r="D11" s="61">
        <f>IF(AND('GA55 Entry'!E12=""),"",'GA55 Entry'!E12)</f>
        <v>5916</v>
      </c>
      <c r="E11" s="61">
        <f>IF(AND('GA55 Entry'!F12=""),"",'GA55 Entry'!F12)</f>
        <v>3944</v>
      </c>
      <c r="F11" s="61" t="str">
        <f>IF(AND('GA55 Entry'!G12=""),"",'GA55 Entry'!G12)</f>
        <v/>
      </c>
      <c r="G11" s="61" t="str">
        <f>IF(AND('GA55 Entry'!H12=""),"",'GA55 Entry'!H12)</f>
        <v/>
      </c>
      <c r="H11" s="61" t="str">
        <f>IF(AND('GA55 Entry'!I12=""),"",'GA55 Entry'!I12)</f>
        <v/>
      </c>
      <c r="I11" s="61" t="str">
        <f>IF(AND('GA55 Entry'!J12=""),"",'GA55 Entry'!J12)</f>
        <v/>
      </c>
      <c r="J11" s="61">
        <f>IF(AND('GA55 Entry'!K12=""),"",'GA55 Entry'!K12)</f>
        <v>5522</v>
      </c>
      <c r="K11" s="61" t="str">
        <f>IF(AND('GA55 Entry'!L12=""),"",'GA55 Entry'!L12)</f>
        <v/>
      </c>
      <c r="L11" s="61">
        <f>IF(AND('GA55 Entry'!M12=""),"",'GA55 Entry'!M12)</f>
        <v>64682</v>
      </c>
      <c r="M11" s="61">
        <f>IF(AND('GA55 Entry'!N12=""),"",'GA55 Entry'!N12)</f>
        <v>4000</v>
      </c>
      <c r="N11" s="61" t="str">
        <f>IF(AND('GA55 Entry'!O12=""),"",'GA55 Entry'!O12)</f>
        <v/>
      </c>
      <c r="O11" s="61" t="str">
        <f>IF(AND('GA55 Entry'!P12=""),"",'GA55 Entry'!P12)</f>
        <v/>
      </c>
      <c r="P11" s="61">
        <f>IF(AND('GA55 Entry'!Q12=""),"",'GA55 Entry'!Q12)</f>
        <v>5522</v>
      </c>
      <c r="Q11" s="61">
        <f>IF(AND('GA55 Entry'!R12=""),"",'GA55 Entry'!R12)</f>
        <v>5522</v>
      </c>
      <c r="R11" s="61">
        <f>IF(AND('GA55 Entry'!S12=""),"",'GA55 Entry'!S12)</f>
        <v>2158</v>
      </c>
      <c r="S11" s="61" t="str">
        <f>IF(AND('GA55 Entry'!T12=""),"",'GA55 Entry'!T12)</f>
        <v/>
      </c>
      <c r="T11" s="61" t="str">
        <f>IF(AND('GA55 Entry'!U12=""),"",'GA55 Entry'!U12)</f>
        <v/>
      </c>
      <c r="U11" s="61" t="str">
        <f>IF(AND('GA55 Entry'!V12=""),"",'GA55 Entry'!V12)</f>
        <v/>
      </c>
      <c r="V11" s="61">
        <f>IF(AND('GA55 Entry'!W12=""),"",'GA55 Entry'!W12)</f>
        <v>500</v>
      </c>
      <c r="W11" s="61" t="str">
        <f>IF(AND('GA55 Entry'!X12=""),"",'GA55 Entry'!X12)</f>
        <v/>
      </c>
      <c r="X11" s="61" t="str">
        <f>IF(AND('GA55 Entry'!Y12=""),"",'GA55 Entry'!Y12)</f>
        <v/>
      </c>
      <c r="Y11" s="61">
        <f>IF(AND('GA55 Entry'!Z12=""),"",'GA55 Entry'!Z12)</f>
        <v>17702</v>
      </c>
      <c r="Z11" s="62">
        <f>IF(AND('GA55 Entry'!AA12=""),"",'GA55 Entry'!AA12)</f>
        <v>46980</v>
      </c>
      <c r="AA11" s="322" t="str">
        <f>IF(AND('GA55 Entry'!AB12=""),"",'GA55 Entry'!AB12)</f>
        <v/>
      </c>
      <c r="AB11" s="410" t="str">
        <f>IF(AND('GA55 Entry'!AC12=""),"",'GA55 Entry'!AC12)</f>
        <v/>
      </c>
    </row>
    <row r="12" spans="1:90" ht="20.100000000000001" customHeight="1">
      <c r="A12" s="44">
        <v>7</v>
      </c>
      <c r="B12" s="372">
        <f>IF(AND('GA55 Entry'!C13=""),"",'GA55 Entry'!C13)</f>
        <v>43709</v>
      </c>
      <c r="C12" s="61">
        <f>IF(AND('GA55 Entry'!D13=""),"",'GA55 Entry'!D13)</f>
        <v>49300</v>
      </c>
      <c r="D12" s="61">
        <f>IF(AND('GA55 Entry'!E13=""),"",'GA55 Entry'!E13)</f>
        <v>5916</v>
      </c>
      <c r="E12" s="61">
        <f>IF(AND('GA55 Entry'!F13=""),"",'GA55 Entry'!F13)</f>
        <v>3944</v>
      </c>
      <c r="F12" s="61" t="str">
        <f>IF(AND('GA55 Entry'!G13=""),"",'GA55 Entry'!G13)</f>
        <v/>
      </c>
      <c r="G12" s="61" t="str">
        <f>IF(AND('GA55 Entry'!H13=""),"",'GA55 Entry'!H13)</f>
        <v/>
      </c>
      <c r="H12" s="61" t="str">
        <f>IF(AND('GA55 Entry'!I13=""),"",'GA55 Entry'!I13)</f>
        <v/>
      </c>
      <c r="I12" s="61" t="str">
        <f>IF(AND('GA55 Entry'!J13=""),"",'GA55 Entry'!J13)</f>
        <v/>
      </c>
      <c r="J12" s="61">
        <f>IF(AND('GA55 Entry'!K13=""),"",'GA55 Entry'!K13)</f>
        <v>5522</v>
      </c>
      <c r="K12" s="61" t="str">
        <f>IF(AND('GA55 Entry'!L13=""),"",'GA55 Entry'!L13)</f>
        <v/>
      </c>
      <c r="L12" s="61">
        <f>IF(AND('GA55 Entry'!M13=""),"",'GA55 Entry'!M13)</f>
        <v>64682</v>
      </c>
      <c r="M12" s="61">
        <f>IF(AND('GA55 Entry'!N13=""),"",'GA55 Entry'!N13)</f>
        <v>4000</v>
      </c>
      <c r="N12" s="61" t="str">
        <f>IF(AND('GA55 Entry'!O13=""),"",'GA55 Entry'!O13)</f>
        <v/>
      </c>
      <c r="O12" s="61" t="str">
        <f>IF(AND('GA55 Entry'!P13=""),"",'GA55 Entry'!P13)</f>
        <v/>
      </c>
      <c r="P12" s="61">
        <f>IF(AND('GA55 Entry'!Q13=""),"",'GA55 Entry'!Q13)</f>
        <v>5522</v>
      </c>
      <c r="Q12" s="61">
        <f>IF(AND('GA55 Entry'!R13=""),"",'GA55 Entry'!R13)</f>
        <v>5522</v>
      </c>
      <c r="R12" s="61">
        <f>IF(AND('GA55 Entry'!S13=""),"",'GA55 Entry'!S13)</f>
        <v>2158</v>
      </c>
      <c r="S12" s="61" t="str">
        <f>IF(AND('GA55 Entry'!T13=""),"",'GA55 Entry'!T13)</f>
        <v/>
      </c>
      <c r="T12" s="61" t="str">
        <f>IF(AND('GA55 Entry'!U13=""),"",'GA55 Entry'!U13)</f>
        <v/>
      </c>
      <c r="U12" s="61" t="str">
        <f>IF(AND('GA55 Entry'!V13=""),"",'GA55 Entry'!V13)</f>
        <v/>
      </c>
      <c r="V12" s="61">
        <f>IF(AND('GA55 Entry'!W13=""),"",'GA55 Entry'!W13)</f>
        <v>500</v>
      </c>
      <c r="W12" s="61" t="str">
        <f>IF(AND('GA55 Entry'!X13=""),"",'GA55 Entry'!X13)</f>
        <v/>
      </c>
      <c r="X12" s="61" t="str">
        <f>IF(AND('GA55 Entry'!Y13=""),"",'GA55 Entry'!Y13)</f>
        <v/>
      </c>
      <c r="Y12" s="61">
        <f>IF(AND('GA55 Entry'!Z13=""),"",'GA55 Entry'!Z13)</f>
        <v>17702</v>
      </c>
      <c r="Z12" s="62">
        <f>IF(AND('GA55 Entry'!AA13=""),"",'GA55 Entry'!AA13)</f>
        <v>46980</v>
      </c>
      <c r="AA12" s="322" t="str">
        <f>IF(AND('GA55 Entry'!AB13=""),"",'GA55 Entry'!AB13)</f>
        <v/>
      </c>
      <c r="AB12" s="410" t="str">
        <f>IF(AND('GA55 Entry'!AC13=""),"",'GA55 Entry'!AC13)</f>
        <v/>
      </c>
    </row>
    <row r="13" spans="1:90" ht="20.100000000000001" customHeight="1">
      <c r="A13" s="44">
        <v>8</v>
      </c>
      <c r="B13" s="372">
        <f>IF(AND('GA55 Entry'!C14=""),"",'GA55 Entry'!C14)</f>
        <v>43739</v>
      </c>
      <c r="C13" s="61">
        <f>IF(AND('GA55 Entry'!D14=""),"",'GA55 Entry'!D14)</f>
        <v>49300</v>
      </c>
      <c r="D13" s="61">
        <f>IF(AND('GA55 Entry'!E14=""),"",'GA55 Entry'!E14)</f>
        <v>5916</v>
      </c>
      <c r="E13" s="61">
        <f>IF(AND('GA55 Entry'!F14=""),"",'GA55 Entry'!F14)</f>
        <v>3944</v>
      </c>
      <c r="F13" s="61" t="str">
        <f>IF(AND('GA55 Entry'!G14=""),"",'GA55 Entry'!G14)</f>
        <v/>
      </c>
      <c r="G13" s="61" t="str">
        <f>IF(AND('GA55 Entry'!H14=""),"",'GA55 Entry'!H14)</f>
        <v/>
      </c>
      <c r="H13" s="61" t="str">
        <f>IF(AND('GA55 Entry'!I14=""),"",'GA55 Entry'!I14)</f>
        <v/>
      </c>
      <c r="I13" s="61" t="str">
        <f>IF(AND('GA55 Entry'!J14=""),"",'GA55 Entry'!J14)</f>
        <v/>
      </c>
      <c r="J13" s="61">
        <f>IF(AND('GA55 Entry'!K14=""),"",'GA55 Entry'!K14)</f>
        <v>5522</v>
      </c>
      <c r="K13" s="61" t="str">
        <f>IF(AND('GA55 Entry'!L14=""),"",'GA55 Entry'!L14)</f>
        <v/>
      </c>
      <c r="L13" s="61">
        <f>IF(AND('GA55 Entry'!M14=""),"",'GA55 Entry'!M14)</f>
        <v>64682</v>
      </c>
      <c r="M13" s="61">
        <f>IF(AND('GA55 Entry'!N14=""),"",'GA55 Entry'!N14)</f>
        <v>4000</v>
      </c>
      <c r="N13" s="61" t="str">
        <f>IF(AND('GA55 Entry'!O14=""),"",'GA55 Entry'!O14)</f>
        <v/>
      </c>
      <c r="O13" s="61" t="str">
        <f>IF(AND('GA55 Entry'!P14=""),"",'GA55 Entry'!P14)</f>
        <v/>
      </c>
      <c r="P13" s="61">
        <f>IF(AND('GA55 Entry'!Q14=""),"",'GA55 Entry'!Q14)</f>
        <v>5522</v>
      </c>
      <c r="Q13" s="61">
        <f>IF(AND('GA55 Entry'!R14=""),"",'GA55 Entry'!R14)</f>
        <v>5522</v>
      </c>
      <c r="R13" s="61">
        <f>IF(AND('GA55 Entry'!S14=""),"",'GA55 Entry'!S14)</f>
        <v>2158</v>
      </c>
      <c r="S13" s="61" t="str">
        <f>IF(AND('GA55 Entry'!T14=""),"",'GA55 Entry'!T14)</f>
        <v/>
      </c>
      <c r="T13" s="61" t="str">
        <f>IF(AND('GA55 Entry'!U14=""),"",'GA55 Entry'!U14)</f>
        <v/>
      </c>
      <c r="U13" s="61" t="str">
        <f>IF(AND('GA55 Entry'!V14=""),"",'GA55 Entry'!V14)</f>
        <v/>
      </c>
      <c r="V13" s="61">
        <f>IF(AND('GA55 Entry'!W14=""),"",'GA55 Entry'!W14)</f>
        <v>500</v>
      </c>
      <c r="W13" s="61" t="str">
        <f>IF(AND('GA55 Entry'!X14=""),"",'GA55 Entry'!X14)</f>
        <v/>
      </c>
      <c r="X13" s="61" t="str">
        <f>IF(AND('GA55 Entry'!Y14=""),"",'GA55 Entry'!Y14)</f>
        <v/>
      </c>
      <c r="Y13" s="61">
        <f>IF(AND('GA55 Entry'!Z14=""),"",'GA55 Entry'!Z14)</f>
        <v>17702</v>
      </c>
      <c r="Z13" s="62">
        <f>IF(AND('GA55 Entry'!AA14=""),"",'GA55 Entry'!AA14)</f>
        <v>46980</v>
      </c>
      <c r="AA13" s="322" t="str">
        <f>IF(AND('GA55 Entry'!AB14=""),"",'GA55 Entry'!AB14)</f>
        <v/>
      </c>
      <c r="AB13" s="410" t="str">
        <f>IF(AND('GA55 Entry'!AC14=""),"",'GA55 Entry'!AC14)</f>
        <v/>
      </c>
    </row>
    <row r="14" spans="1:90" ht="20.100000000000001" customHeight="1">
      <c r="A14" s="44">
        <v>9</v>
      </c>
      <c r="B14" s="372">
        <f>IF(AND('GA55 Entry'!C15=""),"",'GA55 Entry'!C15)</f>
        <v>43770</v>
      </c>
      <c r="C14" s="61">
        <f>IF(AND('GA55 Entry'!D15=""),"",'GA55 Entry'!D15)</f>
        <v>49300</v>
      </c>
      <c r="D14" s="61">
        <f>IF(AND('GA55 Entry'!E15=""),"",'GA55 Entry'!E15)</f>
        <v>5916</v>
      </c>
      <c r="E14" s="61">
        <f>IF(AND('GA55 Entry'!F15=""),"",'GA55 Entry'!F15)</f>
        <v>3944</v>
      </c>
      <c r="F14" s="61" t="str">
        <f>IF(AND('GA55 Entry'!G15=""),"",'GA55 Entry'!G15)</f>
        <v/>
      </c>
      <c r="G14" s="61" t="str">
        <f>IF(AND('GA55 Entry'!H15=""),"",'GA55 Entry'!H15)</f>
        <v/>
      </c>
      <c r="H14" s="61" t="str">
        <f>IF(AND('GA55 Entry'!I15=""),"",'GA55 Entry'!I15)</f>
        <v/>
      </c>
      <c r="I14" s="61" t="str">
        <f>IF(AND('GA55 Entry'!J15=""),"",'GA55 Entry'!J15)</f>
        <v/>
      </c>
      <c r="J14" s="61">
        <f>IF(AND('GA55 Entry'!K15=""),"",'GA55 Entry'!K15)</f>
        <v>5522</v>
      </c>
      <c r="K14" s="61" t="str">
        <f>IF(AND('GA55 Entry'!L15=""),"",'GA55 Entry'!L15)</f>
        <v/>
      </c>
      <c r="L14" s="61">
        <f>IF(AND('GA55 Entry'!M15=""),"",'GA55 Entry'!M15)</f>
        <v>64682</v>
      </c>
      <c r="M14" s="61">
        <f>IF(AND('GA55 Entry'!N15=""),"",'GA55 Entry'!N15)</f>
        <v>4000</v>
      </c>
      <c r="N14" s="61" t="str">
        <f>IF(AND('GA55 Entry'!O15=""),"",'GA55 Entry'!O15)</f>
        <v/>
      </c>
      <c r="O14" s="61" t="str">
        <f>IF(AND('GA55 Entry'!P15=""),"",'GA55 Entry'!P15)</f>
        <v/>
      </c>
      <c r="P14" s="61">
        <f>IF(AND('GA55 Entry'!Q15=""),"",'GA55 Entry'!Q15)</f>
        <v>5522</v>
      </c>
      <c r="Q14" s="61">
        <f>IF(AND('GA55 Entry'!R15=""),"",'GA55 Entry'!R15)</f>
        <v>5522</v>
      </c>
      <c r="R14" s="61">
        <f>IF(AND('GA55 Entry'!S15=""),"",'GA55 Entry'!S15)</f>
        <v>2158</v>
      </c>
      <c r="S14" s="61" t="str">
        <f>IF(AND('GA55 Entry'!T15=""),"",'GA55 Entry'!T15)</f>
        <v/>
      </c>
      <c r="T14" s="61" t="str">
        <f>IF(AND('GA55 Entry'!U15=""),"",'GA55 Entry'!U15)</f>
        <v/>
      </c>
      <c r="U14" s="61" t="str">
        <f>IF(AND('GA55 Entry'!V15=""),"",'GA55 Entry'!V15)</f>
        <v/>
      </c>
      <c r="V14" s="61">
        <f>IF(AND('GA55 Entry'!W15=""),"",'GA55 Entry'!W15)</f>
        <v>500</v>
      </c>
      <c r="W14" s="61" t="str">
        <f>IF(AND('GA55 Entry'!X15=""),"",'GA55 Entry'!X15)</f>
        <v/>
      </c>
      <c r="X14" s="61" t="str">
        <f>IF(AND('GA55 Entry'!Y15=""),"",'GA55 Entry'!Y15)</f>
        <v/>
      </c>
      <c r="Y14" s="61">
        <f>IF(AND('GA55 Entry'!Z15=""),"",'GA55 Entry'!Z15)</f>
        <v>17702</v>
      </c>
      <c r="Z14" s="62">
        <f>IF(AND('GA55 Entry'!AA15=""),"",'GA55 Entry'!AA15)</f>
        <v>46980</v>
      </c>
      <c r="AA14" s="322" t="str">
        <f>IF(AND('GA55 Entry'!AB15=""),"",'GA55 Entry'!AB15)</f>
        <v/>
      </c>
      <c r="AB14" s="410" t="str">
        <f>IF(AND('GA55 Entry'!AC15=""),"",'GA55 Entry'!AC15)</f>
        <v/>
      </c>
      <c r="AE14" s="73" t="str">
        <f>IF(AND(CH3=""),"",IF(AND(CH3="YES"),CI3,IF(AND(CH3="NO"),CI4,"")))</f>
        <v/>
      </c>
    </row>
    <row r="15" spans="1:90" ht="20.100000000000001" customHeight="1">
      <c r="A15" s="44">
        <v>10</v>
      </c>
      <c r="B15" s="372">
        <f>IF(AND('GA55 Entry'!C16=""),"",'GA55 Entry'!C16)</f>
        <v>43800</v>
      </c>
      <c r="C15" s="61">
        <f>IF(AND('GA55 Entry'!D16=""),"",'GA55 Entry'!D16)</f>
        <v>49300</v>
      </c>
      <c r="D15" s="61">
        <f>IF(AND('GA55 Entry'!E16=""),"",'GA55 Entry'!E16)</f>
        <v>5916</v>
      </c>
      <c r="E15" s="61">
        <f>IF(AND('GA55 Entry'!F16=""),"",'GA55 Entry'!F16)</f>
        <v>3944</v>
      </c>
      <c r="F15" s="61" t="str">
        <f>IF(AND('GA55 Entry'!G16=""),"",'GA55 Entry'!G16)</f>
        <v/>
      </c>
      <c r="G15" s="61" t="str">
        <f>IF(AND('GA55 Entry'!H16=""),"",'GA55 Entry'!H16)</f>
        <v/>
      </c>
      <c r="H15" s="61" t="str">
        <f>IF(AND('GA55 Entry'!I16=""),"",'GA55 Entry'!I16)</f>
        <v/>
      </c>
      <c r="I15" s="61" t="str">
        <f>IF(AND('GA55 Entry'!J16=""),"",'GA55 Entry'!J16)</f>
        <v/>
      </c>
      <c r="J15" s="61">
        <f>IF(AND('GA55 Entry'!K16=""),"",'GA55 Entry'!K16)</f>
        <v>5522</v>
      </c>
      <c r="K15" s="61" t="str">
        <f>IF(AND('GA55 Entry'!L16=""),"",'GA55 Entry'!L16)</f>
        <v/>
      </c>
      <c r="L15" s="61">
        <f>IF(AND('GA55 Entry'!M16=""),"",'GA55 Entry'!M16)</f>
        <v>64682</v>
      </c>
      <c r="M15" s="61">
        <f>IF(AND('GA55 Entry'!N16=""),"",'GA55 Entry'!N16)</f>
        <v>4000</v>
      </c>
      <c r="N15" s="61" t="str">
        <f>IF(AND('GA55 Entry'!O16=""),"",'GA55 Entry'!O16)</f>
        <v/>
      </c>
      <c r="O15" s="61" t="str">
        <f>IF(AND('GA55 Entry'!P16=""),"",'GA55 Entry'!P16)</f>
        <v/>
      </c>
      <c r="P15" s="61">
        <f>IF(AND('GA55 Entry'!Q16=""),"",'GA55 Entry'!Q16)</f>
        <v>5522</v>
      </c>
      <c r="Q15" s="61">
        <f>IF(AND('GA55 Entry'!R16=""),"",'GA55 Entry'!R16)</f>
        <v>5522</v>
      </c>
      <c r="R15" s="61">
        <f>IF(AND('GA55 Entry'!S16=""),"",'GA55 Entry'!S16)</f>
        <v>2158</v>
      </c>
      <c r="S15" s="61" t="str">
        <f>IF(AND('GA55 Entry'!T16=""),"",'GA55 Entry'!T16)</f>
        <v/>
      </c>
      <c r="T15" s="61" t="str">
        <f>IF(AND('GA55 Entry'!U16=""),"",'GA55 Entry'!U16)</f>
        <v/>
      </c>
      <c r="U15" s="61" t="str">
        <f>IF(AND('GA55 Entry'!V16=""),"",'GA55 Entry'!V16)</f>
        <v/>
      </c>
      <c r="V15" s="61">
        <f>IF(AND('GA55 Entry'!W16=""),"",'GA55 Entry'!W16)</f>
        <v>500</v>
      </c>
      <c r="W15" s="61" t="str">
        <f>IF(AND('GA55 Entry'!X16=""),"",'GA55 Entry'!X16)</f>
        <v/>
      </c>
      <c r="X15" s="61" t="str">
        <f>IF(AND('GA55 Entry'!Y16=""),"",'GA55 Entry'!Y16)</f>
        <v/>
      </c>
      <c r="Y15" s="61">
        <f>IF(AND('GA55 Entry'!Z16=""),"",'GA55 Entry'!Z16)</f>
        <v>17702</v>
      </c>
      <c r="Z15" s="62">
        <f>IF(AND('GA55 Entry'!AA16=""),"",'GA55 Entry'!AA16)</f>
        <v>46980</v>
      </c>
      <c r="AA15" s="322" t="str">
        <f>IF(AND('GA55 Entry'!AB16=""),"",'GA55 Entry'!AB16)</f>
        <v/>
      </c>
      <c r="AB15" s="410" t="str">
        <f>IF(AND('GA55 Entry'!AC16=""),"",'GA55 Entry'!AC16)</f>
        <v/>
      </c>
    </row>
    <row r="16" spans="1:90" ht="20.100000000000001" customHeight="1">
      <c r="A16" s="44">
        <v>11</v>
      </c>
      <c r="B16" s="372">
        <f>IF(AND('GA55 Entry'!C17=""),"",'GA55 Entry'!C17)</f>
        <v>43831</v>
      </c>
      <c r="C16" s="61">
        <f>IF(AND('GA55 Entry'!D17=""),"",'GA55 Entry'!D17)</f>
        <v>49300</v>
      </c>
      <c r="D16" s="61">
        <f>IF(AND('GA55 Entry'!E17=""),"",'GA55 Entry'!E17)</f>
        <v>5916</v>
      </c>
      <c r="E16" s="61">
        <f>IF(AND('GA55 Entry'!F17=""),"",'GA55 Entry'!F17)</f>
        <v>3944</v>
      </c>
      <c r="F16" s="61" t="str">
        <f>IF(AND('GA55 Entry'!G17=""),"",'GA55 Entry'!G17)</f>
        <v/>
      </c>
      <c r="G16" s="61" t="str">
        <f>IF(AND('GA55 Entry'!H17=""),"",'GA55 Entry'!H17)</f>
        <v/>
      </c>
      <c r="H16" s="61" t="str">
        <f>IF(AND('GA55 Entry'!I17=""),"",'GA55 Entry'!I17)</f>
        <v/>
      </c>
      <c r="I16" s="61" t="str">
        <f>IF(AND('GA55 Entry'!J17=""),"",'GA55 Entry'!J17)</f>
        <v/>
      </c>
      <c r="J16" s="61">
        <f>IF(AND('GA55 Entry'!K17=""),"",'GA55 Entry'!K17)</f>
        <v>5522</v>
      </c>
      <c r="K16" s="61" t="str">
        <f>IF(AND('GA55 Entry'!L17=""),"",'GA55 Entry'!L17)</f>
        <v/>
      </c>
      <c r="L16" s="61">
        <f>IF(AND('GA55 Entry'!M17=""),"",'GA55 Entry'!M17)</f>
        <v>64682</v>
      </c>
      <c r="M16" s="61">
        <f>IF(AND('GA55 Entry'!N17=""),"",'GA55 Entry'!N17)</f>
        <v>4000</v>
      </c>
      <c r="N16" s="61" t="str">
        <f>IF(AND('GA55 Entry'!O17=""),"",'GA55 Entry'!O17)</f>
        <v/>
      </c>
      <c r="O16" s="61" t="str">
        <f>IF(AND('GA55 Entry'!P17=""),"",'GA55 Entry'!P17)</f>
        <v/>
      </c>
      <c r="P16" s="61">
        <f>IF(AND('GA55 Entry'!Q17=""),"",'GA55 Entry'!Q17)</f>
        <v>5522</v>
      </c>
      <c r="Q16" s="61">
        <f>IF(AND('GA55 Entry'!R17=""),"",'GA55 Entry'!R17)</f>
        <v>5522</v>
      </c>
      <c r="R16" s="61">
        <f>IF(AND('GA55 Entry'!S17=""),"",'GA55 Entry'!S17)</f>
        <v>2158</v>
      </c>
      <c r="S16" s="61" t="str">
        <f>IF(AND('GA55 Entry'!T17=""),"",'GA55 Entry'!T17)</f>
        <v/>
      </c>
      <c r="T16" s="61" t="str">
        <f>IF(AND('GA55 Entry'!U17=""),"",'GA55 Entry'!U17)</f>
        <v/>
      </c>
      <c r="U16" s="61" t="str">
        <f>IF(AND('GA55 Entry'!V17=""),"",'GA55 Entry'!V17)</f>
        <v/>
      </c>
      <c r="V16" s="61">
        <f>IF(AND('GA55 Entry'!W17=""),"",'GA55 Entry'!W17)</f>
        <v>500</v>
      </c>
      <c r="W16" s="61" t="str">
        <f>IF(AND('GA55 Entry'!X17=""),"",'GA55 Entry'!X17)</f>
        <v/>
      </c>
      <c r="X16" s="61" t="str">
        <f>IF(AND('GA55 Entry'!Y17=""),"",'GA55 Entry'!Y17)</f>
        <v/>
      </c>
      <c r="Y16" s="61">
        <f>IF(AND('GA55 Entry'!Z17=""),"",'GA55 Entry'!Z17)</f>
        <v>17702</v>
      </c>
      <c r="Z16" s="62">
        <f>IF(AND('GA55 Entry'!AA17=""),"",'GA55 Entry'!AA17)</f>
        <v>46980</v>
      </c>
      <c r="AA16" s="322" t="str">
        <f>IF(AND('GA55 Entry'!AB17=""),"",'GA55 Entry'!AB17)</f>
        <v/>
      </c>
      <c r="AB16" s="410" t="str">
        <f>IF(AND('GA55 Entry'!AC17=""),"",'GA55 Entry'!AC17)</f>
        <v/>
      </c>
    </row>
    <row r="17" spans="1:28" ht="20.100000000000001" customHeight="1">
      <c r="A17" s="44">
        <v>12</v>
      </c>
      <c r="B17" s="372">
        <f>IF(AND('GA55 Entry'!C18=""),"",'GA55 Entry'!C18)</f>
        <v>43862</v>
      </c>
      <c r="C17" s="61">
        <f>IF(AND('GA55 Entry'!D18=""),"",'GA55 Entry'!D18)</f>
        <v>49300</v>
      </c>
      <c r="D17" s="61">
        <f>IF(AND('GA55 Entry'!E18=""),"",'GA55 Entry'!E18)</f>
        <v>5916</v>
      </c>
      <c r="E17" s="61">
        <f>IF(AND('GA55 Entry'!F18=""),"",'GA55 Entry'!F18)</f>
        <v>3944</v>
      </c>
      <c r="F17" s="61" t="str">
        <f>IF(AND('GA55 Entry'!G18=""),"",'GA55 Entry'!G18)</f>
        <v/>
      </c>
      <c r="G17" s="61" t="str">
        <f>IF(AND('GA55 Entry'!H18=""),"",'GA55 Entry'!H18)</f>
        <v/>
      </c>
      <c r="H17" s="61" t="str">
        <f>IF(AND('GA55 Entry'!I18=""),"",'GA55 Entry'!I18)</f>
        <v/>
      </c>
      <c r="I17" s="61" t="str">
        <f>IF(AND('GA55 Entry'!J18=""),"",'GA55 Entry'!J18)</f>
        <v/>
      </c>
      <c r="J17" s="61">
        <f>IF(AND('GA55 Entry'!K18=""),"",'GA55 Entry'!K18)</f>
        <v>5522</v>
      </c>
      <c r="K17" s="61" t="str">
        <f>IF(AND('GA55 Entry'!L18=""),"",'GA55 Entry'!L18)</f>
        <v/>
      </c>
      <c r="L17" s="61">
        <f>IF(AND('GA55 Entry'!M18=""),"",'GA55 Entry'!M18)</f>
        <v>64682</v>
      </c>
      <c r="M17" s="61">
        <f>IF(AND('GA55 Entry'!N18=""),"",'GA55 Entry'!N18)</f>
        <v>4000</v>
      </c>
      <c r="N17" s="61" t="str">
        <f>IF(AND('GA55 Entry'!O18=""),"",'GA55 Entry'!O18)</f>
        <v/>
      </c>
      <c r="O17" s="61" t="str">
        <f>IF(AND('GA55 Entry'!P18=""),"",'GA55 Entry'!P18)</f>
        <v/>
      </c>
      <c r="P17" s="61">
        <f>IF(AND('GA55 Entry'!Q18=""),"",'GA55 Entry'!Q18)</f>
        <v>5522</v>
      </c>
      <c r="Q17" s="61">
        <f>IF(AND('GA55 Entry'!R18=""),"",'GA55 Entry'!R18)</f>
        <v>5522</v>
      </c>
      <c r="R17" s="61">
        <f>IF(AND('GA55 Entry'!S18=""),"",'GA55 Entry'!S18)</f>
        <v>2158</v>
      </c>
      <c r="S17" s="61" t="str">
        <f>IF(AND('GA55 Entry'!T18=""),"",'GA55 Entry'!T18)</f>
        <v/>
      </c>
      <c r="T17" s="61" t="str">
        <f>IF(AND('GA55 Entry'!U18=""),"",'GA55 Entry'!U18)</f>
        <v/>
      </c>
      <c r="U17" s="61" t="str">
        <f>IF(AND('GA55 Entry'!V18=""),"",'GA55 Entry'!V18)</f>
        <v/>
      </c>
      <c r="V17" s="61">
        <f>IF(AND('GA55 Entry'!W18=""),"",'GA55 Entry'!W18)</f>
        <v>500</v>
      </c>
      <c r="W17" s="61" t="str">
        <f>IF(AND('GA55 Entry'!X18=""),"",'GA55 Entry'!X18)</f>
        <v/>
      </c>
      <c r="X17" s="61" t="str">
        <f>IF(AND('GA55 Entry'!Y18=""),"",'GA55 Entry'!Y18)</f>
        <v/>
      </c>
      <c r="Y17" s="61">
        <f>IF(AND('GA55 Entry'!Z18=""),"",'GA55 Entry'!Z18)</f>
        <v>17702</v>
      </c>
      <c r="Z17" s="62">
        <f>IF(AND('GA55 Entry'!AA18=""),"",'GA55 Entry'!AA18)</f>
        <v>46980</v>
      </c>
      <c r="AA17" s="322" t="str">
        <f>IF(AND('GA55 Entry'!AB18=""),"",'GA55 Entry'!AB18)</f>
        <v/>
      </c>
      <c r="AB17" s="410" t="str">
        <f>IF(AND('GA55 Entry'!AC18=""),"",'GA55 Entry'!AC18)</f>
        <v/>
      </c>
    </row>
    <row r="18" spans="1:28" ht="20.100000000000001" customHeight="1">
      <c r="A18" s="44">
        <v>13</v>
      </c>
      <c r="B18" s="372" t="str">
        <f>IF(AND('GA55 Entry'!C19=""),"",'GA55 Entry'!C19)</f>
        <v>Bonus</v>
      </c>
      <c r="C18" s="61" t="str">
        <f>IF(AND('GA55 Entry'!D19=""),"",'GA55 Entry'!D19)</f>
        <v/>
      </c>
      <c r="D18" s="61" t="str">
        <f>IF(AND('GA55 Entry'!E19=""),"",'GA55 Entry'!E19)</f>
        <v/>
      </c>
      <c r="E18" s="61" t="str">
        <f>IF(AND('GA55 Entry'!F19=""),"",'GA55 Entry'!F19)</f>
        <v/>
      </c>
      <c r="F18" s="61" t="str">
        <f>IF(AND('GA55 Entry'!G19=""),"",'GA55 Entry'!G19)</f>
        <v/>
      </c>
      <c r="G18" s="61" t="str">
        <f>IF(AND('GA55 Entry'!H19=""),"",'GA55 Entry'!H19)</f>
        <v/>
      </c>
      <c r="H18" s="61">
        <f>IF(AND('GA55 Entry'!I19=""),"",'GA55 Entry'!I19)</f>
        <v>6774</v>
      </c>
      <c r="I18" s="61" t="str">
        <f>IF(AND('GA55 Entry'!J19=""),"",'GA55 Entry'!J19)</f>
        <v/>
      </c>
      <c r="J18" s="61" t="str">
        <f>IF(AND('GA55 Entry'!K19=""),"",'GA55 Entry'!K19)</f>
        <v/>
      </c>
      <c r="K18" s="61" t="str">
        <f>IF(AND('GA55 Entry'!L19=""),"",'GA55 Entry'!L19)</f>
        <v/>
      </c>
      <c r="L18" s="61">
        <f>IF(AND('GA55 Entry'!M19=""),"",'GA55 Entry'!M19)</f>
        <v>6774</v>
      </c>
      <c r="M18" s="61" t="str">
        <f>IF(AND('GA55 Entry'!N19=""),"",'GA55 Entry'!N19)</f>
        <v/>
      </c>
      <c r="N18" s="61" t="str">
        <f>IF(AND('GA55 Entry'!O19=""),"",'GA55 Entry'!O19)</f>
        <v/>
      </c>
      <c r="O18" s="61" t="str">
        <f>IF(AND('GA55 Entry'!P19=""),"",'GA55 Entry'!P19)</f>
        <v/>
      </c>
      <c r="P18" s="61" t="str">
        <f>IF(AND('GA55 Entry'!Q19=""),"",'GA55 Entry'!Q19)</f>
        <v/>
      </c>
      <c r="Q18" s="61">
        <f>IF(AND('GA55 Entry'!R19=""),"",'GA55 Entry'!R19)</f>
        <v>0</v>
      </c>
      <c r="R18" s="61" t="str">
        <f>IF(AND('GA55 Entry'!S19=""),"",'GA55 Entry'!S19)</f>
        <v/>
      </c>
      <c r="S18" s="61" t="str">
        <f>IF(AND('GA55 Entry'!T19=""),"",'GA55 Entry'!T19)</f>
        <v/>
      </c>
      <c r="T18" s="61" t="str">
        <f>IF(AND('GA55 Entry'!U19=""),"",'GA55 Entry'!U19)</f>
        <v/>
      </c>
      <c r="U18" s="61" t="str">
        <f>IF(AND('GA55 Entry'!V19=""),"",'GA55 Entry'!V19)</f>
        <v/>
      </c>
      <c r="V18" s="61" t="str">
        <f>IF(AND('GA55 Entry'!W19=""),"",'GA55 Entry'!W19)</f>
        <v/>
      </c>
      <c r="W18" s="61" t="str">
        <f>IF(AND('GA55 Entry'!X19=""),"",'GA55 Entry'!X19)</f>
        <v/>
      </c>
      <c r="X18" s="61" t="str">
        <f>IF(AND('GA55 Entry'!Y19=""),"",'GA55 Entry'!Y19)</f>
        <v/>
      </c>
      <c r="Y18" s="61">
        <f>IF(AND('GA55 Entry'!Z19=""),"",'GA55 Entry'!Z19)</f>
        <v>0</v>
      </c>
      <c r="Z18" s="62">
        <f>IF(AND('GA55 Entry'!AA19=""),"",'GA55 Entry'!AA19)</f>
        <v>6774</v>
      </c>
      <c r="AA18" s="322" t="str">
        <f>IF(AND('GA55 Entry'!AB19=""),"",'GA55 Entry'!AB19)</f>
        <v/>
      </c>
      <c r="AB18" s="410" t="str">
        <f>IF(AND('GA55 Entry'!AC19=""),"",'GA55 Entry'!AC19)</f>
        <v/>
      </c>
    </row>
    <row r="19" spans="1:28" ht="24" customHeight="1">
      <c r="A19" s="44">
        <v>14</v>
      </c>
      <c r="B19" s="373" t="str">
        <f>IF(AND('GA55 Entry'!C20=""),"",'GA55 Entry'!C20)</f>
        <v xml:space="preserve">PL  Surrender </v>
      </c>
      <c r="C19" s="61">
        <f>IF(AND('GA55 Entry'!D20=""),"",'GA55 Entry'!D20)</f>
        <v>24650</v>
      </c>
      <c r="D19" s="61">
        <f>IF(AND('GA55 Entry'!E20=""),"",'GA55 Entry'!E20)</f>
        <v>2958</v>
      </c>
      <c r="E19" s="61" t="str">
        <f>IF(AND('GA55 Entry'!F20=""),"",'GA55 Entry'!F20)</f>
        <v/>
      </c>
      <c r="F19" s="61" t="str">
        <f>IF(AND('GA55 Entry'!G20=""),"",'GA55 Entry'!G20)</f>
        <v/>
      </c>
      <c r="G19" s="61" t="str">
        <f>IF(AND('GA55 Entry'!H20=""),"",'GA55 Entry'!H20)</f>
        <v/>
      </c>
      <c r="H19" s="61" t="str">
        <f>IF(AND('GA55 Entry'!I20=""),"",'GA55 Entry'!I20)</f>
        <v/>
      </c>
      <c r="I19" s="61" t="str">
        <f>IF(AND('GA55 Entry'!J20=""),"",'GA55 Entry'!J20)</f>
        <v/>
      </c>
      <c r="J19" s="61" t="str">
        <f>IF(AND('GA55 Entry'!K20=""),"",'GA55 Entry'!K20)</f>
        <v/>
      </c>
      <c r="K19" s="61" t="str">
        <f>IF(AND('GA55 Entry'!L20=""),"",'GA55 Entry'!L20)</f>
        <v/>
      </c>
      <c r="L19" s="61">
        <f>IF(AND('GA55 Entry'!M20=""),"",'GA55 Entry'!M20)</f>
        <v>27608</v>
      </c>
      <c r="M19" s="61" t="str">
        <f>IF(AND('GA55 Entry'!N20=""),"",'GA55 Entry'!N20)</f>
        <v/>
      </c>
      <c r="N19" s="61" t="str">
        <f>IF(AND('GA55 Entry'!O20=""),"",'GA55 Entry'!O20)</f>
        <v/>
      </c>
      <c r="O19" s="61" t="str">
        <f>IF(AND('GA55 Entry'!P20=""),"",'GA55 Entry'!P20)</f>
        <v/>
      </c>
      <c r="P19" s="61" t="str">
        <f>IF(AND('GA55 Entry'!Q20=""),"",'GA55 Entry'!Q20)</f>
        <v/>
      </c>
      <c r="Q19" s="61">
        <f>IF(AND('GA55 Entry'!R20=""),"",'GA55 Entry'!R20)</f>
        <v>2761</v>
      </c>
      <c r="R19" s="61" t="str">
        <f>IF(AND('GA55 Entry'!S20=""),"",'GA55 Entry'!S20)</f>
        <v/>
      </c>
      <c r="S19" s="61" t="str">
        <f>IF(AND('GA55 Entry'!T20=""),"",'GA55 Entry'!T20)</f>
        <v/>
      </c>
      <c r="T19" s="61" t="str">
        <f>IF(AND('GA55 Entry'!U20=""),"",'GA55 Entry'!U20)</f>
        <v/>
      </c>
      <c r="U19" s="61" t="str">
        <f>IF(AND('GA55 Entry'!V20=""),"",'GA55 Entry'!V20)</f>
        <v/>
      </c>
      <c r="V19" s="61" t="str">
        <f>IF(AND('GA55 Entry'!W20=""),"",'GA55 Entry'!W20)</f>
        <v/>
      </c>
      <c r="W19" s="61" t="str">
        <f>IF(AND('GA55 Entry'!X20=""),"",'GA55 Entry'!X20)</f>
        <v/>
      </c>
      <c r="X19" s="61" t="str">
        <f>IF(AND('GA55 Entry'!Y20=""),"",'GA55 Entry'!Y20)</f>
        <v/>
      </c>
      <c r="Y19" s="61">
        <f>IF(AND('GA55 Entry'!Z20=""),"",'GA55 Entry'!Z20)</f>
        <v>2761</v>
      </c>
      <c r="Z19" s="62">
        <f>IF(AND('GA55 Entry'!AA20=""),"",'GA55 Entry'!AA20)</f>
        <v>24847</v>
      </c>
      <c r="AA19" s="322" t="str">
        <f>IF(AND('GA55 Entry'!AB20=""),"",'GA55 Entry'!AB20)</f>
        <v/>
      </c>
      <c r="AB19" s="410" t="str">
        <f>IF(AND('GA55 Entry'!AC20=""),"",'GA55 Entry'!AC20)</f>
        <v/>
      </c>
    </row>
    <row r="20" spans="1:28" ht="24" customHeight="1">
      <c r="A20" s="44">
        <v>15</v>
      </c>
      <c r="B20" s="373" t="str">
        <f>IF(AND('GA55 Entry'!C21=""),"",'GA55 Entry'!C21)</f>
        <v>DA Arrear 12%</v>
      </c>
      <c r="C20" s="61" t="str">
        <f>IF(AND('GA55 Entry'!D21=""),"",'GA55 Entry'!D21)</f>
        <v/>
      </c>
      <c r="D20" s="61">
        <f>IF(AND('GA55 Entry'!E21=""),"",'GA55 Entry'!E21)</f>
        <v>2874</v>
      </c>
      <c r="E20" s="61" t="str">
        <f>IF(AND('GA55 Entry'!F21=""),"",'GA55 Entry'!F21)</f>
        <v/>
      </c>
      <c r="F20" s="61" t="str">
        <f>IF(AND('GA55 Entry'!G21=""),"",'GA55 Entry'!G21)</f>
        <v/>
      </c>
      <c r="G20" s="61" t="str">
        <f>IF(AND('GA55 Entry'!H21=""),"",'GA55 Entry'!H21)</f>
        <v/>
      </c>
      <c r="H20" s="61" t="str">
        <f>IF(AND('GA55 Entry'!I21=""),"",'GA55 Entry'!I21)</f>
        <v/>
      </c>
      <c r="I20" s="61" t="str">
        <f>IF(AND('GA55 Entry'!J21=""),"",'GA55 Entry'!J21)</f>
        <v/>
      </c>
      <c r="J20" s="61">
        <f>IF(AND('GA55 Entry'!K21=""),"",'GA55 Entry'!K21)</f>
        <v>287</v>
      </c>
      <c r="K20" s="61" t="str">
        <f>IF(AND('GA55 Entry'!L21=""),"",'GA55 Entry'!L21)</f>
        <v/>
      </c>
      <c r="L20" s="61">
        <f>IF(AND('GA55 Entry'!M21=""),"",'GA55 Entry'!M21)</f>
        <v>3161</v>
      </c>
      <c r="M20" s="61" t="str">
        <f>IF(AND('GA55 Entry'!N21=""),"",'GA55 Entry'!N21)</f>
        <v/>
      </c>
      <c r="N20" s="61" t="str">
        <f>IF(AND('GA55 Entry'!O21=""),"",'GA55 Entry'!O21)</f>
        <v/>
      </c>
      <c r="O20" s="61" t="str">
        <f>IF(AND('GA55 Entry'!P21=""),"",'GA55 Entry'!P21)</f>
        <v/>
      </c>
      <c r="P20" s="61">
        <f>IF(AND('GA55 Entry'!Q21=""),"",'GA55 Entry'!Q21)</f>
        <v>287</v>
      </c>
      <c r="Q20" s="61">
        <f>IF(AND('GA55 Entry'!R21=""),"",'GA55 Entry'!R21)</f>
        <v>287</v>
      </c>
      <c r="R20" s="61" t="str">
        <f>IF(AND('GA55 Entry'!S21=""),"",'GA55 Entry'!S21)</f>
        <v/>
      </c>
      <c r="S20" s="61" t="str">
        <f>IF(AND('GA55 Entry'!T21=""),"",'GA55 Entry'!T21)</f>
        <v/>
      </c>
      <c r="T20" s="61" t="str">
        <f>IF(AND('GA55 Entry'!U21=""),"",'GA55 Entry'!U21)</f>
        <v/>
      </c>
      <c r="U20" s="61" t="str">
        <f>IF(AND('GA55 Entry'!V21=""),"",'GA55 Entry'!V21)</f>
        <v/>
      </c>
      <c r="V20" s="61" t="str">
        <f>IF(AND('GA55 Entry'!W21=""),"",'GA55 Entry'!W21)</f>
        <v/>
      </c>
      <c r="W20" s="61" t="str">
        <f>IF(AND('GA55 Entry'!X21=""),"",'GA55 Entry'!X21)</f>
        <v/>
      </c>
      <c r="X20" s="61" t="str">
        <f>IF(AND('GA55 Entry'!Y21=""),"",'GA55 Entry'!Y21)</f>
        <v/>
      </c>
      <c r="Y20" s="61">
        <f>IF(AND('GA55 Entry'!Z21=""),"",'GA55 Entry'!Z21)</f>
        <v>574</v>
      </c>
      <c r="Z20" s="62">
        <f>IF(AND('GA55 Entry'!AA21=""),"",'GA55 Entry'!AA21)</f>
        <v>2587</v>
      </c>
      <c r="AA20" s="322" t="str">
        <f>IF(AND('GA55 Entry'!AB21=""),"",'GA55 Entry'!AB21)</f>
        <v/>
      </c>
      <c r="AB20" s="410" t="str">
        <f>IF(AND('GA55 Entry'!AC21=""),"",'GA55 Entry'!AC21)</f>
        <v/>
      </c>
    </row>
    <row r="21" spans="1:28" ht="21" customHeight="1">
      <c r="A21" s="44">
        <v>16</v>
      </c>
      <c r="B21" s="372" t="str">
        <f>IF(AND('GA55 Entry'!C22=""),"",'GA55 Entry'!C22)</f>
        <v>DA Arrear 17%</v>
      </c>
      <c r="C21" s="61" t="str">
        <f>IF(AND('GA55 Entry'!D22=""),"",'GA55 Entry'!D22)</f>
        <v/>
      </c>
      <c r="D21" s="61" t="str">
        <f>IF(AND('GA55 Entry'!E22=""),"",'GA55 Entry'!E22)</f>
        <v/>
      </c>
      <c r="E21" s="61" t="str">
        <f>IF(AND('GA55 Entry'!F22=""),"",'GA55 Entry'!F22)</f>
        <v/>
      </c>
      <c r="F21" s="61" t="str">
        <f>IF(AND('GA55 Entry'!G22=""),"",'GA55 Entry'!G22)</f>
        <v/>
      </c>
      <c r="G21" s="61" t="str">
        <f>IF(AND('GA55 Entry'!H22=""),"",'GA55 Entry'!H22)</f>
        <v/>
      </c>
      <c r="H21" s="61" t="str">
        <f>IF(AND('GA55 Entry'!I22=""),"",'GA55 Entry'!I22)</f>
        <v/>
      </c>
      <c r="I21" s="61" t="str">
        <f>IF(AND('GA55 Entry'!J22=""),"",'GA55 Entry'!J22)</f>
        <v/>
      </c>
      <c r="J21" s="61">
        <f>IF(AND('GA55 Entry'!K22=""),"",'GA55 Entry'!K22)</f>
        <v>0</v>
      </c>
      <c r="K21" s="61" t="str">
        <f>IF(AND('GA55 Entry'!L22=""),"",'GA55 Entry'!L22)</f>
        <v/>
      </c>
      <c r="L21" s="61">
        <f>IF(AND('GA55 Entry'!M22=""),"",'GA55 Entry'!M22)</f>
        <v>0</v>
      </c>
      <c r="M21" s="61" t="str">
        <f>IF(AND('GA55 Entry'!N22=""),"",'GA55 Entry'!N22)</f>
        <v/>
      </c>
      <c r="N21" s="61" t="str">
        <f>IF(AND('GA55 Entry'!O22=""),"",'GA55 Entry'!O22)</f>
        <v/>
      </c>
      <c r="O21" s="61" t="str">
        <f>IF(AND('GA55 Entry'!P22=""),"",'GA55 Entry'!P22)</f>
        <v/>
      </c>
      <c r="P21" s="61">
        <f>IF(AND('GA55 Entry'!Q22=""),"",'GA55 Entry'!Q22)</f>
        <v>0</v>
      </c>
      <c r="Q21" s="61">
        <f>IF(AND('GA55 Entry'!R22=""),"",'GA55 Entry'!R22)</f>
        <v>0</v>
      </c>
      <c r="R21" s="61" t="str">
        <f>IF(AND('GA55 Entry'!S22=""),"",'GA55 Entry'!S22)</f>
        <v/>
      </c>
      <c r="S21" s="61" t="str">
        <f>IF(AND('GA55 Entry'!T22=""),"",'GA55 Entry'!T22)</f>
        <v/>
      </c>
      <c r="T21" s="61" t="str">
        <f>IF(AND('GA55 Entry'!U22=""),"",'GA55 Entry'!U22)</f>
        <v/>
      </c>
      <c r="U21" s="61" t="str">
        <f>IF(AND('GA55 Entry'!V22=""),"",'GA55 Entry'!V22)</f>
        <v/>
      </c>
      <c r="V21" s="61" t="str">
        <f>IF(AND('GA55 Entry'!W22=""),"",'GA55 Entry'!W22)</f>
        <v/>
      </c>
      <c r="W21" s="61" t="str">
        <f>IF(AND('GA55 Entry'!X22=""),"",'GA55 Entry'!X22)</f>
        <v/>
      </c>
      <c r="X21" s="61" t="str">
        <f>IF(AND('GA55 Entry'!Y22=""),"",'GA55 Entry'!Y22)</f>
        <v/>
      </c>
      <c r="Y21" s="61">
        <f>IF(AND('GA55 Entry'!Z22=""),"",'GA55 Entry'!Z22)</f>
        <v>0</v>
      </c>
      <c r="Z21" s="62">
        <f>IF(AND('GA55 Entry'!AA22=""),"",'GA55 Entry'!AA22)</f>
        <v>0</v>
      </c>
      <c r="AA21" s="322" t="str">
        <f>IF(AND('GA55 Entry'!AB22=""),"",'GA55 Entry'!AB22)</f>
        <v/>
      </c>
      <c r="AB21" s="410" t="str">
        <f>IF(AND('GA55 Entry'!AC22=""),"",'GA55 Entry'!AC22)</f>
        <v/>
      </c>
    </row>
    <row r="22" spans="1:28" ht="18.75" customHeight="1">
      <c r="A22" s="44">
        <v>17</v>
      </c>
      <c r="B22" s="374" t="str">
        <f>IF(AND('GA55 Entry'!C23=""),"",'GA55 Entry'!C23)</f>
        <v xml:space="preserve"> Arrear</v>
      </c>
      <c r="C22" s="61" t="str">
        <f>IF(AND('GA55 Entry'!D23=""),"",'GA55 Entry'!D23)</f>
        <v/>
      </c>
      <c r="D22" s="61" t="str">
        <f>IF(AND('GA55 Entry'!E23=""),"",'GA55 Entry'!E23)</f>
        <v/>
      </c>
      <c r="E22" s="61" t="str">
        <f>IF(AND('GA55 Entry'!F23=""),"",'GA55 Entry'!F23)</f>
        <v/>
      </c>
      <c r="F22" s="61" t="str">
        <f>IF(AND('GA55 Entry'!G23=""),"",'GA55 Entry'!G23)</f>
        <v/>
      </c>
      <c r="G22" s="61" t="str">
        <f>IF(AND('GA55 Entry'!H23=""),"",'GA55 Entry'!H23)</f>
        <v/>
      </c>
      <c r="H22" s="61" t="str">
        <f>IF(AND('GA55 Entry'!I23=""),"",'GA55 Entry'!I23)</f>
        <v/>
      </c>
      <c r="I22" s="61" t="str">
        <f>IF(AND('GA55 Entry'!J23=""),"",'GA55 Entry'!J23)</f>
        <v/>
      </c>
      <c r="J22" s="61">
        <f>IF(AND('GA55 Entry'!K23=""),"",'GA55 Entry'!K23)</f>
        <v>0</v>
      </c>
      <c r="K22" s="61" t="str">
        <f>IF(AND('GA55 Entry'!L23=""),"",'GA55 Entry'!L23)</f>
        <v/>
      </c>
      <c r="L22" s="61">
        <f>IF(AND('GA55 Entry'!M23=""),"",'GA55 Entry'!M23)</f>
        <v>0</v>
      </c>
      <c r="M22" s="61" t="str">
        <f>IF(AND('GA55 Entry'!N23=""),"",'GA55 Entry'!N23)</f>
        <v/>
      </c>
      <c r="N22" s="61" t="str">
        <f>IF(AND('GA55 Entry'!O23=""),"",'GA55 Entry'!O23)</f>
        <v/>
      </c>
      <c r="O22" s="61" t="str">
        <f>IF(AND('GA55 Entry'!P23=""),"",'GA55 Entry'!P23)</f>
        <v/>
      </c>
      <c r="P22" s="61">
        <f>IF(AND('GA55 Entry'!Q23=""),"",'GA55 Entry'!Q23)</f>
        <v>0</v>
      </c>
      <c r="Q22" s="61">
        <f>IF(AND('GA55 Entry'!R23=""),"",'GA55 Entry'!R23)</f>
        <v>0</v>
      </c>
      <c r="R22" s="61" t="str">
        <f>IF(AND('GA55 Entry'!S23=""),"",'GA55 Entry'!S23)</f>
        <v/>
      </c>
      <c r="S22" s="61" t="str">
        <f>IF(AND('GA55 Entry'!T23=""),"",'GA55 Entry'!T23)</f>
        <v/>
      </c>
      <c r="T22" s="61" t="str">
        <f>IF(AND('GA55 Entry'!U23=""),"",'GA55 Entry'!U23)</f>
        <v/>
      </c>
      <c r="U22" s="61" t="str">
        <f>IF(AND('GA55 Entry'!V23=""),"",'GA55 Entry'!V23)</f>
        <v/>
      </c>
      <c r="V22" s="61" t="str">
        <f>IF(AND('GA55 Entry'!W23=""),"",'GA55 Entry'!W23)</f>
        <v/>
      </c>
      <c r="W22" s="61" t="str">
        <f>IF(AND('GA55 Entry'!X23=""),"",'GA55 Entry'!X23)</f>
        <v/>
      </c>
      <c r="X22" s="61" t="str">
        <f>IF(AND('GA55 Entry'!Y23=""),"",'GA55 Entry'!Y23)</f>
        <v/>
      </c>
      <c r="Y22" s="61">
        <f>IF(AND('GA55 Entry'!Z23=""),"",'GA55 Entry'!Z23)</f>
        <v>0</v>
      </c>
      <c r="Z22" s="62">
        <f>IF(AND('GA55 Entry'!AA23=""),"",'GA55 Entry'!AA23)</f>
        <v>0</v>
      </c>
      <c r="AA22" s="322" t="str">
        <f>IF(AND('GA55 Entry'!AB23=""),"",'GA55 Entry'!AB23)</f>
        <v/>
      </c>
      <c r="AB22" s="410" t="str">
        <f>IF(AND('GA55 Entry'!AC23=""),"",'GA55 Entry'!AC23)</f>
        <v/>
      </c>
    </row>
    <row r="23" spans="1:28" ht="17.25" customHeight="1">
      <c r="A23" s="44">
        <v>18</v>
      </c>
      <c r="B23" s="374" t="str">
        <f>IF(AND('GA55 Entry'!C24=""),"",'GA55 Entry'!C24)</f>
        <v>Other</v>
      </c>
      <c r="C23" s="61" t="str">
        <f>IF(AND('GA55 Entry'!D24=""),"",'GA55 Entry'!D24)</f>
        <v/>
      </c>
      <c r="D23" s="61" t="str">
        <f>IF(AND('GA55 Entry'!E24=""),"",'GA55 Entry'!E24)</f>
        <v/>
      </c>
      <c r="E23" s="61" t="str">
        <f>IF(AND('GA55 Entry'!F24=""),"",'GA55 Entry'!F24)</f>
        <v/>
      </c>
      <c r="F23" s="61" t="str">
        <f>IF(AND('GA55 Entry'!G24=""),"",'GA55 Entry'!G24)</f>
        <v/>
      </c>
      <c r="G23" s="61" t="str">
        <f>IF(AND('GA55 Entry'!H24=""),"",'GA55 Entry'!H24)</f>
        <v/>
      </c>
      <c r="H23" s="61" t="str">
        <f>IF(AND('GA55 Entry'!I24=""),"",'GA55 Entry'!I24)</f>
        <v/>
      </c>
      <c r="I23" s="61" t="str">
        <f>IF(AND('GA55 Entry'!J24=""),"",'GA55 Entry'!J24)</f>
        <v/>
      </c>
      <c r="J23" s="61">
        <f>IF(AND('GA55 Entry'!K24=""),"",'GA55 Entry'!K24)</f>
        <v>0</v>
      </c>
      <c r="K23" s="61" t="str">
        <f>IF(AND('GA55 Entry'!L24=""),"",'GA55 Entry'!L24)</f>
        <v/>
      </c>
      <c r="L23" s="61">
        <f>IF(AND('GA55 Entry'!M24=""),"",'GA55 Entry'!M24)</f>
        <v>0</v>
      </c>
      <c r="M23" s="61" t="str">
        <f>IF(AND('GA55 Entry'!N24=""),"",'GA55 Entry'!N24)</f>
        <v/>
      </c>
      <c r="N23" s="61" t="str">
        <f>IF(AND('GA55 Entry'!O24=""),"",'GA55 Entry'!O24)</f>
        <v/>
      </c>
      <c r="O23" s="61" t="str">
        <f>IF(AND('GA55 Entry'!P24=""),"",'GA55 Entry'!P24)</f>
        <v/>
      </c>
      <c r="P23" s="61">
        <f>IF(AND('GA55 Entry'!Q24=""),"",'GA55 Entry'!Q24)</f>
        <v>0</v>
      </c>
      <c r="Q23" s="61">
        <f>IF(AND('GA55 Entry'!R24=""),"",'GA55 Entry'!R24)</f>
        <v>0</v>
      </c>
      <c r="R23" s="61" t="str">
        <f>IF(AND('GA55 Entry'!S24=""),"",'GA55 Entry'!S24)</f>
        <v/>
      </c>
      <c r="S23" s="61" t="str">
        <f>IF(AND('GA55 Entry'!T24=""),"",'GA55 Entry'!T24)</f>
        <v/>
      </c>
      <c r="T23" s="61" t="str">
        <f>IF(AND('GA55 Entry'!U24=""),"",'GA55 Entry'!U24)</f>
        <v/>
      </c>
      <c r="U23" s="61" t="str">
        <f>IF(AND('GA55 Entry'!V24=""),"",'GA55 Entry'!V24)</f>
        <v/>
      </c>
      <c r="V23" s="61" t="str">
        <f>IF(AND('GA55 Entry'!W24=""),"",'GA55 Entry'!W24)</f>
        <v/>
      </c>
      <c r="W23" s="61" t="str">
        <f>IF(AND('GA55 Entry'!X24=""),"",'GA55 Entry'!X24)</f>
        <v/>
      </c>
      <c r="X23" s="61" t="str">
        <f>IF(AND('GA55 Entry'!Y24=""),"",'GA55 Entry'!Y24)</f>
        <v/>
      </c>
      <c r="Y23" s="61">
        <f>IF(AND('GA55 Entry'!Z24=""),"",'GA55 Entry'!Z24)</f>
        <v>0</v>
      </c>
      <c r="Z23" s="62">
        <f>IF(AND('GA55 Entry'!AA24=""),"",'GA55 Entry'!AA24)</f>
        <v>0</v>
      </c>
      <c r="AA23" s="322" t="str">
        <f>IF(AND('GA55 Entry'!AB24=""),"",'GA55 Entry'!AB24)</f>
        <v/>
      </c>
      <c r="AB23" s="410" t="str">
        <f>IF(AND('GA55 Entry'!AC24=""),"",'GA55 Entry'!AC24)</f>
        <v/>
      </c>
    </row>
    <row r="24" spans="1:28" ht="17.25" customHeight="1">
      <c r="A24" s="44"/>
      <c r="B24" s="374" t="str">
        <f>IF(AND('GA55 Entry'!C25=""),"",'GA55 Entry'!C25)</f>
        <v/>
      </c>
      <c r="C24" s="61" t="str">
        <f>IF(AND('GA55 Entry'!D25=""),"",'GA55 Entry'!D25)</f>
        <v/>
      </c>
      <c r="D24" s="61" t="str">
        <f>IF(AND('GA55 Entry'!E25=""),"",'GA55 Entry'!E25)</f>
        <v/>
      </c>
      <c r="E24" s="61" t="str">
        <f>IF(AND('GA55 Entry'!F25=""),"",'GA55 Entry'!F25)</f>
        <v/>
      </c>
      <c r="F24" s="61" t="str">
        <f>IF(AND('GA55 Entry'!G25=""),"",'GA55 Entry'!G25)</f>
        <v/>
      </c>
      <c r="G24" s="61" t="str">
        <f>IF(AND('GA55 Entry'!H25=""),"",'GA55 Entry'!H25)</f>
        <v/>
      </c>
      <c r="H24" s="61" t="str">
        <f>IF(AND('GA55 Entry'!I25=""),"",'GA55 Entry'!I25)</f>
        <v/>
      </c>
      <c r="I24" s="61" t="str">
        <f>IF(AND('GA55 Entry'!J25=""),"",'GA55 Entry'!J25)</f>
        <v/>
      </c>
      <c r="J24" s="61" t="str">
        <f>IF(AND('GA55 Entry'!K25=""),"",'GA55 Entry'!K25)</f>
        <v/>
      </c>
      <c r="K24" s="61" t="str">
        <f>IF(AND('GA55 Entry'!L25=""),"",'GA55 Entry'!L25)</f>
        <v/>
      </c>
      <c r="L24" s="61" t="str">
        <f>IF(AND('GA55 Entry'!M25=""),"",'GA55 Entry'!M25)</f>
        <v/>
      </c>
      <c r="M24" s="61" t="str">
        <f>IF(AND('GA55 Entry'!N25=""),"",'GA55 Entry'!N25)</f>
        <v/>
      </c>
      <c r="N24" s="61" t="str">
        <f>IF(AND('GA55 Entry'!O25=""),"",'GA55 Entry'!O25)</f>
        <v/>
      </c>
      <c r="O24" s="61" t="str">
        <f>IF(AND('GA55 Entry'!P25=""),"",'GA55 Entry'!P25)</f>
        <v/>
      </c>
      <c r="P24" s="61" t="str">
        <f>IF(AND('GA55 Entry'!Q25=""),"",'GA55 Entry'!Q25)</f>
        <v/>
      </c>
      <c r="Q24" s="61">
        <f>IF(AND('GA55 Entry'!R25=""),"",'GA55 Entry'!R25)</f>
        <v>0</v>
      </c>
      <c r="R24" s="61" t="str">
        <f>IF(AND('GA55 Entry'!S25=""),"",'GA55 Entry'!S25)</f>
        <v/>
      </c>
      <c r="S24" s="61" t="str">
        <f>IF(AND('GA55 Entry'!T25=""),"",'GA55 Entry'!T25)</f>
        <v/>
      </c>
      <c r="T24" s="61" t="str">
        <f>IF(AND('GA55 Entry'!U25=""),"",'GA55 Entry'!U25)</f>
        <v/>
      </c>
      <c r="U24" s="61" t="str">
        <f>IF(AND('GA55 Entry'!V25=""),"",'GA55 Entry'!V25)</f>
        <v/>
      </c>
      <c r="V24" s="61" t="str">
        <f>IF(AND('GA55 Entry'!W25=""),"",'GA55 Entry'!W25)</f>
        <v/>
      </c>
      <c r="W24" s="61" t="str">
        <f>IF(AND('GA55 Entry'!X25=""),"",'GA55 Entry'!X25)</f>
        <v/>
      </c>
      <c r="X24" s="61" t="str">
        <f>IF(AND('GA55 Entry'!Y25=""),"",'GA55 Entry'!Y25)</f>
        <v/>
      </c>
      <c r="Y24" s="61" t="str">
        <f>IF(AND('GA55 Entry'!Z25=""),"",'GA55 Entry'!Z25)</f>
        <v/>
      </c>
      <c r="Z24" s="62" t="str">
        <f>IF(AND('GA55 Entry'!AA25=""),"",'GA55 Entry'!AA25)</f>
        <v/>
      </c>
      <c r="AA24" s="322" t="str">
        <f>IF(AND('GA55 Entry'!AB25=""),"",'GA55 Entry'!AB25)</f>
        <v/>
      </c>
      <c r="AB24" s="410" t="str">
        <f>IF(AND('GA55 Entry'!AC25=""),"",'GA55 Entry'!AC25)</f>
        <v/>
      </c>
    </row>
    <row r="25" spans="1:28" ht="17.25" customHeight="1">
      <c r="A25" s="44">
        <v>19</v>
      </c>
      <c r="B25" s="374" t="str">
        <f>IF(AND('GA55 Entry'!C26=""),"",'GA55 Entry'!C26)</f>
        <v/>
      </c>
      <c r="C25" s="61" t="str">
        <f>IF(AND('GA55 Entry'!D26=""),"",'GA55 Entry'!D26)</f>
        <v/>
      </c>
      <c r="D25" s="61" t="str">
        <f>IF(AND('GA55 Entry'!E26=""),"",'GA55 Entry'!E26)</f>
        <v/>
      </c>
      <c r="E25" s="61" t="str">
        <f>IF(AND('GA55 Entry'!F26=""),"",'GA55 Entry'!F26)</f>
        <v/>
      </c>
      <c r="F25" s="61" t="str">
        <f>IF(AND('GA55 Entry'!G26=""),"",'GA55 Entry'!G26)</f>
        <v/>
      </c>
      <c r="G25" s="61" t="str">
        <f>IF(AND('GA55 Entry'!H26=""),"",'GA55 Entry'!H26)</f>
        <v/>
      </c>
      <c r="H25" s="61" t="str">
        <f>IF(AND('GA55 Entry'!I26=""),"",'GA55 Entry'!I26)</f>
        <v/>
      </c>
      <c r="I25" s="61" t="str">
        <f>IF(AND('GA55 Entry'!J26=""),"",'GA55 Entry'!J26)</f>
        <v/>
      </c>
      <c r="J25" s="61" t="str">
        <f>IF(AND('GA55 Entry'!K26=""),"",'GA55 Entry'!K26)</f>
        <v/>
      </c>
      <c r="K25" s="61" t="str">
        <f>IF(AND('GA55 Entry'!L26=""),"",'GA55 Entry'!L26)</f>
        <v/>
      </c>
      <c r="L25" s="61" t="str">
        <f>IF(AND('GA55 Entry'!M26=""),"",'GA55 Entry'!M26)</f>
        <v/>
      </c>
      <c r="M25" s="61" t="str">
        <f>IF(AND('GA55 Entry'!N26=""),"",'GA55 Entry'!N26)</f>
        <v/>
      </c>
      <c r="N25" s="61" t="str">
        <f>IF(AND('GA55 Entry'!O26=""),"",'GA55 Entry'!O26)</f>
        <v/>
      </c>
      <c r="O25" s="61" t="str">
        <f>IF(AND('GA55 Entry'!P26=""),"",'GA55 Entry'!P26)</f>
        <v/>
      </c>
      <c r="P25" s="61" t="str">
        <f>IF(AND('GA55 Entry'!Q26=""),"",'GA55 Entry'!Q26)</f>
        <v/>
      </c>
      <c r="Q25" s="61">
        <f>IF(AND('GA55 Entry'!R26=""),"",'GA55 Entry'!R26)</f>
        <v>0</v>
      </c>
      <c r="R25" s="61" t="str">
        <f>IF(AND('GA55 Entry'!S26=""),"",'GA55 Entry'!S26)</f>
        <v/>
      </c>
      <c r="S25" s="61" t="str">
        <f>IF(AND('GA55 Entry'!T26=""),"",'GA55 Entry'!T26)</f>
        <v/>
      </c>
      <c r="T25" s="61" t="str">
        <f>IF(AND('GA55 Entry'!U26=""),"",'GA55 Entry'!U26)</f>
        <v/>
      </c>
      <c r="U25" s="61" t="str">
        <f>IF(AND('GA55 Entry'!V26=""),"",'GA55 Entry'!V26)</f>
        <v/>
      </c>
      <c r="V25" s="61" t="str">
        <f>IF(AND('GA55 Entry'!W26=""),"",'GA55 Entry'!W26)</f>
        <v/>
      </c>
      <c r="W25" s="61" t="str">
        <f>IF(AND('GA55 Entry'!X26=""),"",'GA55 Entry'!X26)</f>
        <v/>
      </c>
      <c r="X25" s="61" t="str">
        <f>IF(AND('GA55 Entry'!Y26=""),"",'GA55 Entry'!Y26)</f>
        <v/>
      </c>
      <c r="Y25" s="61" t="str">
        <f>IF(AND('GA55 Entry'!Z26=""),"",'GA55 Entry'!Z26)</f>
        <v/>
      </c>
      <c r="Z25" s="62" t="str">
        <f>IF(AND('GA55 Entry'!AA26=""),"",'GA55 Entry'!AA26)</f>
        <v/>
      </c>
      <c r="AA25" s="322" t="str">
        <f>IF(AND('GA55 Entry'!AB26=""),"",'GA55 Entry'!AB26)</f>
        <v/>
      </c>
      <c r="AB25" s="410" t="str">
        <f>IF(AND('GA55 Entry'!AC26=""),"",'GA55 Entry'!AC26)</f>
        <v/>
      </c>
    </row>
    <row r="26" spans="1:28" ht="20.100000000000001" customHeight="1">
      <c r="A26" s="44">
        <v>20</v>
      </c>
      <c r="B26" s="372" t="str">
        <f>IF(AND('GA55 Entry'!C27=""),"",'GA55 Entry'!C27)</f>
        <v/>
      </c>
      <c r="C26" s="61" t="str">
        <f>IF(AND('GA55 Entry'!D27=""),"",'GA55 Entry'!D27)</f>
        <v/>
      </c>
      <c r="D26" s="61" t="str">
        <f>IF(AND('GA55 Entry'!E27=""),"",'GA55 Entry'!E27)</f>
        <v/>
      </c>
      <c r="E26" s="61" t="str">
        <f>IF(AND('GA55 Entry'!F27=""),"",'GA55 Entry'!F27)</f>
        <v/>
      </c>
      <c r="F26" s="61" t="str">
        <f>IF(AND('GA55 Entry'!G27=""),"",'GA55 Entry'!G27)</f>
        <v/>
      </c>
      <c r="G26" s="61" t="str">
        <f>IF(AND('GA55 Entry'!H27=""),"",'GA55 Entry'!H27)</f>
        <v/>
      </c>
      <c r="H26" s="61" t="str">
        <f>IF(AND('GA55 Entry'!I27=""),"",'GA55 Entry'!I27)</f>
        <v/>
      </c>
      <c r="I26" s="61" t="str">
        <f>IF(AND('GA55 Entry'!J27=""),"",'GA55 Entry'!J27)</f>
        <v/>
      </c>
      <c r="J26" s="61" t="str">
        <f>IF(AND('GA55 Entry'!K27=""),"",'GA55 Entry'!K27)</f>
        <v/>
      </c>
      <c r="K26" s="61" t="str">
        <f>IF(AND('GA55 Entry'!L27=""),"",'GA55 Entry'!L27)</f>
        <v/>
      </c>
      <c r="L26" s="61" t="str">
        <f>IF(AND('GA55 Entry'!M27=""),"",'GA55 Entry'!M27)</f>
        <v/>
      </c>
      <c r="M26" s="61" t="str">
        <f>IF(AND('GA55 Entry'!N27=""),"",'GA55 Entry'!N27)</f>
        <v/>
      </c>
      <c r="N26" s="61" t="str">
        <f>IF(AND('GA55 Entry'!O27=""),"",'GA55 Entry'!O27)</f>
        <v/>
      </c>
      <c r="O26" s="61" t="str">
        <f>IF(AND('GA55 Entry'!P27=""),"",'GA55 Entry'!P27)</f>
        <v/>
      </c>
      <c r="P26" s="61" t="str">
        <f>IF(AND('GA55 Entry'!Q27=""),"",'GA55 Entry'!Q27)</f>
        <v/>
      </c>
      <c r="Q26" s="61" t="str">
        <f>IF(AND('GA55 Entry'!R27=""),"",'GA55 Entry'!R27)</f>
        <v/>
      </c>
      <c r="R26" s="61" t="str">
        <f>IF(AND('GA55 Entry'!S27=""),"",'GA55 Entry'!S27)</f>
        <v/>
      </c>
      <c r="S26" s="61" t="str">
        <f>IF(AND('GA55 Entry'!T27=""),"",'GA55 Entry'!T27)</f>
        <v/>
      </c>
      <c r="T26" s="61" t="str">
        <f>IF(AND('GA55 Entry'!U27=""),"",'GA55 Entry'!U27)</f>
        <v/>
      </c>
      <c r="U26" s="61" t="str">
        <f>IF(AND('GA55 Entry'!V27=""),"",'GA55 Entry'!V27)</f>
        <v/>
      </c>
      <c r="V26" s="61" t="str">
        <f>IF(AND('GA55 Entry'!W27=""),"",'GA55 Entry'!W27)</f>
        <v/>
      </c>
      <c r="W26" s="61" t="str">
        <f>IF(AND('GA55 Entry'!X27=""),"",'GA55 Entry'!X27)</f>
        <v/>
      </c>
      <c r="X26" s="61" t="str">
        <f>IF(AND('GA55 Entry'!Y27=""),"",'GA55 Entry'!Y27)</f>
        <v/>
      </c>
      <c r="Y26" s="61" t="str">
        <f>IF(AND('GA55 Entry'!Z27=""),"",'GA55 Entry'!Z27)</f>
        <v/>
      </c>
      <c r="Z26" s="62" t="str">
        <f>IF(AND('GA55 Entry'!AA27=""),"",'GA55 Entry'!AA27)</f>
        <v/>
      </c>
      <c r="AA26" s="322" t="str">
        <f>IF(AND('GA55 Entry'!AB27=""),"",'GA55 Entry'!AB27)</f>
        <v/>
      </c>
      <c r="AB26" s="410" t="str">
        <f>IF(AND('GA55 Entry'!AC27=""),"",'GA55 Entry'!AC27)</f>
        <v/>
      </c>
    </row>
    <row r="27" spans="1:28" ht="28.5" customHeight="1">
      <c r="A27" s="45"/>
      <c r="B27" s="92" t="s">
        <v>154</v>
      </c>
      <c r="C27" s="323">
        <f>IF(AND($D$2=""),"",SUM(C6:C26))</f>
        <v>610650</v>
      </c>
      <c r="D27" s="323">
        <f>IF(AND($D$2=""),"",SUM(D6:D26))</f>
        <v>76152</v>
      </c>
      <c r="E27" s="323">
        <f>IF(AND($D$2=""),"",SUM(E6:E26))</f>
        <v>46880</v>
      </c>
      <c r="F27" s="323">
        <f t="shared" ref="F27:G27" si="0">IF(AND($D$2=""),"",SUM(F6:F26))</f>
        <v>0</v>
      </c>
      <c r="G27" s="323">
        <f t="shared" si="0"/>
        <v>0</v>
      </c>
      <c r="H27" s="323">
        <f>IF(AND($D$2=""),"",SUM(H6:H26))</f>
        <v>6774</v>
      </c>
      <c r="I27" s="323">
        <f t="shared" ref="I27:X27" si="1">IF(AND($D$2=""),"",SUM(I6:I26))</f>
        <v>0</v>
      </c>
      <c r="J27" s="323">
        <f>IF(AND($D$2=""),"",SUM(J6:J26))</f>
        <v>65923</v>
      </c>
      <c r="K27" s="323">
        <f t="shared" si="1"/>
        <v>0</v>
      </c>
      <c r="L27" s="323">
        <f t="shared" si="1"/>
        <v>806379</v>
      </c>
      <c r="M27" s="323">
        <f t="shared" si="1"/>
        <v>48000</v>
      </c>
      <c r="N27" s="323">
        <f t="shared" si="1"/>
        <v>0</v>
      </c>
      <c r="O27" s="323">
        <f t="shared" si="1"/>
        <v>0</v>
      </c>
      <c r="P27" s="323">
        <f t="shared" si="1"/>
        <v>65923</v>
      </c>
      <c r="Q27" s="323">
        <f t="shared" si="1"/>
        <v>68684</v>
      </c>
      <c r="R27" s="323">
        <f t="shared" si="1"/>
        <v>25896</v>
      </c>
      <c r="S27" s="323">
        <f t="shared" si="1"/>
        <v>0</v>
      </c>
      <c r="T27" s="323">
        <f t="shared" si="1"/>
        <v>0</v>
      </c>
      <c r="U27" s="323">
        <f t="shared" si="1"/>
        <v>0</v>
      </c>
      <c r="V27" s="323">
        <f t="shared" si="1"/>
        <v>6000</v>
      </c>
      <c r="W27" s="323">
        <f t="shared" si="1"/>
        <v>220</v>
      </c>
      <c r="X27" s="323">
        <f t="shared" si="1"/>
        <v>0</v>
      </c>
      <c r="Y27" s="323">
        <f>IF(AND($D$2=""),"",SUM(Y6:Y26))</f>
        <v>214723</v>
      </c>
      <c r="Z27" s="323">
        <f>IF(AND($D$2=""),"",SUM(Z6:Z26))</f>
        <v>591656</v>
      </c>
      <c r="AA27" s="324"/>
      <c r="AB27" s="325"/>
    </row>
    <row r="28" spans="1:28" ht="30" customHeight="1">
      <c r="A28" s="74"/>
      <c r="B28" s="75"/>
      <c r="C28" s="75"/>
      <c r="D28" s="75"/>
      <c r="E28" s="75"/>
      <c r="F28" s="75"/>
      <c r="G28" s="75"/>
      <c r="H28" s="75"/>
      <c r="I28" s="75"/>
      <c r="J28" s="75"/>
      <c r="K28" s="75"/>
      <c r="L28" s="75"/>
      <c r="M28" s="75"/>
      <c r="N28" s="75"/>
      <c r="O28" s="75"/>
      <c r="P28" s="76"/>
      <c r="Q28" s="76"/>
      <c r="R28" s="76"/>
      <c r="S28" s="76"/>
      <c r="T28" s="76"/>
      <c r="U28" s="76"/>
      <c r="V28" s="76"/>
      <c r="W28" s="76"/>
      <c r="X28" s="76"/>
      <c r="Y28" s="76"/>
      <c r="Z28" s="76"/>
      <c r="AA28" s="76"/>
      <c r="AB28" s="9"/>
    </row>
    <row r="29" spans="1:28" ht="20.25" customHeight="1">
      <c r="A29" s="74"/>
      <c r="B29" s="75"/>
      <c r="C29" s="576" t="str">
        <f>UPPER(IF(Master!D9="","",Master!D9))</f>
        <v>HEERA LAL JAT</v>
      </c>
      <c r="D29" s="576"/>
      <c r="E29" s="576"/>
      <c r="F29" s="576"/>
      <c r="G29" s="576"/>
      <c r="H29" s="576"/>
      <c r="I29" s="75"/>
      <c r="J29" s="75"/>
      <c r="K29" s="75"/>
      <c r="L29" s="75"/>
      <c r="M29" s="75"/>
      <c r="N29" s="75"/>
      <c r="O29" s="75"/>
      <c r="P29" s="76"/>
      <c r="Q29" s="76"/>
      <c r="R29" s="76"/>
      <c r="S29" s="577" t="str">
        <f>IF(AND(Master!D17=""),"",CONCATENATE("( ",UPPER( Master!D17), " )",))</f>
        <v>( MISHRI LAL )</v>
      </c>
      <c r="T29" s="577"/>
      <c r="U29" s="577"/>
      <c r="V29" s="577"/>
      <c r="W29" s="577"/>
      <c r="X29" s="577"/>
      <c r="Y29" s="577"/>
      <c r="Z29" s="577"/>
      <c r="AA29" s="77"/>
      <c r="AB29" s="9"/>
    </row>
    <row r="30" spans="1:28" ht="21" customHeight="1" thickBot="1">
      <c r="A30" s="78"/>
      <c r="B30" s="79"/>
      <c r="C30" s="578" t="s">
        <v>212</v>
      </c>
      <c r="D30" s="578"/>
      <c r="E30" s="578"/>
      <c r="F30" s="578"/>
      <c r="G30" s="578"/>
      <c r="H30" s="578"/>
      <c r="I30" s="80"/>
      <c r="J30" s="80"/>
      <c r="K30" s="79"/>
      <c r="L30" s="79"/>
      <c r="M30" s="79"/>
      <c r="N30" s="79"/>
      <c r="O30" s="79"/>
      <c r="P30" s="81"/>
      <c r="Q30" s="81"/>
      <c r="R30" s="81"/>
      <c r="S30" s="593" t="s">
        <v>213</v>
      </c>
      <c r="T30" s="593"/>
      <c r="U30" s="593"/>
      <c r="V30" s="593"/>
      <c r="W30" s="593"/>
      <c r="X30" s="593"/>
      <c r="Y30" s="593"/>
      <c r="Z30" s="593"/>
      <c r="AA30" s="82"/>
      <c r="AB30" s="10"/>
    </row>
    <row r="31" spans="1:28" ht="15">
      <c r="Z31" s="3"/>
      <c r="AA31" s="3"/>
    </row>
    <row r="32" spans="1:28" ht="15">
      <c r="Z32" s="3"/>
      <c r="AA32" s="3"/>
    </row>
  </sheetData>
  <sheetProtection password="C1FB" sheet="1" objects="1" scenarios="1" formatCells="0" formatColumns="0" formatRows="0" sort="0" autoFilter="0"/>
  <customSheetViews>
    <customSheetView guid="{8E92581F-007A-4A12-99AF-FBD8FA5F0BC8}" showPageBreaks="1" printArea="1" hiddenColumns="1">
      <selection activeCell="V27" sqref="V27"/>
      <pageMargins left="0.45" right="0.2" top="0.5" bottom="0.5" header="0.3" footer="0.3"/>
      <pageSetup paperSize="9" scale="80" orientation="landscape" verticalDpi="300" r:id="rId1"/>
    </customSheetView>
  </customSheetViews>
  <mergeCells count="27">
    <mergeCell ref="C30:H30"/>
    <mergeCell ref="A3:B3"/>
    <mergeCell ref="M4:Y4"/>
    <mergeCell ref="Z4:Z5"/>
    <mergeCell ref="Z1:AB1"/>
    <mergeCell ref="AA4:AA5"/>
    <mergeCell ref="AB4:AB5"/>
    <mergeCell ref="W1:Y1"/>
    <mergeCell ref="K3:M3"/>
    <mergeCell ref="N3:P3"/>
    <mergeCell ref="A4:L4"/>
    <mergeCell ref="B1:V1"/>
    <mergeCell ref="S30:Z30"/>
    <mergeCell ref="D2:H2"/>
    <mergeCell ref="Z3:AB3"/>
    <mergeCell ref="C3:E3"/>
    <mergeCell ref="G3:I3"/>
    <mergeCell ref="R3:V3"/>
    <mergeCell ref="W3:Y3"/>
    <mergeCell ref="C29:H29"/>
    <mergeCell ref="S29:Z29"/>
    <mergeCell ref="A2:C2"/>
    <mergeCell ref="AA2:AB2"/>
    <mergeCell ref="U2:Z2"/>
    <mergeCell ref="P2:T2"/>
    <mergeCell ref="L2:O2"/>
    <mergeCell ref="I2:K2"/>
  </mergeCells>
  <dataValidations count="1">
    <dataValidation type="list" allowBlank="1" showInputMessage="1" showErrorMessage="1" sqref="J3">
      <formula1>$CI$3:$CI$5</formula1>
    </dataValidation>
  </dataValidations>
  <pageMargins left="0.45" right="0.2" top="0.45" bottom="0.25" header="0.25" footer="0.3"/>
  <pageSetup paperSize="9" scale="80" orientation="landscape" verticalDpi="300" r:id="rId2"/>
  <customProperties>
    <customPr name="DVSECTIONID" r:id="rId3"/>
  </customProperties>
</worksheet>
</file>

<file path=xl/worksheets/sheet6.xml><?xml version="1.0" encoding="utf-8"?>
<worksheet xmlns="http://schemas.openxmlformats.org/spreadsheetml/2006/main" xmlns:r="http://schemas.openxmlformats.org/officeDocument/2006/relationships">
  <sheetPr codeName="Sheet4"/>
  <dimension ref="A1:IV251"/>
  <sheetViews>
    <sheetView workbookViewId="0">
      <selection activeCell="CY251" sqref="CY251"/>
    </sheetView>
  </sheetViews>
  <sheetFormatPr defaultRowHeight="15"/>
  <sheetData>
    <row r="1" spans="1:256">
      <c r="A1" t="e">
        <f>IF(Master!#REF!,"AAAAAG7sOAA=",0)</f>
        <v>#REF!</v>
      </c>
      <c r="B1" t="e">
        <f>AND(Master!#REF!,"AAAAAG7sOAE=")</f>
        <v>#REF!</v>
      </c>
      <c r="C1" t="e">
        <f>AND(Master!#REF!,"AAAAAG7sOAI=")</f>
        <v>#REF!</v>
      </c>
      <c r="D1" t="e">
        <f>AND(Master!#REF!,"AAAAAG7sOAM=")</f>
        <v>#REF!</v>
      </c>
      <c r="E1" t="e">
        <f>AND(Master!#REF!,"AAAAAG7sOAQ=")</f>
        <v>#REF!</v>
      </c>
      <c r="F1" t="e">
        <f>AND(Master!#REF!,"AAAAAG7sOAU=")</f>
        <v>#REF!</v>
      </c>
      <c r="G1" t="e">
        <f>AND(Master!#REF!,"AAAAAG7sOAY=")</f>
        <v>#REF!</v>
      </c>
      <c r="H1" t="e">
        <f>AND(Master!#REF!,"AAAAAG7sOAc=")</f>
        <v>#REF!</v>
      </c>
      <c r="I1" t="e">
        <f>AND(Master!#REF!,"AAAAAG7sOAg=")</f>
        <v>#REF!</v>
      </c>
      <c r="J1" t="e">
        <f>AND(Master!#REF!,"AAAAAG7sOAk=")</f>
        <v>#REF!</v>
      </c>
      <c r="K1" t="e">
        <f>AND(Master!#REF!,"AAAAAG7sOAo=")</f>
        <v>#REF!</v>
      </c>
      <c r="L1" t="e">
        <f>AND(Master!#REF!,"AAAAAG7sOAs=")</f>
        <v>#REF!</v>
      </c>
      <c r="M1" t="e">
        <f>AND(Master!#REF!,"AAAAAG7sOAw=")</f>
        <v>#REF!</v>
      </c>
      <c r="N1" t="e">
        <f>AND(Master!#REF!,"AAAAAG7sOA0=")</f>
        <v>#REF!</v>
      </c>
      <c r="O1" t="e">
        <f>AND(Master!#REF!,"AAAAAG7sOA4=")</f>
        <v>#REF!</v>
      </c>
      <c r="P1" t="e">
        <f>AND(Master!#REF!,"AAAAAG7sOA8=")</f>
        <v>#REF!</v>
      </c>
      <c r="Q1" t="e">
        <f>AND(Master!#REF!,"AAAAAG7sOBA=")</f>
        <v>#REF!</v>
      </c>
      <c r="R1" t="e">
        <f>AND(Master!#REF!,"AAAAAG7sOBE=")</f>
        <v>#REF!</v>
      </c>
      <c r="S1" t="e">
        <f>AND(Master!#REF!,"AAAAAG7sOBI=")</f>
        <v>#REF!</v>
      </c>
      <c r="T1" t="e">
        <f>AND(Master!#REF!,"AAAAAG7sOBM=")</f>
        <v>#REF!</v>
      </c>
      <c r="U1" t="e">
        <f>AND(Master!#REF!,"AAAAAG7sOBQ=")</f>
        <v>#REF!</v>
      </c>
      <c r="V1" t="e">
        <f>AND(Master!#REF!,"AAAAAG7sOBU=")</f>
        <v>#REF!</v>
      </c>
      <c r="W1" t="e">
        <f>AND(Master!#REF!,"AAAAAG7sOBY=")</f>
        <v>#REF!</v>
      </c>
      <c r="X1" t="e">
        <f>AND(Master!#REF!,"AAAAAG7sOBc=")</f>
        <v>#REF!</v>
      </c>
      <c r="Y1" t="e">
        <f>IF(Master!#REF!,"AAAAAG7sOBg=",0)</f>
        <v>#REF!</v>
      </c>
      <c r="Z1" t="e">
        <f>AND(Master!#REF!,"AAAAAG7sOBk=")</f>
        <v>#REF!</v>
      </c>
      <c r="AA1" t="e">
        <f>AND(Master!#REF!,"AAAAAG7sOBo=")</f>
        <v>#REF!</v>
      </c>
      <c r="AB1" t="e">
        <f>AND(Master!#REF!,"AAAAAG7sOBs=")</f>
        <v>#REF!</v>
      </c>
      <c r="AC1" t="e">
        <f>AND(Master!#REF!,"AAAAAG7sOBw=")</f>
        <v>#REF!</v>
      </c>
      <c r="AD1" t="e">
        <f>AND(Master!#REF!,"AAAAAG7sOB0=")</f>
        <v>#REF!</v>
      </c>
      <c r="AE1" t="e">
        <f>AND(Master!#REF!,"AAAAAG7sOB4=")</f>
        <v>#REF!</v>
      </c>
      <c r="AF1" t="e">
        <f>AND(Master!#REF!,"AAAAAG7sOB8=")</f>
        <v>#REF!</v>
      </c>
      <c r="AG1" t="e">
        <f>AND(Master!#REF!,"AAAAAG7sOCA=")</f>
        <v>#REF!</v>
      </c>
      <c r="AH1" t="e">
        <f>AND(Master!#REF!,"AAAAAG7sOCE=")</f>
        <v>#REF!</v>
      </c>
      <c r="AI1" t="e">
        <f>AND(Master!#REF!,"AAAAAG7sOCI=")</f>
        <v>#REF!</v>
      </c>
      <c r="AJ1" t="e">
        <f>AND(Master!#REF!,"AAAAAG7sOCM=")</f>
        <v>#REF!</v>
      </c>
      <c r="AK1" t="e">
        <f>AND(Master!#REF!,"AAAAAG7sOCQ=")</f>
        <v>#REF!</v>
      </c>
      <c r="AL1" t="e">
        <f>AND(Master!#REF!,"AAAAAG7sOCU=")</f>
        <v>#REF!</v>
      </c>
      <c r="AM1" t="e">
        <f>AND(Master!#REF!,"AAAAAG7sOCY=")</f>
        <v>#REF!</v>
      </c>
      <c r="AN1" t="e">
        <f>AND(Master!#REF!,"AAAAAG7sOCc=")</f>
        <v>#REF!</v>
      </c>
      <c r="AO1" t="e">
        <f>AND(Master!#REF!,"AAAAAG7sOCg=")</f>
        <v>#REF!</v>
      </c>
      <c r="AP1" t="e">
        <f>AND(Master!#REF!,"AAAAAG7sOCk=")</f>
        <v>#REF!</v>
      </c>
      <c r="AQ1" t="e">
        <f>AND(Master!#REF!,"AAAAAG7sOCo=")</f>
        <v>#REF!</v>
      </c>
      <c r="AR1" t="e">
        <f>AND(Master!#REF!,"AAAAAG7sOCs=")</f>
        <v>#REF!</v>
      </c>
      <c r="AS1" t="e">
        <f>AND(Master!#REF!,"AAAAAG7sOCw=")</f>
        <v>#REF!</v>
      </c>
      <c r="AT1" t="e">
        <f>AND(Master!#REF!,"AAAAAG7sOC0=")</f>
        <v>#REF!</v>
      </c>
      <c r="AU1" t="e">
        <f>AND(Master!#REF!,"AAAAAG7sOC4=")</f>
        <v>#REF!</v>
      </c>
      <c r="AV1" t="e">
        <f>AND(Master!#REF!,"AAAAAG7sOC8=")</f>
        <v>#REF!</v>
      </c>
      <c r="AW1" t="e">
        <f>IF(Master!#REF!,"AAAAAG7sODA=",0)</f>
        <v>#REF!</v>
      </c>
      <c r="AX1" t="e">
        <f>AND(Master!#REF!,"AAAAAG7sODE=")</f>
        <v>#REF!</v>
      </c>
      <c r="AY1" t="e">
        <f>AND(Master!#REF!,"AAAAAG7sODI=")</f>
        <v>#REF!</v>
      </c>
      <c r="AZ1" t="e">
        <f>AND(Master!#REF!,"AAAAAG7sODM=")</f>
        <v>#REF!</v>
      </c>
      <c r="BA1" t="e">
        <f>AND(Master!#REF!,"AAAAAG7sODQ=")</f>
        <v>#REF!</v>
      </c>
      <c r="BB1" t="e">
        <f>AND(Master!#REF!,"AAAAAG7sODU=")</f>
        <v>#REF!</v>
      </c>
      <c r="BC1" t="e">
        <f>AND(Master!#REF!,"AAAAAG7sODY=")</f>
        <v>#REF!</v>
      </c>
      <c r="BD1" t="e">
        <f>AND(Master!#REF!,"AAAAAG7sODc=")</f>
        <v>#REF!</v>
      </c>
      <c r="BE1" t="e">
        <f>AND(Master!#REF!,"AAAAAG7sODg=")</f>
        <v>#REF!</v>
      </c>
      <c r="BF1" t="e">
        <f>AND(Master!#REF!,"AAAAAG7sODk=")</f>
        <v>#REF!</v>
      </c>
      <c r="BG1" t="e">
        <f>AND(Master!#REF!,"AAAAAG7sODo=")</f>
        <v>#REF!</v>
      </c>
      <c r="BH1" t="e">
        <f>AND(Master!#REF!,"AAAAAG7sODs=")</f>
        <v>#REF!</v>
      </c>
      <c r="BI1" t="e">
        <f>AND(Master!#REF!,"AAAAAG7sODw=")</f>
        <v>#REF!</v>
      </c>
      <c r="BJ1" t="e">
        <f>AND(Master!#REF!,"AAAAAG7sOD0=")</f>
        <v>#REF!</v>
      </c>
      <c r="BK1" t="e">
        <f>AND(Master!#REF!,"AAAAAG7sOD4=")</f>
        <v>#REF!</v>
      </c>
      <c r="BL1" t="e">
        <f>AND(Master!#REF!,"AAAAAG7sOD8=")</f>
        <v>#REF!</v>
      </c>
      <c r="BM1" t="e">
        <f>AND(Master!#REF!,"AAAAAG7sOEA=")</f>
        <v>#REF!</v>
      </c>
      <c r="BN1" t="e">
        <f>AND(Master!#REF!,"AAAAAG7sOEE=")</f>
        <v>#REF!</v>
      </c>
      <c r="BO1" t="e">
        <f>AND(Master!#REF!,"AAAAAG7sOEI=")</f>
        <v>#REF!</v>
      </c>
      <c r="BP1" t="e">
        <f>AND(Master!#REF!,"AAAAAG7sOEM=")</f>
        <v>#REF!</v>
      </c>
      <c r="BQ1" t="e">
        <f>AND(Master!#REF!,"AAAAAG7sOEQ=")</f>
        <v>#REF!</v>
      </c>
      <c r="BR1" t="e">
        <f>AND(Master!#REF!,"AAAAAG7sOEU=")</f>
        <v>#REF!</v>
      </c>
      <c r="BS1" t="e">
        <f>AND(Master!#REF!,"AAAAAG7sOEY=")</f>
        <v>#REF!</v>
      </c>
      <c r="BT1" t="e">
        <f>AND(Master!#REF!,"AAAAAG7sOEc=")</f>
        <v>#REF!</v>
      </c>
      <c r="BU1" t="e">
        <f>IF(Master!#REF!,"AAAAAG7sOEg=",0)</f>
        <v>#REF!</v>
      </c>
      <c r="BV1" t="e">
        <f>AND(Master!#REF!,"AAAAAG7sOEk=")</f>
        <v>#REF!</v>
      </c>
      <c r="BW1" t="e">
        <f>AND(Master!#REF!,"AAAAAG7sOEo=")</f>
        <v>#REF!</v>
      </c>
      <c r="BX1" t="e">
        <f>AND(Master!#REF!,"AAAAAG7sOEs=")</f>
        <v>#REF!</v>
      </c>
      <c r="BY1" t="e">
        <f>AND(Master!#REF!,"AAAAAG7sOEw=")</f>
        <v>#REF!</v>
      </c>
      <c r="BZ1" t="e">
        <f>AND(Master!#REF!,"AAAAAG7sOE0=")</f>
        <v>#REF!</v>
      </c>
      <c r="CA1" t="e">
        <f>AND(Master!#REF!,"AAAAAG7sOE4=")</f>
        <v>#REF!</v>
      </c>
      <c r="CB1" t="e">
        <f>AND(Master!#REF!,"AAAAAG7sOE8=")</f>
        <v>#REF!</v>
      </c>
      <c r="CC1" t="e">
        <f>AND(Master!#REF!,"AAAAAG7sOFA=")</f>
        <v>#REF!</v>
      </c>
      <c r="CD1" t="e">
        <f>AND(Master!#REF!,"AAAAAG7sOFE=")</f>
        <v>#REF!</v>
      </c>
      <c r="CE1" t="e">
        <f>AND(Master!#REF!,"AAAAAG7sOFI=")</f>
        <v>#REF!</v>
      </c>
      <c r="CF1" t="e">
        <f>AND(Master!#REF!,"AAAAAG7sOFM=")</f>
        <v>#REF!</v>
      </c>
      <c r="CG1" t="e">
        <f>AND(Master!#REF!,"AAAAAG7sOFQ=")</f>
        <v>#REF!</v>
      </c>
      <c r="CH1" t="e">
        <f>AND(Master!#REF!,"AAAAAG7sOFU=")</f>
        <v>#REF!</v>
      </c>
      <c r="CI1" t="e">
        <f>AND(Master!#REF!,"AAAAAG7sOFY=")</f>
        <v>#REF!</v>
      </c>
      <c r="CJ1" t="e">
        <f>AND(Master!#REF!,"AAAAAG7sOFc=")</f>
        <v>#REF!</v>
      </c>
      <c r="CK1" t="e">
        <f>AND(Master!#REF!,"AAAAAG7sOFg=")</f>
        <v>#REF!</v>
      </c>
      <c r="CL1" t="e">
        <f>AND(Master!#REF!,"AAAAAG7sOFk=")</f>
        <v>#REF!</v>
      </c>
      <c r="CM1" t="e">
        <f>AND(Master!#REF!,"AAAAAG7sOFo=")</f>
        <v>#REF!</v>
      </c>
      <c r="CN1" t="e">
        <f>AND(Master!#REF!,"AAAAAG7sOFs=")</f>
        <v>#REF!</v>
      </c>
      <c r="CO1" t="e">
        <f>AND(Master!#REF!,"AAAAAG7sOFw=")</f>
        <v>#REF!</v>
      </c>
      <c r="CP1" t="e">
        <f>AND(Master!#REF!,"AAAAAG7sOF0=")</f>
        <v>#REF!</v>
      </c>
      <c r="CQ1" t="e">
        <f>AND(Master!#REF!,"AAAAAG7sOF4=")</f>
        <v>#REF!</v>
      </c>
      <c r="CR1" t="e">
        <f>AND(Master!#REF!,"AAAAAG7sOF8=")</f>
        <v>#REF!</v>
      </c>
      <c r="CS1" t="e">
        <f>IF(Master!#REF!,"AAAAAG7sOGA=",0)</f>
        <v>#REF!</v>
      </c>
      <c r="CT1" t="e">
        <f>AND(Master!#REF!,"AAAAAG7sOGE=")</f>
        <v>#REF!</v>
      </c>
      <c r="CU1" t="e">
        <f>AND(Master!#REF!,"AAAAAG7sOGI=")</f>
        <v>#REF!</v>
      </c>
      <c r="CV1" t="e">
        <f>AND(Master!#REF!,"AAAAAG7sOGM=")</f>
        <v>#REF!</v>
      </c>
      <c r="CW1" t="e">
        <f>AND(Master!#REF!,"AAAAAG7sOGQ=")</f>
        <v>#REF!</v>
      </c>
      <c r="CX1" t="e">
        <f>AND(Master!#REF!,"AAAAAG7sOGU=")</f>
        <v>#REF!</v>
      </c>
      <c r="CY1" t="e">
        <f>AND(Master!#REF!,"AAAAAG7sOGY=")</f>
        <v>#REF!</v>
      </c>
      <c r="CZ1" t="e">
        <f>AND(Master!#REF!,"AAAAAG7sOGc=")</f>
        <v>#REF!</v>
      </c>
      <c r="DA1" t="e">
        <f>AND(Master!#REF!,"AAAAAG7sOGg=")</f>
        <v>#REF!</v>
      </c>
      <c r="DB1" t="e">
        <f>AND(Master!#REF!,"AAAAAG7sOGk=")</f>
        <v>#REF!</v>
      </c>
      <c r="DC1" t="e">
        <f>AND(Master!#REF!,"AAAAAG7sOGo=")</f>
        <v>#REF!</v>
      </c>
      <c r="DD1" t="e">
        <f>AND(Master!#REF!,"AAAAAG7sOGs=")</f>
        <v>#REF!</v>
      </c>
      <c r="DE1" t="e">
        <f>AND(Master!#REF!,"AAAAAG7sOGw=")</f>
        <v>#REF!</v>
      </c>
      <c r="DF1" t="e">
        <f>AND(Master!#REF!,"AAAAAG7sOG0=")</f>
        <v>#REF!</v>
      </c>
      <c r="DG1" t="e">
        <f>AND(Master!#REF!,"AAAAAG7sOG4=")</f>
        <v>#REF!</v>
      </c>
      <c r="DH1" t="e">
        <f>AND(Master!#REF!,"AAAAAG7sOG8=")</f>
        <v>#REF!</v>
      </c>
      <c r="DI1" t="e">
        <f>AND(Master!#REF!,"AAAAAG7sOHA=")</f>
        <v>#REF!</v>
      </c>
      <c r="DJ1" t="e">
        <f>AND(Master!#REF!,"AAAAAG7sOHE=")</f>
        <v>#REF!</v>
      </c>
      <c r="DK1" t="e">
        <f>AND(Master!#REF!,"AAAAAG7sOHI=")</f>
        <v>#REF!</v>
      </c>
      <c r="DL1" t="e">
        <f>AND(Master!#REF!,"AAAAAG7sOHM=")</f>
        <v>#REF!</v>
      </c>
      <c r="DM1" t="e">
        <f>AND(Master!#REF!,"AAAAAG7sOHQ=")</f>
        <v>#REF!</v>
      </c>
      <c r="DN1" t="e">
        <f>AND(Master!#REF!,"AAAAAG7sOHU=")</f>
        <v>#REF!</v>
      </c>
      <c r="DO1" t="e">
        <f>AND(Master!#REF!,"AAAAAG7sOHY=")</f>
        <v>#REF!</v>
      </c>
      <c r="DP1" t="e">
        <f>AND(Master!#REF!,"AAAAAG7sOHc=")</f>
        <v>#REF!</v>
      </c>
      <c r="DQ1" t="e">
        <f>IF(Master!#REF!,"AAAAAG7sOHg=",0)</f>
        <v>#REF!</v>
      </c>
      <c r="DR1" t="e">
        <f>AND(Master!#REF!,"AAAAAG7sOHk=")</f>
        <v>#REF!</v>
      </c>
      <c r="DS1" t="e">
        <f>AND(Master!#REF!,"AAAAAG7sOHo=")</f>
        <v>#REF!</v>
      </c>
      <c r="DT1" t="e">
        <f>AND(Master!#REF!,"AAAAAG7sOHs=")</f>
        <v>#REF!</v>
      </c>
      <c r="DU1" t="e">
        <f>AND(Master!#REF!,"AAAAAG7sOHw=")</f>
        <v>#REF!</v>
      </c>
      <c r="DV1" t="e">
        <f>AND(Master!#REF!,"AAAAAG7sOH0=")</f>
        <v>#REF!</v>
      </c>
      <c r="DW1" t="e">
        <f>AND(Master!#REF!,"AAAAAG7sOH4=")</f>
        <v>#REF!</v>
      </c>
      <c r="DX1" t="e">
        <f>AND(Master!#REF!,"AAAAAG7sOH8=")</f>
        <v>#REF!</v>
      </c>
      <c r="DY1" t="e">
        <f>AND(Master!#REF!,"AAAAAG7sOIA=")</f>
        <v>#REF!</v>
      </c>
      <c r="DZ1" t="e">
        <f>AND(Master!#REF!,"AAAAAG7sOIE=")</f>
        <v>#REF!</v>
      </c>
      <c r="EA1" t="e">
        <f>AND(Master!#REF!,"AAAAAG7sOII=")</f>
        <v>#REF!</v>
      </c>
      <c r="EB1" t="e">
        <f>AND(Master!#REF!,"AAAAAG7sOIM=")</f>
        <v>#REF!</v>
      </c>
      <c r="EC1" t="e">
        <f>AND(Master!#REF!,"AAAAAG7sOIQ=")</f>
        <v>#REF!</v>
      </c>
      <c r="ED1" t="e">
        <f>AND(Master!#REF!,"AAAAAG7sOIU=")</f>
        <v>#REF!</v>
      </c>
      <c r="EE1" t="e">
        <f>AND(Master!#REF!,"AAAAAG7sOIY=")</f>
        <v>#REF!</v>
      </c>
      <c r="EF1" t="e">
        <f>AND(Master!#REF!,"AAAAAG7sOIc=")</f>
        <v>#REF!</v>
      </c>
      <c r="EG1" t="e">
        <f>AND(Master!#REF!,"AAAAAG7sOIg=")</f>
        <v>#REF!</v>
      </c>
      <c r="EH1" t="e">
        <f>AND(Master!#REF!,"AAAAAG7sOIk=")</f>
        <v>#REF!</v>
      </c>
      <c r="EI1" t="e">
        <f>AND(Master!#REF!,"AAAAAG7sOIo=")</f>
        <v>#REF!</v>
      </c>
      <c r="EJ1" t="e">
        <f>AND(Master!#REF!,"AAAAAG7sOIs=")</f>
        <v>#REF!</v>
      </c>
      <c r="EK1" t="e">
        <f>AND(Master!#REF!,"AAAAAG7sOIw=")</f>
        <v>#REF!</v>
      </c>
      <c r="EL1" t="e">
        <f>AND(Master!#REF!,"AAAAAG7sOI0=")</f>
        <v>#REF!</v>
      </c>
      <c r="EM1" t="e">
        <f>AND(Master!#REF!,"AAAAAG7sOI4=")</f>
        <v>#REF!</v>
      </c>
      <c r="EN1" t="e">
        <f>AND(Master!#REF!,"AAAAAG7sOI8=")</f>
        <v>#REF!</v>
      </c>
      <c r="EO1" t="e">
        <f>IF(Master!#REF!,"AAAAAG7sOJA=",0)</f>
        <v>#REF!</v>
      </c>
      <c r="EP1" t="e">
        <f>AND(Master!#REF!,"AAAAAG7sOJE=")</f>
        <v>#REF!</v>
      </c>
      <c r="EQ1" t="e">
        <f>AND(Master!#REF!,"AAAAAG7sOJI=")</f>
        <v>#REF!</v>
      </c>
      <c r="ER1" t="e">
        <f>AND(Master!#REF!,"AAAAAG7sOJM=")</f>
        <v>#REF!</v>
      </c>
      <c r="ES1" t="e">
        <f>AND(Master!#REF!,"AAAAAG7sOJQ=")</f>
        <v>#REF!</v>
      </c>
      <c r="ET1" t="e">
        <f>AND(Master!#REF!,"AAAAAG7sOJU=")</f>
        <v>#REF!</v>
      </c>
      <c r="EU1" t="e">
        <f>AND(Master!#REF!,"AAAAAG7sOJY=")</f>
        <v>#REF!</v>
      </c>
      <c r="EV1" t="e">
        <f>AND(Master!#REF!,"AAAAAG7sOJc=")</f>
        <v>#REF!</v>
      </c>
      <c r="EW1" t="e">
        <f>AND(Master!#REF!,"AAAAAG7sOJg=")</f>
        <v>#REF!</v>
      </c>
      <c r="EX1" t="e">
        <f>AND(Master!#REF!,"AAAAAG7sOJk=")</f>
        <v>#REF!</v>
      </c>
      <c r="EY1" t="e">
        <f>AND(Master!#REF!,"AAAAAG7sOJo=")</f>
        <v>#REF!</v>
      </c>
      <c r="EZ1" t="e">
        <f>AND(Master!#REF!,"AAAAAG7sOJs=")</f>
        <v>#REF!</v>
      </c>
      <c r="FA1" t="e">
        <f>AND(Master!#REF!,"AAAAAG7sOJw=")</f>
        <v>#REF!</v>
      </c>
      <c r="FB1" t="e">
        <f>AND(Master!#REF!,"AAAAAG7sOJ0=")</f>
        <v>#REF!</v>
      </c>
      <c r="FC1" t="e">
        <f>AND(Master!#REF!,"AAAAAG7sOJ4=")</f>
        <v>#REF!</v>
      </c>
      <c r="FD1" t="e">
        <f>AND(Master!#REF!,"AAAAAG7sOJ8=")</f>
        <v>#REF!</v>
      </c>
      <c r="FE1" t="e">
        <f>AND(Master!#REF!,"AAAAAG7sOKA=")</f>
        <v>#REF!</v>
      </c>
      <c r="FF1" t="e">
        <f>AND(Master!#REF!,"AAAAAG7sOKE=")</f>
        <v>#REF!</v>
      </c>
      <c r="FG1" t="e">
        <f>AND(Master!#REF!,"AAAAAG7sOKI=")</f>
        <v>#REF!</v>
      </c>
      <c r="FH1" t="e">
        <f>AND(Master!#REF!,"AAAAAG7sOKM=")</f>
        <v>#REF!</v>
      </c>
      <c r="FI1" t="e">
        <f>AND(Master!#REF!,"AAAAAG7sOKQ=")</f>
        <v>#REF!</v>
      </c>
      <c r="FJ1" t="e">
        <f>AND(Master!#REF!,"AAAAAG7sOKU=")</f>
        <v>#REF!</v>
      </c>
      <c r="FK1" t="e">
        <f>AND(Master!#REF!,"AAAAAG7sOKY=")</f>
        <v>#REF!</v>
      </c>
      <c r="FL1" t="e">
        <f>AND(Master!#REF!,"AAAAAG7sOKc=")</f>
        <v>#REF!</v>
      </c>
      <c r="FM1" t="e">
        <f>IF(Master!#REF!,"AAAAAG7sOKg=",0)</f>
        <v>#REF!</v>
      </c>
      <c r="FN1" t="e">
        <f>AND(Master!#REF!,"AAAAAG7sOKk=")</f>
        <v>#REF!</v>
      </c>
      <c r="FO1" t="e">
        <f>AND(Master!#REF!,"AAAAAG7sOKo=")</f>
        <v>#REF!</v>
      </c>
      <c r="FP1" t="e">
        <f>AND(Master!#REF!,"AAAAAG7sOKs=")</f>
        <v>#REF!</v>
      </c>
      <c r="FQ1" t="e">
        <f>AND(Master!#REF!,"AAAAAG7sOKw=")</f>
        <v>#REF!</v>
      </c>
      <c r="FR1" t="e">
        <f>AND(Master!#REF!,"AAAAAG7sOK0=")</f>
        <v>#REF!</v>
      </c>
      <c r="FS1" t="e">
        <f>AND(Master!#REF!,"AAAAAG7sOK4=")</f>
        <v>#REF!</v>
      </c>
      <c r="FT1" t="e">
        <f>AND(Master!#REF!,"AAAAAG7sOK8=")</f>
        <v>#REF!</v>
      </c>
      <c r="FU1" t="e">
        <f>AND(Master!#REF!,"AAAAAG7sOLA=")</f>
        <v>#REF!</v>
      </c>
      <c r="FV1" t="e">
        <f>AND(Master!#REF!,"AAAAAG7sOLE=")</f>
        <v>#REF!</v>
      </c>
      <c r="FW1" t="e">
        <f>AND(Master!#REF!,"AAAAAG7sOLI=")</f>
        <v>#REF!</v>
      </c>
      <c r="FX1" t="e">
        <f>AND(Master!#REF!,"AAAAAG7sOLM=")</f>
        <v>#REF!</v>
      </c>
      <c r="FY1" t="e">
        <f>AND(Master!#REF!,"AAAAAG7sOLQ=")</f>
        <v>#REF!</v>
      </c>
      <c r="FZ1" t="e">
        <f>AND(Master!#REF!,"AAAAAG7sOLU=")</f>
        <v>#REF!</v>
      </c>
      <c r="GA1" t="e">
        <f>AND(Master!#REF!,"AAAAAG7sOLY=")</f>
        <v>#REF!</v>
      </c>
      <c r="GB1" t="e">
        <f>AND(Master!#REF!,"AAAAAG7sOLc=")</f>
        <v>#REF!</v>
      </c>
      <c r="GC1" t="e">
        <f>AND(Master!#REF!,"AAAAAG7sOLg=")</f>
        <v>#REF!</v>
      </c>
      <c r="GD1" t="e">
        <f>AND(Master!#REF!,"AAAAAG7sOLk=")</f>
        <v>#REF!</v>
      </c>
      <c r="GE1" t="e">
        <f>AND(Master!#REF!,"AAAAAG7sOLo=")</f>
        <v>#REF!</v>
      </c>
      <c r="GF1" t="e">
        <f>AND(Master!#REF!,"AAAAAG7sOLs=")</f>
        <v>#REF!</v>
      </c>
      <c r="GG1" t="e">
        <f>AND(Master!#REF!,"AAAAAG7sOLw=")</f>
        <v>#REF!</v>
      </c>
      <c r="GH1" t="e">
        <f>AND(Master!#REF!,"AAAAAG7sOL0=")</f>
        <v>#REF!</v>
      </c>
      <c r="GI1" t="e">
        <f>AND(Master!#REF!,"AAAAAG7sOL4=")</f>
        <v>#REF!</v>
      </c>
      <c r="GJ1" t="e">
        <f>AND(Master!#REF!,"AAAAAG7sOL8=")</f>
        <v>#REF!</v>
      </c>
      <c r="GK1" t="e">
        <f>IF(Master!#REF!,"AAAAAG7sOMA=",0)</f>
        <v>#REF!</v>
      </c>
      <c r="GL1" t="e">
        <f>AND(Master!#REF!,"AAAAAG7sOME=")</f>
        <v>#REF!</v>
      </c>
      <c r="GM1" t="e">
        <f>AND(Master!#REF!,"AAAAAG7sOMI=")</f>
        <v>#REF!</v>
      </c>
      <c r="GN1" t="e">
        <f>AND(Master!#REF!,"AAAAAG7sOMM=")</f>
        <v>#REF!</v>
      </c>
      <c r="GO1" t="e">
        <f>AND(Master!#REF!,"AAAAAG7sOMQ=")</f>
        <v>#REF!</v>
      </c>
      <c r="GP1" t="e">
        <f>AND(Master!#REF!,"AAAAAG7sOMU=")</f>
        <v>#REF!</v>
      </c>
      <c r="GQ1" t="e">
        <f>AND(Master!#REF!,"AAAAAG7sOMY=")</f>
        <v>#REF!</v>
      </c>
      <c r="GR1" t="e">
        <f>AND(Master!#REF!,"AAAAAG7sOMc=")</f>
        <v>#REF!</v>
      </c>
      <c r="GS1" t="e">
        <f>AND(Master!#REF!,"AAAAAG7sOMg=")</f>
        <v>#REF!</v>
      </c>
      <c r="GT1" t="e">
        <f>AND(Master!#REF!,"AAAAAG7sOMk=")</f>
        <v>#REF!</v>
      </c>
      <c r="GU1" t="e">
        <f>AND(Master!#REF!,"AAAAAG7sOMo=")</f>
        <v>#REF!</v>
      </c>
      <c r="GV1" t="e">
        <f>AND(Master!#REF!,"AAAAAG7sOMs=")</f>
        <v>#REF!</v>
      </c>
      <c r="GW1" t="e">
        <f>AND(Master!#REF!,"AAAAAG7sOMw=")</f>
        <v>#REF!</v>
      </c>
      <c r="GX1" t="e">
        <f>AND(Master!#REF!,"AAAAAG7sOM0=")</f>
        <v>#REF!</v>
      </c>
      <c r="GY1" t="e">
        <f>AND(Master!#REF!,"AAAAAG7sOM4=")</f>
        <v>#REF!</v>
      </c>
      <c r="GZ1" t="e">
        <f>AND(Master!#REF!,"AAAAAG7sOM8=")</f>
        <v>#REF!</v>
      </c>
      <c r="HA1" t="e">
        <f>AND(Master!#REF!,"AAAAAG7sONA=")</f>
        <v>#REF!</v>
      </c>
      <c r="HB1" t="e">
        <f>AND(Master!#REF!,"AAAAAG7sONE=")</f>
        <v>#REF!</v>
      </c>
      <c r="HC1" t="e">
        <f>AND(Master!#REF!,"AAAAAG7sONI=")</f>
        <v>#REF!</v>
      </c>
      <c r="HD1" t="e">
        <f>AND(Master!#REF!,"AAAAAG7sONM=")</f>
        <v>#REF!</v>
      </c>
      <c r="HE1" t="e">
        <f>AND(Master!#REF!,"AAAAAG7sONQ=")</f>
        <v>#REF!</v>
      </c>
      <c r="HF1" t="e">
        <f>AND(Master!#REF!,"AAAAAG7sONU=")</f>
        <v>#REF!</v>
      </c>
      <c r="HG1" t="e">
        <f>AND(Master!#REF!,"AAAAAG7sONY=")</f>
        <v>#REF!</v>
      </c>
      <c r="HH1" t="e">
        <f>AND(Master!#REF!,"AAAAAG7sONc=")</f>
        <v>#REF!</v>
      </c>
      <c r="HI1" t="e">
        <f>IF(Master!#REF!,"AAAAAG7sONg=",0)</f>
        <v>#REF!</v>
      </c>
      <c r="HJ1" t="e">
        <f>AND(Master!#REF!,"AAAAAG7sONk=")</f>
        <v>#REF!</v>
      </c>
      <c r="HK1" t="e">
        <f>AND(Master!#REF!,"AAAAAG7sONo=")</f>
        <v>#REF!</v>
      </c>
      <c r="HL1" t="e">
        <f>AND(Master!#REF!,"AAAAAG7sONs=")</f>
        <v>#REF!</v>
      </c>
      <c r="HM1" t="e">
        <f>AND(Master!#REF!,"AAAAAG7sONw=")</f>
        <v>#REF!</v>
      </c>
      <c r="HN1" t="e">
        <f>AND(Master!#REF!,"AAAAAG7sON0=")</f>
        <v>#REF!</v>
      </c>
      <c r="HO1" t="e">
        <f>AND(Master!#REF!,"AAAAAG7sON4=")</f>
        <v>#REF!</v>
      </c>
      <c r="HP1" t="e">
        <f>AND(Master!#REF!,"AAAAAG7sON8=")</f>
        <v>#REF!</v>
      </c>
      <c r="HQ1" t="e">
        <f>AND(Master!#REF!,"AAAAAG7sOOA=")</f>
        <v>#REF!</v>
      </c>
      <c r="HR1" t="e">
        <f>AND(Master!#REF!,"AAAAAG7sOOE=")</f>
        <v>#REF!</v>
      </c>
      <c r="HS1" t="e">
        <f>AND(Master!#REF!,"AAAAAG7sOOI=")</f>
        <v>#REF!</v>
      </c>
      <c r="HT1" t="e">
        <f>AND(Master!#REF!,"AAAAAG7sOOM=")</f>
        <v>#REF!</v>
      </c>
      <c r="HU1" t="e">
        <f>AND(Master!#REF!,"AAAAAG7sOOQ=")</f>
        <v>#REF!</v>
      </c>
      <c r="HV1" t="e">
        <f>AND(Master!#REF!,"AAAAAG7sOOU=")</f>
        <v>#REF!</v>
      </c>
      <c r="HW1" t="e">
        <f>AND(Master!#REF!,"AAAAAG7sOOY=")</f>
        <v>#REF!</v>
      </c>
      <c r="HX1" t="e">
        <f>AND(Master!#REF!,"AAAAAG7sOOc=")</f>
        <v>#REF!</v>
      </c>
      <c r="HY1" t="e">
        <f>AND(Master!#REF!,"AAAAAG7sOOg=")</f>
        <v>#REF!</v>
      </c>
      <c r="HZ1" t="e">
        <f>AND(Master!#REF!,"AAAAAG7sOOk=")</f>
        <v>#REF!</v>
      </c>
      <c r="IA1" t="e">
        <f>AND(Master!#REF!,"AAAAAG7sOOo=")</f>
        <v>#REF!</v>
      </c>
      <c r="IB1" t="e">
        <f>AND(Master!#REF!,"AAAAAG7sOOs=")</f>
        <v>#REF!</v>
      </c>
      <c r="IC1" t="e">
        <f>AND(Master!#REF!,"AAAAAG7sOOw=")</f>
        <v>#REF!</v>
      </c>
      <c r="ID1" t="e">
        <f>AND(Master!#REF!,"AAAAAG7sOO0=")</f>
        <v>#REF!</v>
      </c>
      <c r="IE1" t="e">
        <f>AND(Master!#REF!,"AAAAAG7sOO4=")</f>
        <v>#REF!</v>
      </c>
      <c r="IF1" t="e">
        <f>AND(Master!#REF!,"AAAAAG7sOO8=")</f>
        <v>#REF!</v>
      </c>
      <c r="IG1" t="e">
        <f>IF(Master!#REF!,"AAAAAG7sOPA=",0)</f>
        <v>#REF!</v>
      </c>
      <c r="IH1" t="e">
        <f>AND(Master!#REF!,"AAAAAG7sOPE=")</f>
        <v>#REF!</v>
      </c>
      <c r="II1" t="e">
        <f>AND(Master!#REF!,"AAAAAG7sOPI=")</f>
        <v>#REF!</v>
      </c>
      <c r="IJ1" t="e">
        <f>AND(Master!#REF!,"AAAAAG7sOPM=")</f>
        <v>#REF!</v>
      </c>
      <c r="IK1" t="e">
        <f>AND(Master!#REF!,"AAAAAG7sOPQ=")</f>
        <v>#REF!</v>
      </c>
      <c r="IL1" t="e">
        <f>AND(Master!#REF!,"AAAAAG7sOPU=")</f>
        <v>#REF!</v>
      </c>
      <c r="IM1" t="e">
        <f>AND(Master!#REF!,"AAAAAG7sOPY=")</f>
        <v>#REF!</v>
      </c>
      <c r="IN1" t="e">
        <f>AND(Master!#REF!,"AAAAAG7sOPc=")</f>
        <v>#REF!</v>
      </c>
      <c r="IO1" t="e">
        <f>AND(Master!#REF!,"AAAAAG7sOPg=")</f>
        <v>#REF!</v>
      </c>
      <c r="IP1" t="e">
        <f>AND(Master!#REF!,"AAAAAG7sOPk=")</f>
        <v>#REF!</v>
      </c>
      <c r="IQ1" t="e">
        <f>AND(Master!#REF!,"AAAAAG7sOPo=")</f>
        <v>#REF!</v>
      </c>
      <c r="IR1" t="e">
        <f>AND(Master!#REF!,"AAAAAG7sOPs=")</f>
        <v>#REF!</v>
      </c>
      <c r="IS1" t="e">
        <f>AND(Master!#REF!,"AAAAAG7sOPw=")</f>
        <v>#REF!</v>
      </c>
      <c r="IT1" t="e">
        <f>AND(Master!#REF!,"AAAAAG7sOP0=")</f>
        <v>#REF!</v>
      </c>
      <c r="IU1" t="e">
        <f>AND(Master!#REF!,"AAAAAG7sOP4=")</f>
        <v>#REF!</v>
      </c>
      <c r="IV1" t="e">
        <f>AND(Master!#REF!,"AAAAAG7sOP8=")</f>
        <v>#REF!</v>
      </c>
    </row>
    <row r="2" spans="1:256">
      <c r="A2" t="e">
        <f>AND(Master!#REF!,"AAAAAG7pMgA=")</f>
        <v>#REF!</v>
      </c>
      <c r="B2" t="e">
        <f>AND(Master!#REF!,"AAAAAG7pMgE=")</f>
        <v>#REF!</v>
      </c>
      <c r="C2" t="e">
        <f>AND(Master!#REF!,"AAAAAG7pMgI=")</f>
        <v>#REF!</v>
      </c>
      <c r="D2" t="e">
        <f>AND(Master!#REF!,"AAAAAG7pMgM=")</f>
        <v>#REF!</v>
      </c>
      <c r="E2" t="e">
        <f>AND(Master!#REF!,"AAAAAG7pMgQ=")</f>
        <v>#REF!</v>
      </c>
      <c r="F2" t="e">
        <f>AND(Master!#REF!,"AAAAAG7pMgU=")</f>
        <v>#REF!</v>
      </c>
      <c r="G2" t="e">
        <f>AND(Master!#REF!,"AAAAAG7pMgY=")</f>
        <v>#REF!</v>
      </c>
      <c r="H2" t="e">
        <f>AND(Master!#REF!,"AAAAAG7pMgc=")</f>
        <v>#REF!</v>
      </c>
      <c r="I2" t="e">
        <f>IF(Master!#REF!,"AAAAAG7pMgg=",0)</f>
        <v>#REF!</v>
      </c>
      <c r="J2" t="e">
        <f>AND(Master!#REF!,"AAAAAG7pMgk=")</f>
        <v>#REF!</v>
      </c>
      <c r="K2" t="e">
        <f>AND(Master!#REF!,"AAAAAG7pMgo=")</f>
        <v>#REF!</v>
      </c>
      <c r="L2" t="e">
        <f>AND(Master!#REF!,"AAAAAG7pMgs=")</f>
        <v>#REF!</v>
      </c>
      <c r="M2" t="e">
        <f>AND(Master!#REF!,"AAAAAG7pMgw=")</f>
        <v>#REF!</v>
      </c>
      <c r="N2" t="e">
        <f>AND(Master!#REF!,"AAAAAG7pMg0=")</f>
        <v>#REF!</v>
      </c>
      <c r="O2" t="e">
        <f>AND(Master!#REF!,"AAAAAG7pMg4=")</f>
        <v>#REF!</v>
      </c>
      <c r="P2" t="e">
        <f>AND(Master!#REF!,"AAAAAG7pMg8=")</f>
        <v>#REF!</v>
      </c>
      <c r="Q2" t="e">
        <f>AND(Master!#REF!,"AAAAAG7pMhA=")</f>
        <v>#REF!</v>
      </c>
      <c r="R2" t="e">
        <f>AND(Master!#REF!,"AAAAAG7pMhE=")</f>
        <v>#REF!</v>
      </c>
      <c r="S2" t="e">
        <f>AND(Master!#REF!,"AAAAAG7pMhI=")</f>
        <v>#REF!</v>
      </c>
      <c r="T2" t="e">
        <f>AND(Master!#REF!,"AAAAAG7pMhM=")</f>
        <v>#REF!</v>
      </c>
      <c r="U2" t="e">
        <f>AND(Master!#REF!,"AAAAAG7pMhQ=")</f>
        <v>#REF!</v>
      </c>
      <c r="V2" t="e">
        <f>AND(Master!#REF!,"AAAAAG7pMhU=")</f>
        <v>#REF!</v>
      </c>
      <c r="W2" t="e">
        <f>AND(Master!#REF!,"AAAAAG7pMhY=")</f>
        <v>#REF!</v>
      </c>
      <c r="X2" t="e">
        <f>AND(Master!#REF!,"AAAAAG7pMhc=")</f>
        <v>#REF!</v>
      </c>
      <c r="Y2" t="e">
        <f>AND(Master!#REF!,"AAAAAG7pMhg=")</f>
        <v>#REF!</v>
      </c>
      <c r="Z2" t="e">
        <f>AND(Master!#REF!,"AAAAAG7pMhk=")</f>
        <v>#REF!</v>
      </c>
      <c r="AA2" t="e">
        <f>AND(Master!#REF!,"AAAAAG7pMho=")</f>
        <v>#REF!</v>
      </c>
      <c r="AB2" t="e">
        <f>AND(Master!#REF!,"AAAAAG7pMhs=")</f>
        <v>#REF!</v>
      </c>
      <c r="AC2" t="e">
        <f>AND(Master!#REF!,"AAAAAG7pMhw=")</f>
        <v>#REF!</v>
      </c>
      <c r="AD2" t="e">
        <f>AND(Master!#REF!,"AAAAAG7pMh0=")</f>
        <v>#REF!</v>
      </c>
      <c r="AE2" t="e">
        <f>AND(Master!#REF!,"AAAAAG7pMh4=")</f>
        <v>#REF!</v>
      </c>
      <c r="AF2" t="e">
        <f>AND(Master!#REF!,"AAAAAG7pMh8=")</f>
        <v>#REF!</v>
      </c>
      <c r="AG2" t="e">
        <f>IF(Master!#REF!,"AAAAAG7pMiA=",0)</f>
        <v>#REF!</v>
      </c>
      <c r="AH2" t="e">
        <f>AND(Master!#REF!,"AAAAAG7pMiE=")</f>
        <v>#REF!</v>
      </c>
      <c r="AI2" t="e">
        <f>AND(Master!#REF!,"AAAAAG7pMiI=")</f>
        <v>#REF!</v>
      </c>
      <c r="AJ2" t="e">
        <f>AND(Master!#REF!,"AAAAAG7pMiM=")</f>
        <v>#REF!</v>
      </c>
      <c r="AK2" t="e">
        <f>AND(Master!#REF!,"AAAAAG7pMiQ=")</f>
        <v>#REF!</v>
      </c>
      <c r="AL2" t="e">
        <f>AND(Master!#REF!,"AAAAAG7pMiU=")</f>
        <v>#REF!</v>
      </c>
      <c r="AM2" t="e">
        <f>AND(Master!#REF!,"AAAAAG7pMiY=")</f>
        <v>#REF!</v>
      </c>
      <c r="AN2" t="e">
        <f>AND(Master!#REF!,"AAAAAG7pMic=")</f>
        <v>#REF!</v>
      </c>
      <c r="AO2" t="e">
        <f>AND(Master!#REF!,"AAAAAG7pMig=")</f>
        <v>#REF!</v>
      </c>
      <c r="AP2" t="e">
        <f>AND(Master!#REF!,"AAAAAG7pMik=")</f>
        <v>#REF!</v>
      </c>
      <c r="AQ2" t="e">
        <f>AND(Master!#REF!,"AAAAAG7pMio=")</f>
        <v>#REF!</v>
      </c>
      <c r="AR2" t="e">
        <f>AND(Master!#REF!,"AAAAAG7pMis=")</f>
        <v>#REF!</v>
      </c>
      <c r="AS2" t="e">
        <f>AND(Master!#REF!,"AAAAAG7pMiw=")</f>
        <v>#REF!</v>
      </c>
      <c r="AT2" t="e">
        <f>AND(Master!#REF!,"AAAAAG7pMi0=")</f>
        <v>#REF!</v>
      </c>
      <c r="AU2" t="e">
        <f>AND(Master!#REF!,"AAAAAG7pMi4=")</f>
        <v>#REF!</v>
      </c>
      <c r="AV2" t="e">
        <f>AND(Master!#REF!,"AAAAAG7pMi8=")</f>
        <v>#REF!</v>
      </c>
      <c r="AW2" t="e">
        <f>AND(Master!#REF!,"AAAAAG7pMjA=")</f>
        <v>#REF!</v>
      </c>
      <c r="AX2" t="e">
        <f>AND(Master!#REF!,"AAAAAG7pMjE=")</f>
        <v>#REF!</v>
      </c>
      <c r="AY2" t="e">
        <f>AND(Master!#REF!,"AAAAAG7pMjI=")</f>
        <v>#REF!</v>
      </c>
      <c r="AZ2" t="e">
        <f>AND(Master!#REF!,"AAAAAG7pMjM=")</f>
        <v>#REF!</v>
      </c>
      <c r="BA2" t="e">
        <f>AND(Master!#REF!,"AAAAAG7pMjQ=")</f>
        <v>#REF!</v>
      </c>
      <c r="BB2" t="e">
        <f>AND(Master!#REF!,"AAAAAG7pMjU=")</f>
        <v>#REF!</v>
      </c>
      <c r="BC2" t="e">
        <f>AND(Master!#REF!,"AAAAAG7pMjY=")</f>
        <v>#REF!</v>
      </c>
      <c r="BD2" t="e">
        <f>AND(Master!#REF!,"AAAAAG7pMjc=")</f>
        <v>#REF!</v>
      </c>
      <c r="BE2" t="e">
        <f>IF(Master!#REF!,"AAAAAG7pMjg=",0)</f>
        <v>#REF!</v>
      </c>
      <c r="BF2" t="e">
        <f>AND(Master!#REF!,"AAAAAG7pMjk=")</f>
        <v>#REF!</v>
      </c>
      <c r="BG2" t="e">
        <f>AND(Master!#REF!,"AAAAAG7pMjo=")</f>
        <v>#REF!</v>
      </c>
      <c r="BH2" t="e">
        <f>AND(Master!#REF!,"AAAAAG7pMjs=")</f>
        <v>#REF!</v>
      </c>
      <c r="BI2" t="e">
        <f>AND(Master!#REF!,"AAAAAG7pMjw=")</f>
        <v>#REF!</v>
      </c>
      <c r="BJ2" t="e">
        <f>AND(Master!#REF!,"AAAAAG7pMj0=")</f>
        <v>#REF!</v>
      </c>
      <c r="BK2" t="e">
        <f>AND(Master!#REF!,"AAAAAG7pMj4=")</f>
        <v>#REF!</v>
      </c>
      <c r="BL2" t="e">
        <f>AND(Master!#REF!,"AAAAAG7pMj8=")</f>
        <v>#REF!</v>
      </c>
      <c r="BM2" t="e">
        <f>AND(Master!#REF!,"AAAAAG7pMkA=")</f>
        <v>#REF!</v>
      </c>
      <c r="BN2" t="e">
        <f>AND(Master!#REF!,"AAAAAG7pMkE=")</f>
        <v>#REF!</v>
      </c>
      <c r="BO2" t="e">
        <f>AND(Master!#REF!,"AAAAAG7pMkI=")</f>
        <v>#REF!</v>
      </c>
      <c r="BP2" t="e">
        <f>AND(Master!#REF!,"AAAAAG7pMkM=")</f>
        <v>#REF!</v>
      </c>
      <c r="BQ2" t="e">
        <f>AND(Master!#REF!,"AAAAAG7pMkQ=")</f>
        <v>#REF!</v>
      </c>
      <c r="BR2" t="e">
        <f>AND(Master!#REF!,"AAAAAG7pMkU=")</f>
        <v>#REF!</v>
      </c>
      <c r="BS2" t="e">
        <f>AND(Master!#REF!,"AAAAAG7pMkY=")</f>
        <v>#REF!</v>
      </c>
      <c r="BT2" t="e">
        <f>AND(Master!#REF!,"AAAAAG7pMkc=")</f>
        <v>#REF!</v>
      </c>
      <c r="BU2" t="e">
        <f>AND(Master!#REF!,"AAAAAG7pMkg=")</f>
        <v>#REF!</v>
      </c>
      <c r="BV2" t="e">
        <f>AND(Master!#REF!,"AAAAAG7pMkk=")</f>
        <v>#REF!</v>
      </c>
      <c r="BW2" t="e">
        <f>AND(Master!#REF!,"AAAAAG7pMko=")</f>
        <v>#REF!</v>
      </c>
      <c r="BX2" t="e">
        <f>AND(Master!#REF!,"AAAAAG7pMks=")</f>
        <v>#REF!</v>
      </c>
      <c r="BY2" t="e">
        <f>AND(Master!#REF!,"AAAAAG7pMkw=")</f>
        <v>#REF!</v>
      </c>
      <c r="BZ2" t="e">
        <f>AND(Master!#REF!,"AAAAAG7pMk0=")</f>
        <v>#REF!</v>
      </c>
      <c r="CA2" t="e">
        <f>AND(Master!#REF!,"AAAAAG7pMk4=")</f>
        <v>#REF!</v>
      </c>
      <c r="CB2" t="e">
        <f>AND(Master!#REF!,"AAAAAG7pMk8=")</f>
        <v>#REF!</v>
      </c>
      <c r="CC2" t="e">
        <f>IF(Master!#REF!,"AAAAAG7pMlA=",0)</f>
        <v>#REF!</v>
      </c>
      <c r="CD2" t="e">
        <f>AND(Master!#REF!,"AAAAAG7pMlE=")</f>
        <v>#REF!</v>
      </c>
      <c r="CE2" t="e">
        <f>AND(Master!#REF!,"AAAAAG7pMlI=")</f>
        <v>#REF!</v>
      </c>
      <c r="CF2" t="e">
        <f>AND(Master!#REF!,"AAAAAG7pMlM=")</f>
        <v>#REF!</v>
      </c>
      <c r="CG2" t="e">
        <f>AND(Master!#REF!,"AAAAAG7pMlQ=")</f>
        <v>#REF!</v>
      </c>
      <c r="CH2" t="e">
        <f>AND(Master!#REF!,"AAAAAG7pMlU=")</f>
        <v>#REF!</v>
      </c>
      <c r="CI2" t="e">
        <f>AND(Master!#REF!,"AAAAAG7pMlY=")</f>
        <v>#REF!</v>
      </c>
      <c r="CJ2" t="e">
        <f>AND(Master!#REF!,"AAAAAG7pMlc=")</f>
        <v>#REF!</v>
      </c>
      <c r="CK2" t="e">
        <f>AND(Master!#REF!,"AAAAAG7pMlg=")</f>
        <v>#REF!</v>
      </c>
      <c r="CL2" t="e">
        <f>AND(Master!#REF!,"AAAAAG7pMlk=")</f>
        <v>#REF!</v>
      </c>
      <c r="CM2" t="e">
        <f>AND(Master!#REF!,"AAAAAG7pMlo=")</f>
        <v>#REF!</v>
      </c>
      <c r="CN2" t="e">
        <f>AND(Master!#REF!,"AAAAAG7pMls=")</f>
        <v>#REF!</v>
      </c>
      <c r="CO2" t="e">
        <f>AND(Master!#REF!,"AAAAAG7pMlw=")</f>
        <v>#REF!</v>
      </c>
      <c r="CP2" t="e">
        <f>AND(Master!#REF!,"AAAAAG7pMl0=")</f>
        <v>#REF!</v>
      </c>
      <c r="CQ2" t="e">
        <f>AND(Master!#REF!,"AAAAAG7pMl4=")</f>
        <v>#REF!</v>
      </c>
      <c r="CR2" t="e">
        <f>AND(Master!#REF!,"AAAAAG7pMl8=")</f>
        <v>#REF!</v>
      </c>
      <c r="CS2" t="e">
        <f>AND(Master!#REF!,"AAAAAG7pMmA=")</f>
        <v>#REF!</v>
      </c>
      <c r="CT2" t="e">
        <f>AND(Master!#REF!,"AAAAAG7pMmE=")</f>
        <v>#REF!</v>
      </c>
      <c r="CU2" t="e">
        <f>AND(Master!#REF!,"AAAAAG7pMmI=")</f>
        <v>#REF!</v>
      </c>
      <c r="CV2" t="e">
        <f>AND(Master!#REF!,"AAAAAG7pMmM=")</f>
        <v>#REF!</v>
      </c>
      <c r="CW2" t="e">
        <f>AND(Master!#REF!,"AAAAAG7pMmQ=")</f>
        <v>#REF!</v>
      </c>
      <c r="CX2" t="e">
        <f>AND(Master!#REF!,"AAAAAG7pMmU=")</f>
        <v>#REF!</v>
      </c>
      <c r="CY2" t="e">
        <f>AND(Master!#REF!,"AAAAAG7pMmY=")</f>
        <v>#REF!</v>
      </c>
      <c r="CZ2" t="e">
        <f>AND(Master!#REF!,"AAAAAG7pMmc=")</f>
        <v>#REF!</v>
      </c>
      <c r="DA2" t="e">
        <f>IF(Master!#REF!,"AAAAAG7pMmg=",0)</f>
        <v>#REF!</v>
      </c>
      <c r="DB2" t="e">
        <f>AND(Master!#REF!,"AAAAAG7pMmk=")</f>
        <v>#REF!</v>
      </c>
      <c r="DC2" t="e">
        <f>AND(Master!#REF!,"AAAAAG7pMmo=")</f>
        <v>#REF!</v>
      </c>
      <c r="DD2" t="e">
        <f>AND(Master!#REF!,"AAAAAG7pMms=")</f>
        <v>#REF!</v>
      </c>
      <c r="DE2" t="e">
        <f>AND(Master!#REF!,"AAAAAG7pMmw=")</f>
        <v>#REF!</v>
      </c>
      <c r="DF2" t="e">
        <f>AND(Master!#REF!,"AAAAAG7pMm0=")</f>
        <v>#REF!</v>
      </c>
      <c r="DG2" t="e">
        <f>AND(Master!#REF!,"AAAAAG7pMm4=")</f>
        <v>#REF!</v>
      </c>
      <c r="DH2" t="e">
        <f>AND(Master!#REF!,"AAAAAG7pMm8=")</f>
        <v>#REF!</v>
      </c>
      <c r="DI2" t="e">
        <f>AND(Master!#REF!,"AAAAAG7pMnA=")</f>
        <v>#REF!</v>
      </c>
      <c r="DJ2" t="e">
        <f>AND(Master!#REF!,"AAAAAG7pMnE=")</f>
        <v>#REF!</v>
      </c>
      <c r="DK2" t="e">
        <f>AND(Master!#REF!,"AAAAAG7pMnI=")</f>
        <v>#REF!</v>
      </c>
      <c r="DL2" t="e">
        <f>AND(Master!#REF!,"AAAAAG7pMnM=")</f>
        <v>#REF!</v>
      </c>
      <c r="DM2" t="e">
        <f>AND(Master!#REF!,"AAAAAG7pMnQ=")</f>
        <v>#REF!</v>
      </c>
      <c r="DN2" t="e">
        <f>AND(Master!#REF!,"AAAAAG7pMnU=")</f>
        <v>#REF!</v>
      </c>
      <c r="DO2" t="e">
        <f>AND(Master!#REF!,"AAAAAG7pMnY=")</f>
        <v>#REF!</v>
      </c>
      <c r="DP2" t="e">
        <f>AND(Master!#REF!,"AAAAAG7pMnc=")</f>
        <v>#REF!</v>
      </c>
      <c r="DQ2" t="e">
        <f>AND(Master!#REF!,"AAAAAG7pMng=")</f>
        <v>#REF!</v>
      </c>
      <c r="DR2" t="e">
        <f>AND(Master!#REF!,"AAAAAG7pMnk=")</f>
        <v>#REF!</v>
      </c>
      <c r="DS2" t="e">
        <f>AND(Master!#REF!,"AAAAAG7pMno=")</f>
        <v>#REF!</v>
      </c>
      <c r="DT2" t="e">
        <f>AND(Master!#REF!,"AAAAAG7pMns=")</f>
        <v>#REF!</v>
      </c>
      <c r="DU2" t="e">
        <f>AND(Master!#REF!,"AAAAAG7pMnw=")</f>
        <v>#REF!</v>
      </c>
      <c r="DV2" t="e">
        <f>AND(Master!#REF!,"AAAAAG7pMn0=")</f>
        <v>#REF!</v>
      </c>
      <c r="DW2" t="e">
        <f>AND(Master!#REF!,"AAAAAG7pMn4=")</f>
        <v>#REF!</v>
      </c>
      <c r="DX2" t="e">
        <f>AND(Master!#REF!,"AAAAAG7pMn8=")</f>
        <v>#REF!</v>
      </c>
      <c r="DY2" t="e">
        <f>IF(Master!#REF!,"AAAAAG7pMoA=",0)</f>
        <v>#REF!</v>
      </c>
      <c r="DZ2" t="e">
        <f>AND(Master!#REF!,"AAAAAG7pMoE=")</f>
        <v>#REF!</v>
      </c>
      <c r="EA2" t="e">
        <f>AND(Master!#REF!,"AAAAAG7pMoI=")</f>
        <v>#REF!</v>
      </c>
      <c r="EB2" t="e">
        <f>AND(Master!#REF!,"AAAAAG7pMoM=")</f>
        <v>#REF!</v>
      </c>
      <c r="EC2" t="e">
        <f>AND(Master!#REF!,"AAAAAG7pMoQ=")</f>
        <v>#REF!</v>
      </c>
      <c r="ED2" t="e">
        <f>AND(Master!#REF!,"AAAAAG7pMoU=")</f>
        <v>#REF!</v>
      </c>
      <c r="EE2" t="e">
        <f>AND(Master!#REF!,"AAAAAG7pMoY=")</f>
        <v>#REF!</v>
      </c>
      <c r="EF2" t="e">
        <f>AND(Master!#REF!,"AAAAAG7pMoc=")</f>
        <v>#REF!</v>
      </c>
      <c r="EG2" t="e">
        <f>AND(Master!#REF!,"AAAAAG7pMog=")</f>
        <v>#REF!</v>
      </c>
      <c r="EH2" t="e">
        <f>AND(Master!#REF!,"AAAAAG7pMok=")</f>
        <v>#REF!</v>
      </c>
      <c r="EI2" t="e">
        <f>AND(Master!#REF!,"AAAAAG7pMoo=")</f>
        <v>#REF!</v>
      </c>
      <c r="EJ2" t="e">
        <f>AND(Master!#REF!,"AAAAAG7pMos=")</f>
        <v>#REF!</v>
      </c>
      <c r="EK2" t="e">
        <f>AND(Master!#REF!,"AAAAAG7pMow=")</f>
        <v>#REF!</v>
      </c>
      <c r="EL2" t="e">
        <f>AND(Master!#REF!,"AAAAAG7pMo0=")</f>
        <v>#REF!</v>
      </c>
      <c r="EM2" t="e">
        <f>AND(Master!#REF!,"AAAAAG7pMo4=")</f>
        <v>#REF!</v>
      </c>
      <c r="EN2" t="e">
        <f>AND(Master!#REF!,"AAAAAG7pMo8=")</f>
        <v>#REF!</v>
      </c>
      <c r="EO2" t="e">
        <f>AND(Master!#REF!,"AAAAAG7pMpA=")</f>
        <v>#REF!</v>
      </c>
      <c r="EP2" t="e">
        <f>AND(Master!#REF!,"AAAAAG7pMpE=")</f>
        <v>#REF!</v>
      </c>
      <c r="EQ2" t="e">
        <f>AND(Master!#REF!,"AAAAAG7pMpI=")</f>
        <v>#REF!</v>
      </c>
      <c r="ER2" t="e">
        <f>AND(Master!#REF!,"AAAAAG7pMpM=")</f>
        <v>#REF!</v>
      </c>
      <c r="ES2" t="e">
        <f>AND(Master!#REF!,"AAAAAG7pMpQ=")</f>
        <v>#REF!</v>
      </c>
      <c r="ET2" t="e">
        <f>AND(Master!#REF!,"AAAAAG7pMpU=")</f>
        <v>#REF!</v>
      </c>
      <c r="EU2" t="e">
        <f>AND(Master!#REF!,"AAAAAG7pMpY=")</f>
        <v>#REF!</v>
      </c>
      <c r="EV2" t="e">
        <f>AND(Master!#REF!,"AAAAAG7pMpc=")</f>
        <v>#REF!</v>
      </c>
      <c r="EW2" t="e">
        <f>IF(Master!#REF!,"AAAAAG7pMpg=",0)</f>
        <v>#REF!</v>
      </c>
      <c r="EX2" t="e">
        <f>AND(Master!#REF!,"AAAAAG7pMpk=")</f>
        <v>#REF!</v>
      </c>
      <c r="EY2" t="e">
        <f>AND(Master!#REF!,"AAAAAG7pMpo=")</f>
        <v>#REF!</v>
      </c>
      <c r="EZ2" t="e">
        <f>AND(Master!#REF!,"AAAAAG7pMps=")</f>
        <v>#REF!</v>
      </c>
      <c r="FA2" t="e">
        <f>AND(Master!#REF!,"AAAAAG7pMpw=")</f>
        <v>#REF!</v>
      </c>
      <c r="FB2" t="e">
        <f>AND(Master!#REF!,"AAAAAG7pMp0=")</f>
        <v>#REF!</v>
      </c>
      <c r="FC2" t="e">
        <f>AND(Master!#REF!,"AAAAAG7pMp4=")</f>
        <v>#REF!</v>
      </c>
      <c r="FD2" t="e">
        <f>AND(Master!#REF!,"AAAAAG7pMp8=")</f>
        <v>#REF!</v>
      </c>
      <c r="FE2" t="e">
        <f>AND(Master!#REF!,"AAAAAG7pMqA=")</f>
        <v>#REF!</v>
      </c>
      <c r="FF2" t="e">
        <f>AND(Master!#REF!,"AAAAAG7pMqE=")</f>
        <v>#REF!</v>
      </c>
      <c r="FG2" t="e">
        <f>AND(Master!#REF!,"AAAAAG7pMqI=")</f>
        <v>#REF!</v>
      </c>
      <c r="FH2" t="e">
        <f>AND(Master!#REF!,"AAAAAG7pMqM=")</f>
        <v>#REF!</v>
      </c>
      <c r="FI2" t="e">
        <f>AND(Master!#REF!,"AAAAAG7pMqQ=")</f>
        <v>#REF!</v>
      </c>
      <c r="FJ2" t="e">
        <f>AND(Master!#REF!,"AAAAAG7pMqU=")</f>
        <v>#REF!</v>
      </c>
      <c r="FK2" t="e">
        <f>AND(Master!#REF!,"AAAAAG7pMqY=")</f>
        <v>#REF!</v>
      </c>
      <c r="FL2" t="e">
        <f>AND(Master!#REF!,"AAAAAG7pMqc=")</f>
        <v>#REF!</v>
      </c>
      <c r="FM2" t="e">
        <f>AND(Master!#REF!,"AAAAAG7pMqg=")</f>
        <v>#REF!</v>
      </c>
      <c r="FN2" t="e">
        <f>AND(Master!#REF!,"AAAAAG7pMqk=")</f>
        <v>#REF!</v>
      </c>
      <c r="FO2" t="e">
        <f>AND(Master!#REF!,"AAAAAG7pMqo=")</f>
        <v>#REF!</v>
      </c>
      <c r="FP2" t="e">
        <f>AND(Master!#REF!,"AAAAAG7pMqs=")</f>
        <v>#REF!</v>
      </c>
      <c r="FQ2" t="e">
        <f>AND(Master!#REF!,"AAAAAG7pMqw=")</f>
        <v>#REF!</v>
      </c>
      <c r="FR2" t="e">
        <f>AND(Master!#REF!,"AAAAAG7pMq0=")</f>
        <v>#REF!</v>
      </c>
      <c r="FS2" t="e">
        <f>AND(Master!#REF!,"AAAAAG7pMq4=")</f>
        <v>#REF!</v>
      </c>
      <c r="FT2" t="e">
        <f>AND(Master!#REF!,"AAAAAG7pMq8=")</f>
        <v>#REF!</v>
      </c>
      <c r="FU2" t="e">
        <f>IF(Master!#REF!,"AAAAAG7pMrA=",0)</f>
        <v>#REF!</v>
      </c>
      <c r="FV2" t="e">
        <f>AND(Master!#REF!,"AAAAAG7pMrE=")</f>
        <v>#REF!</v>
      </c>
      <c r="FW2" t="e">
        <f>AND(Master!#REF!,"AAAAAG7pMrI=")</f>
        <v>#REF!</v>
      </c>
      <c r="FX2" t="e">
        <f>AND(Master!#REF!,"AAAAAG7pMrM=")</f>
        <v>#REF!</v>
      </c>
      <c r="FY2" t="e">
        <f>AND(Master!#REF!,"AAAAAG7pMrQ=")</f>
        <v>#REF!</v>
      </c>
      <c r="FZ2" t="e">
        <f>AND(Master!#REF!,"AAAAAG7pMrU=")</f>
        <v>#REF!</v>
      </c>
      <c r="GA2" t="e">
        <f>AND(Master!#REF!,"AAAAAG7pMrY=")</f>
        <v>#REF!</v>
      </c>
      <c r="GB2" t="e">
        <f>AND(Master!#REF!,"AAAAAG7pMrc=")</f>
        <v>#REF!</v>
      </c>
      <c r="GC2" t="e">
        <f>AND(Master!#REF!,"AAAAAG7pMrg=")</f>
        <v>#REF!</v>
      </c>
      <c r="GD2" t="e">
        <f>AND(Master!#REF!,"AAAAAG7pMrk=")</f>
        <v>#REF!</v>
      </c>
      <c r="GE2" t="e">
        <f>AND(Master!#REF!,"AAAAAG7pMro=")</f>
        <v>#REF!</v>
      </c>
      <c r="GF2" t="e">
        <f>AND(Master!#REF!,"AAAAAG7pMrs=")</f>
        <v>#REF!</v>
      </c>
      <c r="GG2" t="e">
        <f>AND(Master!#REF!,"AAAAAG7pMrw=")</f>
        <v>#REF!</v>
      </c>
      <c r="GH2" t="e">
        <f>AND(Master!#REF!,"AAAAAG7pMr0=")</f>
        <v>#REF!</v>
      </c>
      <c r="GI2" t="e">
        <f>AND(Master!#REF!,"AAAAAG7pMr4=")</f>
        <v>#REF!</v>
      </c>
      <c r="GJ2" t="e">
        <f>AND(Master!#REF!,"AAAAAG7pMr8=")</f>
        <v>#REF!</v>
      </c>
      <c r="GK2" t="e">
        <f>AND(Master!#REF!,"AAAAAG7pMsA=")</f>
        <v>#REF!</v>
      </c>
      <c r="GL2" t="e">
        <f>AND(Master!#REF!,"AAAAAG7pMsE=")</f>
        <v>#REF!</v>
      </c>
      <c r="GM2" t="e">
        <f>AND(Master!#REF!,"AAAAAG7pMsI=")</f>
        <v>#REF!</v>
      </c>
      <c r="GN2" t="e">
        <f>AND(Master!#REF!,"AAAAAG7pMsM=")</f>
        <v>#REF!</v>
      </c>
      <c r="GO2" t="e">
        <f>AND(Master!#REF!,"AAAAAG7pMsQ=")</f>
        <v>#REF!</v>
      </c>
      <c r="GP2" t="e">
        <f>AND(Master!#REF!,"AAAAAG7pMsU=")</f>
        <v>#REF!</v>
      </c>
      <c r="GQ2" t="e">
        <f>AND(Master!#REF!,"AAAAAG7pMsY=")</f>
        <v>#REF!</v>
      </c>
      <c r="GR2" t="e">
        <f>AND(Master!#REF!,"AAAAAG7pMsc=")</f>
        <v>#REF!</v>
      </c>
      <c r="GS2" t="e">
        <f>IF(Master!#REF!,"AAAAAG7pMsg=",0)</f>
        <v>#REF!</v>
      </c>
      <c r="GT2" t="e">
        <f>AND(Master!#REF!,"AAAAAG7pMsk=")</f>
        <v>#REF!</v>
      </c>
      <c r="GU2" t="e">
        <f>AND(Master!#REF!,"AAAAAG7pMso=")</f>
        <v>#REF!</v>
      </c>
      <c r="GV2" t="e">
        <f>AND(Master!#REF!,"AAAAAG7pMss=")</f>
        <v>#REF!</v>
      </c>
      <c r="GW2" t="e">
        <f>AND(Master!#REF!,"AAAAAG7pMsw=")</f>
        <v>#REF!</v>
      </c>
      <c r="GX2" t="e">
        <f>AND(Master!#REF!,"AAAAAG7pMs0=")</f>
        <v>#REF!</v>
      </c>
      <c r="GY2" t="e">
        <f>AND(Master!#REF!,"AAAAAG7pMs4=")</f>
        <v>#REF!</v>
      </c>
      <c r="GZ2" t="e">
        <f>AND(Master!#REF!,"AAAAAG7pMs8=")</f>
        <v>#REF!</v>
      </c>
      <c r="HA2" t="e">
        <f>AND(Master!#REF!,"AAAAAG7pMtA=")</f>
        <v>#REF!</v>
      </c>
      <c r="HB2" t="e">
        <f>AND(Master!#REF!,"AAAAAG7pMtE=")</f>
        <v>#REF!</v>
      </c>
      <c r="HC2" t="e">
        <f>AND(Master!#REF!,"AAAAAG7pMtI=")</f>
        <v>#REF!</v>
      </c>
      <c r="HD2" t="e">
        <f>AND(Master!#REF!,"AAAAAG7pMtM=")</f>
        <v>#REF!</v>
      </c>
      <c r="HE2" t="e">
        <f>AND(Master!#REF!,"AAAAAG7pMtQ=")</f>
        <v>#REF!</v>
      </c>
      <c r="HF2" t="e">
        <f>AND(Master!#REF!,"AAAAAG7pMtU=")</f>
        <v>#REF!</v>
      </c>
      <c r="HG2" t="e">
        <f>AND(Master!#REF!,"AAAAAG7pMtY=")</f>
        <v>#REF!</v>
      </c>
      <c r="HH2" t="e">
        <f>AND(Master!#REF!,"AAAAAG7pMtc=")</f>
        <v>#REF!</v>
      </c>
      <c r="HI2" t="e">
        <f>AND(Master!#REF!,"AAAAAG7pMtg=")</f>
        <v>#REF!</v>
      </c>
      <c r="HJ2" t="e">
        <f>AND(Master!#REF!,"AAAAAG7pMtk=")</f>
        <v>#REF!</v>
      </c>
      <c r="HK2" t="e">
        <f>AND(Master!#REF!,"AAAAAG7pMto=")</f>
        <v>#REF!</v>
      </c>
      <c r="HL2" t="e">
        <f>AND(Master!#REF!,"AAAAAG7pMts=")</f>
        <v>#REF!</v>
      </c>
      <c r="HM2" t="e">
        <f>AND(Master!#REF!,"AAAAAG7pMtw=")</f>
        <v>#REF!</v>
      </c>
      <c r="HN2" t="e">
        <f>AND(Master!#REF!,"AAAAAG7pMt0=")</f>
        <v>#REF!</v>
      </c>
      <c r="HO2" t="e">
        <f>AND(Master!#REF!,"AAAAAG7pMt4=")</f>
        <v>#REF!</v>
      </c>
      <c r="HP2" t="e">
        <f>AND(Master!#REF!,"AAAAAG7pMt8=")</f>
        <v>#REF!</v>
      </c>
      <c r="HQ2" t="e">
        <f>IF(Master!#REF!,"AAAAAG7pMuA=",0)</f>
        <v>#REF!</v>
      </c>
      <c r="HR2" t="e">
        <f>AND(Master!#REF!,"AAAAAG7pMuE=")</f>
        <v>#REF!</v>
      </c>
      <c r="HS2" t="e">
        <f>AND(Master!#REF!,"AAAAAG7pMuI=")</f>
        <v>#REF!</v>
      </c>
      <c r="HT2" t="e">
        <f>AND(Master!#REF!,"AAAAAG7pMuM=")</f>
        <v>#REF!</v>
      </c>
      <c r="HU2" t="e">
        <f>AND(Master!#REF!,"AAAAAG7pMuQ=")</f>
        <v>#REF!</v>
      </c>
      <c r="HV2" t="e">
        <f>AND(Master!#REF!,"AAAAAG7pMuU=")</f>
        <v>#REF!</v>
      </c>
      <c r="HW2" t="e">
        <f>AND(Master!#REF!,"AAAAAG7pMuY=")</f>
        <v>#REF!</v>
      </c>
      <c r="HX2" t="e">
        <f>AND(Master!#REF!,"AAAAAG7pMuc=")</f>
        <v>#REF!</v>
      </c>
      <c r="HY2" t="e">
        <f>AND(Master!#REF!,"AAAAAG7pMug=")</f>
        <v>#REF!</v>
      </c>
      <c r="HZ2" t="e">
        <f>AND(Master!#REF!,"AAAAAG7pMuk=")</f>
        <v>#REF!</v>
      </c>
      <c r="IA2" t="e">
        <f>AND(Master!#REF!,"AAAAAG7pMuo=")</f>
        <v>#REF!</v>
      </c>
      <c r="IB2" t="e">
        <f>AND(Master!#REF!,"AAAAAG7pMus=")</f>
        <v>#REF!</v>
      </c>
      <c r="IC2" t="e">
        <f>AND(Master!#REF!,"AAAAAG7pMuw=")</f>
        <v>#REF!</v>
      </c>
      <c r="ID2" t="e">
        <f>AND(Master!#REF!,"AAAAAG7pMu0=")</f>
        <v>#REF!</v>
      </c>
      <c r="IE2" t="e">
        <f>AND(Master!#REF!,"AAAAAG7pMu4=")</f>
        <v>#REF!</v>
      </c>
      <c r="IF2" t="e">
        <f>AND(Master!#REF!,"AAAAAG7pMu8=")</f>
        <v>#REF!</v>
      </c>
      <c r="IG2" t="e">
        <f>AND(Master!#REF!,"AAAAAG7pMvA=")</f>
        <v>#REF!</v>
      </c>
      <c r="IH2" t="e">
        <f>AND(Master!#REF!,"AAAAAG7pMvE=")</f>
        <v>#REF!</v>
      </c>
      <c r="II2" t="e">
        <f>AND(Master!#REF!,"AAAAAG7pMvI=")</f>
        <v>#REF!</v>
      </c>
      <c r="IJ2" t="e">
        <f>AND(Master!#REF!,"AAAAAG7pMvM=")</f>
        <v>#REF!</v>
      </c>
      <c r="IK2" t="e">
        <f>AND(Master!#REF!,"AAAAAG7pMvQ=")</f>
        <v>#REF!</v>
      </c>
      <c r="IL2" t="e">
        <f>AND(Master!#REF!,"AAAAAG7pMvU=")</f>
        <v>#REF!</v>
      </c>
      <c r="IM2" t="e">
        <f>AND(Master!#REF!,"AAAAAG7pMvY=")</f>
        <v>#REF!</v>
      </c>
      <c r="IN2" t="e">
        <f>AND(Master!#REF!,"AAAAAG7pMvc=")</f>
        <v>#REF!</v>
      </c>
      <c r="IO2" t="e">
        <f>IF(Master!#REF!,"AAAAAG7pMvg=",0)</f>
        <v>#REF!</v>
      </c>
      <c r="IP2" t="e">
        <f>AND(Master!#REF!,"AAAAAG7pMvk=")</f>
        <v>#REF!</v>
      </c>
      <c r="IQ2" t="e">
        <f>AND(Master!#REF!,"AAAAAG7pMvo=")</f>
        <v>#REF!</v>
      </c>
      <c r="IR2" t="e">
        <f>AND(Master!#REF!,"AAAAAG7pMvs=")</f>
        <v>#REF!</v>
      </c>
      <c r="IS2" t="e">
        <f>AND(Master!#REF!,"AAAAAG7pMvw=")</f>
        <v>#REF!</v>
      </c>
      <c r="IT2" t="e">
        <f>AND(Master!#REF!,"AAAAAG7pMv0=")</f>
        <v>#REF!</v>
      </c>
      <c r="IU2" t="e">
        <f>AND(Master!#REF!,"AAAAAG7pMv4=")</f>
        <v>#REF!</v>
      </c>
      <c r="IV2" t="e">
        <f>AND(Master!#REF!,"AAAAAG7pMv8=")</f>
        <v>#REF!</v>
      </c>
    </row>
    <row r="3" spans="1:256">
      <c r="A3" t="e">
        <f>AND(Master!#REF!,"AAAAACF/6QA=")</f>
        <v>#REF!</v>
      </c>
      <c r="B3" t="e">
        <f>AND(Master!#REF!,"AAAAACF/6QE=")</f>
        <v>#REF!</v>
      </c>
      <c r="C3" t="e">
        <f>AND(Master!#REF!,"AAAAACF/6QI=")</f>
        <v>#REF!</v>
      </c>
      <c r="D3" t="e">
        <f>AND(Master!#REF!,"AAAAACF/6QM=")</f>
        <v>#REF!</v>
      </c>
      <c r="E3" t="e">
        <f>AND(Master!#REF!,"AAAAACF/6QQ=")</f>
        <v>#REF!</v>
      </c>
      <c r="F3" t="e">
        <f>AND(Master!#REF!,"AAAAACF/6QU=")</f>
        <v>#REF!</v>
      </c>
      <c r="G3" t="e">
        <f>AND(Master!#REF!,"AAAAACF/6QY=")</f>
        <v>#REF!</v>
      </c>
      <c r="H3" t="e">
        <f>AND(Master!#REF!,"AAAAACF/6Qc=")</f>
        <v>#REF!</v>
      </c>
      <c r="I3" t="e">
        <f>AND(Master!#REF!,"AAAAACF/6Qg=")</f>
        <v>#REF!</v>
      </c>
      <c r="J3" t="e">
        <f>AND(Master!#REF!,"AAAAACF/6Qk=")</f>
        <v>#REF!</v>
      </c>
      <c r="K3" t="e">
        <f>AND(Master!#REF!,"AAAAACF/6Qo=")</f>
        <v>#REF!</v>
      </c>
      <c r="L3" t="e">
        <f>AND(Master!#REF!,"AAAAACF/6Qs=")</f>
        <v>#REF!</v>
      </c>
      <c r="M3" t="e">
        <f>AND(Master!#REF!,"AAAAACF/6Qw=")</f>
        <v>#REF!</v>
      </c>
      <c r="N3" t="e">
        <f>AND(Master!#REF!,"AAAAACF/6Q0=")</f>
        <v>#REF!</v>
      </c>
      <c r="O3" t="e">
        <f>AND(Master!#REF!,"AAAAACF/6Q4=")</f>
        <v>#REF!</v>
      </c>
      <c r="P3" t="e">
        <f>AND(Master!#REF!,"AAAAACF/6Q8=")</f>
        <v>#REF!</v>
      </c>
      <c r="Q3" t="e">
        <f>IF(Master!#REF!,"AAAAACF/6RA=",0)</f>
        <v>#REF!</v>
      </c>
      <c r="R3" t="e">
        <f>AND(Master!#REF!,"AAAAACF/6RE=")</f>
        <v>#REF!</v>
      </c>
      <c r="S3" t="e">
        <f>AND(Master!#REF!,"AAAAACF/6RI=")</f>
        <v>#REF!</v>
      </c>
      <c r="T3" t="e">
        <f>AND(Master!#REF!,"AAAAACF/6RM=")</f>
        <v>#REF!</v>
      </c>
      <c r="U3" t="e">
        <f>AND(Master!#REF!,"AAAAACF/6RQ=")</f>
        <v>#REF!</v>
      </c>
      <c r="V3" t="e">
        <f>AND(Master!#REF!,"AAAAACF/6RU=")</f>
        <v>#REF!</v>
      </c>
      <c r="W3" t="e">
        <f>AND(Master!#REF!,"AAAAACF/6RY=")</f>
        <v>#REF!</v>
      </c>
      <c r="X3" t="e">
        <f>AND(Master!#REF!,"AAAAACF/6Rc=")</f>
        <v>#REF!</v>
      </c>
      <c r="Y3" t="e">
        <f>AND(Master!#REF!,"AAAAACF/6Rg=")</f>
        <v>#REF!</v>
      </c>
      <c r="Z3" t="e">
        <f>AND(Master!#REF!,"AAAAACF/6Rk=")</f>
        <v>#REF!</v>
      </c>
      <c r="AA3" t="e">
        <f>AND(Master!#REF!,"AAAAACF/6Ro=")</f>
        <v>#REF!</v>
      </c>
      <c r="AB3" t="e">
        <f>AND(Master!#REF!,"AAAAACF/6Rs=")</f>
        <v>#REF!</v>
      </c>
      <c r="AC3" t="e">
        <f>AND(Master!#REF!,"AAAAACF/6Rw=")</f>
        <v>#REF!</v>
      </c>
      <c r="AD3" t="e">
        <f>AND(Master!#REF!,"AAAAACF/6R0=")</f>
        <v>#REF!</v>
      </c>
      <c r="AE3" t="e">
        <f>AND(Master!#REF!,"AAAAACF/6R4=")</f>
        <v>#REF!</v>
      </c>
      <c r="AF3" t="e">
        <f>AND(Master!#REF!,"AAAAACF/6R8=")</f>
        <v>#REF!</v>
      </c>
      <c r="AG3" t="e">
        <f>AND(Master!#REF!,"AAAAACF/6SA=")</f>
        <v>#REF!</v>
      </c>
      <c r="AH3" t="e">
        <f>AND(Master!#REF!,"AAAAACF/6SE=")</f>
        <v>#REF!</v>
      </c>
      <c r="AI3" t="e">
        <f>AND(Master!#REF!,"AAAAACF/6SI=")</f>
        <v>#REF!</v>
      </c>
      <c r="AJ3" t="e">
        <f>AND(Master!#REF!,"AAAAACF/6SM=")</f>
        <v>#REF!</v>
      </c>
      <c r="AK3" t="e">
        <f>AND(Master!#REF!,"AAAAACF/6SQ=")</f>
        <v>#REF!</v>
      </c>
      <c r="AL3" t="e">
        <f>AND(Master!#REF!,"AAAAACF/6SU=")</f>
        <v>#REF!</v>
      </c>
      <c r="AM3" t="e">
        <f>AND(Master!#REF!,"AAAAACF/6SY=")</f>
        <v>#REF!</v>
      </c>
      <c r="AN3" t="e">
        <f>AND(Master!#REF!,"AAAAACF/6Sc=")</f>
        <v>#REF!</v>
      </c>
      <c r="AO3" t="e">
        <f>IF(Master!#REF!,"AAAAACF/6Sg=",0)</f>
        <v>#REF!</v>
      </c>
      <c r="AP3" t="e">
        <f>AND(Master!#REF!,"AAAAACF/6Sk=")</f>
        <v>#REF!</v>
      </c>
      <c r="AQ3" t="e">
        <f>AND(Master!#REF!,"AAAAACF/6So=")</f>
        <v>#REF!</v>
      </c>
      <c r="AR3" t="e">
        <f>AND(Master!#REF!,"AAAAACF/6Ss=")</f>
        <v>#REF!</v>
      </c>
      <c r="AS3" t="e">
        <f>AND(Master!#REF!,"AAAAACF/6Sw=")</f>
        <v>#REF!</v>
      </c>
      <c r="AT3" t="e">
        <f>AND(Master!#REF!,"AAAAACF/6S0=")</f>
        <v>#REF!</v>
      </c>
      <c r="AU3" t="e">
        <f>AND(Master!#REF!,"AAAAACF/6S4=")</f>
        <v>#REF!</v>
      </c>
      <c r="AV3" t="e">
        <f>AND(Master!#REF!,"AAAAACF/6S8=")</f>
        <v>#REF!</v>
      </c>
      <c r="AW3" t="e">
        <f>AND(Master!#REF!,"AAAAACF/6TA=")</f>
        <v>#REF!</v>
      </c>
      <c r="AX3" t="e">
        <f>AND(Master!#REF!,"AAAAACF/6TE=")</f>
        <v>#REF!</v>
      </c>
      <c r="AY3" t="e">
        <f>AND(Master!#REF!,"AAAAACF/6TI=")</f>
        <v>#REF!</v>
      </c>
      <c r="AZ3" t="e">
        <f>AND(Master!#REF!,"AAAAACF/6TM=")</f>
        <v>#REF!</v>
      </c>
      <c r="BA3" t="e">
        <f>AND(Master!#REF!,"AAAAACF/6TQ=")</f>
        <v>#REF!</v>
      </c>
      <c r="BB3" t="e">
        <f>AND(Master!#REF!,"AAAAACF/6TU=")</f>
        <v>#REF!</v>
      </c>
      <c r="BC3" t="e">
        <f>AND(Master!#REF!,"AAAAACF/6TY=")</f>
        <v>#REF!</v>
      </c>
      <c r="BD3" t="e">
        <f>AND(Master!#REF!,"AAAAACF/6Tc=")</f>
        <v>#REF!</v>
      </c>
      <c r="BE3" t="e">
        <f>AND(Master!#REF!,"AAAAACF/6Tg=")</f>
        <v>#REF!</v>
      </c>
      <c r="BF3" t="e">
        <f>AND(Master!#REF!,"AAAAACF/6Tk=")</f>
        <v>#REF!</v>
      </c>
      <c r="BG3" t="e">
        <f>AND(Master!#REF!,"AAAAACF/6To=")</f>
        <v>#REF!</v>
      </c>
      <c r="BH3" t="e">
        <f>AND(Master!#REF!,"AAAAACF/6Ts=")</f>
        <v>#REF!</v>
      </c>
      <c r="BI3" t="e">
        <f>AND(Master!#REF!,"AAAAACF/6Tw=")</f>
        <v>#REF!</v>
      </c>
      <c r="BJ3" t="e">
        <f>AND(Master!#REF!,"AAAAACF/6T0=")</f>
        <v>#REF!</v>
      </c>
      <c r="BK3" t="e">
        <f>AND(Master!#REF!,"AAAAACF/6T4=")</f>
        <v>#REF!</v>
      </c>
      <c r="BL3" t="e">
        <f>AND(Master!#REF!,"AAAAACF/6T8=")</f>
        <v>#REF!</v>
      </c>
      <c r="BM3" t="e">
        <f>IF(Master!#REF!,"AAAAACF/6UA=",0)</f>
        <v>#REF!</v>
      </c>
      <c r="BN3" t="e">
        <f>AND(Master!#REF!,"AAAAACF/6UE=")</f>
        <v>#REF!</v>
      </c>
      <c r="BO3" t="e">
        <f>AND(Master!#REF!,"AAAAACF/6UI=")</f>
        <v>#REF!</v>
      </c>
      <c r="BP3" t="e">
        <f>AND(Master!#REF!,"AAAAACF/6UM=")</f>
        <v>#REF!</v>
      </c>
      <c r="BQ3" t="e">
        <f>AND(Master!#REF!,"AAAAACF/6UQ=")</f>
        <v>#REF!</v>
      </c>
      <c r="BR3" t="e">
        <f>AND(Master!#REF!,"AAAAACF/6UU=")</f>
        <v>#REF!</v>
      </c>
      <c r="BS3" t="e">
        <f>AND(Master!#REF!,"AAAAACF/6UY=")</f>
        <v>#REF!</v>
      </c>
      <c r="BT3" t="e">
        <f>AND(Master!#REF!,"AAAAACF/6Uc=")</f>
        <v>#REF!</v>
      </c>
      <c r="BU3" t="e">
        <f>AND(Master!#REF!,"AAAAACF/6Ug=")</f>
        <v>#REF!</v>
      </c>
      <c r="BV3" t="e">
        <f>AND(Master!#REF!,"AAAAACF/6Uk=")</f>
        <v>#REF!</v>
      </c>
      <c r="BW3" t="e">
        <f>AND(Master!#REF!,"AAAAACF/6Uo=")</f>
        <v>#REF!</v>
      </c>
      <c r="BX3" t="e">
        <f>AND(Master!#REF!,"AAAAACF/6Us=")</f>
        <v>#REF!</v>
      </c>
      <c r="BY3" t="e">
        <f>AND(Master!#REF!,"AAAAACF/6Uw=")</f>
        <v>#REF!</v>
      </c>
      <c r="BZ3" t="e">
        <f>AND(Master!#REF!,"AAAAACF/6U0=")</f>
        <v>#REF!</v>
      </c>
      <c r="CA3" t="e">
        <f>AND(Master!#REF!,"AAAAACF/6U4=")</f>
        <v>#REF!</v>
      </c>
      <c r="CB3" t="e">
        <f>AND(Master!#REF!,"AAAAACF/6U8=")</f>
        <v>#REF!</v>
      </c>
      <c r="CC3" t="e">
        <f>AND(Master!#REF!,"AAAAACF/6VA=")</f>
        <v>#REF!</v>
      </c>
      <c r="CD3" t="e">
        <f>AND(Master!#REF!,"AAAAACF/6VE=")</f>
        <v>#REF!</v>
      </c>
      <c r="CE3" t="e">
        <f>AND(Master!#REF!,"AAAAACF/6VI=")</f>
        <v>#REF!</v>
      </c>
      <c r="CF3" t="e">
        <f>AND(Master!#REF!,"AAAAACF/6VM=")</f>
        <v>#REF!</v>
      </c>
      <c r="CG3" t="e">
        <f>AND(Master!#REF!,"AAAAACF/6VQ=")</f>
        <v>#REF!</v>
      </c>
      <c r="CH3" t="e">
        <f>AND(Master!#REF!,"AAAAACF/6VU=")</f>
        <v>#REF!</v>
      </c>
      <c r="CI3" t="e">
        <f>AND(Master!#REF!,"AAAAACF/6VY=")</f>
        <v>#REF!</v>
      </c>
      <c r="CJ3" t="e">
        <f>AND(Master!#REF!,"AAAAACF/6Vc=")</f>
        <v>#REF!</v>
      </c>
      <c r="CK3" t="e">
        <f>IF(Master!#REF!,"AAAAACF/6Vg=",0)</f>
        <v>#REF!</v>
      </c>
      <c r="CL3" t="e">
        <f>AND(Master!#REF!,"AAAAACF/6Vk=")</f>
        <v>#REF!</v>
      </c>
      <c r="CM3" t="e">
        <f>AND(Master!#REF!,"AAAAACF/6Vo=")</f>
        <v>#REF!</v>
      </c>
      <c r="CN3" t="e">
        <f>AND(Master!#REF!,"AAAAACF/6Vs=")</f>
        <v>#REF!</v>
      </c>
      <c r="CO3" t="e">
        <f>AND(Master!#REF!,"AAAAACF/6Vw=")</f>
        <v>#REF!</v>
      </c>
      <c r="CP3" t="e">
        <f>AND(Master!#REF!,"AAAAACF/6V0=")</f>
        <v>#REF!</v>
      </c>
      <c r="CQ3" t="e">
        <f>AND(Master!#REF!,"AAAAACF/6V4=")</f>
        <v>#REF!</v>
      </c>
      <c r="CR3" t="e">
        <f>AND(Master!#REF!,"AAAAACF/6V8=")</f>
        <v>#REF!</v>
      </c>
      <c r="CS3" t="e">
        <f>AND(Master!#REF!,"AAAAACF/6WA=")</f>
        <v>#REF!</v>
      </c>
      <c r="CT3" t="e">
        <f>AND(Master!#REF!,"AAAAACF/6WE=")</f>
        <v>#REF!</v>
      </c>
      <c r="CU3" t="e">
        <f>AND(Master!#REF!,"AAAAACF/6WI=")</f>
        <v>#REF!</v>
      </c>
      <c r="CV3" t="e">
        <f>AND(Master!#REF!,"AAAAACF/6WM=")</f>
        <v>#REF!</v>
      </c>
      <c r="CW3" t="e">
        <f>AND(Master!#REF!,"AAAAACF/6WQ=")</f>
        <v>#REF!</v>
      </c>
      <c r="CX3" t="e">
        <f>AND(Master!#REF!,"AAAAACF/6WU=")</f>
        <v>#REF!</v>
      </c>
      <c r="CY3" t="e">
        <f>AND(Master!#REF!,"AAAAACF/6WY=")</f>
        <v>#REF!</v>
      </c>
      <c r="CZ3" t="e">
        <f>AND(Master!#REF!,"AAAAACF/6Wc=")</f>
        <v>#REF!</v>
      </c>
      <c r="DA3" t="e">
        <f>AND(Master!#REF!,"AAAAACF/6Wg=")</f>
        <v>#REF!</v>
      </c>
      <c r="DB3" t="e">
        <f>AND(Master!#REF!,"AAAAACF/6Wk=")</f>
        <v>#REF!</v>
      </c>
      <c r="DC3" t="e">
        <f>AND(Master!#REF!,"AAAAACF/6Wo=")</f>
        <v>#REF!</v>
      </c>
      <c r="DD3" t="e">
        <f>AND(Master!#REF!,"AAAAACF/6Ws=")</f>
        <v>#REF!</v>
      </c>
      <c r="DE3" t="e">
        <f>AND(Master!#REF!,"AAAAACF/6Ww=")</f>
        <v>#REF!</v>
      </c>
      <c r="DF3" t="e">
        <f>AND(Master!#REF!,"AAAAACF/6W0=")</f>
        <v>#REF!</v>
      </c>
      <c r="DG3" t="e">
        <f>AND(Master!#REF!,"AAAAACF/6W4=")</f>
        <v>#REF!</v>
      </c>
      <c r="DH3" t="e">
        <f>AND(Master!#REF!,"AAAAACF/6W8=")</f>
        <v>#REF!</v>
      </c>
      <c r="DI3" t="e">
        <f>IF(Master!#REF!,"AAAAACF/6XA=",0)</f>
        <v>#REF!</v>
      </c>
      <c r="DJ3" t="e">
        <f>AND(Master!#REF!,"AAAAACF/6XE=")</f>
        <v>#REF!</v>
      </c>
      <c r="DK3" t="e">
        <f>AND(Master!#REF!,"AAAAACF/6XI=")</f>
        <v>#REF!</v>
      </c>
      <c r="DL3" t="e">
        <f>AND(Master!#REF!,"AAAAACF/6XM=")</f>
        <v>#REF!</v>
      </c>
      <c r="DM3" t="e">
        <f>AND(Master!#REF!,"AAAAACF/6XQ=")</f>
        <v>#REF!</v>
      </c>
      <c r="DN3" t="e">
        <f>AND(Master!#REF!,"AAAAACF/6XU=")</f>
        <v>#REF!</v>
      </c>
      <c r="DO3" t="e">
        <f>AND(Master!#REF!,"AAAAACF/6XY=")</f>
        <v>#REF!</v>
      </c>
      <c r="DP3" t="e">
        <f>AND(Master!#REF!,"AAAAACF/6Xc=")</f>
        <v>#REF!</v>
      </c>
      <c r="DQ3" t="e">
        <f>AND(Master!#REF!,"AAAAACF/6Xg=")</f>
        <v>#REF!</v>
      </c>
      <c r="DR3" t="e">
        <f>AND(Master!#REF!,"AAAAACF/6Xk=")</f>
        <v>#REF!</v>
      </c>
      <c r="DS3" t="e">
        <f>AND(Master!#REF!,"AAAAACF/6Xo=")</f>
        <v>#REF!</v>
      </c>
      <c r="DT3" t="e">
        <f>AND(Master!#REF!,"AAAAACF/6Xs=")</f>
        <v>#REF!</v>
      </c>
      <c r="DU3" t="e">
        <f>AND(Master!#REF!,"AAAAACF/6Xw=")</f>
        <v>#REF!</v>
      </c>
      <c r="DV3" t="e">
        <f>AND(Master!#REF!,"AAAAACF/6X0=")</f>
        <v>#REF!</v>
      </c>
      <c r="DW3" t="e">
        <f>AND(Master!#REF!,"AAAAACF/6X4=")</f>
        <v>#REF!</v>
      </c>
      <c r="DX3" t="e">
        <f>AND(Master!#REF!,"AAAAACF/6X8=")</f>
        <v>#REF!</v>
      </c>
      <c r="DY3" t="e">
        <f>AND(Master!#REF!,"AAAAACF/6YA=")</f>
        <v>#REF!</v>
      </c>
      <c r="DZ3" t="e">
        <f>AND(Master!#REF!,"AAAAACF/6YE=")</f>
        <v>#REF!</v>
      </c>
      <c r="EA3" t="e">
        <f>AND(Master!#REF!,"AAAAACF/6YI=")</f>
        <v>#REF!</v>
      </c>
      <c r="EB3" t="e">
        <f>AND(Master!#REF!,"AAAAACF/6YM=")</f>
        <v>#REF!</v>
      </c>
      <c r="EC3" t="e">
        <f>AND(Master!#REF!,"AAAAACF/6YQ=")</f>
        <v>#REF!</v>
      </c>
      <c r="ED3" t="e">
        <f>AND(Master!#REF!,"AAAAACF/6YU=")</f>
        <v>#REF!</v>
      </c>
      <c r="EE3" t="e">
        <f>AND(Master!#REF!,"AAAAACF/6YY=")</f>
        <v>#REF!</v>
      </c>
      <c r="EF3" t="e">
        <f>AND(Master!#REF!,"AAAAACF/6Yc=")</f>
        <v>#REF!</v>
      </c>
      <c r="EG3" t="e">
        <f>IF(Master!#REF!,"AAAAACF/6Yg=",0)</f>
        <v>#REF!</v>
      </c>
      <c r="EH3" t="e">
        <f>AND(Master!#REF!,"AAAAACF/6Yk=")</f>
        <v>#REF!</v>
      </c>
      <c r="EI3" t="e">
        <f>AND(Master!#REF!,"AAAAACF/6Yo=")</f>
        <v>#REF!</v>
      </c>
      <c r="EJ3" t="e">
        <f>AND(Master!#REF!,"AAAAACF/6Ys=")</f>
        <v>#REF!</v>
      </c>
      <c r="EK3" t="e">
        <f>AND(Master!#REF!,"AAAAACF/6Yw=")</f>
        <v>#REF!</v>
      </c>
      <c r="EL3" t="e">
        <f>AND(Master!#REF!,"AAAAACF/6Y0=")</f>
        <v>#REF!</v>
      </c>
      <c r="EM3" t="e">
        <f>AND(Master!#REF!,"AAAAACF/6Y4=")</f>
        <v>#REF!</v>
      </c>
      <c r="EN3" t="e">
        <f>AND(Master!#REF!,"AAAAACF/6Y8=")</f>
        <v>#REF!</v>
      </c>
      <c r="EO3" t="e">
        <f>AND(Master!#REF!,"AAAAACF/6ZA=")</f>
        <v>#REF!</v>
      </c>
      <c r="EP3" t="e">
        <f>AND(Master!#REF!,"AAAAACF/6ZE=")</f>
        <v>#REF!</v>
      </c>
      <c r="EQ3" t="e">
        <f>AND(Master!#REF!,"AAAAACF/6ZI=")</f>
        <v>#REF!</v>
      </c>
      <c r="ER3" t="e">
        <f>AND(Master!#REF!,"AAAAACF/6ZM=")</f>
        <v>#REF!</v>
      </c>
      <c r="ES3" t="e">
        <f>AND(Master!#REF!,"AAAAACF/6ZQ=")</f>
        <v>#REF!</v>
      </c>
      <c r="ET3" t="e">
        <f>AND(Master!#REF!,"AAAAACF/6ZU=")</f>
        <v>#REF!</v>
      </c>
      <c r="EU3" t="e">
        <f>AND(Master!#REF!,"AAAAACF/6ZY=")</f>
        <v>#REF!</v>
      </c>
      <c r="EV3" t="e">
        <f>AND(Master!#REF!,"AAAAACF/6Zc=")</f>
        <v>#REF!</v>
      </c>
      <c r="EW3" t="e">
        <f>AND(Master!#REF!,"AAAAACF/6Zg=")</f>
        <v>#REF!</v>
      </c>
      <c r="EX3" t="e">
        <f>AND(Master!#REF!,"AAAAACF/6Zk=")</f>
        <v>#REF!</v>
      </c>
      <c r="EY3" t="e">
        <f>AND(Master!#REF!,"AAAAACF/6Zo=")</f>
        <v>#REF!</v>
      </c>
      <c r="EZ3" t="e">
        <f>AND(Master!#REF!,"AAAAACF/6Zs=")</f>
        <v>#REF!</v>
      </c>
      <c r="FA3" t="e">
        <f>AND(Master!#REF!,"AAAAACF/6Zw=")</f>
        <v>#REF!</v>
      </c>
      <c r="FB3" t="e">
        <f>AND(Master!#REF!,"AAAAACF/6Z0=")</f>
        <v>#REF!</v>
      </c>
      <c r="FC3" t="e">
        <f>AND(Master!#REF!,"AAAAACF/6Z4=")</f>
        <v>#REF!</v>
      </c>
      <c r="FD3" t="e">
        <f>AND(Master!#REF!,"AAAAACF/6Z8=")</f>
        <v>#REF!</v>
      </c>
      <c r="FE3" t="e">
        <f>IF(Master!#REF!,"AAAAACF/6aA=",0)</f>
        <v>#REF!</v>
      </c>
      <c r="FF3" t="e">
        <f>AND(Master!#REF!,"AAAAACF/6aE=")</f>
        <v>#REF!</v>
      </c>
      <c r="FG3" t="e">
        <f>AND(Master!#REF!,"AAAAACF/6aI=")</f>
        <v>#REF!</v>
      </c>
      <c r="FH3" t="e">
        <f>AND(Master!#REF!,"AAAAACF/6aM=")</f>
        <v>#REF!</v>
      </c>
      <c r="FI3" t="e">
        <f>AND(Master!#REF!,"AAAAACF/6aQ=")</f>
        <v>#REF!</v>
      </c>
      <c r="FJ3" t="e">
        <f>AND(Master!#REF!,"AAAAACF/6aU=")</f>
        <v>#REF!</v>
      </c>
      <c r="FK3" t="e">
        <f>AND(Master!#REF!,"AAAAACF/6aY=")</f>
        <v>#REF!</v>
      </c>
      <c r="FL3" t="e">
        <f>AND(Master!#REF!,"AAAAACF/6ac=")</f>
        <v>#REF!</v>
      </c>
      <c r="FM3" t="e">
        <f>AND(Master!#REF!,"AAAAACF/6ag=")</f>
        <v>#REF!</v>
      </c>
      <c r="FN3" t="e">
        <f>AND(Master!#REF!,"AAAAACF/6ak=")</f>
        <v>#REF!</v>
      </c>
      <c r="FO3" t="e">
        <f>AND(Master!#REF!,"AAAAACF/6ao=")</f>
        <v>#REF!</v>
      </c>
      <c r="FP3" t="e">
        <f>AND(Master!#REF!,"AAAAACF/6as=")</f>
        <v>#REF!</v>
      </c>
      <c r="FQ3" t="e">
        <f>AND(Master!#REF!,"AAAAACF/6aw=")</f>
        <v>#REF!</v>
      </c>
      <c r="FR3" t="e">
        <f>AND(Master!#REF!,"AAAAACF/6a0=")</f>
        <v>#REF!</v>
      </c>
      <c r="FS3" t="e">
        <f>AND(Master!#REF!,"AAAAACF/6a4=")</f>
        <v>#REF!</v>
      </c>
      <c r="FT3" t="e">
        <f>AND(Master!#REF!,"AAAAACF/6a8=")</f>
        <v>#REF!</v>
      </c>
      <c r="FU3" t="e">
        <f>AND(Master!#REF!,"AAAAACF/6bA=")</f>
        <v>#REF!</v>
      </c>
      <c r="FV3" t="e">
        <f>AND(Master!#REF!,"AAAAACF/6bE=")</f>
        <v>#REF!</v>
      </c>
      <c r="FW3" t="e">
        <f>AND(Master!#REF!,"AAAAACF/6bI=")</f>
        <v>#REF!</v>
      </c>
      <c r="FX3" t="e">
        <f>AND(Master!#REF!,"AAAAACF/6bM=")</f>
        <v>#REF!</v>
      </c>
      <c r="FY3" t="e">
        <f>AND(Master!#REF!,"AAAAACF/6bQ=")</f>
        <v>#REF!</v>
      </c>
      <c r="FZ3" t="e">
        <f>AND(Master!#REF!,"AAAAACF/6bU=")</f>
        <v>#REF!</v>
      </c>
      <c r="GA3" t="e">
        <f>AND(Master!#REF!,"AAAAACF/6bY=")</f>
        <v>#REF!</v>
      </c>
      <c r="GB3" t="e">
        <f>AND(Master!#REF!,"AAAAACF/6bc=")</f>
        <v>#REF!</v>
      </c>
      <c r="GC3" t="e">
        <f>IF(Master!#REF!,"AAAAACF/6bg=",0)</f>
        <v>#REF!</v>
      </c>
      <c r="GD3" t="e">
        <f>AND(Master!#REF!,"AAAAACF/6bk=")</f>
        <v>#REF!</v>
      </c>
      <c r="GE3" t="e">
        <f>AND(Master!#REF!,"AAAAACF/6bo=")</f>
        <v>#REF!</v>
      </c>
      <c r="GF3" t="e">
        <f>AND(Master!#REF!,"AAAAACF/6bs=")</f>
        <v>#REF!</v>
      </c>
      <c r="GG3" t="e">
        <f>AND(Master!#REF!,"AAAAACF/6bw=")</f>
        <v>#REF!</v>
      </c>
      <c r="GH3" t="e">
        <f>AND(Master!#REF!,"AAAAACF/6b0=")</f>
        <v>#REF!</v>
      </c>
      <c r="GI3" t="e">
        <f>AND(Master!#REF!,"AAAAACF/6b4=")</f>
        <v>#REF!</v>
      </c>
      <c r="GJ3" t="e">
        <f>AND(Master!#REF!,"AAAAACF/6b8=")</f>
        <v>#REF!</v>
      </c>
      <c r="GK3" t="e">
        <f>AND(Master!#REF!,"AAAAACF/6cA=")</f>
        <v>#REF!</v>
      </c>
      <c r="GL3" t="e">
        <f>AND(Master!#REF!,"AAAAACF/6cE=")</f>
        <v>#REF!</v>
      </c>
      <c r="GM3" t="e">
        <f>AND(Master!#REF!,"AAAAACF/6cI=")</f>
        <v>#REF!</v>
      </c>
      <c r="GN3" t="e">
        <f>AND(Master!#REF!,"AAAAACF/6cM=")</f>
        <v>#REF!</v>
      </c>
      <c r="GO3" t="e">
        <f>AND(Master!#REF!,"AAAAACF/6cQ=")</f>
        <v>#REF!</v>
      </c>
      <c r="GP3" t="e">
        <f>AND(Master!#REF!,"AAAAACF/6cU=")</f>
        <v>#REF!</v>
      </c>
      <c r="GQ3" t="e">
        <f>AND(Master!#REF!,"AAAAACF/6cY=")</f>
        <v>#REF!</v>
      </c>
      <c r="GR3" t="e">
        <f>AND(Master!#REF!,"AAAAACF/6cc=")</f>
        <v>#REF!</v>
      </c>
      <c r="GS3" t="e">
        <f>AND(Master!#REF!,"AAAAACF/6cg=")</f>
        <v>#REF!</v>
      </c>
      <c r="GT3" t="e">
        <f>AND(Master!#REF!,"AAAAACF/6ck=")</f>
        <v>#REF!</v>
      </c>
      <c r="GU3" t="e">
        <f>AND(Master!#REF!,"AAAAACF/6co=")</f>
        <v>#REF!</v>
      </c>
      <c r="GV3" t="e">
        <f>AND(Master!#REF!,"AAAAACF/6cs=")</f>
        <v>#REF!</v>
      </c>
      <c r="GW3" t="e">
        <f>AND(Master!#REF!,"AAAAACF/6cw=")</f>
        <v>#REF!</v>
      </c>
      <c r="GX3" t="e">
        <f>AND(Master!#REF!,"AAAAACF/6c0=")</f>
        <v>#REF!</v>
      </c>
      <c r="GY3" t="e">
        <f>AND(Master!#REF!,"AAAAACF/6c4=")</f>
        <v>#REF!</v>
      </c>
      <c r="GZ3" t="e">
        <f>AND(Master!#REF!,"AAAAACF/6c8=")</f>
        <v>#REF!</v>
      </c>
      <c r="HA3" t="e">
        <f>IF(Master!#REF!,"AAAAACF/6dA=",0)</f>
        <v>#REF!</v>
      </c>
      <c r="HB3" t="e">
        <f>AND(Master!#REF!,"AAAAACF/6dE=")</f>
        <v>#REF!</v>
      </c>
      <c r="HC3" t="e">
        <f>AND(Master!#REF!,"AAAAACF/6dI=")</f>
        <v>#REF!</v>
      </c>
      <c r="HD3" t="e">
        <f>AND(Master!#REF!,"AAAAACF/6dM=")</f>
        <v>#REF!</v>
      </c>
      <c r="HE3" t="e">
        <f>AND(Master!#REF!,"AAAAACF/6dQ=")</f>
        <v>#REF!</v>
      </c>
      <c r="HF3" t="e">
        <f>AND(Master!#REF!,"AAAAACF/6dU=")</f>
        <v>#REF!</v>
      </c>
      <c r="HG3" t="e">
        <f>AND(Master!#REF!,"AAAAACF/6dY=")</f>
        <v>#REF!</v>
      </c>
      <c r="HH3" t="e">
        <f>AND(Master!#REF!,"AAAAACF/6dc=")</f>
        <v>#REF!</v>
      </c>
      <c r="HI3" t="e">
        <f>AND(Master!#REF!,"AAAAACF/6dg=")</f>
        <v>#REF!</v>
      </c>
      <c r="HJ3" t="e">
        <f>AND(Master!#REF!,"AAAAACF/6dk=")</f>
        <v>#REF!</v>
      </c>
      <c r="HK3" t="e">
        <f>AND(Master!#REF!,"AAAAACF/6do=")</f>
        <v>#REF!</v>
      </c>
      <c r="HL3" t="e">
        <f>AND(Master!#REF!,"AAAAACF/6ds=")</f>
        <v>#REF!</v>
      </c>
      <c r="HM3" t="e">
        <f>AND(Master!#REF!,"AAAAACF/6dw=")</f>
        <v>#REF!</v>
      </c>
      <c r="HN3" t="e">
        <f>AND(Master!#REF!,"AAAAACF/6d0=")</f>
        <v>#REF!</v>
      </c>
      <c r="HO3" t="e">
        <f>AND(Master!#REF!,"AAAAACF/6d4=")</f>
        <v>#REF!</v>
      </c>
      <c r="HP3" t="e">
        <f>AND(Master!#REF!,"AAAAACF/6d8=")</f>
        <v>#REF!</v>
      </c>
      <c r="HQ3" t="e">
        <f>AND(Master!#REF!,"AAAAACF/6eA=")</f>
        <v>#REF!</v>
      </c>
      <c r="HR3" t="e">
        <f>AND(Master!#REF!,"AAAAACF/6eE=")</f>
        <v>#REF!</v>
      </c>
      <c r="HS3" t="e">
        <f>AND(Master!#REF!,"AAAAACF/6eI=")</f>
        <v>#REF!</v>
      </c>
      <c r="HT3" t="e">
        <f>AND(Master!#REF!,"AAAAACF/6eM=")</f>
        <v>#REF!</v>
      </c>
      <c r="HU3" t="e">
        <f>AND(Master!#REF!,"AAAAACF/6eQ=")</f>
        <v>#REF!</v>
      </c>
      <c r="HV3" t="e">
        <f>AND(Master!#REF!,"AAAAACF/6eU=")</f>
        <v>#REF!</v>
      </c>
      <c r="HW3" t="e">
        <f>AND(Master!#REF!,"AAAAACF/6eY=")</f>
        <v>#REF!</v>
      </c>
      <c r="HX3" t="e">
        <f>AND(Master!#REF!,"AAAAACF/6ec=")</f>
        <v>#REF!</v>
      </c>
      <c r="HY3" t="e">
        <f>IF(Master!#REF!,"AAAAACF/6eg=",0)</f>
        <v>#REF!</v>
      </c>
      <c r="HZ3" t="e">
        <f>AND(Master!#REF!,"AAAAACF/6ek=")</f>
        <v>#REF!</v>
      </c>
      <c r="IA3" t="e">
        <f>AND(Master!#REF!,"AAAAACF/6eo=")</f>
        <v>#REF!</v>
      </c>
      <c r="IB3" t="e">
        <f>AND(Master!#REF!,"AAAAACF/6es=")</f>
        <v>#REF!</v>
      </c>
      <c r="IC3" t="e">
        <f>AND(Master!#REF!,"AAAAACF/6ew=")</f>
        <v>#REF!</v>
      </c>
      <c r="ID3" t="e">
        <f>AND(Master!#REF!,"AAAAACF/6e0=")</f>
        <v>#REF!</v>
      </c>
      <c r="IE3" t="e">
        <f>AND(Master!#REF!,"AAAAACF/6e4=")</f>
        <v>#REF!</v>
      </c>
      <c r="IF3" t="e">
        <f>AND(Master!#REF!,"AAAAACF/6e8=")</f>
        <v>#REF!</v>
      </c>
      <c r="IG3" t="e">
        <f>AND(Master!#REF!,"AAAAACF/6fA=")</f>
        <v>#REF!</v>
      </c>
      <c r="IH3" t="e">
        <f>AND(Master!#REF!,"AAAAACF/6fE=")</f>
        <v>#REF!</v>
      </c>
      <c r="II3" t="e">
        <f>AND(Master!#REF!,"AAAAACF/6fI=")</f>
        <v>#REF!</v>
      </c>
      <c r="IJ3" t="e">
        <f>AND(Master!#REF!,"AAAAACF/6fM=")</f>
        <v>#REF!</v>
      </c>
      <c r="IK3" t="e">
        <f>AND(Master!#REF!,"AAAAACF/6fQ=")</f>
        <v>#REF!</v>
      </c>
      <c r="IL3" t="e">
        <f>AND(Master!#REF!,"AAAAACF/6fU=")</f>
        <v>#REF!</v>
      </c>
      <c r="IM3" t="e">
        <f>AND(Master!#REF!,"AAAAACF/6fY=")</f>
        <v>#REF!</v>
      </c>
      <c r="IN3" t="e">
        <f>AND(Master!#REF!,"AAAAACF/6fc=")</f>
        <v>#REF!</v>
      </c>
      <c r="IO3" t="e">
        <f>AND(Master!#REF!,"AAAAACF/6fg=")</f>
        <v>#REF!</v>
      </c>
      <c r="IP3" t="e">
        <f>AND(Master!#REF!,"AAAAACF/6fk=")</f>
        <v>#REF!</v>
      </c>
      <c r="IQ3" t="e">
        <f>AND(Master!#REF!,"AAAAACF/6fo=")</f>
        <v>#REF!</v>
      </c>
      <c r="IR3" t="e">
        <f>AND(Master!#REF!,"AAAAACF/6fs=")</f>
        <v>#REF!</v>
      </c>
      <c r="IS3" t="e">
        <f>AND(Master!#REF!,"AAAAACF/6fw=")</f>
        <v>#REF!</v>
      </c>
      <c r="IT3" t="e">
        <f>AND(Master!#REF!,"AAAAACF/6f0=")</f>
        <v>#REF!</v>
      </c>
      <c r="IU3" t="e">
        <f>AND(Master!#REF!,"AAAAACF/6f4=")</f>
        <v>#REF!</v>
      </c>
      <c r="IV3" t="e">
        <f>AND(Master!#REF!,"AAAAACF/6f8=")</f>
        <v>#REF!</v>
      </c>
    </row>
    <row r="4" spans="1:256">
      <c r="A4" t="e">
        <f>IF(Master!#REF!,"AAAAAEn/9gA=",0)</f>
        <v>#REF!</v>
      </c>
      <c r="B4" t="e">
        <f>AND(Master!#REF!,"AAAAAEn/9gE=")</f>
        <v>#REF!</v>
      </c>
      <c r="C4" t="e">
        <f>AND(Master!#REF!,"AAAAAEn/9gI=")</f>
        <v>#REF!</v>
      </c>
      <c r="D4" t="e">
        <f>AND(Master!#REF!,"AAAAAEn/9gM=")</f>
        <v>#REF!</v>
      </c>
      <c r="E4" t="e">
        <f>AND(Master!#REF!,"AAAAAEn/9gQ=")</f>
        <v>#REF!</v>
      </c>
      <c r="F4" t="e">
        <f>AND(Master!#REF!,"AAAAAEn/9gU=")</f>
        <v>#REF!</v>
      </c>
      <c r="G4" t="e">
        <f>AND(Master!#REF!,"AAAAAEn/9gY=")</f>
        <v>#REF!</v>
      </c>
      <c r="H4" t="e">
        <f>AND(Master!#REF!,"AAAAAEn/9gc=")</f>
        <v>#REF!</v>
      </c>
      <c r="I4" t="e">
        <f>AND(Master!#REF!,"AAAAAEn/9gg=")</f>
        <v>#REF!</v>
      </c>
      <c r="J4" t="e">
        <f>AND(Master!#REF!,"AAAAAEn/9gk=")</f>
        <v>#REF!</v>
      </c>
      <c r="K4" t="e">
        <f>AND(Master!#REF!,"AAAAAEn/9go=")</f>
        <v>#REF!</v>
      </c>
      <c r="L4" t="e">
        <f>AND(Master!#REF!,"AAAAAEn/9gs=")</f>
        <v>#REF!</v>
      </c>
      <c r="M4" t="e">
        <f>AND(Master!#REF!,"AAAAAEn/9gw=")</f>
        <v>#REF!</v>
      </c>
      <c r="N4" t="e">
        <f>AND(Master!#REF!,"AAAAAEn/9g0=")</f>
        <v>#REF!</v>
      </c>
      <c r="O4" t="e">
        <f>AND(Master!#REF!,"AAAAAEn/9g4=")</f>
        <v>#REF!</v>
      </c>
      <c r="P4" t="e">
        <f>AND(Master!#REF!,"AAAAAEn/9g8=")</f>
        <v>#REF!</v>
      </c>
      <c r="Q4" t="e">
        <f>AND(Master!#REF!,"AAAAAEn/9hA=")</f>
        <v>#REF!</v>
      </c>
      <c r="R4" t="e">
        <f>AND(Master!#REF!,"AAAAAEn/9hE=")</f>
        <v>#REF!</v>
      </c>
      <c r="S4" t="e">
        <f>AND(Master!#REF!,"AAAAAEn/9hI=")</f>
        <v>#REF!</v>
      </c>
      <c r="T4" t="e">
        <f>AND(Master!#REF!,"AAAAAEn/9hM=")</f>
        <v>#REF!</v>
      </c>
      <c r="U4" t="e">
        <f>AND(Master!#REF!,"AAAAAEn/9hQ=")</f>
        <v>#REF!</v>
      </c>
      <c r="V4" t="e">
        <f>AND(Master!#REF!,"AAAAAEn/9hU=")</f>
        <v>#REF!</v>
      </c>
      <c r="W4" t="e">
        <f>AND(Master!#REF!,"AAAAAEn/9hY=")</f>
        <v>#REF!</v>
      </c>
      <c r="X4" t="e">
        <f>AND(Master!#REF!,"AAAAAEn/9hc=")</f>
        <v>#REF!</v>
      </c>
      <c r="Y4" t="e">
        <f>IF(Master!#REF!,"AAAAAEn/9hg=",0)</f>
        <v>#REF!</v>
      </c>
      <c r="Z4" t="e">
        <f>AND(Master!#REF!,"AAAAAEn/9hk=")</f>
        <v>#REF!</v>
      </c>
      <c r="AA4" t="e">
        <f>AND(Master!#REF!,"AAAAAEn/9ho=")</f>
        <v>#REF!</v>
      </c>
      <c r="AB4" t="e">
        <f>AND(Master!#REF!,"AAAAAEn/9hs=")</f>
        <v>#REF!</v>
      </c>
      <c r="AC4" t="e">
        <f>AND(Master!#REF!,"AAAAAEn/9hw=")</f>
        <v>#REF!</v>
      </c>
      <c r="AD4" t="e">
        <f>AND(Master!#REF!,"AAAAAEn/9h0=")</f>
        <v>#REF!</v>
      </c>
      <c r="AE4" t="e">
        <f>AND(Master!#REF!,"AAAAAEn/9h4=")</f>
        <v>#REF!</v>
      </c>
      <c r="AF4" t="e">
        <f>AND(Master!#REF!,"AAAAAEn/9h8=")</f>
        <v>#REF!</v>
      </c>
      <c r="AG4" t="e">
        <f>AND(Master!#REF!,"AAAAAEn/9iA=")</f>
        <v>#REF!</v>
      </c>
      <c r="AH4" t="e">
        <f>AND(Master!#REF!,"AAAAAEn/9iE=")</f>
        <v>#REF!</v>
      </c>
      <c r="AI4" t="e">
        <f>AND(Master!#REF!,"AAAAAEn/9iI=")</f>
        <v>#REF!</v>
      </c>
      <c r="AJ4" t="e">
        <f>AND(Master!#REF!,"AAAAAEn/9iM=")</f>
        <v>#REF!</v>
      </c>
      <c r="AK4" t="e">
        <f>AND(Master!#REF!,"AAAAAEn/9iQ=")</f>
        <v>#REF!</v>
      </c>
      <c r="AL4" t="e">
        <f>AND(Master!#REF!,"AAAAAEn/9iU=")</f>
        <v>#REF!</v>
      </c>
      <c r="AM4" t="e">
        <f>AND(Master!#REF!,"AAAAAEn/9iY=")</f>
        <v>#REF!</v>
      </c>
      <c r="AN4" t="e">
        <f>AND(Master!#REF!,"AAAAAEn/9ic=")</f>
        <v>#REF!</v>
      </c>
      <c r="AO4" t="e">
        <f>AND(Master!#REF!,"AAAAAEn/9ig=")</f>
        <v>#REF!</v>
      </c>
      <c r="AP4" t="e">
        <f>AND(Master!#REF!,"AAAAAEn/9ik=")</f>
        <v>#REF!</v>
      </c>
      <c r="AQ4" t="e">
        <f>AND(Master!#REF!,"AAAAAEn/9io=")</f>
        <v>#REF!</v>
      </c>
      <c r="AR4" t="e">
        <f>AND(Master!#REF!,"AAAAAEn/9is=")</f>
        <v>#REF!</v>
      </c>
      <c r="AS4" t="e">
        <f>AND(Master!#REF!,"AAAAAEn/9iw=")</f>
        <v>#REF!</v>
      </c>
      <c r="AT4" t="e">
        <f>AND(Master!#REF!,"AAAAAEn/9i0=")</f>
        <v>#REF!</v>
      </c>
      <c r="AU4" t="e">
        <f>AND(Master!#REF!,"AAAAAEn/9i4=")</f>
        <v>#REF!</v>
      </c>
      <c r="AV4" t="e">
        <f>AND(Master!#REF!,"AAAAAEn/9i8=")</f>
        <v>#REF!</v>
      </c>
      <c r="AW4" t="e">
        <f>IF(Master!#REF!,"AAAAAEn/9jA=",0)</f>
        <v>#REF!</v>
      </c>
      <c r="AX4" t="e">
        <f>AND(Master!#REF!,"AAAAAEn/9jE=")</f>
        <v>#REF!</v>
      </c>
      <c r="AY4" t="e">
        <f>AND(Master!#REF!,"AAAAAEn/9jI=")</f>
        <v>#REF!</v>
      </c>
      <c r="AZ4" t="e">
        <f>AND(Master!#REF!,"AAAAAEn/9jM=")</f>
        <v>#REF!</v>
      </c>
      <c r="BA4" t="e">
        <f>AND(Master!#REF!,"AAAAAEn/9jQ=")</f>
        <v>#REF!</v>
      </c>
      <c r="BB4" t="e">
        <f>AND(Master!#REF!,"AAAAAEn/9jU=")</f>
        <v>#REF!</v>
      </c>
      <c r="BC4" t="e">
        <f>AND(Master!#REF!,"AAAAAEn/9jY=")</f>
        <v>#REF!</v>
      </c>
      <c r="BD4" t="e">
        <f>AND(Master!#REF!,"AAAAAEn/9jc=")</f>
        <v>#REF!</v>
      </c>
      <c r="BE4" t="e">
        <f>AND(Master!#REF!,"AAAAAEn/9jg=")</f>
        <v>#REF!</v>
      </c>
      <c r="BF4" t="e">
        <f>AND(Master!#REF!,"AAAAAEn/9jk=")</f>
        <v>#REF!</v>
      </c>
      <c r="BG4" t="e">
        <f>AND(Master!#REF!,"AAAAAEn/9jo=")</f>
        <v>#REF!</v>
      </c>
      <c r="BH4" t="e">
        <f>AND(Master!#REF!,"AAAAAEn/9js=")</f>
        <v>#REF!</v>
      </c>
      <c r="BI4" t="e">
        <f>AND(Master!#REF!,"AAAAAEn/9jw=")</f>
        <v>#REF!</v>
      </c>
      <c r="BJ4" t="e">
        <f>AND(Master!#REF!,"AAAAAEn/9j0=")</f>
        <v>#REF!</v>
      </c>
      <c r="BK4" t="e">
        <f>AND(Master!#REF!,"AAAAAEn/9j4=")</f>
        <v>#REF!</v>
      </c>
      <c r="BL4" t="e">
        <f>AND(Master!#REF!,"AAAAAEn/9j8=")</f>
        <v>#REF!</v>
      </c>
      <c r="BM4" t="e">
        <f>AND(Master!#REF!,"AAAAAEn/9kA=")</f>
        <v>#REF!</v>
      </c>
      <c r="BN4" t="e">
        <f>AND(Master!#REF!,"AAAAAEn/9kE=")</f>
        <v>#REF!</v>
      </c>
      <c r="BO4" t="e">
        <f>AND(Master!#REF!,"AAAAAEn/9kI=")</f>
        <v>#REF!</v>
      </c>
      <c r="BP4" t="e">
        <f>AND(Master!#REF!,"AAAAAEn/9kM=")</f>
        <v>#REF!</v>
      </c>
      <c r="BQ4" t="e">
        <f>AND(Master!#REF!,"AAAAAEn/9kQ=")</f>
        <v>#REF!</v>
      </c>
      <c r="BR4" t="e">
        <f>AND(Master!#REF!,"AAAAAEn/9kU=")</f>
        <v>#REF!</v>
      </c>
      <c r="BS4" t="e">
        <f>AND(Master!#REF!,"AAAAAEn/9kY=")</f>
        <v>#REF!</v>
      </c>
      <c r="BT4" t="e">
        <f>AND(Master!#REF!,"AAAAAEn/9kc=")</f>
        <v>#REF!</v>
      </c>
      <c r="BU4" t="e">
        <f>IF(Master!#REF!,"AAAAAEn/9kg=",0)</f>
        <v>#REF!</v>
      </c>
      <c r="BV4" t="e">
        <f>AND(Master!#REF!,"AAAAAEn/9kk=")</f>
        <v>#REF!</v>
      </c>
      <c r="BW4" t="e">
        <f>AND(Master!#REF!,"AAAAAEn/9ko=")</f>
        <v>#REF!</v>
      </c>
      <c r="BX4" t="e">
        <f>AND(Master!#REF!,"AAAAAEn/9ks=")</f>
        <v>#REF!</v>
      </c>
      <c r="BY4" t="e">
        <f>AND(Master!#REF!,"AAAAAEn/9kw=")</f>
        <v>#REF!</v>
      </c>
      <c r="BZ4" t="e">
        <f>AND(Master!#REF!,"AAAAAEn/9k0=")</f>
        <v>#REF!</v>
      </c>
      <c r="CA4" t="e">
        <f>AND(Master!#REF!,"AAAAAEn/9k4=")</f>
        <v>#REF!</v>
      </c>
      <c r="CB4" t="e">
        <f>AND(Master!#REF!,"AAAAAEn/9k8=")</f>
        <v>#REF!</v>
      </c>
      <c r="CC4" t="e">
        <f>AND(Master!#REF!,"AAAAAEn/9lA=")</f>
        <v>#REF!</v>
      </c>
      <c r="CD4" t="e">
        <f>AND(Master!#REF!,"AAAAAEn/9lE=")</f>
        <v>#REF!</v>
      </c>
      <c r="CE4" t="e">
        <f>AND(Master!#REF!,"AAAAAEn/9lI=")</f>
        <v>#REF!</v>
      </c>
      <c r="CF4" t="e">
        <f>AND(Master!#REF!,"AAAAAEn/9lM=")</f>
        <v>#REF!</v>
      </c>
      <c r="CG4" t="e">
        <f>AND(Master!#REF!,"AAAAAEn/9lQ=")</f>
        <v>#REF!</v>
      </c>
      <c r="CH4" t="e">
        <f>AND(Master!#REF!,"AAAAAEn/9lU=")</f>
        <v>#REF!</v>
      </c>
      <c r="CI4" t="e">
        <f>AND(Master!#REF!,"AAAAAEn/9lY=")</f>
        <v>#REF!</v>
      </c>
      <c r="CJ4" t="e">
        <f>AND(Master!#REF!,"AAAAAEn/9lc=")</f>
        <v>#REF!</v>
      </c>
      <c r="CK4" t="e">
        <f>AND(Master!#REF!,"AAAAAEn/9lg=")</f>
        <v>#REF!</v>
      </c>
      <c r="CL4" t="e">
        <f>AND(Master!#REF!,"AAAAAEn/9lk=")</f>
        <v>#REF!</v>
      </c>
      <c r="CM4" t="e">
        <f>AND(Master!#REF!,"AAAAAEn/9lo=")</f>
        <v>#REF!</v>
      </c>
      <c r="CN4" t="e">
        <f>AND(Master!#REF!,"AAAAAEn/9ls=")</f>
        <v>#REF!</v>
      </c>
      <c r="CO4" t="e">
        <f>AND(Master!#REF!,"AAAAAEn/9lw=")</f>
        <v>#REF!</v>
      </c>
      <c r="CP4" t="e">
        <f>AND(Master!#REF!,"AAAAAEn/9l0=")</f>
        <v>#REF!</v>
      </c>
      <c r="CQ4" t="e">
        <f>AND(Master!#REF!,"AAAAAEn/9l4=")</f>
        <v>#REF!</v>
      </c>
      <c r="CR4" t="e">
        <f>AND(Master!#REF!,"AAAAAEn/9l8=")</f>
        <v>#REF!</v>
      </c>
      <c r="CS4" t="e">
        <f>IF(Master!#REF!,"AAAAAEn/9mA=",0)</f>
        <v>#REF!</v>
      </c>
      <c r="CT4" t="e">
        <f>AND(Master!#REF!,"AAAAAEn/9mE=")</f>
        <v>#REF!</v>
      </c>
      <c r="CU4" t="e">
        <f>AND(Master!#REF!,"AAAAAEn/9mI=")</f>
        <v>#REF!</v>
      </c>
      <c r="CV4" t="e">
        <f>AND(Master!#REF!,"AAAAAEn/9mM=")</f>
        <v>#REF!</v>
      </c>
      <c r="CW4" t="e">
        <f>AND(Master!#REF!,"AAAAAEn/9mQ=")</f>
        <v>#REF!</v>
      </c>
      <c r="CX4" t="e">
        <f>AND(Master!#REF!,"AAAAAEn/9mU=")</f>
        <v>#REF!</v>
      </c>
      <c r="CY4" t="e">
        <f>AND(Master!#REF!,"AAAAAEn/9mY=")</f>
        <v>#REF!</v>
      </c>
      <c r="CZ4" t="e">
        <f>AND(Master!#REF!,"AAAAAEn/9mc=")</f>
        <v>#REF!</v>
      </c>
      <c r="DA4" t="e">
        <f>AND(Master!#REF!,"AAAAAEn/9mg=")</f>
        <v>#REF!</v>
      </c>
      <c r="DB4" t="e">
        <f>AND(Master!#REF!,"AAAAAEn/9mk=")</f>
        <v>#REF!</v>
      </c>
      <c r="DC4" t="e">
        <f>AND(Master!#REF!,"AAAAAEn/9mo=")</f>
        <v>#REF!</v>
      </c>
      <c r="DD4" t="e">
        <f>AND(Master!#REF!,"AAAAAEn/9ms=")</f>
        <v>#REF!</v>
      </c>
      <c r="DE4" t="e">
        <f>AND(Master!#REF!,"AAAAAEn/9mw=")</f>
        <v>#REF!</v>
      </c>
      <c r="DF4" t="e">
        <f>AND(Master!#REF!,"AAAAAEn/9m0=")</f>
        <v>#REF!</v>
      </c>
      <c r="DG4" t="e">
        <f>AND(Master!#REF!,"AAAAAEn/9m4=")</f>
        <v>#REF!</v>
      </c>
      <c r="DH4" t="e">
        <f>AND(Master!#REF!,"AAAAAEn/9m8=")</f>
        <v>#REF!</v>
      </c>
      <c r="DI4" t="e">
        <f>AND(Master!#REF!,"AAAAAEn/9nA=")</f>
        <v>#REF!</v>
      </c>
      <c r="DJ4" t="e">
        <f>AND(Master!#REF!,"AAAAAEn/9nE=")</f>
        <v>#REF!</v>
      </c>
      <c r="DK4" t="e">
        <f>AND(Master!#REF!,"AAAAAEn/9nI=")</f>
        <v>#REF!</v>
      </c>
      <c r="DL4" t="e">
        <f>AND(Master!#REF!,"AAAAAEn/9nM=")</f>
        <v>#REF!</v>
      </c>
      <c r="DM4" t="e">
        <f>AND(Master!#REF!,"AAAAAEn/9nQ=")</f>
        <v>#REF!</v>
      </c>
      <c r="DN4" t="e">
        <f>AND(Master!#REF!,"AAAAAEn/9nU=")</f>
        <v>#REF!</v>
      </c>
      <c r="DO4" t="e">
        <f>AND(Master!#REF!,"AAAAAEn/9nY=")</f>
        <v>#REF!</v>
      </c>
      <c r="DP4" t="e">
        <f>AND(Master!#REF!,"AAAAAEn/9nc=")</f>
        <v>#REF!</v>
      </c>
      <c r="DQ4" t="e">
        <f>IF(Master!#REF!,"AAAAAEn/9ng=",0)</f>
        <v>#REF!</v>
      </c>
      <c r="DR4" t="e">
        <f>AND(Master!#REF!,"AAAAAEn/9nk=")</f>
        <v>#REF!</v>
      </c>
      <c r="DS4" t="e">
        <f>AND(Master!#REF!,"AAAAAEn/9no=")</f>
        <v>#REF!</v>
      </c>
      <c r="DT4" t="e">
        <f>AND(Master!#REF!,"AAAAAEn/9ns=")</f>
        <v>#REF!</v>
      </c>
      <c r="DU4" t="e">
        <f>AND(Master!#REF!,"AAAAAEn/9nw=")</f>
        <v>#REF!</v>
      </c>
      <c r="DV4" t="e">
        <f>AND(Master!#REF!,"AAAAAEn/9n0=")</f>
        <v>#REF!</v>
      </c>
      <c r="DW4" t="e">
        <f>AND(Master!#REF!,"AAAAAEn/9n4=")</f>
        <v>#REF!</v>
      </c>
      <c r="DX4" t="e">
        <f>AND(Master!#REF!,"AAAAAEn/9n8=")</f>
        <v>#REF!</v>
      </c>
      <c r="DY4" t="e">
        <f>AND(Master!#REF!,"AAAAAEn/9oA=")</f>
        <v>#REF!</v>
      </c>
      <c r="DZ4" t="e">
        <f>AND(Master!#REF!,"AAAAAEn/9oE=")</f>
        <v>#REF!</v>
      </c>
      <c r="EA4" t="e">
        <f>AND(Master!#REF!,"AAAAAEn/9oI=")</f>
        <v>#REF!</v>
      </c>
      <c r="EB4" t="e">
        <f>AND(Master!#REF!,"AAAAAEn/9oM=")</f>
        <v>#REF!</v>
      </c>
      <c r="EC4" t="e">
        <f>AND(Master!#REF!,"AAAAAEn/9oQ=")</f>
        <v>#REF!</v>
      </c>
      <c r="ED4" t="e">
        <f>AND(Master!#REF!,"AAAAAEn/9oU=")</f>
        <v>#REF!</v>
      </c>
      <c r="EE4" t="e">
        <f>AND(Master!#REF!,"AAAAAEn/9oY=")</f>
        <v>#REF!</v>
      </c>
      <c r="EF4" t="e">
        <f>AND(Master!#REF!,"AAAAAEn/9oc=")</f>
        <v>#REF!</v>
      </c>
      <c r="EG4" t="e">
        <f>AND(Master!#REF!,"AAAAAEn/9og=")</f>
        <v>#REF!</v>
      </c>
      <c r="EH4" t="e">
        <f>AND(Master!#REF!,"AAAAAEn/9ok=")</f>
        <v>#REF!</v>
      </c>
      <c r="EI4" t="e">
        <f>AND(Master!#REF!,"AAAAAEn/9oo=")</f>
        <v>#REF!</v>
      </c>
      <c r="EJ4" t="e">
        <f>AND(Master!#REF!,"AAAAAEn/9os=")</f>
        <v>#REF!</v>
      </c>
      <c r="EK4" t="e">
        <f>AND(Master!#REF!,"AAAAAEn/9ow=")</f>
        <v>#REF!</v>
      </c>
      <c r="EL4" t="e">
        <f>AND(Master!#REF!,"AAAAAEn/9o0=")</f>
        <v>#REF!</v>
      </c>
      <c r="EM4" t="e">
        <f>AND(Master!#REF!,"AAAAAEn/9o4=")</f>
        <v>#REF!</v>
      </c>
      <c r="EN4" t="e">
        <f>AND(Master!#REF!,"AAAAAEn/9o8=")</f>
        <v>#REF!</v>
      </c>
      <c r="EO4">
        <f>IF(Master!8:8,"AAAAAEn/9pA=",0)</f>
        <v>0</v>
      </c>
      <c r="EP4" t="e">
        <f>AND(Master!C8,"AAAAAEn/9pE=")</f>
        <v>#VALUE!</v>
      </c>
      <c r="EQ4" t="e">
        <f>AND(Master!D8,"AAAAAEn/9pI=")</f>
        <v>#VALUE!</v>
      </c>
      <c r="ER4" t="e">
        <f>AND(Master!F8,"AAAAAEn/9pM=")</f>
        <v>#VALUE!</v>
      </c>
      <c r="ES4" t="e">
        <f>AND(Master!H8,"AAAAAEn/9pQ=")</f>
        <v>#VALUE!</v>
      </c>
      <c r="ET4" t="e">
        <f>AND(Master!J8,"AAAAAEn/9pU=")</f>
        <v>#VALUE!</v>
      </c>
      <c r="EU4" t="e">
        <f>AND(Master!K8,"AAAAAEn/9pY=")</f>
        <v>#VALUE!</v>
      </c>
      <c r="EV4" t="e">
        <f>AND(Master!L8,"AAAAAEn/9pc=")</f>
        <v>#VALUE!</v>
      </c>
      <c r="EW4" t="e">
        <f>AND(Master!M8,"AAAAAEn/9pg=")</f>
        <v>#VALUE!</v>
      </c>
      <c r="EX4" t="e">
        <f>AND(Master!N8,"AAAAAEn/9pk=")</f>
        <v>#VALUE!</v>
      </c>
      <c r="EY4" t="e">
        <f>AND(Master!O8,"AAAAAEn/9po=")</f>
        <v>#VALUE!</v>
      </c>
      <c r="EZ4" t="e">
        <f>AND(Master!P8,"AAAAAEn/9ps=")</f>
        <v>#VALUE!</v>
      </c>
      <c r="FA4" t="e">
        <f>AND(Master!Q8,"AAAAAEn/9pw=")</f>
        <v>#VALUE!</v>
      </c>
      <c r="FB4" t="e">
        <f>AND(Master!R8,"AAAAAEn/9p0=")</f>
        <v>#VALUE!</v>
      </c>
      <c r="FC4" t="e">
        <f>AND(Master!S8,"AAAAAEn/9p4=")</f>
        <v>#VALUE!</v>
      </c>
      <c r="FD4" t="e">
        <f>AND(Master!T8,"AAAAAEn/9p8=")</f>
        <v>#VALUE!</v>
      </c>
      <c r="FE4" t="e">
        <f>AND(Master!U8,"AAAAAEn/9qA=")</f>
        <v>#VALUE!</v>
      </c>
      <c r="FF4" t="e">
        <f>AND(Master!V8,"AAAAAEn/9qE=")</f>
        <v>#VALUE!</v>
      </c>
      <c r="FG4" t="e">
        <f>AND(Master!W8,"AAAAAEn/9qI=")</f>
        <v>#VALUE!</v>
      </c>
      <c r="FH4" t="e">
        <f>AND(Master!X8,"AAAAAEn/9qM=")</f>
        <v>#VALUE!</v>
      </c>
      <c r="FI4" t="e">
        <f>AND(Master!Y8,"AAAAAEn/9qQ=")</f>
        <v>#VALUE!</v>
      </c>
      <c r="FJ4" t="e">
        <f>AND(Master!Z8,"AAAAAEn/9qU=")</f>
        <v>#VALUE!</v>
      </c>
      <c r="FK4" t="e">
        <f>AND(Master!AA8,"AAAAAEn/9qY=")</f>
        <v>#VALUE!</v>
      </c>
      <c r="FL4" t="e">
        <f>AND(Master!AB8,"AAAAAEn/9qc=")</f>
        <v>#VALUE!</v>
      </c>
      <c r="FM4">
        <f>IF(Master!9:9,"AAAAAEn/9qg=",0)</f>
        <v>0</v>
      </c>
      <c r="FN4" t="e">
        <f>AND(Master!C9,"AAAAAEn/9qk=")</f>
        <v>#VALUE!</v>
      </c>
      <c r="FO4" t="e">
        <f>AND(Master!D9,"AAAAAEn/9qo=")</f>
        <v>#VALUE!</v>
      </c>
      <c r="FP4" t="e">
        <f>AND(Master!F9,"AAAAAEn/9qs=")</f>
        <v>#VALUE!</v>
      </c>
      <c r="FQ4" t="e">
        <f>AND(Master!H9,"AAAAAEn/9qw=")</f>
        <v>#VALUE!</v>
      </c>
      <c r="FR4" t="e">
        <f>AND(Master!J9,"AAAAAEn/9q0=")</f>
        <v>#VALUE!</v>
      </c>
      <c r="FS4" t="e">
        <f>AND(Master!K9,"AAAAAEn/9q4=")</f>
        <v>#VALUE!</v>
      </c>
      <c r="FT4" t="e">
        <f>AND(Master!L9,"AAAAAEn/9q8=")</f>
        <v>#VALUE!</v>
      </c>
      <c r="FU4" t="e">
        <f>AND(Master!M9,"AAAAAEn/9rA=")</f>
        <v>#VALUE!</v>
      </c>
      <c r="FV4" t="e">
        <f>AND(Master!N9,"AAAAAEn/9rE=")</f>
        <v>#VALUE!</v>
      </c>
      <c r="FW4" t="e">
        <f>AND(Master!O9,"AAAAAEn/9rI=")</f>
        <v>#VALUE!</v>
      </c>
      <c r="FX4" t="e">
        <f>AND(Master!P9,"AAAAAEn/9rM=")</f>
        <v>#VALUE!</v>
      </c>
      <c r="FY4" t="e">
        <f>AND(Master!Q9,"AAAAAEn/9rQ=")</f>
        <v>#VALUE!</v>
      </c>
      <c r="FZ4" t="e">
        <f>AND(Master!R9,"AAAAAEn/9rU=")</f>
        <v>#VALUE!</v>
      </c>
      <c r="GA4" t="e">
        <f>AND(Master!S9,"AAAAAEn/9rY=")</f>
        <v>#VALUE!</v>
      </c>
      <c r="GB4" t="e">
        <f>AND(Master!T9,"AAAAAEn/9rc=")</f>
        <v>#VALUE!</v>
      </c>
      <c r="GC4" t="e">
        <f>AND(Master!U9,"AAAAAEn/9rg=")</f>
        <v>#VALUE!</v>
      </c>
      <c r="GD4" t="e">
        <f>AND(Master!V9,"AAAAAEn/9rk=")</f>
        <v>#VALUE!</v>
      </c>
      <c r="GE4" t="e">
        <f>AND(Master!W9,"AAAAAEn/9ro=")</f>
        <v>#VALUE!</v>
      </c>
      <c r="GF4" t="e">
        <f>AND(Master!X9,"AAAAAEn/9rs=")</f>
        <v>#VALUE!</v>
      </c>
      <c r="GG4" t="e">
        <f>AND(Master!Y9,"AAAAAEn/9rw=")</f>
        <v>#VALUE!</v>
      </c>
      <c r="GH4" t="e">
        <f>AND(Master!Z9,"AAAAAEn/9r0=")</f>
        <v>#VALUE!</v>
      </c>
      <c r="GI4" t="e">
        <f>AND(Master!AA9,"AAAAAEn/9r4=")</f>
        <v>#VALUE!</v>
      </c>
      <c r="GJ4" t="e">
        <f>AND(Master!AB9,"AAAAAEn/9r8=")</f>
        <v>#VALUE!</v>
      </c>
      <c r="GK4" t="e">
        <f>IF(Master!#REF!,"AAAAAEn/9sA=",0)</f>
        <v>#REF!</v>
      </c>
      <c r="GL4" t="e">
        <f>AND(Master!#REF!,"AAAAAEn/9sE=")</f>
        <v>#REF!</v>
      </c>
      <c r="GM4" t="e">
        <f>AND(Master!#REF!,"AAAAAEn/9sI=")</f>
        <v>#REF!</v>
      </c>
      <c r="GN4" t="e">
        <f>AND(Master!#REF!,"AAAAAEn/9sM=")</f>
        <v>#REF!</v>
      </c>
      <c r="GO4" t="e">
        <f>AND(Master!#REF!,"AAAAAEn/9sQ=")</f>
        <v>#REF!</v>
      </c>
      <c r="GP4" t="e">
        <f>AND(Master!#REF!,"AAAAAEn/9sU=")</f>
        <v>#REF!</v>
      </c>
      <c r="GQ4" t="e">
        <f>AND(Master!#REF!,"AAAAAEn/9sY=")</f>
        <v>#REF!</v>
      </c>
      <c r="GR4" t="e">
        <f>AND(Master!#REF!,"AAAAAEn/9sc=")</f>
        <v>#REF!</v>
      </c>
      <c r="GS4" t="e">
        <f>AND(Master!#REF!,"AAAAAEn/9sg=")</f>
        <v>#REF!</v>
      </c>
      <c r="GT4" t="e">
        <f>AND(Master!#REF!,"AAAAAEn/9sk=")</f>
        <v>#REF!</v>
      </c>
      <c r="GU4" t="e">
        <f>AND(Master!#REF!,"AAAAAEn/9so=")</f>
        <v>#REF!</v>
      </c>
      <c r="GV4" t="e">
        <f>AND(Master!#REF!,"AAAAAEn/9ss=")</f>
        <v>#REF!</v>
      </c>
      <c r="GW4" t="e">
        <f>AND(Master!#REF!,"AAAAAEn/9sw=")</f>
        <v>#REF!</v>
      </c>
      <c r="GX4" t="e">
        <f>AND(Master!#REF!,"AAAAAEn/9s0=")</f>
        <v>#REF!</v>
      </c>
      <c r="GY4" t="e">
        <f>AND(Master!#REF!,"AAAAAEn/9s4=")</f>
        <v>#REF!</v>
      </c>
      <c r="GZ4" t="e">
        <f>AND(Master!#REF!,"AAAAAEn/9s8=")</f>
        <v>#REF!</v>
      </c>
      <c r="HA4" t="e">
        <f>AND(Master!#REF!,"AAAAAEn/9tA=")</f>
        <v>#REF!</v>
      </c>
      <c r="HB4" t="e">
        <f>AND(Master!#REF!,"AAAAAEn/9tE=")</f>
        <v>#REF!</v>
      </c>
      <c r="HC4" t="e">
        <f>AND(Master!#REF!,"AAAAAEn/9tI=")</f>
        <v>#REF!</v>
      </c>
      <c r="HD4" t="e">
        <f>AND(Master!#REF!,"AAAAAEn/9tM=")</f>
        <v>#REF!</v>
      </c>
      <c r="HE4" t="e">
        <f>AND(Master!#REF!,"AAAAAEn/9tQ=")</f>
        <v>#REF!</v>
      </c>
      <c r="HF4" t="e">
        <f>AND(Master!#REF!,"AAAAAEn/9tU=")</f>
        <v>#REF!</v>
      </c>
      <c r="HG4" t="e">
        <f>AND(Master!#REF!,"AAAAAEn/9tY=")</f>
        <v>#REF!</v>
      </c>
      <c r="HH4" t="e">
        <f>AND(Master!#REF!,"AAAAAEn/9tc=")</f>
        <v>#REF!</v>
      </c>
      <c r="HI4">
        <f>IF(Master!11:11,"AAAAAEn/9tg=",0)</f>
        <v>0</v>
      </c>
      <c r="HJ4" t="e">
        <f>AND(Master!C11,"AAAAAEn/9tk=")</f>
        <v>#VALUE!</v>
      </c>
      <c r="HK4" t="e">
        <f>AND(Master!D11,"AAAAAEn/9to=")</f>
        <v>#VALUE!</v>
      </c>
      <c r="HL4" t="e">
        <f>AND(Master!F11,"AAAAAEn/9ts=")</f>
        <v>#VALUE!</v>
      </c>
      <c r="HM4" t="e">
        <f>AND(Master!H11,"AAAAAEn/9tw=")</f>
        <v>#VALUE!</v>
      </c>
      <c r="HN4" t="e">
        <f>AND(Master!J11,"AAAAAEn/9t0=")</f>
        <v>#VALUE!</v>
      </c>
      <c r="HO4" t="e">
        <f>AND(Master!K11,"AAAAAEn/9t4=")</f>
        <v>#VALUE!</v>
      </c>
      <c r="HP4" t="e">
        <f>AND(Master!L11,"AAAAAEn/9t8=")</f>
        <v>#VALUE!</v>
      </c>
      <c r="HQ4" t="e">
        <f>AND(Master!M11,"AAAAAEn/9uA=")</f>
        <v>#VALUE!</v>
      </c>
      <c r="HR4" t="e">
        <f>AND(Master!N11,"AAAAAEn/9uE=")</f>
        <v>#VALUE!</v>
      </c>
      <c r="HS4" t="e">
        <f>AND(Master!O11,"AAAAAEn/9uI=")</f>
        <v>#VALUE!</v>
      </c>
      <c r="HT4" t="e">
        <f>AND(Master!P11,"AAAAAEn/9uM=")</f>
        <v>#VALUE!</v>
      </c>
      <c r="HU4" t="e">
        <f>AND(Master!Q11,"AAAAAEn/9uQ=")</f>
        <v>#VALUE!</v>
      </c>
      <c r="HV4" t="e">
        <f>AND(Master!R11,"AAAAAEn/9uU=")</f>
        <v>#VALUE!</v>
      </c>
      <c r="HW4" t="e">
        <f>AND(Master!S11,"AAAAAEn/9uY=")</f>
        <v>#VALUE!</v>
      </c>
      <c r="HX4" t="e">
        <f>AND(Master!T11,"AAAAAEn/9uc=")</f>
        <v>#VALUE!</v>
      </c>
      <c r="HY4" t="e">
        <f>AND(Master!U11,"AAAAAEn/9ug=")</f>
        <v>#VALUE!</v>
      </c>
      <c r="HZ4" t="e">
        <f>AND(Master!V11,"AAAAAEn/9uk=")</f>
        <v>#VALUE!</v>
      </c>
      <c r="IA4" t="e">
        <f>AND(Master!W11,"AAAAAEn/9uo=")</f>
        <v>#VALUE!</v>
      </c>
      <c r="IB4" t="e">
        <f>AND(Master!X11,"AAAAAEn/9us=")</f>
        <v>#VALUE!</v>
      </c>
      <c r="IC4" t="e">
        <f>AND(Master!Y11,"AAAAAEn/9uw=")</f>
        <v>#VALUE!</v>
      </c>
      <c r="ID4" t="e">
        <f>AND(Master!Z11,"AAAAAEn/9u0=")</f>
        <v>#VALUE!</v>
      </c>
      <c r="IE4" t="e">
        <f>AND(Master!AA11,"AAAAAEn/9u4=")</f>
        <v>#VALUE!</v>
      </c>
      <c r="IF4" t="e">
        <f>AND(Master!AB11,"AAAAAEn/9u8=")</f>
        <v>#VALUE!</v>
      </c>
      <c r="IG4" t="e">
        <f>IF(Master!#REF!,"AAAAAEn/9vA=",0)</f>
        <v>#REF!</v>
      </c>
      <c r="IH4" t="e">
        <f>AND(Master!#REF!,"AAAAAEn/9vE=")</f>
        <v>#REF!</v>
      </c>
      <c r="II4" t="e">
        <f>AND(Master!#REF!,"AAAAAEn/9vI=")</f>
        <v>#REF!</v>
      </c>
      <c r="IJ4" t="e">
        <f>AND(Master!#REF!,"AAAAAEn/9vM=")</f>
        <v>#REF!</v>
      </c>
      <c r="IK4" t="e">
        <f>AND(Master!#REF!,"AAAAAEn/9vQ=")</f>
        <v>#REF!</v>
      </c>
      <c r="IL4" t="e">
        <f>AND(Master!#REF!,"AAAAAEn/9vU=")</f>
        <v>#REF!</v>
      </c>
      <c r="IM4" t="e">
        <f>AND(Master!#REF!,"AAAAAEn/9vY=")</f>
        <v>#REF!</v>
      </c>
      <c r="IN4" t="e">
        <f>AND(Master!#REF!,"AAAAAEn/9vc=")</f>
        <v>#REF!</v>
      </c>
      <c r="IO4" t="e">
        <f>AND(Master!#REF!,"AAAAAEn/9vg=")</f>
        <v>#REF!</v>
      </c>
      <c r="IP4" t="e">
        <f>AND(Master!#REF!,"AAAAAEn/9vk=")</f>
        <v>#REF!</v>
      </c>
      <c r="IQ4" t="e">
        <f>AND(Master!#REF!,"AAAAAEn/9vo=")</f>
        <v>#REF!</v>
      </c>
      <c r="IR4" t="e">
        <f>AND(Master!#REF!,"AAAAAEn/9vs=")</f>
        <v>#REF!</v>
      </c>
      <c r="IS4" t="e">
        <f>AND(Master!#REF!,"AAAAAEn/9vw=")</f>
        <v>#REF!</v>
      </c>
      <c r="IT4" t="e">
        <f>AND(Master!#REF!,"AAAAAEn/9v0=")</f>
        <v>#REF!</v>
      </c>
      <c r="IU4" t="e">
        <f>AND(Master!#REF!,"AAAAAEn/9v4=")</f>
        <v>#REF!</v>
      </c>
      <c r="IV4" t="e">
        <f>AND(Master!#REF!,"AAAAAEn/9v8=")</f>
        <v>#REF!</v>
      </c>
    </row>
    <row r="5" spans="1:256">
      <c r="A5" t="e">
        <f>AND(Master!#REF!,"AAAAABea8wA=")</f>
        <v>#REF!</v>
      </c>
      <c r="B5" t="e">
        <f>AND(Master!#REF!,"AAAAABea8wE=")</f>
        <v>#REF!</v>
      </c>
      <c r="C5" t="e">
        <f>AND(Master!#REF!,"AAAAABea8wI=")</f>
        <v>#REF!</v>
      </c>
      <c r="D5" t="e">
        <f>AND(Master!#REF!,"AAAAABea8wM=")</f>
        <v>#REF!</v>
      </c>
      <c r="E5" t="e">
        <f>AND(Master!#REF!,"AAAAABea8wQ=")</f>
        <v>#REF!</v>
      </c>
      <c r="F5" t="e">
        <f>AND(Master!#REF!,"AAAAABea8wU=")</f>
        <v>#REF!</v>
      </c>
      <c r="G5" t="e">
        <f>AND(Master!#REF!,"AAAAABea8wY=")</f>
        <v>#REF!</v>
      </c>
      <c r="H5" t="e">
        <f>AND(Master!#REF!,"AAAAABea8wc=")</f>
        <v>#REF!</v>
      </c>
      <c r="I5">
        <f>IF(Master!12:12,"AAAAABea8wg=",0)</f>
        <v>0</v>
      </c>
      <c r="J5" t="e">
        <f>AND(Master!C12,"AAAAABea8wk=")</f>
        <v>#VALUE!</v>
      </c>
      <c r="K5" t="e">
        <f>AND(Master!D12,"AAAAABea8wo=")</f>
        <v>#VALUE!</v>
      </c>
      <c r="L5" t="e">
        <f>AND(Master!F12,"AAAAABea8ws=")</f>
        <v>#VALUE!</v>
      </c>
      <c r="M5" t="e">
        <f>AND(Master!H12,"AAAAABea8ww=")</f>
        <v>#VALUE!</v>
      </c>
      <c r="N5" t="e">
        <f>AND(Master!J12,"AAAAABea8w0=")</f>
        <v>#VALUE!</v>
      </c>
      <c r="O5" t="e">
        <f>AND(Master!K12,"AAAAABea8w4=")</f>
        <v>#VALUE!</v>
      </c>
      <c r="P5" t="e">
        <f>AND(Master!L12,"AAAAABea8w8=")</f>
        <v>#VALUE!</v>
      </c>
      <c r="Q5" t="e">
        <f>AND(Master!M12,"AAAAABea8xA=")</f>
        <v>#VALUE!</v>
      </c>
      <c r="R5" t="e">
        <f>AND(Master!N12,"AAAAABea8xE=")</f>
        <v>#VALUE!</v>
      </c>
      <c r="S5" t="e">
        <f>AND(Master!O12,"AAAAABea8xI=")</f>
        <v>#VALUE!</v>
      </c>
      <c r="T5" t="e">
        <f>AND(Master!P12,"AAAAABea8xM=")</f>
        <v>#VALUE!</v>
      </c>
      <c r="U5" t="e">
        <f>AND(Master!Q12,"AAAAABea8xQ=")</f>
        <v>#VALUE!</v>
      </c>
      <c r="V5" t="e">
        <f>AND(Master!R12,"AAAAABea8xU=")</f>
        <v>#VALUE!</v>
      </c>
      <c r="W5" t="e">
        <f>AND(Master!S12,"AAAAABea8xY=")</f>
        <v>#VALUE!</v>
      </c>
      <c r="X5" t="e">
        <f>AND(Master!T12,"AAAAABea8xc=")</f>
        <v>#VALUE!</v>
      </c>
      <c r="Y5" t="e">
        <f>AND(Master!U12,"AAAAABea8xg=")</f>
        <v>#VALUE!</v>
      </c>
      <c r="Z5" t="e">
        <f>AND(Master!V12,"AAAAABea8xk=")</f>
        <v>#VALUE!</v>
      </c>
      <c r="AA5" t="e">
        <f>AND(Master!W12,"AAAAABea8xo=")</f>
        <v>#VALUE!</v>
      </c>
      <c r="AB5" t="e">
        <f>AND(Master!X12,"AAAAABea8xs=")</f>
        <v>#VALUE!</v>
      </c>
      <c r="AC5" t="e">
        <f>AND(Master!Y12,"AAAAABea8xw=")</f>
        <v>#VALUE!</v>
      </c>
      <c r="AD5" t="e">
        <f>AND(Master!Z12,"AAAAABea8x0=")</f>
        <v>#VALUE!</v>
      </c>
      <c r="AE5" t="e">
        <f>AND(Master!AA12,"AAAAABea8x4=")</f>
        <v>#VALUE!</v>
      </c>
      <c r="AF5" t="e">
        <f>AND(Master!AB12,"AAAAABea8x8=")</f>
        <v>#VALUE!</v>
      </c>
      <c r="AG5">
        <f>IF(Master!13:13,"AAAAABea8yA=",0)</f>
        <v>0</v>
      </c>
      <c r="AH5" t="e">
        <f>AND(Master!C13,"AAAAABea8yE=")</f>
        <v>#VALUE!</v>
      </c>
      <c r="AI5" t="e">
        <f>AND(Master!D13,"AAAAABea8yI=")</f>
        <v>#VALUE!</v>
      </c>
      <c r="AJ5" t="e">
        <f>AND(Master!F13,"AAAAABea8yM=")</f>
        <v>#VALUE!</v>
      </c>
      <c r="AK5" t="e">
        <f>AND(Master!H13,"AAAAABea8yQ=")</f>
        <v>#VALUE!</v>
      </c>
      <c r="AL5" t="e">
        <f>AND(Master!J13,"AAAAABea8yU=")</f>
        <v>#VALUE!</v>
      </c>
      <c r="AM5" t="e">
        <f>AND(Master!K13,"AAAAABea8yY=")</f>
        <v>#VALUE!</v>
      </c>
      <c r="AN5" t="e">
        <f>AND(Master!L13,"AAAAABea8yc=")</f>
        <v>#VALUE!</v>
      </c>
      <c r="AO5" t="e">
        <f>AND(Master!M13,"AAAAABea8yg=")</f>
        <v>#VALUE!</v>
      </c>
      <c r="AP5" t="e">
        <f>AND(Master!N13,"AAAAABea8yk=")</f>
        <v>#VALUE!</v>
      </c>
      <c r="AQ5" t="e">
        <f>AND(Master!O13,"AAAAABea8yo=")</f>
        <v>#VALUE!</v>
      </c>
      <c r="AR5" t="e">
        <f>AND(Master!P13,"AAAAABea8ys=")</f>
        <v>#VALUE!</v>
      </c>
      <c r="AS5" t="e">
        <f>AND(Master!Q13,"AAAAABea8yw=")</f>
        <v>#VALUE!</v>
      </c>
      <c r="AT5" t="e">
        <f>AND(Master!R13,"AAAAABea8y0=")</f>
        <v>#VALUE!</v>
      </c>
      <c r="AU5" t="e">
        <f>AND(Master!S13,"AAAAABea8y4=")</f>
        <v>#VALUE!</v>
      </c>
      <c r="AV5" t="e">
        <f>AND(Master!T13,"AAAAABea8y8=")</f>
        <v>#VALUE!</v>
      </c>
      <c r="AW5" t="e">
        <f>AND(Master!U13,"AAAAABea8zA=")</f>
        <v>#VALUE!</v>
      </c>
      <c r="AX5" t="e">
        <f>AND(Master!V13,"AAAAABea8zE=")</f>
        <v>#VALUE!</v>
      </c>
      <c r="AY5" t="e">
        <f>AND(Master!W13,"AAAAABea8zI=")</f>
        <v>#VALUE!</v>
      </c>
      <c r="AZ5" t="e">
        <f>AND(Master!X13,"AAAAABea8zM=")</f>
        <v>#VALUE!</v>
      </c>
      <c r="BA5" t="e">
        <f>AND(Master!Y13,"AAAAABea8zQ=")</f>
        <v>#VALUE!</v>
      </c>
      <c r="BB5" t="e">
        <f>AND(Master!Z13,"AAAAABea8zU=")</f>
        <v>#VALUE!</v>
      </c>
      <c r="BC5" t="e">
        <f>AND(Master!AA13,"AAAAABea8zY=")</f>
        <v>#VALUE!</v>
      </c>
      <c r="BD5" t="e">
        <f>AND(Master!AB13,"AAAAABea8zc=")</f>
        <v>#VALUE!</v>
      </c>
      <c r="BE5" t="e">
        <f>IF(Master!#REF!,"AAAAABea8zg=",0)</f>
        <v>#REF!</v>
      </c>
      <c r="BF5" t="e">
        <f>AND(Master!#REF!,"AAAAABea8zk=")</f>
        <v>#REF!</v>
      </c>
      <c r="BG5" t="e">
        <f>AND(Master!#REF!,"AAAAABea8zo=")</f>
        <v>#REF!</v>
      </c>
      <c r="BH5" t="e">
        <f>AND(Master!#REF!,"AAAAABea8zs=")</f>
        <v>#REF!</v>
      </c>
      <c r="BI5" t="e">
        <f>AND(Master!#REF!,"AAAAABea8zw=")</f>
        <v>#REF!</v>
      </c>
      <c r="BJ5" t="e">
        <f>AND(Master!#REF!,"AAAAABea8z0=")</f>
        <v>#REF!</v>
      </c>
      <c r="BK5" t="e">
        <f>AND(Master!#REF!,"AAAAABea8z4=")</f>
        <v>#REF!</v>
      </c>
      <c r="BL5" t="e">
        <f>AND(Master!#REF!,"AAAAABea8z8=")</f>
        <v>#REF!</v>
      </c>
      <c r="BM5" t="e">
        <f>AND(Master!#REF!,"AAAAABea80A=")</f>
        <v>#REF!</v>
      </c>
      <c r="BN5" t="e">
        <f>AND(Master!#REF!,"AAAAABea80E=")</f>
        <v>#REF!</v>
      </c>
      <c r="BO5" t="e">
        <f>AND(Master!#REF!,"AAAAABea80I=")</f>
        <v>#REF!</v>
      </c>
      <c r="BP5" t="e">
        <f>AND(Master!#REF!,"AAAAABea80M=")</f>
        <v>#REF!</v>
      </c>
      <c r="BQ5" t="e">
        <f>AND(Master!#REF!,"AAAAABea80Q=")</f>
        <v>#REF!</v>
      </c>
      <c r="BR5" t="e">
        <f>AND(Master!#REF!,"AAAAABea80U=")</f>
        <v>#REF!</v>
      </c>
      <c r="BS5" t="e">
        <f>AND(Master!#REF!,"AAAAABea80Y=")</f>
        <v>#REF!</v>
      </c>
      <c r="BT5" t="e">
        <f>AND(Master!#REF!,"AAAAABea80c=")</f>
        <v>#REF!</v>
      </c>
      <c r="BU5" t="e">
        <f>AND(Master!#REF!,"AAAAABea80g=")</f>
        <v>#REF!</v>
      </c>
      <c r="BV5" t="e">
        <f>AND(Master!#REF!,"AAAAABea80k=")</f>
        <v>#REF!</v>
      </c>
      <c r="BW5" t="e">
        <f>AND(Master!#REF!,"AAAAABea80o=")</f>
        <v>#REF!</v>
      </c>
      <c r="BX5" t="e">
        <f>AND(Master!#REF!,"AAAAABea80s=")</f>
        <v>#REF!</v>
      </c>
      <c r="BY5" t="e">
        <f>AND(Master!#REF!,"AAAAABea80w=")</f>
        <v>#REF!</v>
      </c>
      <c r="BZ5" t="e">
        <f>AND(Master!#REF!,"AAAAABea800=")</f>
        <v>#REF!</v>
      </c>
      <c r="CA5" t="e">
        <f>AND(Master!#REF!,"AAAAABea804=")</f>
        <v>#REF!</v>
      </c>
      <c r="CB5" t="e">
        <f>AND(Master!#REF!,"AAAAABea808=")</f>
        <v>#REF!</v>
      </c>
      <c r="CC5">
        <f>IF(Master!14:14,"AAAAABea81A=",0)</f>
        <v>0</v>
      </c>
      <c r="CD5" t="e">
        <f>AND(Master!C14,"AAAAABea81E=")</f>
        <v>#VALUE!</v>
      </c>
      <c r="CE5" t="e">
        <f>AND(Master!D14,"AAAAABea81I=")</f>
        <v>#VALUE!</v>
      </c>
      <c r="CF5" t="e">
        <f>AND(Master!F14,"AAAAABea81M=")</f>
        <v>#VALUE!</v>
      </c>
      <c r="CG5" t="e">
        <f>AND(Master!H14,"AAAAABea81Q=")</f>
        <v>#VALUE!</v>
      </c>
      <c r="CH5" t="e">
        <f>AND(Master!J14,"AAAAABea81U=")</f>
        <v>#VALUE!</v>
      </c>
      <c r="CI5" t="e">
        <f>AND(Master!K14,"AAAAABea81Y=")</f>
        <v>#VALUE!</v>
      </c>
      <c r="CJ5" t="e">
        <f>AND(Master!L14,"AAAAABea81c=")</f>
        <v>#VALUE!</v>
      </c>
      <c r="CK5" t="e">
        <f>AND(Master!M14,"AAAAABea81g=")</f>
        <v>#VALUE!</v>
      </c>
      <c r="CL5" t="e">
        <f>AND(Master!N14,"AAAAABea81k=")</f>
        <v>#VALUE!</v>
      </c>
      <c r="CM5" t="e">
        <f>AND(Master!O14,"AAAAABea81o=")</f>
        <v>#VALUE!</v>
      </c>
      <c r="CN5" t="e">
        <f>AND(Master!P14,"AAAAABea81s=")</f>
        <v>#VALUE!</v>
      </c>
      <c r="CO5" t="e">
        <f>AND(Master!Q14,"AAAAABea81w=")</f>
        <v>#VALUE!</v>
      </c>
      <c r="CP5" t="e">
        <f>AND(Master!R14,"AAAAABea810=")</f>
        <v>#VALUE!</v>
      </c>
      <c r="CQ5" t="e">
        <f>AND(Master!S14,"AAAAABea814=")</f>
        <v>#VALUE!</v>
      </c>
      <c r="CR5" t="e">
        <f>AND(Master!T14,"AAAAABea818=")</f>
        <v>#VALUE!</v>
      </c>
      <c r="CS5" t="e">
        <f>AND(Master!U14,"AAAAABea82A=")</f>
        <v>#VALUE!</v>
      </c>
      <c r="CT5" t="e">
        <f>AND(Master!V14,"AAAAABea82E=")</f>
        <v>#VALUE!</v>
      </c>
      <c r="CU5" t="e">
        <f>AND(Master!W14,"AAAAABea82I=")</f>
        <v>#VALUE!</v>
      </c>
      <c r="CV5" t="e">
        <f>AND(Master!X14,"AAAAABea82M=")</f>
        <v>#VALUE!</v>
      </c>
      <c r="CW5" t="e">
        <f>AND(Master!Y14,"AAAAABea82Q=")</f>
        <v>#VALUE!</v>
      </c>
      <c r="CX5" t="e">
        <f>AND(Master!Z14,"AAAAABea82U=")</f>
        <v>#VALUE!</v>
      </c>
      <c r="CY5" t="e">
        <f>AND(Master!AA14,"AAAAABea82Y=")</f>
        <v>#VALUE!</v>
      </c>
      <c r="CZ5" t="e">
        <f>AND(Master!AB14,"AAAAABea82c=")</f>
        <v>#VALUE!</v>
      </c>
      <c r="DA5" t="e">
        <f>IF(Master!#REF!,"AAAAABea82g=",0)</f>
        <v>#REF!</v>
      </c>
      <c r="DB5" t="e">
        <f>AND(Master!#REF!,"AAAAABea82k=")</f>
        <v>#REF!</v>
      </c>
      <c r="DC5" t="e">
        <f>AND(Master!#REF!,"AAAAABea82o=")</f>
        <v>#REF!</v>
      </c>
      <c r="DD5" t="e">
        <f>AND(Master!#REF!,"AAAAABea82s=")</f>
        <v>#REF!</v>
      </c>
      <c r="DE5" t="e">
        <f>AND(Master!#REF!,"AAAAABea82w=")</f>
        <v>#REF!</v>
      </c>
      <c r="DF5" t="e">
        <f>AND(Master!#REF!,"AAAAABea820=")</f>
        <v>#REF!</v>
      </c>
      <c r="DG5" t="e">
        <f>AND(Master!#REF!,"AAAAABea824=")</f>
        <v>#REF!</v>
      </c>
      <c r="DH5" t="e">
        <f>AND(Master!#REF!,"AAAAABea828=")</f>
        <v>#REF!</v>
      </c>
      <c r="DI5" t="e">
        <f>AND(Master!#REF!,"AAAAABea83A=")</f>
        <v>#REF!</v>
      </c>
      <c r="DJ5" t="e">
        <f>AND(Master!#REF!,"AAAAABea83E=")</f>
        <v>#REF!</v>
      </c>
      <c r="DK5" t="e">
        <f>AND(Master!#REF!,"AAAAABea83I=")</f>
        <v>#REF!</v>
      </c>
      <c r="DL5" t="e">
        <f>AND(Master!#REF!,"AAAAABea83M=")</f>
        <v>#REF!</v>
      </c>
      <c r="DM5" t="e">
        <f>AND(Master!#REF!,"AAAAABea83Q=")</f>
        <v>#REF!</v>
      </c>
      <c r="DN5" t="e">
        <f>AND(Master!#REF!,"AAAAABea83U=")</f>
        <v>#REF!</v>
      </c>
      <c r="DO5" t="e">
        <f>AND(Master!#REF!,"AAAAABea83Y=")</f>
        <v>#REF!</v>
      </c>
      <c r="DP5" t="e">
        <f>AND(Master!#REF!,"AAAAABea83c=")</f>
        <v>#REF!</v>
      </c>
      <c r="DQ5" t="e">
        <f>AND(Master!#REF!,"AAAAABea83g=")</f>
        <v>#REF!</v>
      </c>
      <c r="DR5" t="e">
        <f>AND(Master!#REF!,"AAAAABea83k=")</f>
        <v>#REF!</v>
      </c>
      <c r="DS5" t="e">
        <f>AND(Master!#REF!,"AAAAABea83o=")</f>
        <v>#REF!</v>
      </c>
      <c r="DT5" t="e">
        <f>AND(Master!#REF!,"AAAAABea83s=")</f>
        <v>#REF!</v>
      </c>
      <c r="DU5" t="e">
        <f>AND(Master!#REF!,"AAAAABea83w=")</f>
        <v>#REF!</v>
      </c>
      <c r="DV5" t="e">
        <f>AND(Master!#REF!,"AAAAABea830=")</f>
        <v>#REF!</v>
      </c>
      <c r="DW5" t="e">
        <f>AND(Master!#REF!,"AAAAABea834=")</f>
        <v>#REF!</v>
      </c>
      <c r="DX5" t="e">
        <f>AND(Master!#REF!,"AAAAABea838=")</f>
        <v>#REF!</v>
      </c>
      <c r="DY5">
        <f>IF(Master!15:15,"AAAAABea84A=",0)</f>
        <v>0</v>
      </c>
      <c r="DZ5" t="e">
        <f>AND(Master!C15,"AAAAABea84E=")</f>
        <v>#VALUE!</v>
      </c>
      <c r="EA5" t="e">
        <f>AND(Master!D15,"AAAAABea84I=")</f>
        <v>#VALUE!</v>
      </c>
      <c r="EB5" t="e">
        <f>AND(Master!F15,"AAAAABea84M=")</f>
        <v>#VALUE!</v>
      </c>
      <c r="EC5" t="e">
        <f>AND(Master!H15,"AAAAABea84Q=")</f>
        <v>#VALUE!</v>
      </c>
      <c r="ED5" t="e">
        <f>AND(Master!J15,"AAAAABea84U=")</f>
        <v>#VALUE!</v>
      </c>
      <c r="EE5" t="e">
        <f>AND(Master!K15,"AAAAABea84Y=")</f>
        <v>#VALUE!</v>
      </c>
      <c r="EF5" t="e">
        <f>AND(Master!L15,"AAAAABea84c=")</f>
        <v>#VALUE!</v>
      </c>
      <c r="EG5" t="e">
        <f>AND(Master!M15,"AAAAABea84g=")</f>
        <v>#VALUE!</v>
      </c>
      <c r="EH5" t="e">
        <f>AND(Master!N15,"AAAAABea84k=")</f>
        <v>#VALUE!</v>
      </c>
      <c r="EI5" t="e">
        <f>AND(Master!O15,"AAAAABea84o=")</f>
        <v>#VALUE!</v>
      </c>
      <c r="EJ5" t="e">
        <f>AND(Master!P15,"AAAAABea84s=")</f>
        <v>#VALUE!</v>
      </c>
      <c r="EK5" t="e">
        <f>AND(Master!Q15,"AAAAABea84w=")</f>
        <v>#VALUE!</v>
      </c>
      <c r="EL5" t="e">
        <f>AND(Master!R15,"AAAAABea840=")</f>
        <v>#VALUE!</v>
      </c>
      <c r="EM5" t="e">
        <f>AND(Master!S15,"AAAAABea844=")</f>
        <v>#VALUE!</v>
      </c>
      <c r="EN5" t="e">
        <f>AND(Master!T15,"AAAAABea848=")</f>
        <v>#VALUE!</v>
      </c>
      <c r="EO5" t="e">
        <f>AND(Master!U15,"AAAAABea85A=")</f>
        <v>#VALUE!</v>
      </c>
      <c r="EP5" t="e">
        <f>AND(Master!V15,"AAAAABea85E=")</f>
        <v>#VALUE!</v>
      </c>
      <c r="EQ5" t="e">
        <f>AND(Master!W15,"AAAAABea85I=")</f>
        <v>#VALUE!</v>
      </c>
      <c r="ER5" t="e">
        <f>AND(Master!X15,"AAAAABea85M=")</f>
        <v>#VALUE!</v>
      </c>
      <c r="ES5" t="e">
        <f>AND(Master!Y15,"AAAAABea85Q=")</f>
        <v>#VALUE!</v>
      </c>
      <c r="ET5" t="e">
        <f>AND(Master!Z15,"AAAAABea85U=")</f>
        <v>#VALUE!</v>
      </c>
      <c r="EU5" t="e">
        <f>AND(Master!AA15,"AAAAABea85Y=")</f>
        <v>#VALUE!</v>
      </c>
      <c r="EV5" t="e">
        <f>AND(Master!AB15,"AAAAABea85c=")</f>
        <v>#VALUE!</v>
      </c>
      <c r="EW5" t="e">
        <f>IF(Master!#REF!,"AAAAABea85g=",0)</f>
        <v>#REF!</v>
      </c>
      <c r="EX5" t="e">
        <f>AND(Master!#REF!,"AAAAABea85k=")</f>
        <v>#REF!</v>
      </c>
      <c r="EY5" t="e">
        <f>AND(Master!#REF!,"AAAAABea85o=")</f>
        <v>#REF!</v>
      </c>
      <c r="EZ5" t="e">
        <f>AND(Master!#REF!,"AAAAABea85s=")</f>
        <v>#REF!</v>
      </c>
      <c r="FA5" t="e">
        <f>AND(Master!#REF!,"AAAAABea85w=")</f>
        <v>#REF!</v>
      </c>
      <c r="FB5" t="e">
        <f>AND(Master!#REF!,"AAAAABea850=")</f>
        <v>#REF!</v>
      </c>
      <c r="FC5" t="e">
        <f>AND(Master!#REF!,"AAAAABea854=")</f>
        <v>#REF!</v>
      </c>
      <c r="FD5" t="e">
        <f>AND(Master!#REF!,"AAAAABea858=")</f>
        <v>#REF!</v>
      </c>
      <c r="FE5" t="e">
        <f>AND(Master!#REF!,"AAAAABea86A=")</f>
        <v>#REF!</v>
      </c>
      <c r="FF5" t="e">
        <f>AND(Master!#REF!,"AAAAABea86E=")</f>
        <v>#REF!</v>
      </c>
      <c r="FG5" t="e">
        <f>AND(Master!#REF!,"AAAAABea86I=")</f>
        <v>#REF!</v>
      </c>
      <c r="FH5" t="e">
        <f>AND(Master!#REF!,"AAAAABea86M=")</f>
        <v>#REF!</v>
      </c>
      <c r="FI5" t="e">
        <f>AND(Master!#REF!,"AAAAABea86Q=")</f>
        <v>#REF!</v>
      </c>
      <c r="FJ5" t="e">
        <f>AND(Master!#REF!,"AAAAABea86U=")</f>
        <v>#REF!</v>
      </c>
      <c r="FK5" t="e">
        <f>AND(Master!#REF!,"AAAAABea86Y=")</f>
        <v>#REF!</v>
      </c>
      <c r="FL5" t="e">
        <f>AND(Master!#REF!,"AAAAABea86c=")</f>
        <v>#REF!</v>
      </c>
      <c r="FM5" t="e">
        <f>AND(Master!#REF!,"AAAAABea86g=")</f>
        <v>#REF!</v>
      </c>
      <c r="FN5" t="e">
        <f>AND(Master!#REF!,"AAAAABea86k=")</f>
        <v>#REF!</v>
      </c>
      <c r="FO5" t="e">
        <f>AND(Master!#REF!,"AAAAABea86o=")</f>
        <v>#REF!</v>
      </c>
      <c r="FP5" t="e">
        <f>AND(Master!#REF!,"AAAAABea86s=")</f>
        <v>#REF!</v>
      </c>
      <c r="FQ5" t="e">
        <f>AND(Master!#REF!,"AAAAABea86w=")</f>
        <v>#REF!</v>
      </c>
      <c r="FR5" t="e">
        <f>AND(Master!#REF!,"AAAAABea860=")</f>
        <v>#REF!</v>
      </c>
      <c r="FS5" t="e">
        <f>AND(Master!#REF!,"AAAAABea864=")</f>
        <v>#REF!</v>
      </c>
      <c r="FT5" t="e">
        <f>AND(Master!#REF!,"AAAAABea868=")</f>
        <v>#REF!</v>
      </c>
      <c r="FU5">
        <f>IF(Master!16:16,"AAAAABea87A=",0)</f>
        <v>0</v>
      </c>
      <c r="FV5" t="e">
        <f>AND(Master!C16,"AAAAABea87E=")</f>
        <v>#VALUE!</v>
      </c>
      <c r="FW5" t="e">
        <f>AND(Master!D16,"AAAAABea87I=")</f>
        <v>#VALUE!</v>
      </c>
      <c r="FX5" t="e">
        <f>AND(Master!F16,"AAAAABea87M=")</f>
        <v>#VALUE!</v>
      </c>
      <c r="FY5" t="e">
        <f>AND(Master!H16,"AAAAABea87Q=")</f>
        <v>#VALUE!</v>
      </c>
      <c r="FZ5" t="e">
        <f>AND(Master!J16,"AAAAABea87U=")</f>
        <v>#VALUE!</v>
      </c>
      <c r="GA5" t="e">
        <f>AND(Master!K16,"AAAAABea87Y=")</f>
        <v>#VALUE!</v>
      </c>
      <c r="GB5" t="e">
        <f>AND(Master!L16,"AAAAABea87c=")</f>
        <v>#VALUE!</v>
      </c>
      <c r="GC5" t="e">
        <f>AND(Master!M16,"AAAAABea87g=")</f>
        <v>#VALUE!</v>
      </c>
      <c r="GD5" t="e">
        <f>AND(Master!N16,"AAAAABea87k=")</f>
        <v>#VALUE!</v>
      </c>
      <c r="GE5" t="e">
        <f>AND(Master!O16,"AAAAABea87o=")</f>
        <v>#VALUE!</v>
      </c>
      <c r="GF5" t="e">
        <f>AND(Master!P16,"AAAAABea87s=")</f>
        <v>#VALUE!</v>
      </c>
      <c r="GG5" t="e">
        <f>AND(Master!Q16,"AAAAABea87w=")</f>
        <v>#VALUE!</v>
      </c>
      <c r="GH5" t="e">
        <f>AND(Master!R16,"AAAAABea870=")</f>
        <v>#VALUE!</v>
      </c>
      <c r="GI5" t="e">
        <f>AND(Master!S16,"AAAAABea874=")</f>
        <v>#VALUE!</v>
      </c>
      <c r="GJ5" t="e">
        <f>AND(Master!T16,"AAAAABea878=")</f>
        <v>#VALUE!</v>
      </c>
      <c r="GK5" t="e">
        <f>AND(Master!U16,"AAAAABea88A=")</f>
        <v>#VALUE!</v>
      </c>
      <c r="GL5" t="e">
        <f>AND(Master!V16,"AAAAABea88E=")</f>
        <v>#VALUE!</v>
      </c>
      <c r="GM5" t="e">
        <f>AND(Master!W16,"AAAAABea88I=")</f>
        <v>#VALUE!</v>
      </c>
      <c r="GN5" t="e">
        <f>AND(Master!X16,"AAAAABea88M=")</f>
        <v>#VALUE!</v>
      </c>
      <c r="GO5" t="e">
        <f>AND(Master!Y16,"AAAAABea88Q=")</f>
        <v>#VALUE!</v>
      </c>
      <c r="GP5" t="e">
        <f>AND(Master!Z16,"AAAAABea88U=")</f>
        <v>#VALUE!</v>
      </c>
      <c r="GQ5" t="e">
        <f>AND(Master!AA16,"AAAAABea88Y=")</f>
        <v>#VALUE!</v>
      </c>
      <c r="GR5" t="e">
        <f>AND(Master!AB16,"AAAAABea88c=")</f>
        <v>#VALUE!</v>
      </c>
      <c r="GS5">
        <f>IF(Master!17:17,"AAAAABea88g=",0)</f>
        <v>0</v>
      </c>
      <c r="GT5" t="e">
        <f>AND(Master!C17,"AAAAABea88k=")</f>
        <v>#VALUE!</v>
      </c>
      <c r="GU5" t="e">
        <f>AND(Master!D17,"AAAAABea88o=")</f>
        <v>#VALUE!</v>
      </c>
      <c r="GV5" t="e">
        <f>AND(Master!F17,"AAAAABea88s=")</f>
        <v>#VALUE!</v>
      </c>
      <c r="GW5" t="e">
        <f>AND(Master!H17,"AAAAABea88w=")</f>
        <v>#VALUE!</v>
      </c>
      <c r="GX5" t="e">
        <f>AND(Master!J17,"AAAAABea880=")</f>
        <v>#VALUE!</v>
      </c>
      <c r="GY5" t="e">
        <f>AND(Master!K17,"AAAAABea884=")</f>
        <v>#VALUE!</v>
      </c>
      <c r="GZ5" t="e">
        <f>AND(Master!L17,"AAAAABea888=")</f>
        <v>#VALUE!</v>
      </c>
      <c r="HA5" t="e">
        <f>AND(Master!M17,"AAAAABea89A=")</f>
        <v>#VALUE!</v>
      </c>
      <c r="HB5" t="e">
        <f>AND(Master!N17,"AAAAABea89E=")</f>
        <v>#VALUE!</v>
      </c>
      <c r="HC5" t="e">
        <f>AND(Master!O17,"AAAAABea89I=")</f>
        <v>#VALUE!</v>
      </c>
      <c r="HD5" t="e">
        <f>AND(Master!P17,"AAAAABea89M=")</f>
        <v>#VALUE!</v>
      </c>
      <c r="HE5" t="e">
        <f>AND(Master!Q17,"AAAAABea89Q=")</f>
        <v>#VALUE!</v>
      </c>
      <c r="HF5" t="e">
        <f>AND(Master!R17,"AAAAABea89U=")</f>
        <v>#VALUE!</v>
      </c>
      <c r="HG5" t="e">
        <f>AND(Master!S17,"AAAAABea89Y=")</f>
        <v>#VALUE!</v>
      </c>
      <c r="HH5" t="e">
        <f>AND(Master!T17,"AAAAABea89c=")</f>
        <v>#VALUE!</v>
      </c>
      <c r="HI5" t="e">
        <f>AND(Master!U17,"AAAAABea89g=")</f>
        <v>#VALUE!</v>
      </c>
      <c r="HJ5" t="e">
        <f>AND(Master!V17,"AAAAABea89k=")</f>
        <v>#VALUE!</v>
      </c>
      <c r="HK5" t="e">
        <f>AND(Master!W17,"AAAAABea89o=")</f>
        <v>#VALUE!</v>
      </c>
      <c r="HL5" t="e">
        <f>AND(Master!X17,"AAAAABea89s=")</f>
        <v>#VALUE!</v>
      </c>
      <c r="HM5" t="e">
        <f>AND(Master!Y17,"AAAAABea89w=")</f>
        <v>#VALUE!</v>
      </c>
      <c r="HN5" t="e">
        <f>AND(Master!Z17,"AAAAABea890=")</f>
        <v>#VALUE!</v>
      </c>
      <c r="HO5" t="e">
        <f>AND(Master!AA17,"AAAAABea894=")</f>
        <v>#VALUE!</v>
      </c>
      <c r="HP5" t="e">
        <f>AND(Master!AB17,"AAAAABea898=")</f>
        <v>#VALUE!</v>
      </c>
      <c r="HQ5" t="e">
        <f>IF(Master!#REF!,"AAAAABea8+A=",0)</f>
        <v>#REF!</v>
      </c>
      <c r="HR5" t="e">
        <f>AND(Master!#REF!,"AAAAABea8+E=")</f>
        <v>#REF!</v>
      </c>
      <c r="HS5" t="e">
        <f>AND(Master!#REF!,"AAAAABea8+I=")</f>
        <v>#REF!</v>
      </c>
      <c r="HT5" t="e">
        <f>AND(Master!#REF!,"AAAAABea8+M=")</f>
        <v>#REF!</v>
      </c>
      <c r="HU5" t="e">
        <f>AND(Master!#REF!,"AAAAABea8+Q=")</f>
        <v>#REF!</v>
      </c>
      <c r="HV5" t="e">
        <f>AND(Master!#REF!,"AAAAABea8+U=")</f>
        <v>#REF!</v>
      </c>
      <c r="HW5" t="e">
        <f>AND(Master!#REF!,"AAAAABea8+Y=")</f>
        <v>#REF!</v>
      </c>
      <c r="HX5" t="e">
        <f>AND(Master!#REF!,"AAAAABea8+c=")</f>
        <v>#REF!</v>
      </c>
      <c r="HY5" t="e">
        <f>AND(Master!#REF!,"AAAAABea8+g=")</f>
        <v>#REF!</v>
      </c>
      <c r="HZ5" t="e">
        <f>AND(Master!#REF!,"AAAAABea8+k=")</f>
        <v>#REF!</v>
      </c>
      <c r="IA5" t="e">
        <f>AND(Master!#REF!,"AAAAABea8+o=")</f>
        <v>#REF!</v>
      </c>
      <c r="IB5" t="e">
        <f>AND(Master!#REF!,"AAAAABea8+s=")</f>
        <v>#REF!</v>
      </c>
      <c r="IC5" t="e">
        <f>AND(Master!#REF!,"AAAAABea8+w=")</f>
        <v>#REF!</v>
      </c>
      <c r="ID5" t="e">
        <f>AND(Master!#REF!,"AAAAABea8+0=")</f>
        <v>#REF!</v>
      </c>
      <c r="IE5" t="e">
        <f>AND(Master!#REF!,"AAAAABea8+4=")</f>
        <v>#REF!</v>
      </c>
      <c r="IF5" t="e">
        <f>AND(Master!#REF!,"AAAAABea8+8=")</f>
        <v>#REF!</v>
      </c>
      <c r="IG5" t="e">
        <f>AND(Master!#REF!,"AAAAABea8/A=")</f>
        <v>#REF!</v>
      </c>
      <c r="IH5" t="e">
        <f>AND(Master!#REF!,"AAAAABea8/E=")</f>
        <v>#REF!</v>
      </c>
      <c r="II5" t="e">
        <f>AND(Master!#REF!,"AAAAABea8/I=")</f>
        <v>#REF!</v>
      </c>
      <c r="IJ5" t="e">
        <f>AND(Master!#REF!,"AAAAABea8/M=")</f>
        <v>#REF!</v>
      </c>
      <c r="IK5" t="e">
        <f>AND(Master!#REF!,"AAAAABea8/Q=")</f>
        <v>#REF!</v>
      </c>
      <c r="IL5" t="e">
        <f>AND(Master!#REF!,"AAAAABea8/U=")</f>
        <v>#REF!</v>
      </c>
      <c r="IM5" t="e">
        <f>AND(Master!#REF!,"AAAAABea8/Y=")</f>
        <v>#REF!</v>
      </c>
      <c r="IN5" t="e">
        <f>AND(Master!#REF!,"AAAAABea8/c=")</f>
        <v>#REF!</v>
      </c>
      <c r="IO5" t="e">
        <f>IF(Master!#REF!,"AAAAABea8/g=",0)</f>
        <v>#REF!</v>
      </c>
      <c r="IP5" t="e">
        <f>AND(Master!#REF!,"AAAAABea8/k=")</f>
        <v>#REF!</v>
      </c>
      <c r="IQ5" t="e">
        <f>AND(Master!#REF!,"AAAAABea8/o=")</f>
        <v>#REF!</v>
      </c>
      <c r="IR5" t="e">
        <f>AND(Master!#REF!,"AAAAABea8/s=")</f>
        <v>#REF!</v>
      </c>
      <c r="IS5" t="e">
        <f>AND(Master!#REF!,"AAAAABea8/w=")</f>
        <v>#REF!</v>
      </c>
      <c r="IT5" t="e">
        <f>AND(Master!#REF!,"AAAAABea8/0=")</f>
        <v>#REF!</v>
      </c>
      <c r="IU5" t="e">
        <f>AND(Master!#REF!,"AAAAABea8/4=")</f>
        <v>#REF!</v>
      </c>
      <c r="IV5" t="e">
        <f>AND(Master!#REF!,"AAAAABea8/8=")</f>
        <v>#REF!</v>
      </c>
    </row>
    <row r="6" spans="1:256">
      <c r="A6" t="e">
        <f>AND(Master!#REF!,"AAAAADvv3gA=")</f>
        <v>#REF!</v>
      </c>
      <c r="B6" t="e">
        <f>AND(Master!#REF!,"AAAAADvv3gE=")</f>
        <v>#REF!</v>
      </c>
      <c r="C6" t="e">
        <f>AND(Master!#REF!,"AAAAADvv3gI=")</f>
        <v>#REF!</v>
      </c>
      <c r="D6" t="e">
        <f>AND(Master!#REF!,"AAAAADvv3gM=")</f>
        <v>#REF!</v>
      </c>
      <c r="E6" t="e">
        <f>AND(Master!#REF!,"AAAAADvv3gQ=")</f>
        <v>#REF!</v>
      </c>
      <c r="F6" t="e">
        <f>AND(Master!#REF!,"AAAAADvv3gU=")</f>
        <v>#REF!</v>
      </c>
      <c r="G6" t="e">
        <f>AND(Master!#REF!,"AAAAADvv3gY=")</f>
        <v>#REF!</v>
      </c>
      <c r="H6" t="e">
        <f>AND(Master!#REF!,"AAAAADvv3gc=")</f>
        <v>#REF!</v>
      </c>
      <c r="I6" t="e">
        <f>AND(Master!#REF!,"AAAAADvv3gg=")</f>
        <v>#REF!</v>
      </c>
      <c r="J6" t="e">
        <f>AND(Master!#REF!,"AAAAADvv3gk=")</f>
        <v>#REF!</v>
      </c>
      <c r="K6" t="e">
        <f>AND(Master!#REF!,"AAAAADvv3go=")</f>
        <v>#REF!</v>
      </c>
      <c r="L6" t="e">
        <f>AND(Master!#REF!,"AAAAADvv3gs=")</f>
        <v>#REF!</v>
      </c>
      <c r="M6" t="e">
        <f>AND(Master!#REF!,"AAAAADvv3gw=")</f>
        <v>#REF!</v>
      </c>
      <c r="N6" t="e">
        <f>AND(Master!#REF!,"AAAAADvv3g0=")</f>
        <v>#REF!</v>
      </c>
      <c r="O6" t="e">
        <f>AND(Master!#REF!,"AAAAADvv3g4=")</f>
        <v>#REF!</v>
      </c>
      <c r="P6" t="e">
        <f>AND(Master!#REF!,"AAAAADvv3g8=")</f>
        <v>#REF!</v>
      </c>
      <c r="Q6" t="e">
        <f>IF(Master!#REF!,"AAAAADvv3hA=",0)</f>
        <v>#REF!</v>
      </c>
      <c r="R6" t="e">
        <f>AND(Master!#REF!,"AAAAADvv3hE=")</f>
        <v>#REF!</v>
      </c>
      <c r="S6" t="e">
        <f>AND(Master!#REF!,"AAAAADvv3hI=")</f>
        <v>#REF!</v>
      </c>
      <c r="T6" t="e">
        <f>AND(Master!#REF!,"AAAAADvv3hM=")</f>
        <v>#REF!</v>
      </c>
      <c r="U6" t="e">
        <f>AND(Master!#REF!,"AAAAADvv3hQ=")</f>
        <v>#REF!</v>
      </c>
      <c r="V6" t="e">
        <f>AND(Master!#REF!,"AAAAADvv3hU=")</f>
        <v>#REF!</v>
      </c>
      <c r="W6" t="e">
        <f>AND(Master!#REF!,"AAAAADvv3hY=")</f>
        <v>#REF!</v>
      </c>
      <c r="X6" t="e">
        <f>AND(Master!#REF!,"AAAAADvv3hc=")</f>
        <v>#REF!</v>
      </c>
      <c r="Y6" t="e">
        <f>AND(Master!#REF!,"AAAAADvv3hg=")</f>
        <v>#REF!</v>
      </c>
      <c r="Z6" t="e">
        <f>AND(Master!#REF!,"AAAAADvv3hk=")</f>
        <v>#REF!</v>
      </c>
      <c r="AA6" t="e">
        <f>AND(Master!#REF!,"AAAAADvv3ho=")</f>
        <v>#REF!</v>
      </c>
      <c r="AB6" t="e">
        <f>AND(Master!#REF!,"AAAAADvv3hs=")</f>
        <v>#REF!</v>
      </c>
      <c r="AC6" t="e">
        <f>AND(Master!#REF!,"AAAAADvv3hw=")</f>
        <v>#REF!</v>
      </c>
      <c r="AD6" t="e">
        <f>AND(Master!#REF!,"AAAAADvv3h0=")</f>
        <v>#REF!</v>
      </c>
      <c r="AE6" t="e">
        <f>AND(Master!#REF!,"AAAAADvv3h4=")</f>
        <v>#REF!</v>
      </c>
      <c r="AF6" t="e">
        <f>AND(Master!#REF!,"AAAAADvv3h8=")</f>
        <v>#REF!</v>
      </c>
      <c r="AG6" t="e">
        <f>AND(Master!#REF!,"AAAAADvv3iA=")</f>
        <v>#REF!</v>
      </c>
      <c r="AH6" t="e">
        <f>AND(Master!#REF!,"AAAAADvv3iE=")</f>
        <v>#REF!</v>
      </c>
      <c r="AI6" t="e">
        <f>AND(Master!#REF!,"AAAAADvv3iI=")</f>
        <v>#REF!</v>
      </c>
      <c r="AJ6" t="e">
        <f>AND(Master!#REF!,"AAAAADvv3iM=")</f>
        <v>#REF!</v>
      </c>
      <c r="AK6" t="e">
        <f>AND(Master!#REF!,"AAAAADvv3iQ=")</f>
        <v>#REF!</v>
      </c>
      <c r="AL6" t="e">
        <f>AND(Master!#REF!,"AAAAADvv3iU=")</f>
        <v>#REF!</v>
      </c>
      <c r="AM6" t="e">
        <f>AND(Master!#REF!,"AAAAADvv3iY=")</f>
        <v>#REF!</v>
      </c>
      <c r="AN6" t="e">
        <f>AND(Master!#REF!,"AAAAADvv3ic=")</f>
        <v>#REF!</v>
      </c>
      <c r="AO6">
        <f>IF(Master!18:18,"AAAAADvv3ig=",0)</f>
        <v>0</v>
      </c>
      <c r="AP6" t="e">
        <f>AND(Master!C18,"AAAAADvv3ik=")</f>
        <v>#VALUE!</v>
      </c>
      <c r="AQ6" t="e">
        <f>AND(Master!D18,"AAAAADvv3io=")</f>
        <v>#VALUE!</v>
      </c>
      <c r="AR6" t="e">
        <f>AND(Master!F18,"AAAAADvv3is=")</f>
        <v>#VALUE!</v>
      </c>
      <c r="AS6" t="e">
        <f>AND(Master!H18,"AAAAADvv3iw=")</f>
        <v>#VALUE!</v>
      </c>
      <c r="AT6" t="e">
        <f>AND(Master!J18,"AAAAADvv3i0=")</f>
        <v>#VALUE!</v>
      </c>
      <c r="AU6" t="e">
        <f>AND(Master!K18,"AAAAADvv3i4=")</f>
        <v>#VALUE!</v>
      </c>
      <c r="AV6" t="e">
        <f>AND(Master!L18,"AAAAADvv3i8=")</f>
        <v>#VALUE!</v>
      </c>
      <c r="AW6" t="e">
        <f>AND(Master!M18,"AAAAADvv3jA=")</f>
        <v>#VALUE!</v>
      </c>
      <c r="AX6" t="e">
        <f>AND(Master!N18,"AAAAADvv3jE=")</f>
        <v>#VALUE!</v>
      </c>
      <c r="AY6" t="e">
        <f>AND(Master!O18,"AAAAADvv3jI=")</f>
        <v>#VALUE!</v>
      </c>
      <c r="AZ6" t="e">
        <f>AND(Master!P18,"AAAAADvv3jM=")</f>
        <v>#VALUE!</v>
      </c>
      <c r="BA6" t="e">
        <f>AND(Master!Q18,"AAAAADvv3jQ=")</f>
        <v>#VALUE!</v>
      </c>
      <c r="BB6" t="e">
        <f>AND(Master!R18,"AAAAADvv3jU=")</f>
        <v>#VALUE!</v>
      </c>
      <c r="BC6" t="e">
        <f>AND(Master!S18,"AAAAADvv3jY=")</f>
        <v>#VALUE!</v>
      </c>
      <c r="BD6" t="e">
        <f>AND(Master!T18,"AAAAADvv3jc=")</f>
        <v>#VALUE!</v>
      </c>
      <c r="BE6" t="e">
        <f>AND(Master!U18,"AAAAADvv3jg=")</f>
        <v>#VALUE!</v>
      </c>
      <c r="BF6" t="e">
        <f>AND(Master!V18,"AAAAADvv3jk=")</f>
        <v>#VALUE!</v>
      </c>
      <c r="BG6" t="e">
        <f>AND(Master!W18,"AAAAADvv3jo=")</f>
        <v>#VALUE!</v>
      </c>
      <c r="BH6" t="e">
        <f>AND(Master!X18,"AAAAADvv3js=")</f>
        <v>#VALUE!</v>
      </c>
      <c r="BI6" t="e">
        <f>AND(Master!Y18,"AAAAADvv3jw=")</f>
        <v>#VALUE!</v>
      </c>
      <c r="BJ6" t="e">
        <f>AND(Master!Z18,"AAAAADvv3j0=")</f>
        <v>#VALUE!</v>
      </c>
      <c r="BK6" t="e">
        <f>AND(Master!AA18,"AAAAADvv3j4=")</f>
        <v>#VALUE!</v>
      </c>
      <c r="BL6" t="e">
        <f>AND(Master!AB18,"AAAAADvv3j8=")</f>
        <v>#VALUE!</v>
      </c>
      <c r="BM6" t="e">
        <f>IF(Master!#REF!,"AAAAADvv3kA=",0)</f>
        <v>#REF!</v>
      </c>
      <c r="BN6" t="e">
        <f>AND(Master!#REF!,"AAAAADvv3kE=")</f>
        <v>#REF!</v>
      </c>
      <c r="BO6" t="e">
        <f>AND(Master!#REF!,"AAAAADvv3kI=")</f>
        <v>#REF!</v>
      </c>
      <c r="BP6" t="e">
        <f>AND(Master!#REF!,"AAAAADvv3kM=")</f>
        <v>#REF!</v>
      </c>
      <c r="BQ6" t="e">
        <f>AND(Master!#REF!,"AAAAADvv3kQ=")</f>
        <v>#REF!</v>
      </c>
      <c r="BR6" t="e">
        <f>AND(Master!#REF!,"AAAAADvv3kU=")</f>
        <v>#REF!</v>
      </c>
      <c r="BS6" t="e">
        <f>AND(Master!#REF!,"AAAAADvv3kY=")</f>
        <v>#REF!</v>
      </c>
      <c r="BT6" t="e">
        <f>AND(Master!#REF!,"AAAAADvv3kc=")</f>
        <v>#REF!</v>
      </c>
      <c r="BU6" t="e">
        <f>AND(Master!#REF!,"AAAAADvv3kg=")</f>
        <v>#REF!</v>
      </c>
      <c r="BV6" t="e">
        <f>AND(Master!#REF!,"AAAAADvv3kk=")</f>
        <v>#REF!</v>
      </c>
      <c r="BW6" t="e">
        <f>AND(Master!#REF!,"AAAAADvv3ko=")</f>
        <v>#REF!</v>
      </c>
      <c r="BX6" t="e">
        <f>AND(Master!#REF!,"AAAAADvv3ks=")</f>
        <v>#REF!</v>
      </c>
      <c r="BY6" t="e">
        <f>AND(Master!#REF!,"AAAAADvv3kw=")</f>
        <v>#REF!</v>
      </c>
      <c r="BZ6" t="e">
        <f>AND(Master!#REF!,"AAAAADvv3k0=")</f>
        <v>#REF!</v>
      </c>
      <c r="CA6" t="e">
        <f>AND(Master!#REF!,"AAAAADvv3k4=")</f>
        <v>#REF!</v>
      </c>
      <c r="CB6" t="e">
        <f>AND(Master!#REF!,"AAAAADvv3k8=")</f>
        <v>#REF!</v>
      </c>
      <c r="CC6" t="e">
        <f>AND(Master!#REF!,"AAAAADvv3lA=")</f>
        <v>#REF!</v>
      </c>
      <c r="CD6" t="e">
        <f>AND(Master!#REF!,"AAAAADvv3lE=")</f>
        <v>#REF!</v>
      </c>
      <c r="CE6" t="e">
        <f>AND(Master!#REF!,"AAAAADvv3lI=")</f>
        <v>#REF!</v>
      </c>
      <c r="CF6" t="e">
        <f>AND(Master!#REF!,"AAAAADvv3lM=")</f>
        <v>#REF!</v>
      </c>
      <c r="CG6" t="e">
        <f>AND(Master!#REF!,"AAAAADvv3lQ=")</f>
        <v>#REF!</v>
      </c>
      <c r="CH6" t="e">
        <f>AND(Master!#REF!,"AAAAADvv3lU=")</f>
        <v>#REF!</v>
      </c>
      <c r="CI6" t="e">
        <f>AND(Master!#REF!,"AAAAADvv3lY=")</f>
        <v>#REF!</v>
      </c>
      <c r="CJ6" t="e">
        <f>AND(Master!#REF!,"AAAAADvv3lc=")</f>
        <v>#REF!</v>
      </c>
      <c r="CK6">
        <f>IF(Master!19:19,"AAAAADvv3lg=",0)</f>
        <v>0</v>
      </c>
      <c r="CL6" t="e">
        <f>AND(Master!C19,"AAAAADvv3lk=")</f>
        <v>#VALUE!</v>
      </c>
      <c r="CM6" t="e">
        <f>AND(Master!D19,"AAAAADvv3lo=")</f>
        <v>#VALUE!</v>
      </c>
      <c r="CN6" t="e">
        <f>AND(Master!F19,"AAAAADvv3ls=")</f>
        <v>#VALUE!</v>
      </c>
      <c r="CO6" t="e">
        <f>AND(Master!H19,"AAAAADvv3lw=")</f>
        <v>#VALUE!</v>
      </c>
      <c r="CP6" t="e">
        <f>AND(Master!J19,"AAAAADvv3l0=")</f>
        <v>#VALUE!</v>
      </c>
      <c r="CQ6" t="e">
        <f>AND(Master!K19,"AAAAADvv3l4=")</f>
        <v>#VALUE!</v>
      </c>
      <c r="CR6" t="e">
        <f>AND(Master!L19,"AAAAADvv3l8=")</f>
        <v>#VALUE!</v>
      </c>
      <c r="CS6" t="e">
        <f>AND(Master!M19,"AAAAADvv3mA=")</f>
        <v>#VALUE!</v>
      </c>
      <c r="CT6" t="e">
        <f>AND(Master!N19,"AAAAADvv3mE=")</f>
        <v>#VALUE!</v>
      </c>
      <c r="CU6" t="e">
        <f>AND(Master!O19,"AAAAADvv3mI=")</f>
        <v>#VALUE!</v>
      </c>
      <c r="CV6" t="e">
        <f>AND(Master!P19,"AAAAADvv3mM=")</f>
        <v>#VALUE!</v>
      </c>
      <c r="CW6" t="e">
        <f>AND(Master!Q19,"AAAAADvv3mQ=")</f>
        <v>#VALUE!</v>
      </c>
      <c r="CX6" t="e">
        <f>AND(Master!R19,"AAAAADvv3mU=")</f>
        <v>#VALUE!</v>
      </c>
      <c r="CY6" t="e">
        <f>AND(Master!S19,"AAAAADvv3mY=")</f>
        <v>#VALUE!</v>
      </c>
      <c r="CZ6" t="e">
        <f>AND(Master!T19,"AAAAADvv3mc=")</f>
        <v>#VALUE!</v>
      </c>
      <c r="DA6" t="e">
        <f>AND(Master!U19,"AAAAADvv3mg=")</f>
        <v>#VALUE!</v>
      </c>
      <c r="DB6" t="e">
        <f>AND(Master!V19,"AAAAADvv3mk=")</f>
        <v>#VALUE!</v>
      </c>
      <c r="DC6" t="e">
        <f>AND(Master!W19,"AAAAADvv3mo=")</f>
        <v>#VALUE!</v>
      </c>
      <c r="DD6" t="e">
        <f>AND(Master!X19,"AAAAADvv3ms=")</f>
        <v>#VALUE!</v>
      </c>
      <c r="DE6" t="e">
        <f>AND(Master!Y19,"AAAAADvv3mw=")</f>
        <v>#VALUE!</v>
      </c>
      <c r="DF6" t="e">
        <f>AND(Master!Z19,"AAAAADvv3m0=")</f>
        <v>#VALUE!</v>
      </c>
      <c r="DG6" t="e">
        <f>AND(Master!AA19,"AAAAADvv3m4=")</f>
        <v>#VALUE!</v>
      </c>
      <c r="DH6" t="e">
        <f>AND(Master!AB19,"AAAAADvv3m8=")</f>
        <v>#VALUE!</v>
      </c>
      <c r="DI6">
        <f>IF(Master!20:20,"AAAAADvv3nA=",0)</f>
        <v>0</v>
      </c>
      <c r="DJ6" t="e">
        <f>AND(Master!C20,"AAAAADvv3nE=")</f>
        <v>#VALUE!</v>
      </c>
      <c r="DK6" t="e">
        <f>AND(Master!D20,"AAAAADvv3nI=")</f>
        <v>#VALUE!</v>
      </c>
      <c r="DL6" t="e">
        <f>AND(Master!F20,"AAAAADvv3nM=")</f>
        <v>#VALUE!</v>
      </c>
      <c r="DM6" t="e">
        <f>AND(Master!H20,"AAAAADvv3nQ=")</f>
        <v>#VALUE!</v>
      </c>
      <c r="DN6" t="e">
        <f>AND(Master!J20,"AAAAADvv3nU=")</f>
        <v>#VALUE!</v>
      </c>
      <c r="DO6" t="e">
        <f>AND(Master!K20,"AAAAADvv3nY=")</f>
        <v>#VALUE!</v>
      </c>
      <c r="DP6" t="e">
        <f>AND(Master!L20,"AAAAADvv3nc=")</f>
        <v>#VALUE!</v>
      </c>
      <c r="DQ6" t="e">
        <f>AND(Master!M20,"AAAAADvv3ng=")</f>
        <v>#VALUE!</v>
      </c>
      <c r="DR6" t="e">
        <f>AND(Master!N20,"AAAAADvv3nk=")</f>
        <v>#VALUE!</v>
      </c>
      <c r="DS6" t="e">
        <f>AND(Master!O20,"AAAAADvv3no=")</f>
        <v>#VALUE!</v>
      </c>
      <c r="DT6" t="e">
        <f>AND(Master!P20,"AAAAADvv3ns=")</f>
        <v>#VALUE!</v>
      </c>
      <c r="DU6" t="e">
        <f>AND(Master!Q20,"AAAAADvv3nw=")</f>
        <v>#VALUE!</v>
      </c>
      <c r="DV6" t="e">
        <f>AND(Master!R20,"AAAAADvv3n0=")</f>
        <v>#VALUE!</v>
      </c>
      <c r="DW6" t="e">
        <f>AND(Master!S20,"AAAAADvv3n4=")</f>
        <v>#VALUE!</v>
      </c>
      <c r="DX6" t="e">
        <f>AND(Master!T20,"AAAAADvv3n8=")</f>
        <v>#VALUE!</v>
      </c>
      <c r="DY6" t="e">
        <f>AND(Master!U20,"AAAAADvv3oA=")</f>
        <v>#VALUE!</v>
      </c>
      <c r="DZ6" t="e">
        <f>AND(Master!V20,"AAAAADvv3oE=")</f>
        <v>#VALUE!</v>
      </c>
      <c r="EA6" t="e">
        <f>AND(Master!W20,"AAAAADvv3oI=")</f>
        <v>#VALUE!</v>
      </c>
      <c r="EB6" t="e">
        <f>AND(Master!X20,"AAAAADvv3oM=")</f>
        <v>#VALUE!</v>
      </c>
      <c r="EC6" t="e">
        <f>AND(Master!Y20,"AAAAADvv3oQ=")</f>
        <v>#VALUE!</v>
      </c>
      <c r="ED6" t="e">
        <f>AND(Master!Z20,"AAAAADvv3oU=")</f>
        <v>#VALUE!</v>
      </c>
      <c r="EE6" t="e">
        <f>AND(Master!AA20,"AAAAADvv3oY=")</f>
        <v>#VALUE!</v>
      </c>
      <c r="EF6" t="e">
        <f>AND(Master!AB20,"AAAAADvv3oc=")</f>
        <v>#VALUE!</v>
      </c>
      <c r="EG6">
        <f>IF(Master!21:21,"AAAAADvv3og=",0)</f>
        <v>0</v>
      </c>
      <c r="EH6" t="e">
        <f>AND(Master!C21,"AAAAADvv3ok=")</f>
        <v>#VALUE!</v>
      </c>
      <c r="EI6" t="e">
        <f>AND(Master!D21,"AAAAADvv3oo=")</f>
        <v>#VALUE!</v>
      </c>
      <c r="EJ6" t="e">
        <f>AND(Master!F21,"AAAAADvv3os=")</f>
        <v>#VALUE!</v>
      </c>
      <c r="EK6" t="e">
        <f>AND(Master!H21,"AAAAADvv3ow=")</f>
        <v>#VALUE!</v>
      </c>
      <c r="EL6" t="e">
        <f>AND(Master!J21,"AAAAADvv3o0=")</f>
        <v>#VALUE!</v>
      </c>
      <c r="EM6" t="e">
        <f>AND(Master!K21,"AAAAADvv3o4=")</f>
        <v>#VALUE!</v>
      </c>
      <c r="EN6" t="e">
        <f>AND(Master!L21,"AAAAADvv3o8=")</f>
        <v>#VALUE!</v>
      </c>
      <c r="EO6" t="e">
        <f>AND(Master!M21,"AAAAADvv3pA=")</f>
        <v>#VALUE!</v>
      </c>
      <c r="EP6" t="e">
        <f>AND(Master!N21,"AAAAADvv3pE=")</f>
        <v>#VALUE!</v>
      </c>
      <c r="EQ6" t="e">
        <f>AND(Master!O21,"AAAAADvv3pI=")</f>
        <v>#VALUE!</v>
      </c>
      <c r="ER6" t="e">
        <f>AND(Master!P21,"AAAAADvv3pM=")</f>
        <v>#VALUE!</v>
      </c>
      <c r="ES6" t="e">
        <f>AND(Master!Q21,"AAAAADvv3pQ=")</f>
        <v>#VALUE!</v>
      </c>
      <c r="ET6" t="e">
        <f>AND(Master!R21,"AAAAADvv3pU=")</f>
        <v>#VALUE!</v>
      </c>
      <c r="EU6" t="e">
        <f>AND(Master!S21,"AAAAADvv3pY=")</f>
        <v>#VALUE!</v>
      </c>
      <c r="EV6" t="e">
        <f>AND(Master!T21,"AAAAADvv3pc=")</f>
        <v>#VALUE!</v>
      </c>
      <c r="EW6" t="e">
        <f>AND(Master!U21,"AAAAADvv3pg=")</f>
        <v>#VALUE!</v>
      </c>
      <c r="EX6" t="e">
        <f>AND(Master!V21,"AAAAADvv3pk=")</f>
        <v>#VALUE!</v>
      </c>
      <c r="EY6" t="e">
        <f>AND(Master!W21,"AAAAADvv3po=")</f>
        <v>#VALUE!</v>
      </c>
      <c r="EZ6" t="e">
        <f>AND(Master!X21,"AAAAADvv3ps=")</f>
        <v>#VALUE!</v>
      </c>
      <c r="FA6" t="e">
        <f>AND(Master!Y21,"AAAAADvv3pw=")</f>
        <v>#VALUE!</v>
      </c>
      <c r="FB6" t="e">
        <f>AND(Master!Z21,"AAAAADvv3p0=")</f>
        <v>#VALUE!</v>
      </c>
      <c r="FC6" t="e">
        <f>AND(Master!AA21,"AAAAADvv3p4=")</f>
        <v>#VALUE!</v>
      </c>
      <c r="FD6" t="e">
        <f>AND(Master!AB21,"AAAAADvv3p8=")</f>
        <v>#VALUE!</v>
      </c>
      <c r="FE6">
        <f>IF(Master!22:22,"AAAAADvv3qA=",0)</f>
        <v>0</v>
      </c>
      <c r="FF6" t="e">
        <f>AND(Master!C22,"AAAAADvv3qE=")</f>
        <v>#VALUE!</v>
      </c>
      <c r="FG6" t="e">
        <f>AND(Master!D22,"AAAAADvv3qI=")</f>
        <v>#VALUE!</v>
      </c>
      <c r="FH6" t="e">
        <f>AND(Master!F22,"AAAAADvv3qM=")</f>
        <v>#VALUE!</v>
      </c>
      <c r="FI6" t="e">
        <f>AND(Master!H22,"AAAAADvv3qQ=")</f>
        <v>#VALUE!</v>
      </c>
      <c r="FJ6" t="e">
        <f>AND(Master!J22,"AAAAADvv3qU=")</f>
        <v>#VALUE!</v>
      </c>
      <c r="FK6" t="e">
        <f>AND(Master!K22,"AAAAADvv3qY=")</f>
        <v>#VALUE!</v>
      </c>
      <c r="FL6" t="e">
        <f>AND(Master!L22,"AAAAADvv3qc=")</f>
        <v>#VALUE!</v>
      </c>
      <c r="FM6" t="e">
        <f>AND(Master!M22,"AAAAADvv3qg=")</f>
        <v>#VALUE!</v>
      </c>
      <c r="FN6" t="e">
        <f>AND(Master!N22,"AAAAADvv3qk=")</f>
        <v>#VALUE!</v>
      </c>
      <c r="FO6" t="e">
        <f>AND(Master!O22,"AAAAADvv3qo=")</f>
        <v>#VALUE!</v>
      </c>
      <c r="FP6" t="e">
        <f>AND(Master!P22,"AAAAADvv3qs=")</f>
        <v>#VALUE!</v>
      </c>
      <c r="FQ6" t="e">
        <f>AND(Master!Q22,"AAAAADvv3qw=")</f>
        <v>#VALUE!</v>
      </c>
      <c r="FR6" t="e">
        <f>AND(Master!R22,"AAAAADvv3q0=")</f>
        <v>#VALUE!</v>
      </c>
      <c r="FS6" t="e">
        <f>AND(Master!S22,"AAAAADvv3q4=")</f>
        <v>#VALUE!</v>
      </c>
      <c r="FT6" t="e">
        <f>AND(Master!T22,"AAAAADvv3q8=")</f>
        <v>#VALUE!</v>
      </c>
      <c r="FU6" t="e">
        <f>AND(Master!U22,"AAAAADvv3rA=")</f>
        <v>#VALUE!</v>
      </c>
      <c r="FV6" t="e">
        <f>AND(Master!V22,"AAAAADvv3rE=")</f>
        <v>#VALUE!</v>
      </c>
      <c r="FW6" t="e">
        <f>AND(Master!W22,"AAAAADvv3rI=")</f>
        <v>#VALUE!</v>
      </c>
      <c r="FX6" t="e">
        <f>AND(Master!X22,"AAAAADvv3rM=")</f>
        <v>#VALUE!</v>
      </c>
      <c r="FY6" t="e">
        <f>AND(Master!Y22,"AAAAADvv3rQ=")</f>
        <v>#VALUE!</v>
      </c>
      <c r="FZ6" t="e">
        <f>AND(Master!Z22,"AAAAADvv3rU=")</f>
        <v>#VALUE!</v>
      </c>
      <c r="GA6" t="e">
        <f>AND(Master!AA22,"AAAAADvv3rY=")</f>
        <v>#VALUE!</v>
      </c>
      <c r="GB6" t="e">
        <f>AND(Master!AB22,"AAAAADvv3rc=")</f>
        <v>#VALUE!</v>
      </c>
      <c r="GC6">
        <f>IF(Master!23:23,"AAAAADvv3rg=",0)</f>
        <v>0</v>
      </c>
      <c r="GD6" t="e">
        <f>AND(Master!C23,"AAAAADvv3rk=")</f>
        <v>#VALUE!</v>
      </c>
      <c r="GE6" t="e">
        <f>AND(Master!D23,"AAAAADvv3ro=")</f>
        <v>#VALUE!</v>
      </c>
      <c r="GF6" t="e">
        <f>AND(Master!F23,"AAAAADvv3rs=")</f>
        <v>#VALUE!</v>
      </c>
      <c r="GG6" t="e">
        <f>AND(Master!H23,"AAAAADvv3rw=")</f>
        <v>#VALUE!</v>
      </c>
      <c r="GH6" t="e">
        <f>AND(Master!J23,"AAAAADvv3r0=")</f>
        <v>#VALUE!</v>
      </c>
      <c r="GI6" t="e">
        <f>AND(Master!K23,"AAAAADvv3r4=")</f>
        <v>#VALUE!</v>
      </c>
      <c r="GJ6" t="e">
        <f>AND(Master!L23,"AAAAADvv3r8=")</f>
        <v>#VALUE!</v>
      </c>
      <c r="GK6" t="e">
        <f>AND(Master!M23,"AAAAADvv3sA=")</f>
        <v>#VALUE!</v>
      </c>
      <c r="GL6" t="e">
        <f>AND(Master!N23,"AAAAADvv3sE=")</f>
        <v>#VALUE!</v>
      </c>
      <c r="GM6" t="e">
        <f>AND(Master!O23,"AAAAADvv3sI=")</f>
        <v>#VALUE!</v>
      </c>
      <c r="GN6" t="e">
        <f>AND(Master!P23,"AAAAADvv3sM=")</f>
        <v>#VALUE!</v>
      </c>
      <c r="GO6" t="e">
        <f>AND(Master!Q23,"AAAAADvv3sQ=")</f>
        <v>#VALUE!</v>
      </c>
      <c r="GP6" t="e">
        <f>AND(Master!R23,"AAAAADvv3sU=")</f>
        <v>#VALUE!</v>
      </c>
      <c r="GQ6" t="e">
        <f>AND(Master!S23,"AAAAADvv3sY=")</f>
        <v>#VALUE!</v>
      </c>
      <c r="GR6" t="e">
        <f>AND(Master!T23,"AAAAADvv3sc=")</f>
        <v>#VALUE!</v>
      </c>
      <c r="GS6" t="e">
        <f>AND(Master!U23,"AAAAADvv3sg=")</f>
        <v>#VALUE!</v>
      </c>
      <c r="GT6" t="e">
        <f>AND(Master!V23,"AAAAADvv3sk=")</f>
        <v>#VALUE!</v>
      </c>
      <c r="GU6" t="e">
        <f>AND(Master!W23,"AAAAADvv3so=")</f>
        <v>#VALUE!</v>
      </c>
      <c r="GV6" t="e">
        <f>AND(Master!X23,"AAAAADvv3ss=")</f>
        <v>#VALUE!</v>
      </c>
      <c r="GW6" t="e">
        <f>AND(Master!Y23,"AAAAADvv3sw=")</f>
        <v>#VALUE!</v>
      </c>
      <c r="GX6" t="e">
        <f>AND(Master!Z23,"AAAAADvv3s0=")</f>
        <v>#VALUE!</v>
      </c>
      <c r="GY6" t="e">
        <f>AND(Master!AA23,"AAAAADvv3s4=")</f>
        <v>#VALUE!</v>
      </c>
      <c r="GZ6" t="e">
        <f>AND(Master!AB23,"AAAAADvv3s8=")</f>
        <v>#VALUE!</v>
      </c>
      <c r="HA6">
        <f>IF(Master!24:24,"AAAAADvv3tA=",0)</f>
        <v>0</v>
      </c>
      <c r="HB6" t="e">
        <f>AND(Master!C24,"AAAAADvv3tE=")</f>
        <v>#VALUE!</v>
      </c>
      <c r="HC6" t="e">
        <f>AND(Master!D24,"AAAAADvv3tI=")</f>
        <v>#VALUE!</v>
      </c>
      <c r="HD6" t="e">
        <f>AND(Master!F24,"AAAAADvv3tM=")</f>
        <v>#VALUE!</v>
      </c>
      <c r="HE6" t="e">
        <f>AND(Master!H24,"AAAAADvv3tQ=")</f>
        <v>#VALUE!</v>
      </c>
      <c r="HF6" t="e">
        <f>AND(Master!J24,"AAAAADvv3tU=")</f>
        <v>#VALUE!</v>
      </c>
      <c r="HG6" t="e">
        <f>AND(Master!K24,"AAAAADvv3tY=")</f>
        <v>#VALUE!</v>
      </c>
      <c r="HH6" t="e">
        <f>AND(Master!L24,"AAAAADvv3tc=")</f>
        <v>#VALUE!</v>
      </c>
      <c r="HI6" t="e">
        <f>AND(Master!M24,"AAAAADvv3tg=")</f>
        <v>#VALUE!</v>
      </c>
      <c r="HJ6" t="e">
        <f>AND(Master!N24,"AAAAADvv3tk=")</f>
        <v>#VALUE!</v>
      </c>
      <c r="HK6" t="e">
        <f>AND(Master!O24,"AAAAADvv3to=")</f>
        <v>#VALUE!</v>
      </c>
      <c r="HL6" t="e">
        <f>AND(Master!P24,"AAAAADvv3ts=")</f>
        <v>#VALUE!</v>
      </c>
      <c r="HM6" t="e">
        <f>AND(Master!Q24,"AAAAADvv3tw=")</f>
        <v>#VALUE!</v>
      </c>
      <c r="HN6" t="e">
        <f>AND(Master!R24,"AAAAADvv3t0=")</f>
        <v>#VALUE!</v>
      </c>
      <c r="HO6" t="e">
        <f>AND(Master!S24,"AAAAADvv3t4=")</f>
        <v>#VALUE!</v>
      </c>
      <c r="HP6" t="e">
        <f>AND(Master!T24,"AAAAADvv3t8=")</f>
        <v>#VALUE!</v>
      </c>
      <c r="HQ6" t="e">
        <f>AND(Master!U24,"AAAAADvv3uA=")</f>
        <v>#VALUE!</v>
      </c>
      <c r="HR6" t="e">
        <f>AND(Master!V24,"AAAAADvv3uE=")</f>
        <v>#VALUE!</v>
      </c>
      <c r="HS6" t="e">
        <f>AND(Master!W24,"AAAAADvv3uI=")</f>
        <v>#VALUE!</v>
      </c>
      <c r="HT6" t="e">
        <f>AND(Master!X24,"AAAAADvv3uM=")</f>
        <v>#VALUE!</v>
      </c>
      <c r="HU6" t="e">
        <f>AND(Master!Y24,"AAAAADvv3uQ=")</f>
        <v>#VALUE!</v>
      </c>
      <c r="HV6" t="e">
        <f>AND(Master!Z24,"AAAAADvv3uU=")</f>
        <v>#VALUE!</v>
      </c>
      <c r="HW6" t="e">
        <f>AND(Master!AA24,"AAAAADvv3uY=")</f>
        <v>#VALUE!</v>
      </c>
      <c r="HX6" t="e">
        <f>AND(Master!AB24,"AAAAADvv3uc=")</f>
        <v>#VALUE!</v>
      </c>
      <c r="HY6">
        <f>IF(Master!25:25,"AAAAADvv3ug=",0)</f>
        <v>0</v>
      </c>
      <c r="HZ6" t="e">
        <f>AND(Master!C25,"AAAAADvv3uk=")</f>
        <v>#VALUE!</v>
      </c>
      <c r="IA6" t="e">
        <f>AND(Master!D25,"AAAAADvv3uo=")</f>
        <v>#VALUE!</v>
      </c>
      <c r="IB6" t="e">
        <f>AND(Master!F25,"AAAAADvv3us=")</f>
        <v>#VALUE!</v>
      </c>
      <c r="IC6" t="e">
        <f>AND(Master!H25,"AAAAADvv3uw=")</f>
        <v>#VALUE!</v>
      </c>
      <c r="ID6" t="e">
        <f>AND(Master!J25,"AAAAADvv3u0=")</f>
        <v>#VALUE!</v>
      </c>
      <c r="IE6" t="e">
        <f>AND(Master!K25,"AAAAADvv3u4=")</f>
        <v>#VALUE!</v>
      </c>
      <c r="IF6" t="e">
        <f>AND(Master!L25,"AAAAADvv3u8=")</f>
        <v>#VALUE!</v>
      </c>
      <c r="IG6" t="e">
        <f>AND(Master!M25,"AAAAADvv3vA=")</f>
        <v>#VALUE!</v>
      </c>
      <c r="IH6" t="e">
        <f>AND(Master!N25,"AAAAADvv3vE=")</f>
        <v>#VALUE!</v>
      </c>
      <c r="II6" t="e">
        <f>AND(Master!O25,"AAAAADvv3vI=")</f>
        <v>#VALUE!</v>
      </c>
      <c r="IJ6" t="e">
        <f>AND(Master!P25,"AAAAADvv3vM=")</f>
        <v>#VALUE!</v>
      </c>
      <c r="IK6" t="e">
        <f>AND(Master!Q25,"AAAAADvv3vQ=")</f>
        <v>#VALUE!</v>
      </c>
      <c r="IL6" t="e">
        <f>AND(Master!R25,"AAAAADvv3vU=")</f>
        <v>#VALUE!</v>
      </c>
      <c r="IM6" t="e">
        <f>AND(Master!S25,"AAAAADvv3vY=")</f>
        <v>#VALUE!</v>
      </c>
      <c r="IN6" t="e">
        <f>AND(Master!T25,"AAAAADvv3vc=")</f>
        <v>#VALUE!</v>
      </c>
      <c r="IO6" t="e">
        <f>AND(Master!U25,"AAAAADvv3vg=")</f>
        <v>#VALUE!</v>
      </c>
      <c r="IP6" t="e">
        <f>AND(Master!V25,"AAAAADvv3vk=")</f>
        <v>#VALUE!</v>
      </c>
      <c r="IQ6" t="e">
        <f>AND(Master!W25,"AAAAADvv3vo=")</f>
        <v>#VALUE!</v>
      </c>
      <c r="IR6" t="e">
        <f>AND(Master!X25,"AAAAADvv3vs=")</f>
        <v>#VALUE!</v>
      </c>
      <c r="IS6" t="e">
        <f>AND(Master!Y25,"AAAAADvv3vw=")</f>
        <v>#VALUE!</v>
      </c>
      <c r="IT6" t="e">
        <f>AND(Master!Z25,"AAAAADvv3v0=")</f>
        <v>#VALUE!</v>
      </c>
      <c r="IU6" t="e">
        <f>AND(Master!AA25,"AAAAADvv3v4=")</f>
        <v>#VALUE!</v>
      </c>
      <c r="IV6" t="e">
        <f>AND(Master!AB25,"AAAAADvv3v8=")</f>
        <v>#VALUE!</v>
      </c>
    </row>
    <row r="7" spans="1:256">
      <c r="A7" t="str">
        <f>IF(Master!26:26,"AAAAADP9fQA=",0)</f>
        <v>AAAAADP9fQA=</v>
      </c>
      <c r="B7" t="e">
        <f>AND(Master!C26,"AAAAADP9fQE=")</f>
        <v>#VALUE!</v>
      </c>
      <c r="C7" t="e">
        <f>AND(Master!D26,"AAAAADP9fQI=")</f>
        <v>#VALUE!</v>
      </c>
      <c r="D7" t="e">
        <f>AND(Master!F26,"AAAAADP9fQM=")</f>
        <v>#VALUE!</v>
      </c>
      <c r="E7" t="e">
        <f>AND(Master!H26,"AAAAADP9fQQ=")</f>
        <v>#VALUE!</v>
      </c>
      <c r="F7" t="e">
        <f>AND(Master!J26,"AAAAADP9fQU=")</f>
        <v>#VALUE!</v>
      </c>
      <c r="G7" t="e">
        <f>AND(Master!K26,"AAAAADP9fQY=")</f>
        <v>#VALUE!</v>
      </c>
      <c r="H7" t="e">
        <f>AND(Master!L26,"AAAAADP9fQc=")</f>
        <v>#VALUE!</v>
      </c>
      <c r="I7" t="e">
        <f>AND(Master!M26,"AAAAADP9fQg=")</f>
        <v>#VALUE!</v>
      </c>
      <c r="J7" t="e">
        <f>AND(Master!N26,"AAAAADP9fQk=")</f>
        <v>#VALUE!</v>
      </c>
      <c r="K7" t="e">
        <f>AND(Master!O26,"AAAAADP9fQo=")</f>
        <v>#VALUE!</v>
      </c>
      <c r="L7" t="e">
        <f>AND(Master!P26,"AAAAADP9fQs=")</f>
        <v>#VALUE!</v>
      </c>
      <c r="M7" t="e">
        <f>AND(Master!Q26,"AAAAADP9fQw=")</f>
        <v>#VALUE!</v>
      </c>
      <c r="N7" t="e">
        <f>AND(Master!R26,"AAAAADP9fQ0=")</f>
        <v>#VALUE!</v>
      </c>
      <c r="O7" t="e">
        <f>AND(Master!S26,"AAAAADP9fQ4=")</f>
        <v>#VALUE!</v>
      </c>
      <c r="P7" t="e">
        <f>AND(Master!T26,"AAAAADP9fQ8=")</f>
        <v>#VALUE!</v>
      </c>
      <c r="Q7" t="e">
        <f>AND(Master!U26,"AAAAADP9fRA=")</f>
        <v>#VALUE!</v>
      </c>
      <c r="R7" t="e">
        <f>AND(Master!V26,"AAAAADP9fRE=")</f>
        <v>#VALUE!</v>
      </c>
      <c r="S7" t="e">
        <f>AND(Master!W26,"AAAAADP9fRI=")</f>
        <v>#VALUE!</v>
      </c>
      <c r="T7" t="e">
        <f>AND(Master!X26,"AAAAADP9fRM=")</f>
        <v>#VALUE!</v>
      </c>
      <c r="U7" t="e">
        <f>AND(Master!Y26,"AAAAADP9fRQ=")</f>
        <v>#VALUE!</v>
      </c>
      <c r="V7" t="e">
        <f>AND(Master!Z26,"AAAAADP9fRU=")</f>
        <v>#VALUE!</v>
      </c>
      <c r="W7" t="e">
        <f>AND(Master!AA26,"AAAAADP9fRY=")</f>
        <v>#VALUE!</v>
      </c>
      <c r="X7" t="e">
        <f>AND(Master!AB26,"AAAAADP9fRc=")</f>
        <v>#VALUE!</v>
      </c>
      <c r="Y7">
        <f>IF(Master!27:27,"AAAAADP9fRg=",0)</f>
        <v>0</v>
      </c>
      <c r="Z7" t="e">
        <f>AND(Master!C27,"AAAAADP9fRk=")</f>
        <v>#VALUE!</v>
      </c>
      <c r="AA7" t="e">
        <f>AND(Master!D27,"AAAAADP9fRo=")</f>
        <v>#VALUE!</v>
      </c>
      <c r="AB7" t="e">
        <f>AND(Master!F27,"AAAAADP9fRs=")</f>
        <v>#VALUE!</v>
      </c>
      <c r="AC7" t="e">
        <f>AND(Master!H27,"AAAAADP9fRw=")</f>
        <v>#VALUE!</v>
      </c>
      <c r="AD7" t="e">
        <f>AND(Master!J27,"AAAAADP9fR0=")</f>
        <v>#VALUE!</v>
      </c>
      <c r="AE7" t="e">
        <f>AND(Master!K27,"AAAAADP9fR4=")</f>
        <v>#VALUE!</v>
      </c>
      <c r="AF7" t="e">
        <f>AND(Master!L27,"AAAAADP9fR8=")</f>
        <v>#VALUE!</v>
      </c>
      <c r="AG7" t="e">
        <f>AND(Master!M27,"AAAAADP9fSA=")</f>
        <v>#VALUE!</v>
      </c>
      <c r="AH7" t="e">
        <f>AND(Master!N27,"AAAAADP9fSE=")</f>
        <v>#VALUE!</v>
      </c>
      <c r="AI7" t="e">
        <f>AND(Master!O27,"AAAAADP9fSI=")</f>
        <v>#VALUE!</v>
      </c>
      <c r="AJ7" t="e">
        <f>AND(Master!P27,"AAAAADP9fSM=")</f>
        <v>#VALUE!</v>
      </c>
      <c r="AK7" t="e">
        <f>AND(Master!Q27,"AAAAADP9fSQ=")</f>
        <v>#VALUE!</v>
      </c>
      <c r="AL7" t="e">
        <f>AND(Master!R27,"AAAAADP9fSU=")</f>
        <v>#VALUE!</v>
      </c>
      <c r="AM7" t="e">
        <f>AND(Master!S27,"AAAAADP9fSY=")</f>
        <v>#VALUE!</v>
      </c>
      <c r="AN7" t="e">
        <f>AND(Master!T27,"AAAAADP9fSc=")</f>
        <v>#VALUE!</v>
      </c>
      <c r="AO7" t="e">
        <f>AND(Master!U27,"AAAAADP9fSg=")</f>
        <v>#VALUE!</v>
      </c>
      <c r="AP7" t="e">
        <f>AND(Master!V27,"AAAAADP9fSk=")</f>
        <v>#VALUE!</v>
      </c>
      <c r="AQ7" t="e">
        <f>AND(Master!W27,"AAAAADP9fSo=")</f>
        <v>#VALUE!</v>
      </c>
      <c r="AR7" t="e">
        <f>AND(Master!X27,"AAAAADP9fSs=")</f>
        <v>#VALUE!</v>
      </c>
      <c r="AS7" t="e">
        <f>AND(Master!Y27,"AAAAADP9fSw=")</f>
        <v>#VALUE!</v>
      </c>
      <c r="AT7" t="e">
        <f>AND(Master!Z27,"AAAAADP9fS0=")</f>
        <v>#VALUE!</v>
      </c>
      <c r="AU7" t="e">
        <f>AND(Master!AA27,"AAAAADP9fS4=")</f>
        <v>#VALUE!</v>
      </c>
      <c r="AV7" t="e">
        <f>AND(Master!AB27,"AAAAADP9fS8=")</f>
        <v>#VALUE!</v>
      </c>
      <c r="AW7">
        <f>IF(Master!40:40,"AAAAADP9fTA=",0)</f>
        <v>0</v>
      </c>
      <c r="AX7" t="e">
        <f>AND(Master!C40,"AAAAADP9fTE=")</f>
        <v>#VALUE!</v>
      </c>
      <c r="AY7" t="e">
        <f>AND(Master!D40,"AAAAADP9fTI=")</f>
        <v>#VALUE!</v>
      </c>
      <c r="AZ7" t="e">
        <f>AND(Master!F40,"AAAAADP9fTM=")</f>
        <v>#VALUE!</v>
      </c>
      <c r="BA7" t="e">
        <f>AND(Master!H40,"AAAAADP9fTQ=")</f>
        <v>#VALUE!</v>
      </c>
      <c r="BB7" t="e">
        <f>AND(Master!J40,"AAAAADP9fTU=")</f>
        <v>#VALUE!</v>
      </c>
      <c r="BC7" t="e">
        <f>AND(Master!K40,"AAAAADP9fTY=")</f>
        <v>#VALUE!</v>
      </c>
      <c r="BD7" t="e">
        <f>AND(Master!L40,"AAAAADP9fTc=")</f>
        <v>#VALUE!</v>
      </c>
      <c r="BE7" t="e">
        <f>AND(Master!M40,"AAAAADP9fTg=")</f>
        <v>#VALUE!</v>
      </c>
      <c r="BF7" t="e">
        <f>AND(Master!N40,"AAAAADP9fTk=")</f>
        <v>#VALUE!</v>
      </c>
      <c r="BG7" t="e">
        <f>AND(Master!O40,"AAAAADP9fTo=")</f>
        <v>#VALUE!</v>
      </c>
      <c r="BH7" t="e">
        <f>AND(Master!P40,"AAAAADP9fTs=")</f>
        <v>#VALUE!</v>
      </c>
      <c r="BI7" t="e">
        <f>AND(Master!Q40,"AAAAADP9fTw=")</f>
        <v>#VALUE!</v>
      </c>
      <c r="BJ7" t="e">
        <f>AND(Master!R40,"AAAAADP9fT0=")</f>
        <v>#VALUE!</v>
      </c>
      <c r="BK7" t="e">
        <f>AND(Master!S40,"AAAAADP9fT4=")</f>
        <v>#VALUE!</v>
      </c>
      <c r="BL7" t="e">
        <f>AND(Master!T40,"AAAAADP9fT8=")</f>
        <v>#VALUE!</v>
      </c>
      <c r="BM7" t="e">
        <f>AND(Master!U40,"AAAAADP9fUA=")</f>
        <v>#VALUE!</v>
      </c>
      <c r="BN7" t="e">
        <f>AND(Master!V40,"AAAAADP9fUE=")</f>
        <v>#VALUE!</v>
      </c>
      <c r="BO7" t="e">
        <f>AND(Master!W40,"AAAAADP9fUI=")</f>
        <v>#VALUE!</v>
      </c>
      <c r="BP7" t="e">
        <f>AND(Master!X40,"AAAAADP9fUM=")</f>
        <v>#VALUE!</v>
      </c>
      <c r="BQ7" t="e">
        <f>AND(Master!Y40,"AAAAADP9fUQ=")</f>
        <v>#VALUE!</v>
      </c>
      <c r="BR7" t="e">
        <f>AND(Master!Z40,"AAAAADP9fUU=")</f>
        <v>#VALUE!</v>
      </c>
      <c r="BS7" t="e">
        <f>AND(Master!AA40,"AAAAADP9fUY=")</f>
        <v>#VALUE!</v>
      </c>
      <c r="BT7" t="e">
        <f>AND(Master!AB40,"AAAAADP9fUc=")</f>
        <v>#VALUE!</v>
      </c>
      <c r="BU7">
        <f>IF(Master!41:41,"AAAAADP9fUg=",0)</f>
        <v>0</v>
      </c>
      <c r="BV7" t="e">
        <f>AND(Master!C41,"AAAAADP9fUk=")</f>
        <v>#VALUE!</v>
      </c>
      <c r="BW7" t="e">
        <f>AND(Master!D41,"AAAAADP9fUo=")</f>
        <v>#VALUE!</v>
      </c>
      <c r="BX7" t="e">
        <f>AND(Master!F41,"AAAAADP9fUs=")</f>
        <v>#VALUE!</v>
      </c>
      <c r="BY7" t="e">
        <f>AND(Master!H41,"AAAAADP9fUw=")</f>
        <v>#VALUE!</v>
      </c>
      <c r="BZ7" t="e">
        <f>AND(Master!J41,"AAAAADP9fU0=")</f>
        <v>#VALUE!</v>
      </c>
      <c r="CA7" t="e">
        <f>AND(Master!K41,"AAAAADP9fU4=")</f>
        <v>#VALUE!</v>
      </c>
      <c r="CB7" t="e">
        <f>AND(Master!L41,"AAAAADP9fU8=")</f>
        <v>#VALUE!</v>
      </c>
      <c r="CC7" t="e">
        <f>AND(Master!M41,"AAAAADP9fVA=")</f>
        <v>#VALUE!</v>
      </c>
      <c r="CD7" t="e">
        <f>AND(Master!N41,"AAAAADP9fVE=")</f>
        <v>#VALUE!</v>
      </c>
      <c r="CE7" t="e">
        <f>AND(Master!O41,"AAAAADP9fVI=")</f>
        <v>#VALUE!</v>
      </c>
      <c r="CF7" t="e">
        <f>AND(Master!P41,"AAAAADP9fVM=")</f>
        <v>#VALUE!</v>
      </c>
      <c r="CG7" t="e">
        <f>AND(Master!Q41,"AAAAADP9fVQ=")</f>
        <v>#VALUE!</v>
      </c>
      <c r="CH7" t="e">
        <f>AND(Master!R41,"AAAAADP9fVU=")</f>
        <v>#VALUE!</v>
      </c>
      <c r="CI7" t="e">
        <f>AND(Master!S41,"AAAAADP9fVY=")</f>
        <v>#VALUE!</v>
      </c>
      <c r="CJ7" t="e">
        <f>AND(Master!T41,"AAAAADP9fVc=")</f>
        <v>#VALUE!</v>
      </c>
      <c r="CK7" t="e">
        <f>AND(Master!U41,"AAAAADP9fVg=")</f>
        <v>#VALUE!</v>
      </c>
      <c r="CL7" t="e">
        <f>AND(Master!V41,"AAAAADP9fVk=")</f>
        <v>#VALUE!</v>
      </c>
      <c r="CM7" t="e">
        <f>AND(Master!W41,"AAAAADP9fVo=")</f>
        <v>#VALUE!</v>
      </c>
      <c r="CN7" t="e">
        <f>AND(Master!X41,"AAAAADP9fVs=")</f>
        <v>#VALUE!</v>
      </c>
      <c r="CO7" t="e">
        <f>AND(Master!Y41,"AAAAADP9fVw=")</f>
        <v>#VALUE!</v>
      </c>
      <c r="CP7" t="e">
        <f>AND(Master!Z41,"AAAAADP9fV0=")</f>
        <v>#VALUE!</v>
      </c>
      <c r="CQ7" t="e">
        <f>AND(Master!AA41,"AAAAADP9fV4=")</f>
        <v>#VALUE!</v>
      </c>
      <c r="CR7" t="e">
        <f>AND(Master!AB41,"AAAAADP9fV8=")</f>
        <v>#VALUE!</v>
      </c>
      <c r="CS7">
        <f>IF(Master!42:42,"AAAAADP9fWA=",0)</f>
        <v>0</v>
      </c>
      <c r="CT7" t="e">
        <f>AND(Master!C42,"AAAAADP9fWE=")</f>
        <v>#VALUE!</v>
      </c>
      <c r="CU7" t="e">
        <f>AND(Master!D42,"AAAAADP9fWI=")</f>
        <v>#VALUE!</v>
      </c>
      <c r="CV7" t="e">
        <f>AND(Master!F42,"AAAAADP9fWM=")</f>
        <v>#VALUE!</v>
      </c>
      <c r="CW7" t="e">
        <f>AND(Master!H42,"AAAAADP9fWQ=")</f>
        <v>#VALUE!</v>
      </c>
      <c r="CX7" t="e">
        <f>AND(Master!J42,"AAAAADP9fWU=")</f>
        <v>#VALUE!</v>
      </c>
      <c r="CY7" t="e">
        <f>AND(Master!K42,"AAAAADP9fWY=")</f>
        <v>#VALUE!</v>
      </c>
      <c r="CZ7" t="e">
        <f>AND(Master!L42,"AAAAADP9fWc=")</f>
        <v>#VALUE!</v>
      </c>
      <c r="DA7" t="e">
        <f>AND(Master!M42,"AAAAADP9fWg=")</f>
        <v>#VALUE!</v>
      </c>
      <c r="DB7" t="e">
        <f>AND(Master!N42,"AAAAADP9fWk=")</f>
        <v>#VALUE!</v>
      </c>
      <c r="DC7" t="e">
        <f>AND(Master!O42,"AAAAADP9fWo=")</f>
        <v>#VALUE!</v>
      </c>
      <c r="DD7" t="e">
        <f>AND(Master!P42,"AAAAADP9fWs=")</f>
        <v>#VALUE!</v>
      </c>
      <c r="DE7" t="e">
        <f>AND(Master!Q42,"AAAAADP9fWw=")</f>
        <v>#VALUE!</v>
      </c>
      <c r="DF7" t="e">
        <f>AND(Master!R42,"AAAAADP9fW0=")</f>
        <v>#VALUE!</v>
      </c>
      <c r="DG7" t="e">
        <f>AND(Master!S42,"AAAAADP9fW4=")</f>
        <v>#VALUE!</v>
      </c>
      <c r="DH7" t="e">
        <f>AND(Master!T42,"AAAAADP9fW8=")</f>
        <v>#VALUE!</v>
      </c>
      <c r="DI7" t="e">
        <f>AND(Master!U42,"AAAAADP9fXA=")</f>
        <v>#VALUE!</v>
      </c>
      <c r="DJ7" t="e">
        <f>AND(Master!V42,"AAAAADP9fXE=")</f>
        <v>#VALUE!</v>
      </c>
      <c r="DK7" t="e">
        <f>AND(Master!W42,"AAAAADP9fXI=")</f>
        <v>#VALUE!</v>
      </c>
      <c r="DL7" t="e">
        <f>AND(Master!X42,"AAAAADP9fXM=")</f>
        <v>#VALUE!</v>
      </c>
      <c r="DM7" t="e">
        <f>AND(Master!Y42,"AAAAADP9fXQ=")</f>
        <v>#VALUE!</v>
      </c>
      <c r="DN7" t="e">
        <f>AND(Master!Z42,"AAAAADP9fXU=")</f>
        <v>#VALUE!</v>
      </c>
      <c r="DO7" t="e">
        <f>AND(Master!AA42,"AAAAADP9fXY=")</f>
        <v>#VALUE!</v>
      </c>
      <c r="DP7" t="e">
        <f>AND(Master!AB42,"AAAAADP9fXc=")</f>
        <v>#VALUE!</v>
      </c>
      <c r="DQ7" t="e">
        <f>IF(Master!#REF!,"AAAAADP9fXg=",0)</f>
        <v>#REF!</v>
      </c>
      <c r="DR7" t="e">
        <f>AND(Master!#REF!,"AAAAADP9fXk=")</f>
        <v>#REF!</v>
      </c>
      <c r="DS7" t="e">
        <f>AND(Master!#REF!,"AAAAADP9fXo=")</f>
        <v>#REF!</v>
      </c>
      <c r="DT7" t="e">
        <f>AND(Master!#REF!,"AAAAADP9fXs=")</f>
        <v>#REF!</v>
      </c>
      <c r="DU7" t="e">
        <f>AND(Master!#REF!,"AAAAADP9fXw=")</f>
        <v>#REF!</v>
      </c>
      <c r="DV7" t="e">
        <f>AND(Master!#REF!,"AAAAADP9fX0=")</f>
        <v>#REF!</v>
      </c>
      <c r="DW7" t="e">
        <f>AND(Master!#REF!,"AAAAADP9fX4=")</f>
        <v>#REF!</v>
      </c>
      <c r="DX7" t="e">
        <f>AND(Master!#REF!,"AAAAADP9fX8=")</f>
        <v>#REF!</v>
      </c>
      <c r="DY7" t="e">
        <f>AND(Master!#REF!,"AAAAADP9fYA=")</f>
        <v>#REF!</v>
      </c>
      <c r="DZ7" t="e">
        <f>AND(Master!#REF!,"AAAAADP9fYE=")</f>
        <v>#REF!</v>
      </c>
      <c r="EA7" t="e">
        <f>AND(Master!#REF!,"AAAAADP9fYI=")</f>
        <v>#REF!</v>
      </c>
      <c r="EB7" t="e">
        <f>AND(Master!#REF!,"AAAAADP9fYM=")</f>
        <v>#REF!</v>
      </c>
      <c r="EC7" t="e">
        <f>AND(Master!#REF!,"AAAAADP9fYQ=")</f>
        <v>#REF!</v>
      </c>
      <c r="ED7" t="e">
        <f>AND(Master!#REF!,"AAAAADP9fYU=")</f>
        <v>#REF!</v>
      </c>
      <c r="EE7" t="e">
        <f>AND(Master!#REF!,"AAAAADP9fYY=")</f>
        <v>#REF!</v>
      </c>
      <c r="EF7" t="e">
        <f>AND(Master!#REF!,"AAAAADP9fYc=")</f>
        <v>#REF!</v>
      </c>
      <c r="EG7" t="e">
        <f>AND(Master!#REF!,"AAAAADP9fYg=")</f>
        <v>#REF!</v>
      </c>
      <c r="EH7" t="e">
        <f>AND(Master!#REF!,"AAAAADP9fYk=")</f>
        <v>#REF!</v>
      </c>
      <c r="EI7" t="e">
        <f>AND(Master!#REF!,"AAAAADP9fYo=")</f>
        <v>#REF!</v>
      </c>
      <c r="EJ7" t="e">
        <f>AND(Master!#REF!,"AAAAADP9fYs=")</f>
        <v>#REF!</v>
      </c>
      <c r="EK7" t="e">
        <f>AND(Master!#REF!,"AAAAADP9fYw=")</f>
        <v>#REF!</v>
      </c>
      <c r="EL7" t="e">
        <f>AND(Master!#REF!,"AAAAADP9fY0=")</f>
        <v>#REF!</v>
      </c>
      <c r="EM7" t="e">
        <f>AND(Master!#REF!,"AAAAADP9fY4=")</f>
        <v>#REF!</v>
      </c>
      <c r="EN7" t="e">
        <f>AND(Master!#REF!,"AAAAADP9fY8=")</f>
        <v>#REF!</v>
      </c>
      <c r="EO7">
        <f>IF(Master!43:43,"AAAAADP9fZA=",0)</f>
        <v>0</v>
      </c>
      <c r="EP7" t="e">
        <f>AND(Master!C43,"AAAAADP9fZE=")</f>
        <v>#VALUE!</v>
      </c>
      <c r="EQ7" t="e">
        <f>AND(Master!D43,"AAAAADP9fZI=")</f>
        <v>#VALUE!</v>
      </c>
      <c r="ER7" t="e">
        <f>AND(Master!F43,"AAAAADP9fZM=")</f>
        <v>#VALUE!</v>
      </c>
      <c r="ES7" t="e">
        <f>AND(Master!H43,"AAAAADP9fZQ=")</f>
        <v>#VALUE!</v>
      </c>
      <c r="ET7" t="e">
        <f>AND(Master!J43,"AAAAADP9fZU=")</f>
        <v>#VALUE!</v>
      </c>
      <c r="EU7" t="e">
        <f>AND(Master!K43,"AAAAADP9fZY=")</f>
        <v>#VALUE!</v>
      </c>
      <c r="EV7" t="e">
        <f>AND(Master!L43,"AAAAADP9fZc=")</f>
        <v>#VALUE!</v>
      </c>
      <c r="EW7" t="e">
        <f>AND(Master!M43,"AAAAADP9fZg=")</f>
        <v>#VALUE!</v>
      </c>
      <c r="EX7" t="e">
        <f>AND(Master!N43,"AAAAADP9fZk=")</f>
        <v>#VALUE!</v>
      </c>
      <c r="EY7" t="e">
        <f>AND(Master!O43,"AAAAADP9fZo=")</f>
        <v>#VALUE!</v>
      </c>
      <c r="EZ7" t="e">
        <f>AND(Master!P43,"AAAAADP9fZs=")</f>
        <v>#VALUE!</v>
      </c>
      <c r="FA7" t="e">
        <f>AND(Master!Q43,"AAAAADP9fZw=")</f>
        <v>#VALUE!</v>
      </c>
      <c r="FB7" t="e">
        <f>AND(Master!R43,"AAAAADP9fZ0=")</f>
        <v>#VALUE!</v>
      </c>
      <c r="FC7" t="e">
        <f>AND(Master!S43,"AAAAADP9fZ4=")</f>
        <v>#VALUE!</v>
      </c>
      <c r="FD7" t="e">
        <f>AND(Master!T43,"AAAAADP9fZ8=")</f>
        <v>#VALUE!</v>
      </c>
      <c r="FE7" t="e">
        <f>AND(Master!U43,"AAAAADP9faA=")</f>
        <v>#VALUE!</v>
      </c>
      <c r="FF7" t="e">
        <f>AND(Master!V43,"AAAAADP9faE=")</f>
        <v>#VALUE!</v>
      </c>
      <c r="FG7" t="e">
        <f>AND(Master!W43,"AAAAADP9faI=")</f>
        <v>#VALUE!</v>
      </c>
      <c r="FH7" t="e">
        <f>AND(Master!X43,"AAAAADP9faM=")</f>
        <v>#VALUE!</v>
      </c>
      <c r="FI7" t="e">
        <f>AND(Master!Y43,"AAAAADP9faQ=")</f>
        <v>#VALUE!</v>
      </c>
      <c r="FJ7" t="e">
        <f>AND(Master!Z43,"AAAAADP9faU=")</f>
        <v>#VALUE!</v>
      </c>
      <c r="FK7" t="e">
        <f>AND(Master!AA43,"AAAAADP9faY=")</f>
        <v>#VALUE!</v>
      </c>
      <c r="FL7" t="e">
        <f>AND(Master!AB43,"AAAAADP9fac=")</f>
        <v>#VALUE!</v>
      </c>
      <c r="FM7">
        <f>IF(Master!44:44,"AAAAADP9fag=",0)</f>
        <v>0</v>
      </c>
      <c r="FN7" t="e">
        <f>AND(Master!C44,"AAAAADP9fak=")</f>
        <v>#VALUE!</v>
      </c>
      <c r="FO7" t="e">
        <f>AND(Master!D44,"AAAAADP9fao=")</f>
        <v>#VALUE!</v>
      </c>
      <c r="FP7" t="e">
        <f>AND(Master!F44,"AAAAADP9fas=")</f>
        <v>#VALUE!</v>
      </c>
      <c r="FQ7" t="e">
        <f>AND(Master!H44,"AAAAADP9faw=")</f>
        <v>#VALUE!</v>
      </c>
      <c r="FR7" t="e">
        <f>AND(Master!J44,"AAAAADP9fa0=")</f>
        <v>#VALUE!</v>
      </c>
      <c r="FS7" t="e">
        <f>AND(Master!K44,"AAAAADP9fa4=")</f>
        <v>#VALUE!</v>
      </c>
      <c r="FT7" t="e">
        <f>AND(Master!L44,"AAAAADP9fa8=")</f>
        <v>#VALUE!</v>
      </c>
      <c r="FU7" t="e">
        <f>AND(Master!M44,"AAAAADP9fbA=")</f>
        <v>#VALUE!</v>
      </c>
      <c r="FV7" t="e">
        <f>AND(Master!N44,"AAAAADP9fbE=")</f>
        <v>#VALUE!</v>
      </c>
      <c r="FW7" t="e">
        <f>AND(Master!O44,"AAAAADP9fbI=")</f>
        <v>#VALUE!</v>
      </c>
      <c r="FX7" t="e">
        <f>AND(Master!P44,"AAAAADP9fbM=")</f>
        <v>#VALUE!</v>
      </c>
      <c r="FY7" t="e">
        <f>AND(Master!Q44,"AAAAADP9fbQ=")</f>
        <v>#VALUE!</v>
      </c>
      <c r="FZ7" t="e">
        <f>AND(Master!R44,"AAAAADP9fbU=")</f>
        <v>#VALUE!</v>
      </c>
      <c r="GA7" t="e">
        <f>AND(Master!S44,"AAAAADP9fbY=")</f>
        <v>#VALUE!</v>
      </c>
      <c r="GB7" t="e">
        <f>AND(Master!T44,"AAAAADP9fbc=")</f>
        <v>#VALUE!</v>
      </c>
      <c r="GC7" t="e">
        <f>AND(Master!U44,"AAAAADP9fbg=")</f>
        <v>#VALUE!</v>
      </c>
      <c r="GD7" t="e">
        <f>AND(Master!V44,"AAAAADP9fbk=")</f>
        <v>#VALUE!</v>
      </c>
      <c r="GE7" t="e">
        <f>AND(Master!W44,"AAAAADP9fbo=")</f>
        <v>#VALUE!</v>
      </c>
      <c r="GF7" t="e">
        <f>AND(Master!X44,"AAAAADP9fbs=")</f>
        <v>#VALUE!</v>
      </c>
      <c r="GG7" t="e">
        <f>AND(Master!Y44,"AAAAADP9fbw=")</f>
        <v>#VALUE!</v>
      </c>
      <c r="GH7" t="e">
        <f>AND(Master!Z44,"AAAAADP9fb0=")</f>
        <v>#VALUE!</v>
      </c>
      <c r="GI7" t="e">
        <f>AND(Master!AA44,"AAAAADP9fb4=")</f>
        <v>#VALUE!</v>
      </c>
      <c r="GJ7" t="e">
        <f>AND(Master!AB44,"AAAAADP9fb8=")</f>
        <v>#VALUE!</v>
      </c>
      <c r="GK7">
        <f>IF(Master!45:45,"AAAAADP9fcA=",0)</f>
        <v>0</v>
      </c>
      <c r="GL7" t="e">
        <f>AND(Master!C45,"AAAAADP9fcE=")</f>
        <v>#VALUE!</v>
      </c>
      <c r="GM7" t="e">
        <f>AND(Master!D45,"AAAAADP9fcI=")</f>
        <v>#VALUE!</v>
      </c>
      <c r="GN7" t="e">
        <f>AND(Master!F45,"AAAAADP9fcM=")</f>
        <v>#VALUE!</v>
      </c>
      <c r="GO7" t="e">
        <f>AND(Master!H45,"AAAAADP9fcQ=")</f>
        <v>#VALUE!</v>
      </c>
      <c r="GP7" t="e">
        <f>AND(Master!J45,"AAAAADP9fcU=")</f>
        <v>#VALUE!</v>
      </c>
      <c r="GQ7" t="e">
        <f>AND(Master!K45,"AAAAADP9fcY=")</f>
        <v>#VALUE!</v>
      </c>
      <c r="GR7" t="e">
        <f>AND(Master!L45,"AAAAADP9fcc=")</f>
        <v>#VALUE!</v>
      </c>
      <c r="GS7" t="e">
        <f>AND(Master!M45,"AAAAADP9fcg=")</f>
        <v>#VALUE!</v>
      </c>
      <c r="GT7" t="e">
        <f>AND(Master!N45,"AAAAADP9fck=")</f>
        <v>#VALUE!</v>
      </c>
      <c r="GU7" t="e">
        <f>AND(Master!O45,"AAAAADP9fco=")</f>
        <v>#VALUE!</v>
      </c>
      <c r="GV7" t="e">
        <f>AND(Master!P45,"AAAAADP9fcs=")</f>
        <v>#VALUE!</v>
      </c>
      <c r="GW7" t="e">
        <f>AND(Master!Q45,"AAAAADP9fcw=")</f>
        <v>#VALUE!</v>
      </c>
      <c r="GX7" t="e">
        <f>AND(Master!R45,"AAAAADP9fc0=")</f>
        <v>#VALUE!</v>
      </c>
      <c r="GY7" t="e">
        <f>AND(Master!S45,"AAAAADP9fc4=")</f>
        <v>#VALUE!</v>
      </c>
      <c r="GZ7" t="e">
        <f>AND(Master!T45,"AAAAADP9fc8=")</f>
        <v>#VALUE!</v>
      </c>
      <c r="HA7" t="e">
        <f>AND(Master!U45,"AAAAADP9fdA=")</f>
        <v>#VALUE!</v>
      </c>
      <c r="HB7" t="e">
        <f>AND(Master!V45,"AAAAADP9fdE=")</f>
        <v>#VALUE!</v>
      </c>
      <c r="HC7" t="e">
        <f>AND(Master!W45,"AAAAADP9fdI=")</f>
        <v>#VALUE!</v>
      </c>
      <c r="HD7" t="e">
        <f>AND(Master!X45,"AAAAADP9fdM=")</f>
        <v>#VALUE!</v>
      </c>
      <c r="HE7" t="e">
        <f>AND(Master!Y45,"AAAAADP9fdQ=")</f>
        <v>#VALUE!</v>
      </c>
      <c r="HF7" t="e">
        <f>AND(Master!Z45,"AAAAADP9fdU=")</f>
        <v>#VALUE!</v>
      </c>
      <c r="HG7" t="e">
        <f>AND(Master!AA45,"AAAAADP9fdY=")</f>
        <v>#VALUE!</v>
      </c>
      <c r="HH7" t="e">
        <f>AND(Master!AB45,"AAAAADP9fdc=")</f>
        <v>#VALUE!</v>
      </c>
      <c r="HI7">
        <f>IF(Master!46:46,"AAAAADP9fdg=",0)</f>
        <v>0</v>
      </c>
      <c r="HJ7" t="e">
        <f>AND(Master!C46,"AAAAADP9fdk=")</f>
        <v>#VALUE!</v>
      </c>
      <c r="HK7" t="e">
        <f>AND(Master!D46,"AAAAADP9fdo=")</f>
        <v>#VALUE!</v>
      </c>
      <c r="HL7" t="e">
        <f>AND(Master!F46,"AAAAADP9fds=")</f>
        <v>#VALUE!</v>
      </c>
      <c r="HM7" t="e">
        <f>AND(Master!H46,"AAAAADP9fdw=")</f>
        <v>#VALUE!</v>
      </c>
      <c r="HN7" t="e">
        <f>AND(Master!J46,"AAAAADP9fd0=")</f>
        <v>#VALUE!</v>
      </c>
      <c r="HO7" t="e">
        <f>AND(Master!K46,"AAAAADP9fd4=")</f>
        <v>#VALUE!</v>
      </c>
      <c r="HP7" t="e">
        <f>AND(Master!L46,"AAAAADP9fd8=")</f>
        <v>#VALUE!</v>
      </c>
      <c r="HQ7" t="e">
        <f>AND(Master!M46,"AAAAADP9feA=")</f>
        <v>#VALUE!</v>
      </c>
      <c r="HR7" t="e">
        <f>AND(Master!N46,"AAAAADP9feE=")</f>
        <v>#VALUE!</v>
      </c>
      <c r="HS7" t="e">
        <f>AND(Master!O46,"AAAAADP9feI=")</f>
        <v>#VALUE!</v>
      </c>
      <c r="HT7" t="e">
        <f>AND(Master!P46,"AAAAADP9feM=")</f>
        <v>#VALUE!</v>
      </c>
      <c r="HU7" t="e">
        <f>AND(Master!Q46,"AAAAADP9feQ=")</f>
        <v>#VALUE!</v>
      </c>
      <c r="HV7" t="e">
        <f>AND(Master!R46,"AAAAADP9feU=")</f>
        <v>#VALUE!</v>
      </c>
      <c r="HW7" t="e">
        <f>AND(Master!S46,"AAAAADP9feY=")</f>
        <v>#VALUE!</v>
      </c>
      <c r="HX7" t="e">
        <f>AND(Master!T46,"AAAAADP9fec=")</f>
        <v>#VALUE!</v>
      </c>
      <c r="HY7" t="e">
        <f>AND(Master!U46,"AAAAADP9feg=")</f>
        <v>#VALUE!</v>
      </c>
      <c r="HZ7" t="e">
        <f>AND(Master!V46,"AAAAADP9fek=")</f>
        <v>#VALUE!</v>
      </c>
      <c r="IA7" t="e">
        <f>AND(Master!W46,"AAAAADP9feo=")</f>
        <v>#VALUE!</v>
      </c>
      <c r="IB7" t="e">
        <f>AND(Master!X46,"AAAAADP9fes=")</f>
        <v>#VALUE!</v>
      </c>
      <c r="IC7" t="e">
        <f>AND(Master!Y46,"AAAAADP9few=")</f>
        <v>#VALUE!</v>
      </c>
      <c r="ID7" t="e">
        <f>AND(Master!Z46,"AAAAADP9fe0=")</f>
        <v>#VALUE!</v>
      </c>
      <c r="IE7" t="e">
        <f>AND(Master!AA46,"AAAAADP9fe4=")</f>
        <v>#VALUE!</v>
      </c>
      <c r="IF7" t="e">
        <f>AND(Master!AB46,"AAAAADP9fe8=")</f>
        <v>#VALUE!</v>
      </c>
      <c r="IG7">
        <f>IF(Master!47:47,"AAAAADP9ffA=",0)</f>
        <v>0</v>
      </c>
      <c r="IH7" t="e">
        <f>AND(Master!C47,"AAAAADP9ffE=")</f>
        <v>#VALUE!</v>
      </c>
      <c r="II7" t="e">
        <f>AND(Master!D47,"AAAAADP9ffI=")</f>
        <v>#VALUE!</v>
      </c>
      <c r="IJ7" t="e">
        <f>AND(Master!F47,"AAAAADP9ffM=")</f>
        <v>#VALUE!</v>
      </c>
      <c r="IK7" t="e">
        <f>AND(Master!H47,"AAAAADP9ffQ=")</f>
        <v>#VALUE!</v>
      </c>
      <c r="IL7" t="e">
        <f>AND(Master!J47,"AAAAADP9ffU=")</f>
        <v>#VALUE!</v>
      </c>
      <c r="IM7" t="e">
        <f>AND(Master!K47,"AAAAADP9ffY=")</f>
        <v>#VALUE!</v>
      </c>
      <c r="IN7" t="e">
        <f>AND(Master!L47,"AAAAADP9ffc=")</f>
        <v>#VALUE!</v>
      </c>
      <c r="IO7" t="e">
        <f>AND(Master!M47,"AAAAADP9ffg=")</f>
        <v>#VALUE!</v>
      </c>
      <c r="IP7" t="e">
        <f>AND(Master!N47,"AAAAADP9ffk=")</f>
        <v>#VALUE!</v>
      </c>
      <c r="IQ7" t="e">
        <f>AND(Master!O47,"AAAAADP9ffo=")</f>
        <v>#VALUE!</v>
      </c>
      <c r="IR7" t="e">
        <f>AND(Master!P47,"AAAAADP9ffs=")</f>
        <v>#VALUE!</v>
      </c>
      <c r="IS7" t="e">
        <f>AND(Master!Q47,"AAAAADP9ffw=")</f>
        <v>#VALUE!</v>
      </c>
      <c r="IT7" t="e">
        <f>AND(Master!R47,"AAAAADP9ff0=")</f>
        <v>#VALUE!</v>
      </c>
      <c r="IU7" t="e">
        <f>AND(Master!S47,"AAAAADP9ff4=")</f>
        <v>#VALUE!</v>
      </c>
      <c r="IV7" t="e">
        <f>AND(Master!T47,"AAAAADP9ff8=")</f>
        <v>#VALUE!</v>
      </c>
    </row>
    <row r="8" spans="1:256">
      <c r="A8" t="e">
        <f>AND(Master!U47,"AAAAAH83PgA=")</f>
        <v>#VALUE!</v>
      </c>
      <c r="B8" t="e">
        <f>AND(Master!V47,"AAAAAH83PgE=")</f>
        <v>#VALUE!</v>
      </c>
      <c r="C8" t="e">
        <f>AND(Master!W47,"AAAAAH83PgI=")</f>
        <v>#VALUE!</v>
      </c>
      <c r="D8" t="e">
        <f>AND(Master!X47,"AAAAAH83PgM=")</f>
        <v>#VALUE!</v>
      </c>
      <c r="E8" t="e">
        <f>AND(Master!Y47,"AAAAAH83PgQ=")</f>
        <v>#VALUE!</v>
      </c>
      <c r="F8" t="e">
        <f>AND(Master!Z47,"AAAAAH83PgU=")</f>
        <v>#VALUE!</v>
      </c>
      <c r="G8" t="e">
        <f>AND(Master!AA47,"AAAAAH83PgY=")</f>
        <v>#VALUE!</v>
      </c>
      <c r="H8" t="e">
        <f>AND(Master!AB47,"AAAAAH83Pgc=")</f>
        <v>#VALUE!</v>
      </c>
      <c r="I8">
        <f>IF(Master!60:60,"AAAAAH83Pgg=",0)</f>
        <v>0</v>
      </c>
      <c r="J8" t="e">
        <f>AND(Master!C60,"AAAAAH83Pgk=")</f>
        <v>#VALUE!</v>
      </c>
      <c r="K8" t="e">
        <f>AND(Master!D60,"AAAAAH83Pgo=")</f>
        <v>#VALUE!</v>
      </c>
      <c r="L8" t="e">
        <f>AND(Master!F60,"AAAAAH83Pgs=")</f>
        <v>#VALUE!</v>
      </c>
      <c r="M8" t="e">
        <f>AND(Master!H60,"AAAAAH83Pgw=")</f>
        <v>#VALUE!</v>
      </c>
      <c r="N8" t="e">
        <f>AND(Master!J60,"AAAAAH83Pg0=")</f>
        <v>#VALUE!</v>
      </c>
      <c r="O8" t="e">
        <f>AND(Master!K60,"AAAAAH83Pg4=")</f>
        <v>#VALUE!</v>
      </c>
      <c r="P8" t="e">
        <f>AND(Master!L60,"AAAAAH83Pg8=")</f>
        <v>#VALUE!</v>
      </c>
      <c r="Q8" t="e">
        <f>AND(Master!M60,"AAAAAH83PhA=")</f>
        <v>#VALUE!</v>
      </c>
      <c r="R8" t="e">
        <f>AND(Master!N60,"AAAAAH83PhE=")</f>
        <v>#VALUE!</v>
      </c>
      <c r="S8" t="e">
        <f>AND(Master!O60,"AAAAAH83PhI=")</f>
        <v>#VALUE!</v>
      </c>
      <c r="T8" t="e">
        <f>AND(Master!P60,"AAAAAH83PhM=")</f>
        <v>#VALUE!</v>
      </c>
      <c r="U8" t="e">
        <f>AND(Master!Q60,"AAAAAH83PhQ=")</f>
        <v>#VALUE!</v>
      </c>
      <c r="V8" t="e">
        <f>AND(Master!R60,"AAAAAH83PhU=")</f>
        <v>#VALUE!</v>
      </c>
      <c r="W8" t="e">
        <f>AND(Master!S60,"AAAAAH83PhY=")</f>
        <v>#VALUE!</v>
      </c>
      <c r="X8" t="e">
        <f>AND(Master!T60,"AAAAAH83Phc=")</f>
        <v>#VALUE!</v>
      </c>
      <c r="Y8" t="e">
        <f>AND(Master!U60,"AAAAAH83Phg=")</f>
        <v>#VALUE!</v>
      </c>
      <c r="Z8" t="e">
        <f>AND(Master!V60,"AAAAAH83Phk=")</f>
        <v>#VALUE!</v>
      </c>
      <c r="AA8" t="e">
        <f>AND(Master!W60,"AAAAAH83Pho=")</f>
        <v>#VALUE!</v>
      </c>
      <c r="AB8" t="e">
        <f>AND(Master!X60,"AAAAAH83Phs=")</f>
        <v>#VALUE!</v>
      </c>
      <c r="AC8" t="e">
        <f>AND(Master!Y60,"AAAAAH83Phw=")</f>
        <v>#VALUE!</v>
      </c>
      <c r="AD8" t="e">
        <f>AND(Master!Z60,"AAAAAH83Ph0=")</f>
        <v>#VALUE!</v>
      </c>
      <c r="AE8" t="e">
        <f>AND(Master!AA60,"AAAAAH83Ph4=")</f>
        <v>#VALUE!</v>
      </c>
      <c r="AF8" t="e">
        <f>AND(Master!AB60,"AAAAAH83Ph8=")</f>
        <v>#VALUE!</v>
      </c>
      <c r="AG8">
        <f>IF(Master!61:61,"AAAAAH83PiA=",0)</f>
        <v>0</v>
      </c>
      <c r="AH8" t="e">
        <f>AND(Master!C61,"AAAAAH83PiE=")</f>
        <v>#VALUE!</v>
      </c>
      <c r="AI8" t="e">
        <f>AND(Master!D61,"AAAAAH83PiI=")</f>
        <v>#VALUE!</v>
      </c>
      <c r="AJ8" t="e">
        <f>AND(Master!F61,"AAAAAH83PiM=")</f>
        <v>#VALUE!</v>
      </c>
      <c r="AK8" t="e">
        <f>AND(Master!H61,"AAAAAH83PiQ=")</f>
        <v>#VALUE!</v>
      </c>
      <c r="AL8" t="e">
        <f>AND(Master!J61,"AAAAAH83PiU=")</f>
        <v>#VALUE!</v>
      </c>
      <c r="AM8" t="e">
        <f>AND(Master!K61,"AAAAAH83PiY=")</f>
        <v>#VALUE!</v>
      </c>
      <c r="AN8" t="e">
        <f>AND(Master!L61,"AAAAAH83Pic=")</f>
        <v>#VALUE!</v>
      </c>
      <c r="AO8" t="e">
        <f>AND(Master!M61,"AAAAAH83Pig=")</f>
        <v>#VALUE!</v>
      </c>
      <c r="AP8" t="e">
        <f>AND(Master!N61,"AAAAAH83Pik=")</f>
        <v>#VALUE!</v>
      </c>
      <c r="AQ8" t="e">
        <f>AND(Master!O61,"AAAAAH83Pio=")</f>
        <v>#VALUE!</v>
      </c>
      <c r="AR8" t="e">
        <f>AND(Master!P61,"AAAAAH83Pis=")</f>
        <v>#VALUE!</v>
      </c>
      <c r="AS8" t="e">
        <f>AND(Master!Q61,"AAAAAH83Piw=")</f>
        <v>#VALUE!</v>
      </c>
      <c r="AT8" t="e">
        <f>AND(Master!R61,"AAAAAH83Pi0=")</f>
        <v>#VALUE!</v>
      </c>
      <c r="AU8" t="e">
        <f>AND(Master!S61,"AAAAAH83Pi4=")</f>
        <v>#VALUE!</v>
      </c>
      <c r="AV8" t="e">
        <f>AND(Master!T61,"AAAAAH83Pi8=")</f>
        <v>#VALUE!</v>
      </c>
      <c r="AW8" t="e">
        <f>AND(Master!U61,"AAAAAH83PjA=")</f>
        <v>#VALUE!</v>
      </c>
      <c r="AX8" t="e">
        <f>AND(Master!V61,"AAAAAH83PjE=")</f>
        <v>#VALUE!</v>
      </c>
      <c r="AY8" t="e">
        <f>AND(Master!W61,"AAAAAH83PjI=")</f>
        <v>#VALUE!</v>
      </c>
      <c r="AZ8" t="e">
        <f>AND(Master!X61,"AAAAAH83PjM=")</f>
        <v>#VALUE!</v>
      </c>
      <c r="BA8" t="e">
        <f>AND(Master!Y61,"AAAAAH83PjQ=")</f>
        <v>#VALUE!</v>
      </c>
      <c r="BB8" t="e">
        <f>AND(Master!Z61,"AAAAAH83PjU=")</f>
        <v>#VALUE!</v>
      </c>
      <c r="BC8" t="e">
        <f>AND(Master!AA61,"AAAAAH83PjY=")</f>
        <v>#VALUE!</v>
      </c>
      <c r="BD8" t="e">
        <f>AND(Master!AB61,"AAAAAH83Pjc=")</f>
        <v>#VALUE!</v>
      </c>
      <c r="BE8">
        <f>IF(Master!62:62,"AAAAAH83Pjg=",0)</f>
        <v>0</v>
      </c>
      <c r="BF8" t="e">
        <f>AND(Master!C62,"AAAAAH83Pjk=")</f>
        <v>#VALUE!</v>
      </c>
      <c r="BG8" t="e">
        <f>AND(Master!D62,"AAAAAH83Pjo=")</f>
        <v>#VALUE!</v>
      </c>
      <c r="BH8" t="e">
        <f>AND(Master!F62,"AAAAAH83Pjs=")</f>
        <v>#VALUE!</v>
      </c>
      <c r="BI8" t="e">
        <f>AND(Master!H62,"AAAAAH83Pjw=")</f>
        <v>#VALUE!</v>
      </c>
      <c r="BJ8" t="e">
        <f>AND(Master!J62,"AAAAAH83Pj0=")</f>
        <v>#VALUE!</v>
      </c>
      <c r="BK8" t="e">
        <f>AND(Master!K62,"AAAAAH83Pj4=")</f>
        <v>#VALUE!</v>
      </c>
      <c r="BL8" t="e">
        <f>AND(Master!L62,"AAAAAH83Pj8=")</f>
        <v>#VALUE!</v>
      </c>
      <c r="BM8" t="e">
        <f>AND(Master!M62,"AAAAAH83PkA=")</f>
        <v>#VALUE!</v>
      </c>
      <c r="BN8" t="e">
        <f>AND(Master!N62,"AAAAAH83PkE=")</f>
        <v>#VALUE!</v>
      </c>
      <c r="BO8" t="e">
        <f>AND(Master!O62,"AAAAAH83PkI=")</f>
        <v>#VALUE!</v>
      </c>
      <c r="BP8" t="e">
        <f>AND(Master!P62,"AAAAAH83PkM=")</f>
        <v>#VALUE!</v>
      </c>
      <c r="BQ8" t="e">
        <f>AND(Master!Q62,"AAAAAH83PkQ=")</f>
        <v>#VALUE!</v>
      </c>
      <c r="BR8" t="e">
        <f>AND(Master!R62,"AAAAAH83PkU=")</f>
        <v>#VALUE!</v>
      </c>
      <c r="BS8" t="e">
        <f>AND(Master!S62,"AAAAAH83PkY=")</f>
        <v>#VALUE!</v>
      </c>
      <c r="BT8" t="e">
        <f>AND(Master!T62,"AAAAAH83Pkc=")</f>
        <v>#VALUE!</v>
      </c>
      <c r="BU8" t="e">
        <f>AND(Master!U62,"AAAAAH83Pkg=")</f>
        <v>#VALUE!</v>
      </c>
      <c r="BV8" t="e">
        <f>AND(Master!V62,"AAAAAH83Pkk=")</f>
        <v>#VALUE!</v>
      </c>
      <c r="BW8" t="e">
        <f>AND(Master!W62,"AAAAAH83Pko=")</f>
        <v>#VALUE!</v>
      </c>
      <c r="BX8" t="e">
        <f>AND(Master!X62,"AAAAAH83Pks=")</f>
        <v>#VALUE!</v>
      </c>
      <c r="BY8" t="e">
        <f>AND(Master!Y62,"AAAAAH83Pkw=")</f>
        <v>#VALUE!</v>
      </c>
      <c r="BZ8" t="e">
        <f>AND(Master!Z62,"AAAAAH83Pk0=")</f>
        <v>#VALUE!</v>
      </c>
      <c r="CA8" t="e">
        <f>AND(Master!AA62,"AAAAAH83Pk4=")</f>
        <v>#VALUE!</v>
      </c>
      <c r="CB8" t="e">
        <f>AND(Master!AB62,"AAAAAH83Pk8=")</f>
        <v>#VALUE!</v>
      </c>
      <c r="CC8">
        <f>IF(Master!63:63,"AAAAAH83PlA=",0)</f>
        <v>0</v>
      </c>
      <c r="CD8" t="e">
        <f>AND(Master!C63,"AAAAAH83PlE=")</f>
        <v>#VALUE!</v>
      </c>
      <c r="CE8" t="e">
        <f>AND(Master!D63,"AAAAAH83PlI=")</f>
        <v>#VALUE!</v>
      </c>
      <c r="CF8" t="e">
        <f>AND(Master!F63,"AAAAAH83PlM=")</f>
        <v>#VALUE!</v>
      </c>
      <c r="CG8" t="e">
        <f>AND(Master!H63,"AAAAAH83PlQ=")</f>
        <v>#VALUE!</v>
      </c>
      <c r="CH8" t="e">
        <f>AND(Master!J63,"AAAAAH83PlU=")</f>
        <v>#VALUE!</v>
      </c>
      <c r="CI8" t="e">
        <f>AND(Master!K63,"AAAAAH83PlY=")</f>
        <v>#VALUE!</v>
      </c>
      <c r="CJ8" t="e">
        <f>AND(Master!L63,"AAAAAH83Plc=")</f>
        <v>#VALUE!</v>
      </c>
      <c r="CK8" t="e">
        <f>AND(Master!M63,"AAAAAH83Plg=")</f>
        <v>#VALUE!</v>
      </c>
      <c r="CL8" t="e">
        <f>AND(Master!N63,"AAAAAH83Plk=")</f>
        <v>#VALUE!</v>
      </c>
      <c r="CM8" t="e">
        <f>AND(Master!O63,"AAAAAH83Plo=")</f>
        <v>#VALUE!</v>
      </c>
      <c r="CN8" t="e">
        <f>AND(Master!P63,"AAAAAH83Pls=")</f>
        <v>#VALUE!</v>
      </c>
      <c r="CO8" t="e">
        <f>AND(Master!Q63,"AAAAAH83Plw=")</f>
        <v>#VALUE!</v>
      </c>
      <c r="CP8" t="e">
        <f>AND(Master!R63,"AAAAAH83Pl0=")</f>
        <v>#VALUE!</v>
      </c>
      <c r="CQ8" t="e">
        <f>AND(Master!S63,"AAAAAH83Pl4=")</f>
        <v>#VALUE!</v>
      </c>
      <c r="CR8" t="e">
        <f>AND(Master!T63,"AAAAAH83Pl8=")</f>
        <v>#VALUE!</v>
      </c>
      <c r="CS8" t="e">
        <f>AND(Master!U63,"AAAAAH83PmA=")</f>
        <v>#VALUE!</v>
      </c>
      <c r="CT8" t="e">
        <f>AND(Master!V63,"AAAAAH83PmE=")</f>
        <v>#VALUE!</v>
      </c>
      <c r="CU8" t="e">
        <f>AND(Master!W63,"AAAAAH83PmI=")</f>
        <v>#VALUE!</v>
      </c>
      <c r="CV8" t="e">
        <f>AND(Master!X63,"AAAAAH83PmM=")</f>
        <v>#VALUE!</v>
      </c>
      <c r="CW8" t="e">
        <f>AND(Master!Y63,"AAAAAH83PmQ=")</f>
        <v>#VALUE!</v>
      </c>
      <c r="CX8" t="e">
        <f>AND(Master!Z63,"AAAAAH83PmU=")</f>
        <v>#VALUE!</v>
      </c>
      <c r="CY8" t="e">
        <f>AND(Master!AA63,"AAAAAH83PmY=")</f>
        <v>#VALUE!</v>
      </c>
      <c r="CZ8" t="e">
        <f>AND(Master!AB63,"AAAAAH83Pmc=")</f>
        <v>#VALUE!</v>
      </c>
      <c r="DA8">
        <f>IF(Master!64:64,"AAAAAH83Pmg=",0)</f>
        <v>0</v>
      </c>
      <c r="DB8" t="e">
        <f>AND(Master!C64,"AAAAAH83Pmk=")</f>
        <v>#VALUE!</v>
      </c>
      <c r="DC8" t="e">
        <f>AND(Master!D64,"AAAAAH83Pmo=")</f>
        <v>#VALUE!</v>
      </c>
      <c r="DD8" t="e">
        <f>AND(Master!F64,"AAAAAH83Pms=")</f>
        <v>#VALUE!</v>
      </c>
      <c r="DE8" t="e">
        <f>AND(Master!H64,"AAAAAH83Pmw=")</f>
        <v>#VALUE!</v>
      </c>
      <c r="DF8" t="e">
        <f>AND(Master!J64,"AAAAAH83Pm0=")</f>
        <v>#VALUE!</v>
      </c>
      <c r="DG8" t="e">
        <f>AND(Master!K64,"AAAAAH83Pm4=")</f>
        <v>#VALUE!</v>
      </c>
      <c r="DH8" t="e">
        <f>AND(Master!L64,"AAAAAH83Pm8=")</f>
        <v>#VALUE!</v>
      </c>
      <c r="DI8" t="e">
        <f>AND(Master!M64,"AAAAAH83PnA=")</f>
        <v>#VALUE!</v>
      </c>
      <c r="DJ8" t="e">
        <f>AND(Master!N64,"AAAAAH83PnE=")</f>
        <v>#VALUE!</v>
      </c>
      <c r="DK8" t="e">
        <f>AND(Master!O64,"AAAAAH83PnI=")</f>
        <v>#VALUE!</v>
      </c>
      <c r="DL8" t="e">
        <f>AND(Master!P64,"AAAAAH83PnM=")</f>
        <v>#VALUE!</v>
      </c>
      <c r="DM8" t="e">
        <f>AND(Master!Q64,"AAAAAH83PnQ=")</f>
        <v>#VALUE!</v>
      </c>
      <c r="DN8" t="e">
        <f>AND(Master!R64,"AAAAAH83PnU=")</f>
        <v>#VALUE!</v>
      </c>
      <c r="DO8" t="e">
        <f>AND(Master!S64,"AAAAAH83PnY=")</f>
        <v>#VALUE!</v>
      </c>
      <c r="DP8" t="e">
        <f>AND(Master!T64,"AAAAAH83Pnc=")</f>
        <v>#VALUE!</v>
      </c>
      <c r="DQ8" t="e">
        <f>AND(Master!U64,"AAAAAH83Png=")</f>
        <v>#VALUE!</v>
      </c>
      <c r="DR8" t="e">
        <f>AND(Master!V64,"AAAAAH83Pnk=")</f>
        <v>#VALUE!</v>
      </c>
      <c r="DS8" t="e">
        <f>AND(Master!W64,"AAAAAH83Pno=")</f>
        <v>#VALUE!</v>
      </c>
      <c r="DT8" t="e">
        <f>AND(Master!X64,"AAAAAH83Pns=")</f>
        <v>#VALUE!</v>
      </c>
      <c r="DU8" t="e">
        <f>AND(Master!Y64,"AAAAAH83Pnw=")</f>
        <v>#VALUE!</v>
      </c>
      <c r="DV8" t="e">
        <f>AND(Master!Z64,"AAAAAH83Pn0=")</f>
        <v>#VALUE!</v>
      </c>
      <c r="DW8" t="e">
        <f>AND(Master!AA64,"AAAAAH83Pn4=")</f>
        <v>#VALUE!</v>
      </c>
      <c r="DX8" t="e">
        <f>AND(Master!AB64,"AAAAAH83Pn8=")</f>
        <v>#VALUE!</v>
      </c>
      <c r="DY8">
        <f>IF(Master!65:65,"AAAAAH83PoA=",0)</f>
        <v>0</v>
      </c>
      <c r="DZ8" t="e">
        <f>AND(Master!C65,"AAAAAH83PoE=")</f>
        <v>#VALUE!</v>
      </c>
      <c r="EA8" t="e">
        <f>AND(Master!D65,"AAAAAH83PoI=")</f>
        <v>#VALUE!</v>
      </c>
      <c r="EB8" t="e">
        <f>AND(Master!F65,"AAAAAH83PoM=")</f>
        <v>#VALUE!</v>
      </c>
      <c r="EC8" t="e">
        <f>AND(Master!H65,"AAAAAH83PoQ=")</f>
        <v>#VALUE!</v>
      </c>
      <c r="ED8" t="e">
        <f>AND(Master!J65,"AAAAAH83PoU=")</f>
        <v>#VALUE!</v>
      </c>
      <c r="EE8" t="e">
        <f>AND(Master!K65,"AAAAAH83PoY=")</f>
        <v>#VALUE!</v>
      </c>
      <c r="EF8" t="e">
        <f>AND(Master!L65,"AAAAAH83Poc=")</f>
        <v>#VALUE!</v>
      </c>
      <c r="EG8" t="e">
        <f>AND(Master!M65,"AAAAAH83Pog=")</f>
        <v>#VALUE!</v>
      </c>
      <c r="EH8" t="e">
        <f>AND(Master!N65,"AAAAAH83Pok=")</f>
        <v>#VALUE!</v>
      </c>
      <c r="EI8" t="e">
        <f>AND(Master!O65,"AAAAAH83Poo=")</f>
        <v>#VALUE!</v>
      </c>
      <c r="EJ8" t="e">
        <f>AND(Master!P65,"AAAAAH83Pos=")</f>
        <v>#VALUE!</v>
      </c>
      <c r="EK8" t="e">
        <f>AND(Master!Q65,"AAAAAH83Pow=")</f>
        <v>#VALUE!</v>
      </c>
      <c r="EL8" t="e">
        <f>AND(Master!R65,"AAAAAH83Po0=")</f>
        <v>#VALUE!</v>
      </c>
      <c r="EM8" t="e">
        <f>AND(Master!S65,"AAAAAH83Po4=")</f>
        <v>#VALUE!</v>
      </c>
      <c r="EN8" t="e">
        <f>AND(Master!T65,"AAAAAH83Po8=")</f>
        <v>#VALUE!</v>
      </c>
      <c r="EO8" t="e">
        <f>AND(Master!U65,"AAAAAH83PpA=")</f>
        <v>#VALUE!</v>
      </c>
      <c r="EP8" t="e">
        <f>AND(Master!V65,"AAAAAH83PpE=")</f>
        <v>#VALUE!</v>
      </c>
      <c r="EQ8" t="e">
        <f>AND(Master!W65,"AAAAAH83PpI=")</f>
        <v>#VALUE!</v>
      </c>
      <c r="ER8" t="e">
        <f>AND(Master!X65,"AAAAAH83PpM=")</f>
        <v>#VALUE!</v>
      </c>
      <c r="ES8" t="e">
        <f>AND(Master!Y65,"AAAAAH83PpQ=")</f>
        <v>#VALUE!</v>
      </c>
      <c r="ET8" t="e">
        <f>AND(Master!Z65,"AAAAAH83PpU=")</f>
        <v>#VALUE!</v>
      </c>
      <c r="EU8" t="e">
        <f>AND(Master!AA65,"AAAAAH83PpY=")</f>
        <v>#VALUE!</v>
      </c>
      <c r="EV8" t="e">
        <f>AND(Master!AB65,"AAAAAH83Ppc=")</f>
        <v>#VALUE!</v>
      </c>
      <c r="EW8">
        <f>IF(Master!66:66,"AAAAAH83Ppg=",0)</f>
        <v>0</v>
      </c>
      <c r="EX8" t="e">
        <f>AND(Master!C66,"AAAAAH83Ppk=")</f>
        <v>#VALUE!</v>
      </c>
      <c r="EY8" t="e">
        <f>AND(Master!D66,"AAAAAH83Ppo=")</f>
        <v>#VALUE!</v>
      </c>
      <c r="EZ8" t="e">
        <f>AND(Master!F66,"AAAAAH83Pps=")</f>
        <v>#VALUE!</v>
      </c>
      <c r="FA8" t="e">
        <f>AND(Master!H66,"AAAAAH83Ppw=")</f>
        <v>#VALUE!</v>
      </c>
      <c r="FB8" t="e">
        <f>AND(Master!J66,"AAAAAH83Pp0=")</f>
        <v>#VALUE!</v>
      </c>
      <c r="FC8" t="e">
        <f>AND(Master!K66,"AAAAAH83Pp4=")</f>
        <v>#VALUE!</v>
      </c>
      <c r="FD8" t="e">
        <f>AND(Master!L66,"AAAAAH83Pp8=")</f>
        <v>#VALUE!</v>
      </c>
      <c r="FE8" t="e">
        <f>AND(Master!M66,"AAAAAH83PqA=")</f>
        <v>#VALUE!</v>
      </c>
      <c r="FF8" t="e">
        <f>AND(Master!N66,"AAAAAH83PqE=")</f>
        <v>#VALUE!</v>
      </c>
      <c r="FG8" t="e">
        <f>AND(Master!O66,"AAAAAH83PqI=")</f>
        <v>#VALUE!</v>
      </c>
      <c r="FH8" t="e">
        <f>AND(Master!P66,"AAAAAH83PqM=")</f>
        <v>#VALUE!</v>
      </c>
      <c r="FI8" t="e">
        <f>AND(Master!Q66,"AAAAAH83PqQ=")</f>
        <v>#VALUE!</v>
      </c>
      <c r="FJ8" t="e">
        <f>AND(Master!R66,"AAAAAH83PqU=")</f>
        <v>#VALUE!</v>
      </c>
      <c r="FK8" t="e">
        <f>AND(Master!S66,"AAAAAH83PqY=")</f>
        <v>#VALUE!</v>
      </c>
      <c r="FL8" t="e">
        <f>AND(Master!T66,"AAAAAH83Pqc=")</f>
        <v>#VALUE!</v>
      </c>
      <c r="FM8" t="e">
        <f>AND(Master!U66,"AAAAAH83Pqg=")</f>
        <v>#VALUE!</v>
      </c>
      <c r="FN8" t="e">
        <f>AND(Master!V66,"AAAAAH83Pqk=")</f>
        <v>#VALUE!</v>
      </c>
      <c r="FO8" t="e">
        <f>AND(Master!W66,"AAAAAH83Pqo=")</f>
        <v>#VALUE!</v>
      </c>
      <c r="FP8" t="e">
        <f>AND(Master!X66,"AAAAAH83Pqs=")</f>
        <v>#VALUE!</v>
      </c>
      <c r="FQ8" t="e">
        <f>AND(Master!Y66,"AAAAAH83Pqw=")</f>
        <v>#VALUE!</v>
      </c>
      <c r="FR8" t="e">
        <f>AND(Master!Z66,"AAAAAH83Pq0=")</f>
        <v>#VALUE!</v>
      </c>
      <c r="FS8" t="e">
        <f>AND(Master!AA66,"AAAAAH83Pq4=")</f>
        <v>#VALUE!</v>
      </c>
      <c r="FT8" t="e">
        <f>AND(Master!AB66,"AAAAAH83Pq8=")</f>
        <v>#VALUE!</v>
      </c>
      <c r="FU8">
        <f>IF(Master!67:67,"AAAAAH83PrA=",0)</f>
        <v>0</v>
      </c>
      <c r="FV8" t="e">
        <f>AND(Master!C67,"AAAAAH83PrE=")</f>
        <v>#VALUE!</v>
      </c>
      <c r="FW8" t="e">
        <f>AND(Master!D67,"AAAAAH83PrI=")</f>
        <v>#VALUE!</v>
      </c>
      <c r="FX8" t="e">
        <f>AND(Master!F67,"AAAAAH83PrM=")</f>
        <v>#VALUE!</v>
      </c>
      <c r="FY8" t="e">
        <f>AND(Master!H67,"AAAAAH83PrQ=")</f>
        <v>#VALUE!</v>
      </c>
      <c r="FZ8" t="e">
        <f>AND(Master!J67,"AAAAAH83PrU=")</f>
        <v>#VALUE!</v>
      </c>
      <c r="GA8" t="e">
        <f>AND(Master!K67,"AAAAAH83PrY=")</f>
        <v>#VALUE!</v>
      </c>
      <c r="GB8" t="e">
        <f>AND(Master!L67,"AAAAAH83Prc=")</f>
        <v>#VALUE!</v>
      </c>
      <c r="GC8" t="e">
        <f>AND(Master!M67,"AAAAAH83Prg=")</f>
        <v>#VALUE!</v>
      </c>
      <c r="GD8" t="e">
        <f>AND(Master!N67,"AAAAAH83Prk=")</f>
        <v>#VALUE!</v>
      </c>
      <c r="GE8" t="e">
        <f>AND(Master!O67,"AAAAAH83Pro=")</f>
        <v>#VALUE!</v>
      </c>
      <c r="GF8" t="e">
        <f>AND(Master!P67,"AAAAAH83Prs=")</f>
        <v>#VALUE!</v>
      </c>
      <c r="GG8" t="e">
        <f>AND(Master!Q67,"AAAAAH83Prw=")</f>
        <v>#VALUE!</v>
      </c>
      <c r="GH8" t="e">
        <f>AND(Master!R67,"AAAAAH83Pr0=")</f>
        <v>#VALUE!</v>
      </c>
      <c r="GI8" t="e">
        <f>AND(Master!S67,"AAAAAH83Pr4=")</f>
        <v>#VALUE!</v>
      </c>
      <c r="GJ8" t="e">
        <f>AND(Master!T67,"AAAAAH83Pr8=")</f>
        <v>#VALUE!</v>
      </c>
      <c r="GK8" t="e">
        <f>AND(Master!U67,"AAAAAH83PsA=")</f>
        <v>#VALUE!</v>
      </c>
      <c r="GL8" t="e">
        <f>AND(Master!V67,"AAAAAH83PsE=")</f>
        <v>#VALUE!</v>
      </c>
      <c r="GM8" t="e">
        <f>AND(Master!W67,"AAAAAH83PsI=")</f>
        <v>#VALUE!</v>
      </c>
      <c r="GN8" t="e">
        <f>AND(Master!X67,"AAAAAH83PsM=")</f>
        <v>#VALUE!</v>
      </c>
      <c r="GO8" t="e">
        <f>AND(Master!Y67,"AAAAAH83PsQ=")</f>
        <v>#VALUE!</v>
      </c>
      <c r="GP8" t="e">
        <f>AND(Master!Z67,"AAAAAH83PsU=")</f>
        <v>#VALUE!</v>
      </c>
      <c r="GQ8" t="e">
        <f>AND(Master!AA67,"AAAAAH83PsY=")</f>
        <v>#VALUE!</v>
      </c>
      <c r="GR8" t="e">
        <f>AND(Master!AB67,"AAAAAH83Psc=")</f>
        <v>#VALUE!</v>
      </c>
      <c r="GS8">
        <f>IF(Master!68:68,"AAAAAH83Psg=",0)</f>
        <v>0</v>
      </c>
      <c r="GT8" t="e">
        <f>AND(Master!C68,"AAAAAH83Psk=")</f>
        <v>#VALUE!</v>
      </c>
      <c r="GU8" t="e">
        <f>AND(Master!D68,"AAAAAH83Pso=")</f>
        <v>#VALUE!</v>
      </c>
      <c r="GV8" t="e">
        <f>AND(Master!F68,"AAAAAH83Pss=")</f>
        <v>#VALUE!</v>
      </c>
      <c r="GW8" t="e">
        <f>AND(Master!H68,"AAAAAH83Psw=")</f>
        <v>#VALUE!</v>
      </c>
      <c r="GX8" t="e">
        <f>AND(Master!J68,"AAAAAH83Ps0=")</f>
        <v>#VALUE!</v>
      </c>
      <c r="GY8" t="e">
        <f>AND(Master!K68,"AAAAAH83Ps4=")</f>
        <v>#VALUE!</v>
      </c>
      <c r="GZ8" t="e">
        <f>AND(Master!L68,"AAAAAH83Ps8=")</f>
        <v>#VALUE!</v>
      </c>
      <c r="HA8" t="e">
        <f>AND(Master!M68,"AAAAAH83PtA=")</f>
        <v>#VALUE!</v>
      </c>
      <c r="HB8" t="e">
        <f>AND(Master!N68,"AAAAAH83PtE=")</f>
        <v>#VALUE!</v>
      </c>
      <c r="HC8" t="e">
        <f>AND(Master!O68,"AAAAAH83PtI=")</f>
        <v>#VALUE!</v>
      </c>
      <c r="HD8" t="e">
        <f>AND(Master!P68,"AAAAAH83PtM=")</f>
        <v>#VALUE!</v>
      </c>
      <c r="HE8" t="e">
        <f>AND(Master!Q68,"AAAAAH83PtQ=")</f>
        <v>#VALUE!</v>
      </c>
      <c r="HF8" t="e">
        <f>AND(Master!R68,"AAAAAH83PtU=")</f>
        <v>#VALUE!</v>
      </c>
      <c r="HG8" t="e">
        <f>AND(Master!S68,"AAAAAH83PtY=")</f>
        <v>#VALUE!</v>
      </c>
      <c r="HH8" t="e">
        <f>AND(Master!T68,"AAAAAH83Ptc=")</f>
        <v>#VALUE!</v>
      </c>
      <c r="HI8" t="e">
        <f>AND(Master!U68,"AAAAAH83Ptg=")</f>
        <v>#VALUE!</v>
      </c>
      <c r="HJ8" t="e">
        <f>AND(Master!V68,"AAAAAH83Ptk=")</f>
        <v>#VALUE!</v>
      </c>
      <c r="HK8" t="e">
        <f>AND(Master!W68,"AAAAAH83Pto=")</f>
        <v>#VALUE!</v>
      </c>
      <c r="HL8" t="e">
        <f>AND(Master!X68,"AAAAAH83Pts=")</f>
        <v>#VALUE!</v>
      </c>
      <c r="HM8" t="e">
        <f>AND(Master!Y68,"AAAAAH83Ptw=")</f>
        <v>#VALUE!</v>
      </c>
      <c r="HN8" t="e">
        <f>AND(Master!Z68,"AAAAAH83Pt0=")</f>
        <v>#VALUE!</v>
      </c>
      <c r="HO8" t="e">
        <f>AND(Master!AA68,"AAAAAH83Pt4=")</f>
        <v>#VALUE!</v>
      </c>
      <c r="HP8" t="e">
        <f>AND(Master!AB68,"AAAAAH83Pt8=")</f>
        <v>#VALUE!</v>
      </c>
      <c r="HQ8">
        <f>IF(Master!69:69,"AAAAAH83PuA=",0)</f>
        <v>0</v>
      </c>
      <c r="HR8" t="e">
        <f>AND(Master!C69,"AAAAAH83PuE=")</f>
        <v>#VALUE!</v>
      </c>
      <c r="HS8" t="e">
        <f>AND(Master!D69,"AAAAAH83PuI=")</f>
        <v>#VALUE!</v>
      </c>
      <c r="HT8" t="e">
        <f>AND(Master!F69,"AAAAAH83PuM=")</f>
        <v>#VALUE!</v>
      </c>
      <c r="HU8" t="e">
        <f>AND(Master!H69,"AAAAAH83PuQ=")</f>
        <v>#VALUE!</v>
      </c>
      <c r="HV8" t="e">
        <f>AND(Master!J69,"AAAAAH83PuU=")</f>
        <v>#VALUE!</v>
      </c>
      <c r="HW8" t="e">
        <f>AND(Master!K69,"AAAAAH83PuY=")</f>
        <v>#VALUE!</v>
      </c>
      <c r="HX8" t="e">
        <f>AND(Master!L69,"AAAAAH83Puc=")</f>
        <v>#VALUE!</v>
      </c>
      <c r="HY8" t="e">
        <f>AND(Master!M69,"AAAAAH83Pug=")</f>
        <v>#VALUE!</v>
      </c>
      <c r="HZ8" t="e">
        <f>AND(Master!N69,"AAAAAH83Puk=")</f>
        <v>#VALUE!</v>
      </c>
      <c r="IA8" t="e">
        <f>AND(Master!O69,"AAAAAH83Puo=")</f>
        <v>#VALUE!</v>
      </c>
      <c r="IB8" t="e">
        <f>AND(Master!P69,"AAAAAH83Pus=")</f>
        <v>#VALUE!</v>
      </c>
      <c r="IC8" t="e">
        <f>AND(Master!Q69,"AAAAAH83Puw=")</f>
        <v>#VALUE!</v>
      </c>
      <c r="ID8" t="e">
        <f>AND(Master!R69,"AAAAAH83Pu0=")</f>
        <v>#VALUE!</v>
      </c>
      <c r="IE8" t="e">
        <f>AND(Master!S69,"AAAAAH83Pu4=")</f>
        <v>#VALUE!</v>
      </c>
      <c r="IF8" t="e">
        <f>AND(Master!T69,"AAAAAH83Pu8=")</f>
        <v>#VALUE!</v>
      </c>
      <c r="IG8" t="e">
        <f>AND(Master!U69,"AAAAAH83PvA=")</f>
        <v>#VALUE!</v>
      </c>
      <c r="IH8" t="e">
        <f>AND(Master!V69,"AAAAAH83PvE=")</f>
        <v>#VALUE!</v>
      </c>
      <c r="II8" t="e">
        <f>AND(Master!W69,"AAAAAH83PvI=")</f>
        <v>#VALUE!</v>
      </c>
      <c r="IJ8" t="e">
        <f>AND(Master!X69,"AAAAAH83PvM=")</f>
        <v>#VALUE!</v>
      </c>
      <c r="IK8" t="e">
        <f>AND(Master!Y69,"AAAAAH83PvQ=")</f>
        <v>#VALUE!</v>
      </c>
      <c r="IL8" t="e">
        <f>AND(Master!Z69,"AAAAAH83PvU=")</f>
        <v>#VALUE!</v>
      </c>
      <c r="IM8" t="e">
        <f>AND(Master!AA69,"AAAAAH83PvY=")</f>
        <v>#VALUE!</v>
      </c>
      <c r="IN8" t="e">
        <f>AND(Master!AB69,"AAAAAH83Pvc=")</f>
        <v>#VALUE!</v>
      </c>
      <c r="IO8">
        <f>IF(Master!70:70,"AAAAAH83Pvg=",0)</f>
        <v>0</v>
      </c>
      <c r="IP8" t="e">
        <f>AND(Master!C70,"AAAAAH83Pvk=")</f>
        <v>#VALUE!</v>
      </c>
      <c r="IQ8" t="e">
        <f>AND(Master!D70,"AAAAAH83Pvo=")</f>
        <v>#VALUE!</v>
      </c>
      <c r="IR8" t="e">
        <f>AND(Master!F70,"AAAAAH83Pvs=")</f>
        <v>#VALUE!</v>
      </c>
      <c r="IS8" t="e">
        <f>AND(Master!H70,"AAAAAH83Pvw=")</f>
        <v>#VALUE!</v>
      </c>
      <c r="IT8" t="e">
        <f>AND(Master!J70,"AAAAAH83Pv0=")</f>
        <v>#VALUE!</v>
      </c>
      <c r="IU8" t="e">
        <f>AND(Master!K70,"AAAAAH83Pv4=")</f>
        <v>#VALUE!</v>
      </c>
      <c r="IV8" t="e">
        <f>AND(Master!L70,"AAAAAH83Pv8=")</f>
        <v>#VALUE!</v>
      </c>
    </row>
    <row r="9" spans="1:256">
      <c r="A9" t="e">
        <f>AND(Master!M70,"AAAAAH9X/wA=")</f>
        <v>#VALUE!</v>
      </c>
      <c r="B9" t="e">
        <f>AND(Master!N70,"AAAAAH9X/wE=")</f>
        <v>#VALUE!</v>
      </c>
      <c r="C9" t="e">
        <f>AND(Master!O70,"AAAAAH9X/wI=")</f>
        <v>#VALUE!</v>
      </c>
      <c r="D9" t="e">
        <f>AND(Master!P70,"AAAAAH9X/wM=")</f>
        <v>#VALUE!</v>
      </c>
      <c r="E9" t="e">
        <f>AND(Master!Q70,"AAAAAH9X/wQ=")</f>
        <v>#VALUE!</v>
      </c>
      <c r="F9" t="e">
        <f>AND(Master!R70,"AAAAAH9X/wU=")</f>
        <v>#VALUE!</v>
      </c>
      <c r="G9" t="e">
        <f>AND(Master!S70,"AAAAAH9X/wY=")</f>
        <v>#VALUE!</v>
      </c>
      <c r="H9" t="e">
        <f>AND(Master!T70,"AAAAAH9X/wc=")</f>
        <v>#VALUE!</v>
      </c>
      <c r="I9" t="e">
        <f>AND(Master!U70,"AAAAAH9X/wg=")</f>
        <v>#VALUE!</v>
      </c>
      <c r="J9" t="e">
        <f>AND(Master!V70,"AAAAAH9X/wk=")</f>
        <v>#VALUE!</v>
      </c>
      <c r="K9" t="e">
        <f>AND(Master!W70,"AAAAAH9X/wo=")</f>
        <v>#VALUE!</v>
      </c>
      <c r="L9" t="e">
        <f>AND(Master!X70,"AAAAAH9X/ws=")</f>
        <v>#VALUE!</v>
      </c>
      <c r="M9" t="e">
        <f>AND(Master!Y70,"AAAAAH9X/ww=")</f>
        <v>#VALUE!</v>
      </c>
      <c r="N9" t="e">
        <f>AND(Master!Z70,"AAAAAH9X/w0=")</f>
        <v>#VALUE!</v>
      </c>
      <c r="O9" t="e">
        <f>AND(Master!AA70,"AAAAAH9X/w4=")</f>
        <v>#VALUE!</v>
      </c>
      <c r="P9" t="e">
        <f>AND(Master!AB70,"AAAAAH9X/w8=")</f>
        <v>#VALUE!</v>
      </c>
      <c r="Q9">
        <f>IF(Master!71:71,"AAAAAH9X/xA=",0)</f>
        <v>0</v>
      </c>
      <c r="R9" t="e">
        <f>AND(Master!C71,"AAAAAH9X/xE=")</f>
        <v>#VALUE!</v>
      </c>
      <c r="S9" t="e">
        <f>AND(Master!D71,"AAAAAH9X/xI=")</f>
        <v>#VALUE!</v>
      </c>
      <c r="T9" t="e">
        <f>AND(Master!F71,"AAAAAH9X/xM=")</f>
        <v>#VALUE!</v>
      </c>
      <c r="U9" t="e">
        <f>AND(Master!H71,"AAAAAH9X/xQ=")</f>
        <v>#VALUE!</v>
      </c>
      <c r="V9" t="e">
        <f>AND(Master!J71,"AAAAAH9X/xU=")</f>
        <v>#VALUE!</v>
      </c>
      <c r="W9" t="e">
        <f>AND(Master!K71,"AAAAAH9X/xY=")</f>
        <v>#VALUE!</v>
      </c>
      <c r="X9" t="e">
        <f>AND(Master!L71,"AAAAAH9X/xc=")</f>
        <v>#VALUE!</v>
      </c>
      <c r="Y9" t="e">
        <f>AND(Master!M71,"AAAAAH9X/xg=")</f>
        <v>#VALUE!</v>
      </c>
      <c r="Z9" t="e">
        <f>AND(Master!N71,"AAAAAH9X/xk=")</f>
        <v>#VALUE!</v>
      </c>
      <c r="AA9" t="e">
        <f>AND(Master!O71,"AAAAAH9X/xo=")</f>
        <v>#VALUE!</v>
      </c>
      <c r="AB9" t="e">
        <f>AND(Master!P71,"AAAAAH9X/xs=")</f>
        <v>#VALUE!</v>
      </c>
      <c r="AC9" t="e">
        <f>AND(Master!Q71,"AAAAAH9X/xw=")</f>
        <v>#VALUE!</v>
      </c>
      <c r="AD9" t="e">
        <f>AND(Master!R71,"AAAAAH9X/x0=")</f>
        <v>#VALUE!</v>
      </c>
      <c r="AE9" t="e">
        <f>AND(Master!S71,"AAAAAH9X/x4=")</f>
        <v>#VALUE!</v>
      </c>
      <c r="AF9" t="e">
        <f>AND(Master!T71,"AAAAAH9X/x8=")</f>
        <v>#VALUE!</v>
      </c>
      <c r="AG9" t="e">
        <f>AND(Master!U71,"AAAAAH9X/yA=")</f>
        <v>#VALUE!</v>
      </c>
      <c r="AH9" t="e">
        <f>AND(Master!V71,"AAAAAH9X/yE=")</f>
        <v>#VALUE!</v>
      </c>
      <c r="AI9" t="e">
        <f>AND(Master!W71,"AAAAAH9X/yI=")</f>
        <v>#VALUE!</v>
      </c>
      <c r="AJ9" t="e">
        <f>AND(Master!X71,"AAAAAH9X/yM=")</f>
        <v>#VALUE!</v>
      </c>
      <c r="AK9" t="e">
        <f>AND(Master!Y71,"AAAAAH9X/yQ=")</f>
        <v>#VALUE!</v>
      </c>
      <c r="AL9" t="e">
        <f>AND(Master!Z71,"AAAAAH9X/yU=")</f>
        <v>#VALUE!</v>
      </c>
      <c r="AM9" t="e">
        <f>AND(Master!AA71,"AAAAAH9X/yY=")</f>
        <v>#VALUE!</v>
      </c>
      <c r="AN9" t="e">
        <f>AND(Master!AB71,"AAAAAH9X/yc=")</f>
        <v>#VALUE!</v>
      </c>
      <c r="AO9">
        <f>IF(Master!72:72,"AAAAAH9X/yg=",0)</f>
        <v>0</v>
      </c>
      <c r="AP9" t="e">
        <f>AND(Master!C72,"AAAAAH9X/yk=")</f>
        <v>#VALUE!</v>
      </c>
      <c r="AQ9" t="e">
        <f>AND(Master!D72,"AAAAAH9X/yo=")</f>
        <v>#VALUE!</v>
      </c>
      <c r="AR9" t="e">
        <f>AND(Master!F72,"AAAAAH9X/ys=")</f>
        <v>#VALUE!</v>
      </c>
      <c r="AS9" t="e">
        <f>AND(Master!H72,"AAAAAH9X/yw=")</f>
        <v>#VALUE!</v>
      </c>
      <c r="AT9" t="e">
        <f>AND(Master!J72,"AAAAAH9X/y0=")</f>
        <v>#VALUE!</v>
      </c>
      <c r="AU9" t="e">
        <f>AND(Master!K72,"AAAAAH9X/y4=")</f>
        <v>#VALUE!</v>
      </c>
      <c r="AV9" t="e">
        <f>AND(Master!L72,"AAAAAH9X/y8=")</f>
        <v>#VALUE!</v>
      </c>
      <c r="AW9" t="e">
        <f>AND(Master!M72,"AAAAAH9X/zA=")</f>
        <v>#VALUE!</v>
      </c>
      <c r="AX9" t="e">
        <f>AND(Master!N72,"AAAAAH9X/zE=")</f>
        <v>#VALUE!</v>
      </c>
      <c r="AY9" t="e">
        <f>AND(Master!O72,"AAAAAH9X/zI=")</f>
        <v>#VALUE!</v>
      </c>
      <c r="AZ9" t="e">
        <f>AND(Master!P72,"AAAAAH9X/zM=")</f>
        <v>#VALUE!</v>
      </c>
      <c r="BA9" t="e">
        <f>AND(Master!Q72,"AAAAAH9X/zQ=")</f>
        <v>#VALUE!</v>
      </c>
      <c r="BB9" t="e">
        <f>AND(Master!R72,"AAAAAH9X/zU=")</f>
        <v>#VALUE!</v>
      </c>
      <c r="BC9" t="e">
        <f>AND(Master!S72,"AAAAAH9X/zY=")</f>
        <v>#VALUE!</v>
      </c>
      <c r="BD9" t="e">
        <f>AND(Master!T72,"AAAAAH9X/zc=")</f>
        <v>#VALUE!</v>
      </c>
      <c r="BE9" t="e">
        <f>AND(Master!U72,"AAAAAH9X/zg=")</f>
        <v>#VALUE!</v>
      </c>
      <c r="BF9" t="e">
        <f>AND(Master!V72,"AAAAAH9X/zk=")</f>
        <v>#VALUE!</v>
      </c>
      <c r="BG9" t="e">
        <f>AND(Master!W72,"AAAAAH9X/zo=")</f>
        <v>#VALUE!</v>
      </c>
      <c r="BH9" t="e">
        <f>AND(Master!X72,"AAAAAH9X/zs=")</f>
        <v>#VALUE!</v>
      </c>
      <c r="BI9" t="e">
        <f>AND(Master!Y72,"AAAAAH9X/zw=")</f>
        <v>#VALUE!</v>
      </c>
      <c r="BJ9" t="e">
        <f>AND(Master!Z72,"AAAAAH9X/z0=")</f>
        <v>#VALUE!</v>
      </c>
      <c r="BK9" t="e">
        <f>AND(Master!AA72,"AAAAAH9X/z4=")</f>
        <v>#VALUE!</v>
      </c>
      <c r="BL9" t="e">
        <f>AND(Master!AB72,"AAAAAH9X/z8=")</f>
        <v>#VALUE!</v>
      </c>
      <c r="BM9">
        <f>IF(Master!73:73,"AAAAAH9X/0A=",0)</f>
        <v>0</v>
      </c>
      <c r="BN9" t="e">
        <f>AND(Master!C73,"AAAAAH9X/0E=")</f>
        <v>#VALUE!</v>
      </c>
      <c r="BO9" t="e">
        <f>AND(Master!D73,"AAAAAH9X/0I=")</f>
        <v>#VALUE!</v>
      </c>
      <c r="BP9" t="e">
        <f>AND(Master!F73,"AAAAAH9X/0M=")</f>
        <v>#VALUE!</v>
      </c>
      <c r="BQ9" t="e">
        <f>AND(Master!H73,"AAAAAH9X/0Q=")</f>
        <v>#VALUE!</v>
      </c>
      <c r="BR9" t="e">
        <f>AND(Master!J73,"AAAAAH9X/0U=")</f>
        <v>#VALUE!</v>
      </c>
      <c r="BS9" t="e">
        <f>AND(Master!K73,"AAAAAH9X/0Y=")</f>
        <v>#VALUE!</v>
      </c>
      <c r="BT9" t="e">
        <f>AND(Master!L73,"AAAAAH9X/0c=")</f>
        <v>#VALUE!</v>
      </c>
      <c r="BU9" t="e">
        <f>AND(Master!M73,"AAAAAH9X/0g=")</f>
        <v>#VALUE!</v>
      </c>
      <c r="BV9" t="e">
        <f>AND(Master!N73,"AAAAAH9X/0k=")</f>
        <v>#VALUE!</v>
      </c>
      <c r="BW9" t="e">
        <f>AND(Master!O73,"AAAAAH9X/0o=")</f>
        <v>#VALUE!</v>
      </c>
      <c r="BX9" t="e">
        <f>AND(Master!P73,"AAAAAH9X/0s=")</f>
        <v>#VALUE!</v>
      </c>
      <c r="BY9" t="e">
        <f>AND(Master!Q73,"AAAAAH9X/0w=")</f>
        <v>#VALUE!</v>
      </c>
      <c r="BZ9" t="e">
        <f>AND(Master!R73,"AAAAAH9X/00=")</f>
        <v>#VALUE!</v>
      </c>
      <c r="CA9" t="e">
        <f>AND(Master!S73,"AAAAAH9X/04=")</f>
        <v>#VALUE!</v>
      </c>
      <c r="CB9" t="e">
        <f>AND(Master!T73,"AAAAAH9X/08=")</f>
        <v>#VALUE!</v>
      </c>
      <c r="CC9" t="e">
        <f>AND(Master!U73,"AAAAAH9X/1A=")</f>
        <v>#VALUE!</v>
      </c>
      <c r="CD9" t="e">
        <f>AND(Master!V73,"AAAAAH9X/1E=")</f>
        <v>#VALUE!</v>
      </c>
      <c r="CE9" t="e">
        <f>AND(Master!W73,"AAAAAH9X/1I=")</f>
        <v>#VALUE!</v>
      </c>
      <c r="CF9" t="e">
        <f>AND(Master!X73,"AAAAAH9X/1M=")</f>
        <v>#VALUE!</v>
      </c>
      <c r="CG9" t="e">
        <f>AND(Master!Y73,"AAAAAH9X/1Q=")</f>
        <v>#VALUE!</v>
      </c>
      <c r="CH9" t="e">
        <f>AND(Master!Z73,"AAAAAH9X/1U=")</f>
        <v>#VALUE!</v>
      </c>
      <c r="CI9" t="e">
        <f>AND(Master!AA73,"AAAAAH9X/1Y=")</f>
        <v>#VALUE!</v>
      </c>
      <c r="CJ9" t="e">
        <f>AND(Master!AB73,"AAAAAH9X/1c=")</f>
        <v>#VALUE!</v>
      </c>
      <c r="CK9">
        <f>IF(Master!74:74,"AAAAAH9X/1g=",0)</f>
        <v>0</v>
      </c>
      <c r="CL9" t="e">
        <f>AND(Master!C74,"AAAAAH9X/1k=")</f>
        <v>#VALUE!</v>
      </c>
      <c r="CM9" t="e">
        <f>AND(Master!D74,"AAAAAH9X/1o=")</f>
        <v>#VALUE!</v>
      </c>
      <c r="CN9" t="e">
        <f>AND(Master!F74,"AAAAAH9X/1s=")</f>
        <v>#VALUE!</v>
      </c>
      <c r="CO9" t="e">
        <f>AND(Master!H74,"AAAAAH9X/1w=")</f>
        <v>#VALUE!</v>
      </c>
      <c r="CP9" t="e">
        <f>AND(Master!J74,"AAAAAH9X/10=")</f>
        <v>#VALUE!</v>
      </c>
      <c r="CQ9" t="e">
        <f>AND(Master!K74,"AAAAAH9X/14=")</f>
        <v>#VALUE!</v>
      </c>
      <c r="CR9" t="e">
        <f>AND(Master!L74,"AAAAAH9X/18=")</f>
        <v>#VALUE!</v>
      </c>
      <c r="CS9" t="e">
        <f>AND(Master!M74,"AAAAAH9X/2A=")</f>
        <v>#VALUE!</v>
      </c>
      <c r="CT9" t="e">
        <f>AND(Master!N74,"AAAAAH9X/2E=")</f>
        <v>#VALUE!</v>
      </c>
      <c r="CU9" t="e">
        <f>AND(Master!O74,"AAAAAH9X/2I=")</f>
        <v>#VALUE!</v>
      </c>
      <c r="CV9" t="e">
        <f>AND(Master!P74,"AAAAAH9X/2M=")</f>
        <v>#VALUE!</v>
      </c>
      <c r="CW9" t="e">
        <f>AND(Master!Q74,"AAAAAH9X/2Q=")</f>
        <v>#VALUE!</v>
      </c>
      <c r="CX9" t="e">
        <f>AND(Master!R74,"AAAAAH9X/2U=")</f>
        <v>#VALUE!</v>
      </c>
      <c r="CY9" t="e">
        <f>AND(Master!S74,"AAAAAH9X/2Y=")</f>
        <v>#VALUE!</v>
      </c>
      <c r="CZ9" t="e">
        <f>AND(Master!T74,"AAAAAH9X/2c=")</f>
        <v>#VALUE!</v>
      </c>
      <c r="DA9" t="e">
        <f>AND(Master!U74,"AAAAAH9X/2g=")</f>
        <v>#VALUE!</v>
      </c>
      <c r="DB9" t="e">
        <f>AND(Master!V74,"AAAAAH9X/2k=")</f>
        <v>#VALUE!</v>
      </c>
      <c r="DC9" t="e">
        <f>AND(Master!W74,"AAAAAH9X/2o=")</f>
        <v>#VALUE!</v>
      </c>
      <c r="DD9" t="e">
        <f>AND(Master!X74,"AAAAAH9X/2s=")</f>
        <v>#VALUE!</v>
      </c>
      <c r="DE9" t="e">
        <f>AND(Master!Y74,"AAAAAH9X/2w=")</f>
        <v>#VALUE!</v>
      </c>
      <c r="DF9" t="e">
        <f>AND(Master!Z74,"AAAAAH9X/20=")</f>
        <v>#VALUE!</v>
      </c>
      <c r="DG9" t="e">
        <f>AND(Master!AA74,"AAAAAH9X/24=")</f>
        <v>#VALUE!</v>
      </c>
      <c r="DH9" t="e">
        <f>AND(Master!AB74,"AAAAAH9X/28=")</f>
        <v>#VALUE!</v>
      </c>
      <c r="DI9">
        <f>IF(Master!75:75,"AAAAAH9X/3A=",0)</f>
        <v>0</v>
      </c>
      <c r="DJ9" t="e">
        <f>AND(Master!C75,"AAAAAH9X/3E=")</f>
        <v>#VALUE!</v>
      </c>
      <c r="DK9" t="e">
        <f>AND(Master!D75,"AAAAAH9X/3I=")</f>
        <v>#VALUE!</v>
      </c>
      <c r="DL9" t="e">
        <f>AND(Master!F75,"AAAAAH9X/3M=")</f>
        <v>#VALUE!</v>
      </c>
      <c r="DM9" t="e">
        <f>AND(Master!H75,"AAAAAH9X/3Q=")</f>
        <v>#VALUE!</v>
      </c>
      <c r="DN9" t="e">
        <f>AND(Master!J75,"AAAAAH9X/3U=")</f>
        <v>#VALUE!</v>
      </c>
      <c r="DO9" t="e">
        <f>AND(Master!K75,"AAAAAH9X/3Y=")</f>
        <v>#VALUE!</v>
      </c>
      <c r="DP9" t="e">
        <f>AND(Master!L75,"AAAAAH9X/3c=")</f>
        <v>#VALUE!</v>
      </c>
      <c r="DQ9" t="e">
        <f>AND(Master!M75,"AAAAAH9X/3g=")</f>
        <v>#VALUE!</v>
      </c>
      <c r="DR9" t="e">
        <f>AND(Master!N75,"AAAAAH9X/3k=")</f>
        <v>#VALUE!</v>
      </c>
      <c r="DS9" t="e">
        <f>AND(Master!O75,"AAAAAH9X/3o=")</f>
        <v>#VALUE!</v>
      </c>
      <c r="DT9" t="e">
        <f>AND(Master!P75,"AAAAAH9X/3s=")</f>
        <v>#VALUE!</v>
      </c>
      <c r="DU9" t="e">
        <f>AND(Master!Q75,"AAAAAH9X/3w=")</f>
        <v>#VALUE!</v>
      </c>
      <c r="DV9" t="e">
        <f>AND(Master!R75,"AAAAAH9X/30=")</f>
        <v>#VALUE!</v>
      </c>
      <c r="DW9" t="e">
        <f>AND(Master!S75,"AAAAAH9X/34=")</f>
        <v>#VALUE!</v>
      </c>
      <c r="DX9" t="e">
        <f>AND(Master!T75,"AAAAAH9X/38=")</f>
        <v>#VALUE!</v>
      </c>
      <c r="DY9" t="e">
        <f>AND(Master!U75,"AAAAAH9X/4A=")</f>
        <v>#VALUE!</v>
      </c>
      <c r="DZ9" t="e">
        <f>AND(Master!V75,"AAAAAH9X/4E=")</f>
        <v>#VALUE!</v>
      </c>
      <c r="EA9" t="e">
        <f>AND(Master!W75,"AAAAAH9X/4I=")</f>
        <v>#VALUE!</v>
      </c>
      <c r="EB9" t="e">
        <f>AND(Master!X75,"AAAAAH9X/4M=")</f>
        <v>#VALUE!</v>
      </c>
      <c r="EC9" t="e">
        <f>AND(Master!Y75,"AAAAAH9X/4Q=")</f>
        <v>#VALUE!</v>
      </c>
      <c r="ED9" t="e">
        <f>AND(Master!Z75,"AAAAAH9X/4U=")</f>
        <v>#VALUE!</v>
      </c>
      <c r="EE9" t="e">
        <f>AND(Master!AA75,"AAAAAH9X/4Y=")</f>
        <v>#VALUE!</v>
      </c>
      <c r="EF9" t="e">
        <f>AND(Master!AB75,"AAAAAH9X/4c=")</f>
        <v>#VALUE!</v>
      </c>
      <c r="EG9">
        <f>IF(Master!76:76,"AAAAAH9X/4g=",0)</f>
        <v>0</v>
      </c>
      <c r="EH9" t="e">
        <f>AND(Master!C76,"AAAAAH9X/4k=")</f>
        <v>#VALUE!</v>
      </c>
      <c r="EI9" t="e">
        <f>AND(Master!D76,"AAAAAH9X/4o=")</f>
        <v>#VALUE!</v>
      </c>
      <c r="EJ9" t="e">
        <f>AND(Master!F76,"AAAAAH9X/4s=")</f>
        <v>#VALUE!</v>
      </c>
      <c r="EK9" t="e">
        <f>AND(Master!H76,"AAAAAH9X/4w=")</f>
        <v>#VALUE!</v>
      </c>
      <c r="EL9" t="e">
        <f>AND(Master!J76,"AAAAAH9X/40=")</f>
        <v>#VALUE!</v>
      </c>
      <c r="EM9" t="e">
        <f>AND(Master!K76,"AAAAAH9X/44=")</f>
        <v>#VALUE!</v>
      </c>
      <c r="EN9" t="e">
        <f>AND(Master!L76,"AAAAAH9X/48=")</f>
        <v>#VALUE!</v>
      </c>
      <c r="EO9" t="e">
        <f>AND(Master!M76,"AAAAAH9X/5A=")</f>
        <v>#VALUE!</v>
      </c>
      <c r="EP9" t="e">
        <f>AND(Master!N76,"AAAAAH9X/5E=")</f>
        <v>#VALUE!</v>
      </c>
      <c r="EQ9" t="e">
        <f>AND(Master!O76,"AAAAAH9X/5I=")</f>
        <v>#VALUE!</v>
      </c>
      <c r="ER9" t="e">
        <f>AND(Master!P76,"AAAAAH9X/5M=")</f>
        <v>#VALUE!</v>
      </c>
      <c r="ES9" t="e">
        <f>AND(Master!Q76,"AAAAAH9X/5Q=")</f>
        <v>#VALUE!</v>
      </c>
      <c r="ET9" t="e">
        <f>AND(Master!R76,"AAAAAH9X/5U=")</f>
        <v>#VALUE!</v>
      </c>
      <c r="EU9" t="e">
        <f>AND(Master!S76,"AAAAAH9X/5Y=")</f>
        <v>#VALUE!</v>
      </c>
      <c r="EV9" t="e">
        <f>AND(Master!T76,"AAAAAH9X/5c=")</f>
        <v>#VALUE!</v>
      </c>
      <c r="EW9" t="e">
        <f>AND(Master!U76,"AAAAAH9X/5g=")</f>
        <v>#VALUE!</v>
      </c>
      <c r="EX9" t="e">
        <f>AND(Master!V76,"AAAAAH9X/5k=")</f>
        <v>#VALUE!</v>
      </c>
      <c r="EY9" t="e">
        <f>AND(Master!W76,"AAAAAH9X/5o=")</f>
        <v>#VALUE!</v>
      </c>
      <c r="EZ9" t="e">
        <f>AND(Master!X76,"AAAAAH9X/5s=")</f>
        <v>#VALUE!</v>
      </c>
      <c r="FA9" t="e">
        <f>AND(Master!Y76,"AAAAAH9X/5w=")</f>
        <v>#VALUE!</v>
      </c>
      <c r="FB9" t="e">
        <f>AND(Master!Z76,"AAAAAH9X/50=")</f>
        <v>#VALUE!</v>
      </c>
      <c r="FC9" t="e">
        <f>AND(Master!AA76,"AAAAAH9X/54=")</f>
        <v>#VALUE!</v>
      </c>
      <c r="FD9" t="e">
        <f>AND(Master!AB76,"AAAAAH9X/58=")</f>
        <v>#VALUE!</v>
      </c>
      <c r="FE9" t="e">
        <f>IF(Master!B:B,"AAAAAH9X/6A=",0)</f>
        <v>#VALUE!</v>
      </c>
      <c r="FF9">
        <f>IF(Master!C:C,"AAAAAH9X/6E=",0)</f>
        <v>0</v>
      </c>
      <c r="FG9" t="e">
        <f>IF(Master!D:D,"AAAAAH9X/6I=",0)</f>
        <v>#VALUE!</v>
      </c>
      <c r="FH9" t="e">
        <f>IF(Master!F:F,"AAAAAH9X/6M=",0)</f>
        <v>#VALUE!</v>
      </c>
      <c r="FI9" t="e">
        <f>IF(Master!H:H,"AAAAAH9X/6Q=",0)</f>
        <v>#VALUE!</v>
      </c>
      <c r="FJ9">
        <f>IF(Master!J:J,"AAAAAH9X/6U=",0)</f>
        <v>0</v>
      </c>
      <c r="FK9">
        <f>IF(Master!K:K,"AAAAAH9X/6Y=",0)</f>
        <v>0</v>
      </c>
      <c r="FL9">
        <f>IF(Master!L:L,"AAAAAH9X/6c=",0)</f>
        <v>0</v>
      </c>
      <c r="FM9">
        <f>IF(Master!M:M,"AAAAAH9X/6g=",0)</f>
        <v>0</v>
      </c>
      <c r="FN9">
        <f>IF(Master!N:N,"AAAAAH9X/6k=",0)</f>
        <v>0</v>
      </c>
      <c r="FO9">
        <f>IF(Master!O:O,"AAAAAH9X/6o=",0)</f>
        <v>0</v>
      </c>
      <c r="FP9">
        <f>IF(Master!P:P,"AAAAAH9X/6s=",0)</f>
        <v>0</v>
      </c>
      <c r="FQ9">
        <f>IF(Master!Q:Q,"AAAAAH9X/6w=",0)</f>
        <v>0</v>
      </c>
      <c r="FR9">
        <f>IF(Master!R:R,"AAAAAH9X/60=",0)</f>
        <v>0</v>
      </c>
      <c r="FS9">
        <f>IF(Master!S:S,"AAAAAH9X/64=",0)</f>
        <v>0</v>
      </c>
      <c r="FT9">
        <f>IF(Master!T:T,"AAAAAH9X/68=",0)</f>
        <v>0</v>
      </c>
      <c r="FU9">
        <f>IF(Master!U:U,"AAAAAH9X/7A=",0)</f>
        <v>0</v>
      </c>
      <c r="FV9">
        <f>IF(Master!V:V,"AAAAAH9X/7E=",0)</f>
        <v>0</v>
      </c>
      <c r="FW9">
        <f>IF(Master!W:W,"AAAAAH9X/7I=",0)</f>
        <v>0</v>
      </c>
      <c r="FX9">
        <f>IF(Master!X:X,"AAAAAH9X/7M=",0)</f>
        <v>0</v>
      </c>
      <c r="FY9">
        <f>IF(Master!Y:Y,"AAAAAH9X/7Q=",0)</f>
        <v>0</v>
      </c>
      <c r="FZ9">
        <f>IF(Master!Z:Z,"AAAAAH9X/7U=",0)</f>
        <v>0</v>
      </c>
      <c r="GA9">
        <f>IF(Master!AA:AA,"AAAAAH9X/7Y=",0)</f>
        <v>0</v>
      </c>
      <c r="GB9" t="str">
        <f>IF(Master!AB:AB,"AAAAAH9X/7c=",0)</f>
        <v>AAAAAH9X/7c=</v>
      </c>
      <c r="GC9" t="e">
        <f>IF('GA55 Entry'!#REF!,"AAAAAH9X/7g=",0)</f>
        <v>#REF!</v>
      </c>
      <c r="GD9" t="e">
        <f>AND('GA55 Entry'!#REF!,"AAAAAH9X/7k=")</f>
        <v>#REF!</v>
      </c>
      <c r="GE9" t="e">
        <f>AND('GA55 Entry'!#REF!,"AAAAAH9X/7o=")</f>
        <v>#REF!</v>
      </c>
      <c r="GF9" t="e">
        <f>AND('GA55 Entry'!#REF!,"AAAAAH9X/7s=")</f>
        <v>#REF!</v>
      </c>
      <c r="GG9" t="e">
        <f>AND('GA55 Entry'!#REF!,"AAAAAH9X/7w=")</f>
        <v>#REF!</v>
      </c>
      <c r="GH9" t="e">
        <f>AND('GA55 Entry'!#REF!,"AAAAAH9X/70=")</f>
        <v>#REF!</v>
      </c>
      <c r="GI9" t="e">
        <f>AND('GA55 Entry'!#REF!,"AAAAAH9X/74=")</f>
        <v>#REF!</v>
      </c>
      <c r="GJ9" t="e">
        <f>AND('GA55 Entry'!#REF!,"AAAAAH9X/78=")</f>
        <v>#REF!</v>
      </c>
      <c r="GK9" t="e">
        <f>AND('GA55 Entry'!#REF!,"AAAAAH9X/8A=")</f>
        <v>#REF!</v>
      </c>
      <c r="GL9" t="e">
        <f>AND('GA55 Entry'!#REF!,"AAAAAH9X/8E=")</f>
        <v>#REF!</v>
      </c>
      <c r="GM9" t="e">
        <f>AND('GA55 Entry'!#REF!,"AAAAAH9X/8I=")</f>
        <v>#REF!</v>
      </c>
      <c r="GN9" t="e">
        <f>AND('GA55 Entry'!#REF!,"AAAAAH9X/8M=")</f>
        <v>#REF!</v>
      </c>
      <c r="GO9" t="e">
        <f>AND('GA55 Entry'!#REF!,"AAAAAH9X/8Q=")</f>
        <v>#REF!</v>
      </c>
      <c r="GP9" t="e">
        <f>AND('GA55 Entry'!#REF!,"AAAAAH9X/8U=")</f>
        <v>#REF!</v>
      </c>
      <c r="GQ9" t="e">
        <f>AND('GA55 Entry'!#REF!,"AAAAAH9X/8Y=")</f>
        <v>#REF!</v>
      </c>
      <c r="GR9" t="e">
        <f>AND('GA55 Entry'!#REF!,"AAAAAH9X/8c=")</f>
        <v>#REF!</v>
      </c>
      <c r="GS9" t="e">
        <f>AND('GA55 Entry'!#REF!,"AAAAAH9X/8g=")</f>
        <v>#REF!</v>
      </c>
      <c r="GT9" t="e">
        <f>AND('GA55 Entry'!#REF!,"AAAAAH9X/8k=")</f>
        <v>#REF!</v>
      </c>
      <c r="GU9" t="e">
        <f>AND('GA55 Entry'!#REF!,"AAAAAH9X/8o=")</f>
        <v>#REF!</v>
      </c>
      <c r="GV9" t="e">
        <f>AND('GA55 Entry'!#REF!,"AAAAAH9X/8s=")</f>
        <v>#REF!</v>
      </c>
      <c r="GW9" t="e">
        <f>AND('GA55 Entry'!#REF!,"AAAAAH9X/8w=")</f>
        <v>#REF!</v>
      </c>
      <c r="GX9" t="e">
        <f>AND('GA55 Entry'!#REF!,"AAAAAH9X/80=")</f>
        <v>#REF!</v>
      </c>
      <c r="GY9" t="e">
        <f>AND('GA55 Entry'!#REF!,"AAAAAH9X/84=")</f>
        <v>#REF!</v>
      </c>
      <c r="GZ9" t="e">
        <f>AND('GA55 Entry'!#REF!,"AAAAAH9X/88=")</f>
        <v>#REF!</v>
      </c>
      <c r="HA9" t="e">
        <f>AND('GA55 Entry'!#REF!,"AAAAAH9X/9A=")</f>
        <v>#REF!</v>
      </c>
      <c r="HB9" t="e">
        <f>AND('GA55 Entry'!#REF!,"AAAAAH9X/9E=")</f>
        <v>#REF!</v>
      </c>
      <c r="HC9" t="e">
        <f>AND('GA55 Entry'!#REF!,"AAAAAH9X/9I=")</f>
        <v>#REF!</v>
      </c>
      <c r="HD9" t="e">
        <f>AND('GA55 Entry'!#REF!,"AAAAAH9X/9M=")</f>
        <v>#REF!</v>
      </c>
      <c r="HE9" t="e">
        <f>AND('GA55 Entry'!#REF!,"AAAAAH9X/9Q=")</f>
        <v>#REF!</v>
      </c>
      <c r="HF9" t="e">
        <f>AND('GA55 Entry'!#REF!,"AAAAAH9X/9U=")</f>
        <v>#REF!</v>
      </c>
      <c r="HG9" t="e">
        <f>AND('GA55 Entry'!#REF!,"AAAAAH9X/9Y=")</f>
        <v>#REF!</v>
      </c>
      <c r="HH9" t="e">
        <f>AND('GA55 Entry'!#REF!,"AAAAAH9X/9c=")</f>
        <v>#REF!</v>
      </c>
      <c r="HI9" t="e">
        <f>AND('GA55 Entry'!#REF!,"AAAAAH9X/9g=")</f>
        <v>#REF!</v>
      </c>
      <c r="HJ9" t="e">
        <f>AND('GA55 Entry'!#REF!,"AAAAAH9X/9k=")</f>
        <v>#REF!</v>
      </c>
      <c r="HK9" t="e">
        <f>AND('GA55 Entry'!#REF!,"AAAAAH9X/9o=")</f>
        <v>#REF!</v>
      </c>
      <c r="HL9" t="e">
        <f>AND('GA55 Entry'!#REF!,"AAAAAH9X/9s=")</f>
        <v>#REF!</v>
      </c>
      <c r="HM9" t="e">
        <f>AND('GA55 Entry'!#REF!,"AAAAAH9X/9w=")</f>
        <v>#REF!</v>
      </c>
      <c r="HN9" t="e">
        <f>AND('GA55 Entry'!#REF!,"AAAAAH9X/90=")</f>
        <v>#REF!</v>
      </c>
      <c r="HO9" t="e">
        <f>AND('GA55 Entry'!#REF!,"AAAAAH9X/94=")</f>
        <v>#REF!</v>
      </c>
      <c r="HP9" t="e">
        <f>AND('GA55 Entry'!#REF!,"AAAAAH9X/98=")</f>
        <v>#REF!</v>
      </c>
      <c r="HQ9" t="e">
        <f>AND('GA55 Entry'!#REF!,"AAAAAH9X/+A=")</f>
        <v>#REF!</v>
      </c>
      <c r="HR9" t="e">
        <f>AND('GA55 Entry'!#REF!,"AAAAAH9X/+E=")</f>
        <v>#REF!</v>
      </c>
      <c r="HS9" t="e">
        <f>AND('GA55 Entry'!#REF!,"AAAAAH9X/+I=")</f>
        <v>#REF!</v>
      </c>
      <c r="HT9" t="e">
        <f>AND('GA55 Entry'!#REF!,"AAAAAH9X/+M=")</f>
        <v>#REF!</v>
      </c>
      <c r="HU9" t="e">
        <f>AND('GA55 Entry'!#REF!,"AAAAAH9X/+Q=")</f>
        <v>#REF!</v>
      </c>
      <c r="HV9" t="e">
        <f>AND('GA55 Entry'!#REF!,"AAAAAH9X/+U=")</f>
        <v>#REF!</v>
      </c>
      <c r="HW9" t="e">
        <f>AND('GA55 Entry'!#REF!,"AAAAAH9X/+Y=")</f>
        <v>#REF!</v>
      </c>
      <c r="HX9" t="e">
        <f>AND('GA55 Entry'!#REF!,"AAAAAH9X/+c=")</f>
        <v>#REF!</v>
      </c>
      <c r="HY9" t="e">
        <f>AND('GA55 Entry'!#REF!,"AAAAAH9X/+g=")</f>
        <v>#REF!</v>
      </c>
      <c r="HZ9" t="e">
        <f>AND('GA55 Entry'!#REF!,"AAAAAH9X/+k=")</f>
        <v>#REF!</v>
      </c>
      <c r="IA9" t="e">
        <f>AND('GA55 Entry'!#REF!,"AAAAAH9X/+o=")</f>
        <v>#REF!</v>
      </c>
      <c r="IB9" t="e">
        <f>IF('GA55 Entry'!#REF!,"AAAAAH9X/+s=",0)</f>
        <v>#REF!</v>
      </c>
      <c r="IC9" t="e">
        <f>AND('GA55 Entry'!#REF!,"AAAAAH9X/+w=")</f>
        <v>#REF!</v>
      </c>
      <c r="ID9" t="e">
        <f>AND('GA55 Entry'!#REF!,"AAAAAH9X/+0=")</f>
        <v>#REF!</v>
      </c>
      <c r="IE9" t="e">
        <f>AND('GA55 Entry'!#REF!,"AAAAAH9X/+4=")</f>
        <v>#REF!</v>
      </c>
      <c r="IF9" t="e">
        <f>AND('GA55 Entry'!#REF!,"AAAAAH9X/+8=")</f>
        <v>#REF!</v>
      </c>
      <c r="IG9" t="e">
        <f>AND('GA55 Entry'!#REF!,"AAAAAH9X//A=")</f>
        <v>#REF!</v>
      </c>
      <c r="IH9" t="e">
        <f>AND('GA55 Entry'!#REF!,"AAAAAH9X//E=")</f>
        <v>#REF!</v>
      </c>
      <c r="II9" t="e">
        <f>AND('GA55 Entry'!#REF!,"AAAAAH9X//I=")</f>
        <v>#REF!</v>
      </c>
      <c r="IJ9" t="e">
        <f>AND('GA55 Entry'!#REF!,"AAAAAH9X//M=")</f>
        <v>#REF!</v>
      </c>
      <c r="IK9" t="e">
        <f>AND('GA55 Entry'!#REF!,"AAAAAH9X//Q=")</f>
        <v>#REF!</v>
      </c>
      <c r="IL9" t="e">
        <f>AND('GA55 Entry'!#REF!,"AAAAAH9X//U=")</f>
        <v>#REF!</v>
      </c>
      <c r="IM9" t="e">
        <f>AND('GA55 Entry'!#REF!,"AAAAAH9X//Y=")</f>
        <v>#REF!</v>
      </c>
      <c r="IN9" t="e">
        <f>AND('GA55 Entry'!#REF!,"AAAAAH9X//c=")</f>
        <v>#REF!</v>
      </c>
      <c r="IO9" t="e">
        <f>AND('GA55 Entry'!#REF!,"AAAAAH9X//g=")</f>
        <v>#REF!</v>
      </c>
      <c r="IP9" t="e">
        <f>AND('GA55 Entry'!#REF!,"AAAAAH9X//k=")</f>
        <v>#REF!</v>
      </c>
      <c r="IQ9" t="e">
        <f>AND('GA55 Entry'!#REF!,"AAAAAH9X//o=")</f>
        <v>#REF!</v>
      </c>
      <c r="IR9" t="e">
        <f>AND('GA55 Entry'!#REF!,"AAAAAH9X//s=")</f>
        <v>#REF!</v>
      </c>
      <c r="IS9" t="e">
        <f>AND('GA55 Entry'!#REF!,"AAAAAH9X//w=")</f>
        <v>#REF!</v>
      </c>
      <c r="IT9" t="e">
        <f>AND('GA55 Entry'!#REF!,"AAAAAH9X//0=")</f>
        <v>#REF!</v>
      </c>
      <c r="IU9" t="e">
        <f>AND('GA55 Entry'!#REF!,"AAAAAH9X//4=")</f>
        <v>#REF!</v>
      </c>
      <c r="IV9" t="e">
        <f>AND('GA55 Entry'!#REF!,"AAAAAH9X//8=")</f>
        <v>#REF!</v>
      </c>
    </row>
    <row r="10" spans="1:256">
      <c r="A10" t="e">
        <f>AND('GA55 Entry'!#REF!,"AAAAAD///gA=")</f>
        <v>#REF!</v>
      </c>
      <c r="B10" t="e">
        <f>AND('GA55 Entry'!#REF!,"AAAAAD///gE=")</f>
        <v>#REF!</v>
      </c>
      <c r="C10" t="e">
        <f>AND('GA55 Entry'!#REF!,"AAAAAD///gI=")</f>
        <v>#REF!</v>
      </c>
      <c r="D10" t="e">
        <f>AND('GA55 Entry'!#REF!,"AAAAAD///gM=")</f>
        <v>#REF!</v>
      </c>
      <c r="E10" t="e">
        <f>AND('GA55 Entry'!#REF!,"AAAAAD///gQ=")</f>
        <v>#REF!</v>
      </c>
      <c r="F10" t="e">
        <f>AND('GA55 Entry'!#REF!,"AAAAAD///gU=")</f>
        <v>#REF!</v>
      </c>
      <c r="G10" t="e">
        <f>AND('GA55 Entry'!#REF!,"AAAAAD///gY=")</f>
        <v>#REF!</v>
      </c>
      <c r="H10" t="e">
        <f>AND('GA55 Entry'!#REF!,"AAAAAD///gc=")</f>
        <v>#REF!</v>
      </c>
      <c r="I10" t="e">
        <f>AND('GA55 Entry'!#REF!,"AAAAAD///gg=")</f>
        <v>#REF!</v>
      </c>
      <c r="J10" t="e">
        <f>AND('GA55 Entry'!#REF!,"AAAAAD///gk=")</f>
        <v>#REF!</v>
      </c>
      <c r="K10" t="e">
        <f>AND('GA55 Entry'!#REF!,"AAAAAD///go=")</f>
        <v>#REF!</v>
      </c>
      <c r="L10" t="e">
        <f>AND('GA55 Entry'!#REF!,"AAAAAD///gs=")</f>
        <v>#REF!</v>
      </c>
      <c r="M10" t="e">
        <f>AND('GA55 Entry'!#REF!,"AAAAAD///gw=")</f>
        <v>#REF!</v>
      </c>
      <c r="N10" t="e">
        <f>AND('GA55 Entry'!#REF!,"AAAAAD///g0=")</f>
        <v>#REF!</v>
      </c>
      <c r="O10" t="e">
        <f>AND('GA55 Entry'!#REF!,"AAAAAD///g4=")</f>
        <v>#REF!</v>
      </c>
      <c r="P10" t="e">
        <f>AND('GA55 Entry'!#REF!,"AAAAAD///g8=")</f>
        <v>#REF!</v>
      </c>
      <c r="Q10" t="e">
        <f>AND('GA55 Entry'!#REF!,"AAAAAD///hA=")</f>
        <v>#REF!</v>
      </c>
      <c r="R10" t="e">
        <f>AND('GA55 Entry'!#REF!,"AAAAAD///hE=")</f>
        <v>#REF!</v>
      </c>
      <c r="S10" t="e">
        <f>AND('GA55 Entry'!#REF!,"AAAAAD///hI=")</f>
        <v>#REF!</v>
      </c>
      <c r="T10" t="e">
        <f>AND('GA55 Entry'!#REF!,"AAAAAD///hM=")</f>
        <v>#REF!</v>
      </c>
      <c r="U10" t="e">
        <f>AND('GA55 Entry'!#REF!,"AAAAAD///hQ=")</f>
        <v>#REF!</v>
      </c>
      <c r="V10" t="e">
        <f>AND('GA55 Entry'!#REF!,"AAAAAD///hU=")</f>
        <v>#REF!</v>
      </c>
      <c r="W10" t="e">
        <f>AND('GA55 Entry'!#REF!,"AAAAAD///hY=")</f>
        <v>#REF!</v>
      </c>
      <c r="X10" t="e">
        <f>AND('GA55 Entry'!#REF!,"AAAAAD///hc=")</f>
        <v>#REF!</v>
      </c>
      <c r="Y10" t="e">
        <f>AND('GA55 Entry'!#REF!,"AAAAAD///hg=")</f>
        <v>#REF!</v>
      </c>
      <c r="Z10" t="e">
        <f>AND('GA55 Entry'!#REF!,"AAAAAD///hk=")</f>
        <v>#REF!</v>
      </c>
      <c r="AA10" t="e">
        <f>AND('GA55 Entry'!#REF!,"AAAAAD///ho=")</f>
        <v>#REF!</v>
      </c>
      <c r="AB10" t="e">
        <f>AND('GA55 Entry'!#REF!,"AAAAAD///hs=")</f>
        <v>#REF!</v>
      </c>
      <c r="AC10" t="e">
        <f>AND('GA55 Entry'!#REF!,"AAAAAD///hw=")</f>
        <v>#REF!</v>
      </c>
      <c r="AD10" t="e">
        <f>AND('GA55 Entry'!#REF!,"AAAAAD///h0=")</f>
        <v>#REF!</v>
      </c>
      <c r="AE10" t="e">
        <f>IF('GA55 Entry'!#REF!,"AAAAAD///h4=",0)</f>
        <v>#REF!</v>
      </c>
      <c r="AF10" t="e">
        <f>AND('GA55 Entry'!#REF!,"AAAAAD///h8=")</f>
        <v>#REF!</v>
      </c>
      <c r="AG10" t="e">
        <f>AND('GA55 Entry'!#REF!,"AAAAAD///iA=")</f>
        <v>#REF!</v>
      </c>
      <c r="AH10" t="e">
        <f>AND('GA55 Entry'!#REF!,"AAAAAD///iE=")</f>
        <v>#REF!</v>
      </c>
      <c r="AI10" t="e">
        <f>AND('GA55 Entry'!#REF!,"AAAAAD///iI=")</f>
        <v>#REF!</v>
      </c>
      <c r="AJ10" t="e">
        <f>AND('GA55 Entry'!#REF!,"AAAAAD///iM=")</f>
        <v>#REF!</v>
      </c>
      <c r="AK10" t="e">
        <f>AND('GA55 Entry'!#REF!,"AAAAAD///iQ=")</f>
        <v>#REF!</v>
      </c>
      <c r="AL10" t="e">
        <f>AND('GA55 Entry'!#REF!,"AAAAAD///iU=")</f>
        <v>#REF!</v>
      </c>
      <c r="AM10" t="e">
        <f>AND('GA55 Entry'!#REF!,"AAAAAD///iY=")</f>
        <v>#REF!</v>
      </c>
      <c r="AN10" t="e">
        <f>AND('GA55 Entry'!#REF!,"AAAAAD///ic=")</f>
        <v>#REF!</v>
      </c>
      <c r="AO10" t="e">
        <f>AND('GA55 Entry'!#REF!,"AAAAAD///ig=")</f>
        <v>#REF!</v>
      </c>
      <c r="AP10" t="e">
        <f>AND('GA55 Entry'!#REF!,"AAAAAD///ik=")</f>
        <v>#REF!</v>
      </c>
      <c r="AQ10" t="e">
        <f>AND('GA55 Entry'!#REF!,"AAAAAD///io=")</f>
        <v>#REF!</v>
      </c>
      <c r="AR10" t="e">
        <f>AND('GA55 Entry'!#REF!,"AAAAAD///is=")</f>
        <v>#REF!</v>
      </c>
      <c r="AS10" t="e">
        <f>AND('GA55 Entry'!#REF!,"AAAAAD///iw=")</f>
        <v>#REF!</v>
      </c>
      <c r="AT10" t="e">
        <f>AND('GA55 Entry'!#REF!,"AAAAAD///i0=")</f>
        <v>#REF!</v>
      </c>
      <c r="AU10" t="e">
        <f>AND('GA55 Entry'!#REF!,"AAAAAD///i4=")</f>
        <v>#REF!</v>
      </c>
      <c r="AV10" t="e">
        <f>AND('GA55 Entry'!#REF!,"AAAAAD///i8=")</f>
        <v>#REF!</v>
      </c>
      <c r="AW10" t="e">
        <f>AND('GA55 Entry'!#REF!,"AAAAAD///jA=")</f>
        <v>#REF!</v>
      </c>
      <c r="AX10" t="e">
        <f>AND('GA55 Entry'!#REF!,"AAAAAD///jE=")</f>
        <v>#REF!</v>
      </c>
      <c r="AY10" t="e">
        <f>AND('GA55 Entry'!#REF!,"AAAAAD///jI=")</f>
        <v>#REF!</v>
      </c>
      <c r="AZ10" t="e">
        <f>AND('GA55 Entry'!#REF!,"AAAAAD///jM=")</f>
        <v>#REF!</v>
      </c>
      <c r="BA10" t="e">
        <f>AND('GA55 Entry'!#REF!,"AAAAAD///jQ=")</f>
        <v>#REF!</v>
      </c>
      <c r="BB10" t="e">
        <f>AND('GA55 Entry'!#REF!,"AAAAAD///jU=")</f>
        <v>#REF!</v>
      </c>
      <c r="BC10" t="e">
        <f>AND('GA55 Entry'!#REF!,"AAAAAD///jY=")</f>
        <v>#REF!</v>
      </c>
      <c r="BD10" t="e">
        <f>AND('GA55 Entry'!#REF!,"AAAAAD///jc=")</f>
        <v>#REF!</v>
      </c>
      <c r="BE10" t="e">
        <f>AND('GA55 Entry'!#REF!,"AAAAAD///jg=")</f>
        <v>#REF!</v>
      </c>
      <c r="BF10" t="e">
        <f>AND('GA55 Entry'!#REF!,"AAAAAD///jk=")</f>
        <v>#REF!</v>
      </c>
      <c r="BG10" t="e">
        <f>AND('GA55 Entry'!#REF!,"AAAAAD///jo=")</f>
        <v>#REF!</v>
      </c>
      <c r="BH10" t="e">
        <f>AND('GA55 Entry'!#REF!,"AAAAAD///js=")</f>
        <v>#REF!</v>
      </c>
      <c r="BI10" t="e">
        <f>AND('GA55 Entry'!#REF!,"AAAAAD///jw=")</f>
        <v>#REF!</v>
      </c>
      <c r="BJ10" t="e">
        <f>AND('GA55 Entry'!#REF!,"AAAAAD///j0=")</f>
        <v>#REF!</v>
      </c>
      <c r="BK10" t="e">
        <f>AND('GA55 Entry'!#REF!,"AAAAAD///j4=")</f>
        <v>#REF!</v>
      </c>
      <c r="BL10" t="e">
        <f>AND('GA55 Entry'!#REF!,"AAAAAD///j8=")</f>
        <v>#REF!</v>
      </c>
      <c r="BM10" t="e">
        <f>AND('GA55 Entry'!#REF!,"AAAAAD///kA=")</f>
        <v>#REF!</v>
      </c>
      <c r="BN10" t="e">
        <f>AND('GA55 Entry'!#REF!,"AAAAAD///kE=")</f>
        <v>#REF!</v>
      </c>
      <c r="BO10" t="e">
        <f>AND('GA55 Entry'!#REF!,"AAAAAD///kI=")</f>
        <v>#REF!</v>
      </c>
      <c r="BP10" t="e">
        <f>AND('GA55 Entry'!#REF!,"AAAAAD///kM=")</f>
        <v>#REF!</v>
      </c>
      <c r="BQ10" t="e">
        <f>AND('GA55 Entry'!#REF!,"AAAAAD///kQ=")</f>
        <v>#REF!</v>
      </c>
      <c r="BR10" t="e">
        <f>AND('GA55 Entry'!#REF!,"AAAAAD///kU=")</f>
        <v>#REF!</v>
      </c>
      <c r="BS10" t="e">
        <f>AND('GA55 Entry'!#REF!,"AAAAAD///kY=")</f>
        <v>#REF!</v>
      </c>
      <c r="BT10" t="e">
        <f>AND('GA55 Entry'!#REF!,"AAAAAD///kc=")</f>
        <v>#REF!</v>
      </c>
      <c r="BU10" t="e">
        <f>AND('GA55 Entry'!#REF!,"AAAAAD///kg=")</f>
        <v>#REF!</v>
      </c>
      <c r="BV10" t="e">
        <f>AND('GA55 Entry'!#REF!,"AAAAAD///kk=")</f>
        <v>#REF!</v>
      </c>
      <c r="BW10" t="e">
        <f>AND('GA55 Entry'!#REF!,"AAAAAD///ko=")</f>
        <v>#REF!</v>
      </c>
      <c r="BX10" t="e">
        <f>AND('GA55 Entry'!#REF!,"AAAAAD///ks=")</f>
        <v>#REF!</v>
      </c>
      <c r="BY10" t="e">
        <f>AND('GA55 Entry'!#REF!,"AAAAAD///kw=")</f>
        <v>#REF!</v>
      </c>
      <c r="BZ10" t="e">
        <f>AND('GA55 Entry'!#REF!,"AAAAAD///k0=")</f>
        <v>#REF!</v>
      </c>
      <c r="CA10" t="e">
        <f>AND('GA55 Entry'!#REF!,"AAAAAD///k4=")</f>
        <v>#REF!</v>
      </c>
      <c r="CB10" t="e">
        <f>AND('GA55 Entry'!#REF!,"AAAAAD///k8=")</f>
        <v>#REF!</v>
      </c>
      <c r="CC10" t="e">
        <f>AND('GA55 Entry'!#REF!,"AAAAAD///lA=")</f>
        <v>#REF!</v>
      </c>
      <c r="CD10">
        <f>IF('GA55 Entry'!4:4,"AAAAAD///lE=",0)</f>
        <v>0</v>
      </c>
      <c r="CE10" t="e">
        <f>AND('GA55 Entry'!B4,"AAAAAD///lI=")</f>
        <v>#VALUE!</v>
      </c>
      <c r="CF10" t="e">
        <f>AND('GA55 Entry'!#REF!,"AAAAAD///lM=")</f>
        <v>#REF!</v>
      </c>
      <c r="CG10" t="e">
        <f>AND('GA55 Entry'!C4,"AAAAAD///lQ=")</f>
        <v>#VALUE!</v>
      </c>
      <c r="CH10" t="e">
        <f>AND('GA55 Entry'!#REF!,"AAAAAD///lU=")</f>
        <v>#REF!</v>
      </c>
      <c r="CI10" t="e">
        <f>AND('GA55 Entry'!#REF!,"AAAAAD///lY=")</f>
        <v>#REF!</v>
      </c>
      <c r="CJ10" t="e">
        <f>AND('GA55 Entry'!#REF!,"AAAAAD///lc=")</f>
        <v>#REF!</v>
      </c>
      <c r="CK10" t="e">
        <f>AND('GA55 Entry'!#REF!,"AAAAAD///lg=")</f>
        <v>#REF!</v>
      </c>
      <c r="CL10" t="e">
        <f>AND('GA55 Entry'!#REF!,"AAAAAD///lk=")</f>
        <v>#REF!</v>
      </c>
      <c r="CM10" t="e">
        <f>AND('GA55 Entry'!D4,"AAAAAD///lo=")</f>
        <v>#VALUE!</v>
      </c>
      <c r="CN10" t="e">
        <f>AND('GA55 Entry'!#REF!,"AAAAAD///ls=")</f>
        <v>#REF!</v>
      </c>
      <c r="CO10" t="e">
        <f>AND('GA55 Entry'!E4,"AAAAAD///lw=")</f>
        <v>#VALUE!</v>
      </c>
      <c r="CP10" t="e">
        <f>AND('GA55 Entry'!F4,"AAAAAD///l0=")</f>
        <v>#VALUE!</v>
      </c>
      <c r="CQ10" t="e">
        <f>AND('GA55 Entry'!G4,"AAAAAD///l4=")</f>
        <v>#VALUE!</v>
      </c>
      <c r="CR10" t="e">
        <f>AND('GA55 Entry'!H4,"AAAAAD///l8=")</f>
        <v>#VALUE!</v>
      </c>
      <c r="CS10" t="e">
        <f>AND('GA55 Entry'!I4,"AAAAAD///mA=")</f>
        <v>#VALUE!</v>
      </c>
      <c r="CT10" t="e">
        <f>AND('GA55 Entry'!J4,"AAAAAD///mE=")</f>
        <v>#VALUE!</v>
      </c>
      <c r="CU10" t="e">
        <f>AND('GA55 Entry'!#REF!,"AAAAAD///mI=")</f>
        <v>#REF!</v>
      </c>
      <c r="CV10" t="e">
        <f>AND('GA55 Entry'!K4,"AAAAAD///mM=")</f>
        <v>#VALUE!</v>
      </c>
      <c r="CW10" t="e">
        <f>AND('GA55 Entry'!L4,"AAAAAD///mQ=")</f>
        <v>#VALUE!</v>
      </c>
      <c r="CX10" t="e">
        <f>AND('GA55 Entry'!M4,"AAAAAD///mU=")</f>
        <v>#VALUE!</v>
      </c>
      <c r="CY10" t="e">
        <f>AND('GA55 Entry'!N4,"AAAAAD///mY=")</f>
        <v>#VALUE!</v>
      </c>
      <c r="CZ10" t="e">
        <f>AND('GA55 Entry'!O4,"AAAAAD///mc=")</f>
        <v>#VALUE!</v>
      </c>
      <c r="DA10" t="e">
        <f>AND('GA55 Entry'!P4,"AAAAAD///mg=")</f>
        <v>#VALUE!</v>
      </c>
      <c r="DB10" t="e">
        <f>AND('GA55 Entry'!Q4,"AAAAAD///mk=")</f>
        <v>#VALUE!</v>
      </c>
      <c r="DC10" t="e">
        <f>AND('GA55 Entry'!S4,"AAAAAD///mo=")</f>
        <v>#VALUE!</v>
      </c>
      <c r="DD10" t="e">
        <f>AND('GA55 Entry'!#REF!,"AAAAAD///ms=")</f>
        <v>#REF!</v>
      </c>
      <c r="DE10" t="e">
        <f>AND('GA55 Entry'!T4,"AAAAAD///mw=")</f>
        <v>#VALUE!</v>
      </c>
      <c r="DF10" t="e">
        <f>AND('GA55 Entry'!U4,"AAAAAD///m0=")</f>
        <v>#VALUE!</v>
      </c>
      <c r="DG10" t="e">
        <f>AND('GA55 Entry'!V4,"AAAAAD///m4=")</f>
        <v>#VALUE!</v>
      </c>
      <c r="DH10" t="e">
        <f>AND('GA55 Entry'!#REF!,"AAAAAD///m8=")</f>
        <v>#REF!</v>
      </c>
      <c r="DI10" t="e">
        <f>AND('GA55 Entry'!#REF!,"AAAAAD///nA=")</f>
        <v>#REF!</v>
      </c>
      <c r="DJ10" t="e">
        <f>AND('GA55 Entry'!X4,"AAAAAD///nE=")</f>
        <v>#VALUE!</v>
      </c>
      <c r="DK10" t="e">
        <f>AND('GA55 Entry'!Y4,"AAAAAD///nI=")</f>
        <v>#VALUE!</v>
      </c>
      <c r="DL10" t="e">
        <f>AND('GA55 Entry'!#REF!,"AAAAAD///nM=")</f>
        <v>#REF!</v>
      </c>
      <c r="DM10" t="e">
        <f>AND('GA55 Entry'!#REF!,"AAAAAD///nQ=")</f>
        <v>#REF!</v>
      </c>
      <c r="DN10" t="e">
        <f>AND('GA55 Entry'!#REF!,"AAAAAD///nU=")</f>
        <v>#REF!</v>
      </c>
      <c r="DO10" t="e">
        <f>AND('GA55 Entry'!#REF!,"AAAAAD///nY=")</f>
        <v>#REF!</v>
      </c>
      <c r="DP10" t="e">
        <f>AND('GA55 Entry'!#REF!,"AAAAAD///nc=")</f>
        <v>#REF!</v>
      </c>
      <c r="DQ10" t="e">
        <f>AND('GA55 Entry'!#REF!,"AAAAAD///ng=")</f>
        <v>#REF!</v>
      </c>
      <c r="DR10" t="e">
        <f>AND('GA55 Entry'!#REF!,"AAAAAD///nk=")</f>
        <v>#REF!</v>
      </c>
      <c r="DS10" t="e">
        <f>AND('GA55 Entry'!#REF!,"AAAAAD///no=")</f>
        <v>#REF!</v>
      </c>
      <c r="DT10" t="e">
        <f>AND('GA55 Entry'!#REF!,"AAAAAD///ns=")</f>
        <v>#REF!</v>
      </c>
      <c r="DU10" t="e">
        <f>AND('GA55 Entry'!Z4,"AAAAAD///nw=")</f>
        <v>#VALUE!</v>
      </c>
      <c r="DV10" t="e">
        <f>AND('GA55 Entry'!AA4,"AAAAAD///n0=")</f>
        <v>#VALUE!</v>
      </c>
      <c r="DW10" t="e">
        <f>AND('GA55 Entry'!#REF!,"AAAAAD///n4=")</f>
        <v>#REF!</v>
      </c>
      <c r="DX10" t="e">
        <f>AND('GA55 Entry'!#REF!,"AAAAAD///n8=")</f>
        <v>#REF!</v>
      </c>
      <c r="DY10" t="e">
        <f>AND('GA55 Entry'!#REF!,"AAAAAD///oA=")</f>
        <v>#REF!</v>
      </c>
      <c r="DZ10" t="e">
        <f>AND('GA55 Entry'!AB4,"AAAAAD///oE=")</f>
        <v>#VALUE!</v>
      </c>
      <c r="EA10" t="e">
        <f>AND('GA55 Entry'!AC4,"AAAAAD///oI=")</f>
        <v>#VALUE!</v>
      </c>
      <c r="EB10" t="e">
        <f>AND('GA55 Entry'!#REF!,"AAAAAD///oM=")</f>
        <v>#REF!</v>
      </c>
      <c r="EC10">
        <f>IF('GA55 Entry'!5:5,"AAAAAD///oQ=",0)</f>
        <v>0</v>
      </c>
      <c r="ED10" t="e">
        <f>AND('GA55 Entry'!B5,"AAAAAD///oU=")</f>
        <v>#VALUE!</v>
      </c>
      <c r="EE10" t="e">
        <f>AND('GA55 Entry'!#REF!,"AAAAAD///oY=")</f>
        <v>#REF!</v>
      </c>
      <c r="EF10" t="e">
        <f>AND('GA55 Entry'!C5,"AAAAAD///oc=")</f>
        <v>#VALUE!</v>
      </c>
      <c r="EG10" t="e">
        <f>AND('GA55 Entry'!#REF!,"AAAAAD///og=")</f>
        <v>#REF!</v>
      </c>
      <c r="EH10" t="e">
        <f>AND('GA55 Entry'!#REF!,"AAAAAD///ok=")</f>
        <v>#REF!</v>
      </c>
      <c r="EI10" t="e">
        <f>AND('GA55 Entry'!#REF!,"AAAAAD///oo=")</f>
        <v>#REF!</v>
      </c>
      <c r="EJ10" t="e">
        <f>AND('GA55 Entry'!#REF!,"AAAAAD///os=")</f>
        <v>#REF!</v>
      </c>
      <c r="EK10" t="e">
        <f>AND('GA55 Entry'!#REF!,"AAAAAD///ow=")</f>
        <v>#REF!</v>
      </c>
      <c r="EL10" t="e">
        <f>AND('GA55 Entry'!D5,"AAAAAD///o0=")</f>
        <v>#VALUE!</v>
      </c>
      <c r="EM10" t="e">
        <f>AND('GA55 Entry'!#REF!,"AAAAAD///o4=")</f>
        <v>#REF!</v>
      </c>
      <c r="EN10" t="e">
        <f>AND('GA55 Entry'!E5,"AAAAAD///o8=")</f>
        <v>#VALUE!</v>
      </c>
      <c r="EO10" t="e">
        <f>AND('GA55 Entry'!F5,"AAAAAD///pA=")</f>
        <v>#VALUE!</v>
      </c>
      <c r="EP10" t="e">
        <f>AND('GA55 Entry'!G5,"AAAAAD///pE=")</f>
        <v>#VALUE!</v>
      </c>
      <c r="EQ10" t="e">
        <f>AND('GA55 Entry'!H5,"AAAAAD///pI=")</f>
        <v>#VALUE!</v>
      </c>
      <c r="ER10" t="e">
        <f>AND('GA55 Entry'!I5,"AAAAAD///pM=")</f>
        <v>#VALUE!</v>
      </c>
      <c r="ES10" t="e">
        <f>AND('GA55 Entry'!J5,"AAAAAD///pQ=")</f>
        <v>#VALUE!</v>
      </c>
      <c r="ET10" t="e">
        <f>AND('GA55 Entry'!#REF!,"AAAAAD///pU=")</f>
        <v>#REF!</v>
      </c>
      <c r="EU10" t="e">
        <f>AND('GA55 Entry'!K5,"AAAAAD///pY=")</f>
        <v>#VALUE!</v>
      </c>
      <c r="EV10" t="e">
        <f>AND('GA55 Entry'!L5,"AAAAAD///pc=")</f>
        <v>#VALUE!</v>
      </c>
      <c r="EW10" t="e">
        <f>AND('GA55 Entry'!M5,"AAAAAD///pg=")</f>
        <v>#VALUE!</v>
      </c>
      <c r="EX10" t="e">
        <f>AND('GA55 Entry'!N5,"AAAAAD///pk=")</f>
        <v>#VALUE!</v>
      </c>
      <c r="EY10" t="e">
        <f>AND('GA55 Entry'!O5,"AAAAAD///po=")</f>
        <v>#VALUE!</v>
      </c>
      <c r="EZ10" t="e">
        <f>AND('GA55 Entry'!P5,"AAAAAD///ps=")</f>
        <v>#VALUE!</v>
      </c>
      <c r="FA10" t="e">
        <f>AND('GA55 Entry'!Q5,"AAAAAD///pw=")</f>
        <v>#VALUE!</v>
      </c>
      <c r="FB10" t="e">
        <f>AND('GA55 Entry'!S5,"AAAAAD///p0=")</f>
        <v>#VALUE!</v>
      </c>
      <c r="FC10" t="e">
        <f>AND('GA55 Entry'!#REF!,"AAAAAD///p4=")</f>
        <v>#REF!</v>
      </c>
      <c r="FD10" t="e">
        <f>AND('GA55 Entry'!T5,"AAAAAD///p8=")</f>
        <v>#VALUE!</v>
      </c>
      <c r="FE10" t="e">
        <f>AND('GA55 Entry'!U5,"AAAAAD///qA=")</f>
        <v>#VALUE!</v>
      </c>
      <c r="FF10" t="e">
        <f>AND('GA55 Entry'!V5,"AAAAAD///qE=")</f>
        <v>#VALUE!</v>
      </c>
      <c r="FG10" t="e">
        <f>AND('GA55 Entry'!#REF!,"AAAAAD///qI=")</f>
        <v>#REF!</v>
      </c>
      <c r="FH10" t="e">
        <f>AND('GA55 Entry'!#REF!,"AAAAAD///qM=")</f>
        <v>#REF!</v>
      </c>
      <c r="FI10" t="e">
        <f>AND('GA55 Entry'!X5,"AAAAAD///qQ=")</f>
        <v>#VALUE!</v>
      </c>
      <c r="FJ10" t="e">
        <f>AND('GA55 Entry'!Y5,"AAAAAD///qU=")</f>
        <v>#VALUE!</v>
      </c>
      <c r="FK10" t="e">
        <f>AND('GA55 Entry'!#REF!,"AAAAAD///qY=")</f>
        <v>#REF!</v>
      </c>
      <c r="FL10" t="e">
        <f>AND('GA55 Entry'!#REF!,"AAAAAD///qc=")</f>
        <v>#REF!</v>
      </c>
      <c r="FM10" t="e">
        <f>AND('GA55 Entry'!#REF!,"AAAAAD///qg=")</f>
        <v>#REF!</v>
      </c>
      <c r="FN10" t="e">
        <f>AND('GA55 Entry'!#REF!,"AAAAAD///qk=")</f>
        <v>#REF!</v>
      </c>
      <c r="FO10" t="e">
        <f>AND('GA55 Entry'!#REF!,"AAAAAD///qo=")</f>
        <v>#REF!</v>
      </c>
      <c r="FP10" t="e">
        <f>AND('GA55 Entry'!#REF!,"AAAAAD///qs=")</f>
        <v>#REF!</v>
      </c>
      <c r="FQ10" t="e">
        <f>AND('GA55 Entry'!#REF!,"AAAAAD///qw=")</f>
        <v>#REF!</v>
      </c>
      <c r="FR10" t="e">
        <f>AND('GA55 Entry'!#REF!,"AAAAAD///q0=")</f>
        <v>#REF!</v>
      </c>
      <c r="FS10" t="e">
        <f>AND('GA55 Entry'!#REF!,"AAAAAD///q4=")</f>
        <v>#REF!</v>
      </c>
      <c r="FT10" t="e">
        <f>AND('GA55 Entry'!Z5,"AAAAAD///q8=")</f>
        <v>#VALUE!</v>
      </c>
      <c r="FU10" t="e">
        <f>AND('GA55 Entry'!AA5,"AAAAAD///rA=")</f>
        <v>#VALUE!</v>
      </c>
      <c r="FV10" t="e">
        <f>AND('GA55 Entry'!#REF!,"AAAAAD///rE=")</f>
        <v>#REF!</v>
      </c>
      <c r="FW10" t="e">
        <f>AND('GA55 Entry'!#REF!,"AAAAAD///rI=")</f>
        <v>#REF!</v>
      </c>
      <c r="FX10" t="e">
        <f>AND('GA55 Entry'!#REF!,"AAAAAD///rM=")</f>
        <v>#REF!</v>
      </c>
      <c r="FY10" t="e">
        <f>AND('GA55 Entry'!AB5,"AAAAAD///rQ=")</f>
        <v>#VALUE!</v>
      </c>
      <c r="FZ10" t="e">
        <f>AND('GA55 Entry'!AC5,"AAAAAD///rU=")</f>
        <v>#VALUE!</v>
      </c>
      <c r="GA10" t="e">
        <f>AND('GA55 Entry'!#REF!,"AAAAAD///rY=")</f>
        <v>#REF!</v>
      </c>
      <c r="GB10">
        <f>IF('GA55 Entry'!7:7,"AAAAAD///rc=",0)</f>
        <v>0</v>
      </c>
      <c r="GC10" t="e">
        <f>AND('GA55 Entry'!B7,"AAAAAD///rg=")</f>
        <v>#VALUE!</v>
      </c>
      <c r="GD10" t="e">
        <f>AND('GA55 Entry'!#REF!,"AAAAAD///rk=")</f>
        <v>#REF!</v>
      </c>
      <c r="GE10" t="e">
        <f>AND('GA55 Entry'!C7,"AAAAAD///ro=")</f>
        <v>#VALUE!</v>
      </c>
      <c r="GF10" t="e">
        <f>AND('GA55 Entry'!#REF!,"AAAAAD///rs=")</f>
        <v>#REF!</v>
      </c>
      <c r="GG10" t="e">
        <f>AND('GA55 Entry'!#REF!,"AAAAAD///rw=")</f>
        <v>#REF!</v>
      </c>
      <c r="GH10" t="e">
        <f>AND('GA55 Entry'!#REF!,"AAAAAD///r0=")</f>
        <v>#REF!</v>
      </c>
      <c r="GI10" t="e">
        <f>AND('GA55 Entry'!#REF!,"AAAAAD///r4=")</f>
        <v>#REF!</v>
      </c>
      <c r="GJ10" t="e">
        <f>AND('GA55 Entry'!#REF!,"AAAAAD///r8=")</f>
        <v>#REF!</v>
      </c>
      <c r="GK10" t="e">
        <f>AND('GA55 Entry'!D7,"AAAAAD///sA=")</f>
        <v>#VALUE!</v>
      </c>
      <c r="GL10" t="e">
        <f>AND('GA55 Entry'!#REF!,"AAAAAD///sE=")</f>
        <v>#REF!</v>
      </c>
      <c r="GM10" t="e">
        <f>AND('GA55 Entry'!E7,"AAAAAD///sI=")</f>
        <v>#VALUE!</v>
      </c>
      <c r="GN10" t="e">
        <f>AND('GA55 Entry'!F7,"AAAAAD///sM=")</f>
        <v>#VALUE!</v>
      </c>
      <c r="GO10" t="e">
        <f>AND('GA55 Entry'!G7,"AAAAAD///sQ=")</f>
        <v>#VALUE!</v>
      </c>
      <c r="GP10" t="e">
        <f>AND('GA55 Entry'!H7,"AAAAAD///sU=")</f>
        <v>#VALUE!</v>
      </c>
      <c r="GQ10" t="e">
        <f>AND('GA55 Entry'!I7,"AAAAAD///sY=")</f>
        <v>#VALUE!</v>
      </c>
      <c r="GR10" t="e">
        <f>AND('GA55 Entry'!J7,"AAAAAD///sc=")</f>
        <v>#VALUE!</v>
      </c>
      <c r="GS10" t="e">
        <f>AND('GA55 Entry'!#REF!,"AAAAAD///sg=")</f>
        <v>#REF!</v>
      </c>
      <c r="GT10" t="e">
        <f>AND('GA55 Entry'!K7,"AAAAAD///sk=")</f>
        <v>#VALUE!</v>
      </c>
      <c r="GU10" t="e">
        <f>AND('GA55 Entry'!L7,"AAAAAD///so=")</f>
        <v>#VALUE!</v>
      </c>
      <c r="GV10" t="e">
        <f>AND('GA55 Entry'!M7,"AAAAAD///ss=")</f>
        <v>#VALUE!</v>
      </c>
      <c r="GW10" t="e">
        <f>AND('GA55 Entry'!N7,"AAAAAD///sw=")</f>
        <v>#VALUE!</v>
      </c>
      <c r="GX10" t="e">
        <f>AND('GA55 Entry'!O7,"AAAAAD///s0=")</f>
        <v>#VALUE!</v>
      </c>
      <c r="GY10" t="e">
        <f>AND('GA55 Entry'!P7,"AAAAAD///s4=")</f>
        <v>#VALUE!</v>
      </c>
      <c r="GZ10" t="e">
        <f>AND('GA55 Entry'!Q7,"AAAAAD///s8=")</f>
        <v>#VALUE!</v>
      </c>
      <c r="HA10" t="e">
        <f>AND('GA55 Entry'!S7,"AAAAAD///tA=")</f>
        <v>#VALUE!</v>
      </c>
      <c r="HB10" t="e">
        <f>AND('GA55 Entry'!#REF!,"AAAAAD///tE=")</f>
        <v>#REF!</v>
      </c>
      <c r="HC10" t="e">
        <f>AND('GA55 Entry'!T7,"AAAAAD///tI=")</f>
        <v>#VALUE!</v>
      </c>
      <c r="HD10" t="e">
        <f>AND('GA55 Entry'!U7,"AAAAAD///tM=")</f>
        <v>#VALUE!</v>
      </c>
      <c r="HE10" t="e">
        <f>AND('GA55 Entry'!V7,"AAAAAD///tQ=")</f>
        <v>#VALUE!</v>
      </c>
      <c r="HF10" t="e">
        <f>AND('GA55 Entry'!#REF!,"AAAAAD///tU=")</f>
        <v>#REF!</v>
      </c>
      <c r="HG10" t="e">
        <f>AND('GA55 Entry'!#REF!,"AAAAAD///tY=")</f>
        <v>#REF!</v>
      </c>
      <c r="HH10" t="e">
        <f>AND('GA55 Entry'!X7,"AAAAAD///tc=")</f>
        <v>#VALUE!</v>
      </c>
      <c r="HI10" t="e">
        <f>AND('GA55 Entry'!Y7,"AAAAAD///tg=")</f>
        <v>#VALUE!</v>
      </c>
      <c r="HJ10" t="e">
        <f>AND('GA55 Entry'!#REF!,"AAAAAD///tk=")</f>
        <v>#REF!</v>
      </c>
      <c r="HK10" t="e">
        <f>AND('GA55 Entry'!#REF!,"AAAAAD///to=")</f>
        <v>#REF!</v>
      </c>
      <c r="HL10" t="e">
        <f>AND('GA55 Entry'!#REF!,"AAAAAD///ts=")</f>
        <v>#REF!</v>
      </c>
      <c r="HM10" t="e">
        <f>AND('GA55 Entry'!#REF!,"AAAAAD///tw=")</f>
        <v>#REF!</v>
      </c>
      <c r="HN10" t="e">
        <f>AND('GA55 Entry'!#REF!,"AAAAAD///t0=")</f>
        <v>#REF!</v>
      </c>
      <c r="HO10" t="e">
        <f>AND('GA55 Entry'!#REF!,"AAAAAD///t4=")</f>
        <v>#REF!</v>
      </c>
      <c r="HP10" t="e">
        <f>AND('GA55 Entry'!#REF!,"AAAAAD///t8=")</f>
        <v>#REF!</v>
      </c>
      <c r="HQ10" t="e">
        <f>AND('GA55 Entry'!#REF!,"AAAAAD///uA=")</f>
        <v>#REF!</v>
      </c>
      <c r="HR10" t="e">
        <f>AND('GA55 Entry'!#REF!,"AAAAAD///uE=")</f>
        <v>#REF!</v>
      </c>
      <c r="HS10" t="e">
        <f>AND('GA55 Entry'!Z7,"AAAAAD///uI=")</f>
        <v>#VALUE!</v>
      </c>
      <c r="HT10" t="e">
        <f>AND('GA55 Entry'!AA7,"AAAAAD///uM=")</f>
        <v>#VALUE!</v>
      </c>
      <c r="HU10" t="e">
        <f>AND('GA55 Entry'!#REF!,"AAAAAD///uQ=")</f>
        <v>#REF!</v>
      </c>
      <c r="HV10" t="e">
        <f>AND('GA55 Entry'!#REF!,"AAAAAD///uU=")</f>
        <v>#REF!</v>
      </c>
      <c r="HW10" t="e">
        <f>AND('GA55 Entry'!#REF!,"AAAAAD///uY=")</f>
        <v>#REF!</v>
      </c>
      <c r="HX10" t="e">
        <f>AND('GA55 Entry'!AB7,"AAAAAD///uc=")</f>
        <v>#VALUE!</v>
      </c>
      <c r="HY10" t="e">
        <f>AND('GA55 Entry'!AC7,"AAAAAD///ug=")</f>
        <v>#VALUE!</v>
      </c>
      <c r="HZ10" t="e">
        <f>AND('GA55 Entry'!#REF!,"AAAAAD///uk=")</f>
        <v>#REF!</v>
      </c>
      <c r="IA10" t="e">
        <f>IF('GA55 Entry'!#REF!,"AAAAAD///uo=",0)</f>
        <v>#REF!</v>
      </c>
      <c r="IB10" t="e">
        <f>AND('GA55 Entry'!#REF!,"AAAAAD///us=")</f>
        <v>#REF!</v>
      </c>
      <c r="IC10" t="e">
        <f>AND('GA55 Entry'!#REF!,"AAAAAD///uw=")</f>
        <v>#REF!</v>
      </c>
      <c r="ID10" t="e">
        <f>AND('GA55 Entry'!#REF!,"AAAAAD///u0=")</f>
        <v>#REF!</v>
      </c>
      <c r="IE10" t="e">
        <f>AND('GA55 Entry'!#REF!,"AAAAAD///u4=")</f>
        <v>#REF!</v>
      </c>
      <c r="IF10" t="e">
        <f>AND('GA55 Entry'!#REF!,"AAAAAD///u8=")</f>
        <v>#REF!</v>
      </c>
      <c r="IG10" t="e">
        <f>AND('GA55 Entry'!#REF!,"AAAAAD///vA=")</f>
        <v>#REF!</v>
      </c>
      <c r="IH10" t="e">
        <f>AND('GA55 Entry'!#REF!,"AAAAAD///vE=")</f>
        <v>#REF!</v>
      </c>
      <c r="II10" t="e">
        <f>AND('GA55 Entry'!#REF!,"AAAAAD///vI=")</f>
        <v>#REF!</v>
      </c>
      <c r="IJ10" t="e">
        <f>AND('GA55 Entry'!#REF!,"AAAAAD///vM=")</f>
        <v>#REF!</v>
      </c>
      <c r="IK10" t="e">
        <f>AND('GA55 Entry'!#REF!,"AAAAAD///vQ=")</f>
        <v>#REF!</v>
      </c>
      <c r="IL10" t="e">
        <f>AND('GA55 Entry'!#REF!,"AAAAAD///vU=")</f>
        <v>#REF!</v>
      </c>
      <c r="IM10" t="e">
        <f>AND('GA55 Entry'!#REF!,"AAAAAD///vY=")</f>
        <v>#REF!</v>
      </c>
      <c r="IN10" t="e">
        <f>AND('GA55 Entry'!#REF!,"AAAAAD///vc=")</f>
        <v>#REF!</v>
      </c>
      <c r="IO10" t="e">
        <f>AND('GA55 Entry'!#REF!,"AAAAAD///vg=")</f>
        <v>#REF!</v>
      </c>
      <c r="IP10" t="e">
        <f>AND('GA55 Entry'!#REF!,"AAAAAD///vk=")</f>
        <v>#REF!</v>
      </c>
      <c r="IQ10" t="e">
        <f>AND('GA55 Entry'!#REF!,"AAAAAD///vo=")</f>
        <v>#REF!</v>
      </c>
      <c r="IR10" t="e">
        <f>AND('GA55 Entry'!#REF!,"AAAAAD///vs=")</f>
        <v>#REF!</v>
      </c>
      <c r="IS10" t="e">
        <f>AND('GA55 Entry'!#REF!,"AAAAAD///vw=")</f>
        <v>#REF!</v>
      </c>
      <c r="IT10" t="e">
        <f>AND('GA55 Entry'!#REF!,"AAAAAD///v0=")</f>
        <v>#REF!</v>
      </c>
      <c r="IU10" t="e">
        <f>AND('GA55 Entry'!#REF!,"AAAAAD///v4=")</f>
        <v>#REF!</v>
      </c>
      <c r="IV10" t="e">
        <f>AND('GA55 Entry'!#REF!,"AAAAAD///v8=")</f>
        <v>#REF!</v>
      </c>
    </row>
    <row r="11" spans="1:256">
      <c r="A11" t="e">
        <f>AND('GA55 Entry'!#REF!,"AAAAAG/++gA=")</f>
        <v>#REF!</v>
      </c>
      <c r="B11" t="e">
        <f>AND('GA55 Entry'!#REF!,"AAAAAG/++gE=")</f>
        <v>#REF!</v>
      </c>
      <c r="C11" t="e">
        <f>AND('GA55 Entry'!#REF!,"AAAAAG/++gI=")</f>
        <v>#REF!</v>
      </c>
      <c r="D11" t="e">
        <f>AND('GA55 Entry'!#REF!,"AAAAAG/++gM=")</f>
        <v>#REF!</v>
      </c>
      <c r="E11" t="e">
        <f>AND('GA55 Entry'!#REF!,"AAAAAG/++gQ=")</f>
        <v>#REF!</v>
      </c>
      <c r="F11" t="e">
        <f>AND('GA55 Entry'!#REF!,"AAAAAG/++gU=")</f>
        <v>#REF!</v>
      </c>
      <c r="G11" t="e">
        <f>AND('GA55 Entry'!#REF!,"AAAAAG/++gY=")</f>
        <v>#REF!</v>
      </c>
      <c r="H11" t="e">
        <f>AND('GA55 Entry'!#REF!,"AAAAAG/++gc=")</f>
        <v>#REF!</v>
      </c>
      <c r="I11" t="e">
        <f>AND('GA55 Entry'!#REF!,"AAAAAG/++gg=")</f>
        <v>#REF!</v>
      </c>
      <c r="J11" t="e">
        <f>AND('GA55 Entry'!#REF!,"AAAAAG/++gk=")</f>
        <v>#REF!</v>
      </c>
      <c r="K11" t="e">
        <f>AND('GA55 Entry'!#REF!,"AAAAAG/++go=")</f>
        <v>#REF!</v>
      </c>
      <c r="L11" t="e">
        <f>AND('GA55 Entry'!#REF!,"AAAAAG/++gs=")</f>
        <v>#REF!</v>
      </c>
      <c r="M11" t="e">
        <f>AND('GA55 Entry'!#REF!,"AAAAAG/++gw=")</f>
        <v>#REF!</v>
      </c>
      <c r="N11" t="e">
        <f>AND('GA55 Entry'!#REF!,"AAAAAG/++g0=")</f>
        <v>#REF!</v>
      </c>
      <c r="O11" t="e">
        <f>AND('GA55 Entry'!#REF!,"AAAAAG/++g4=")</f>
        <v>#REF!</v>
      </c>
      <c r="P11" t="e">
        <f>AND('GA55 Entry'!#REF!,"AAAAAG/++g8=")</f>
        <v>#REF!</v>
      </c>
      <c r="Q11" t="e">
        <f>AND('GA55 Entry'!#REF!,"AAAAAG/++hA=")</f>
        <v>#REF!</v>
      </c>
      <c r="R11" t="e">
        <f>AND('GA55 Entry'!#REF!,"AAAAAG/++hE=")</f>
        <v>#REF!</v>
      </c>
      <c r="S11" t="e">
        <f>AND('GA55 Entry'!#REF!,"AAAAAG/++hI=")</f>
        <v>#REF!</v>
      </c>
      <c r="T11" t="e">
        <f>AND('GA55 Entry'!#REF!,"AAAAAG/++hM=")</f>
        <v>#REF!</v>
      </c>
      <c r="U11" t="e">
        <f>AND('GA55 Entry'!#REF!,"AAAAAG/++hQ=")</f>
        <v>#REF!</v>
      </c>
      <c r="V11" t="e">
        <f>AND('GA55 Entry'!#REF!,"AAAAAG/++hU=")</f>
        <v>#REF!</v>
      </c>
      <c r="W11" t="e">
        <f>AND('GA55 Entry'!#REF!,"AAAAAG/++hY=")</f>
        <v>#REF!</v>
      </c>
      <c r="X11" t="e">
        <f>AND('GA55 Entry'!#REF!,"AAAAAG/++hc=")</f>
        <v>#REF!</v>
      </c>
      <c r="Y11" t="e">
        <f>AND('GA55 Entry'!#REF!,"AAAAAG/++hg=")</f>
        <v>#REF!</v>
      </c>
      <c r="Z11" t="e">
        <f>AND('GA55 Entry'!#REF!,"AAAAAG/++hk=")</f>
        <v>#REF!</v>
      </c>
      <c r="AA11" t="e">
        <f>AND('GA55 Entry'!#REF!,"AAAAAG/++ho=")</f>
        <v>#REF!</v>
      </c>
      <c r="AB11" t="e">
        <f>AND('GA55 Entry'!#REF!,"AAAAAG/++hs=")</f>
        <v>#REF!</v>
      </c>
      <c r="AC11" t="e">
        <f>AND('GA55 Entry'!#REF!,"AAAAAG/++hw=")</f>
        <v>#REF!</v>
      </c>
      <c r="AD11" t="e">
        <f>IF('GA55 Entry'!#REF!,"AAAAAG/++h0=",0)</f>
        <v>#REF!</v>
      </c>
      <c r="AE11" t="e">
        <f>AND('GA55 Entry'!#REF!,"AAAAAG/++h4=")</f>
        <v>#REF!</v>
      </c>
      <c r="AF11" t="e">
        <f>AND('GA55 Entry'!#REF!,"AAAAAG/++h8=")</f>
        <v>#REF!</v>
      </c>
      <c r="AG11" t="e">
        <f>AND('GA55 Entry'!#REF!,"AAAAAG/++iA=")</f>
        <v>#REF!</v>
      </c>
      <c r="AH11" t="e">
        <f>AND('GA55 Entry'!#REF!,"AAAAAG/++iE=")</f>
        <v>#REF!</v>
      </c>
      <c r="AI11" t="e">
        <f>AND('GA55 Entry'!#REF!,"AAAAAG/++iI=")</f>
        <v>#REF!</v>
      </c>
      <c r="AJ11" t="e">
        <f>AND('GA55 Entry'!#REF!,"AAAAAG/++iM=")</f>
        <v>#REF!</v>
      </c>
      <c r="AK11" t="e">
        <f>AND('GA55 Entry'!#REF!,"AAAAAG/++iQ=")</f>
        <v>#REF!</v>
      </c>
      <c r="AL11" t="e">
        <f>AND('GA55 Entry'!#REF!,"AAAAAG/++iU=")</f>
        <v>#REF!</v>
      </c>
      <c r="AM11" t="e">
        <f>AND('GA55 Entry'!#REF!,"AAAAAG/++iY=")</f>
        <v>#REF!</v>
      </c>
      <c r="AN11" t="e">
        <f>AND('GA55 Entry'!#REF!,"AAAAAG/++ic=")</f>
        <v>#REF!</v>
      </c>
      <c r="AO11" t="e">
        <f>AND('GA55 Entry'!#REF!,"AAAAAG/++ig=")</f>
        <v>#REF!</v>
      </c>
      <c r="AP11" t="e">
        <f>AND('GA55 Entry'!#REF!,"AAAAAG/++ik=")</f>
        <v>#REF!</v>
      </c>
      <c r="AQ11" t="e">
        <f>AND('GA55 Entry'!#REF!,"AAAAAG/++io=")</f>
        <v>#REF!</v>
      </c>
      <c r="AR11" t="e">
        <f>AND('GA55 Entry'!#REF!,"AAAAAG/++is=")</f>
        <v>#REF!</v>
      </c>
      <c r="AS11" t="e">
        <f>AND('GA55 Entry'!#REF!,"AAAAAG/++iw=")</f>
        <v>#REF!</v>
      </c>
      <c r="AT11" t="e">
        <f>AND('GA55 Entry'!#REF!,"AAAAAG/++i0=")</f>
        <v>#REF!</v>
      </c>
      <c r="AU11" t="e">
        <f>AND('GA55 Entry'!#REF!,"AAAAAG/++i4=")</f>
        <v>#REF!</v>
      </c>
      <c r="AV11" t="e">
        <f>AND('GA55 Entry'!#REF!,"AAAAAG/++i8=")</f>
        <v>#REF!</v>
      </c>
      <c r="AW11" t="e">
        <f>AND('GA55 Entry'!#REF!,"AAAAAG/++jA=")</f>
        <v>#REF!</v>
      </c>
      <c r="AX11" t="e">
        <f>AND('GA55 Entry'!#REF!,"AAAAAG/++jE=")</f>
        <v>#REF!</v>
      </c>
      <c r="AY11" t="e">
        <f>AND('GA55 Entry'!#REF!,"AAAAAG/++jI=")</f>
        <v>#REF!</v>
      </c>
      <c r="AZ11" t="e">
        <f>AND('GA55 Entry'!#REF!,"AAAAAG/++jM=")</f>
        <v>#REF!</v>
      </c>
      <c r="BA11" t="e">
        <f>AND('GA55 Entry'!#REF!,"AAAAAG/++jQ=")</f>
        <v>#REF!</v>
      </c>
      <c r="BB11" t="e">
        <f>AND('GA55 Entry'!#REF!,"AAAAAG/++jU=")</f>
        <v>#REF!</v>
      </c>
      <c r="BC11" t="e">
        <f>AND('GA55 Entry'!#REF!,"AAAAAG/++jY=")</f>
        <v>#REF!</v>
      </c>
      <c r="BD11" t="e">
        <f>AND('GA55 Entry'!#REF!,"AAAAAG/++jc=")</f>
        <v>#REF!</v>
      </c>
      <c r="BE11" t="e">
        <f>AND('GA55 Entry'!#REF!,"AAAAAG/++jg=")</f>
        <v>#REF!</v>
      </c>
      <c r="BF11" t="e">
        <f>AND('GA55 Entry'!#REF!,"AAAAAG/++jk=")</f>
        <v>#REF!</v>
      </c>
      <c r="BG11" t="e">
        <f>AND('GA55 Entry'!#REF!,"AAAAAG/++jo=")</f>
        <v>#REF!</v>
      </c>
      <c r="BH11" t="e">
        <f>AND('GA55 Entry'!#REF!,"AAAAAG/++js=")</f>
        <v>#REF!</v>
      </c>
      <c r="BI11" t="e">
        <f>AND('GA55 Entry'!#REF!,"AAAAAG/++jw=")</f>
        <v>#REF!</v>
      </c>
      <c r="BJ11" t="e">
        <f>AND('GA55 Entry'!#REF!,"AAAAAG/++j0=")</f>
        <v>#REF!</v>
      </c>
      <c r="BK11" t="e">
        <f>AND('GA55 Entry'!#REF!,"AAAAAG/++j4=")</f>
        <v>#REF!</v>
      </c>
      <c r="BL11" t="e">
        <f>AND('GA55 Entry'!#REF!,"AAAAAG/++j8=")</f>
        <v>#REF!</v>
      </c>
      <c r="BM11" t="e">
        <f>AND('GA55 Entry'!#REF!,"AAAAAG/++kA=")</f>
        <v>#REF!</v>
      </c>
      <c r="BN11" t="e">
        <f>AND('GA55 Entry'!#REF!,"AAAAAG/++kE=")</f>
        <v>#REF!</v>
      </c>
      <c r="BO11" t="e">
        <f>AND('GA55 Entry'!#REF!,"AAAAAG/++kI=")</f>
        <v>#REF!</v>
      </c>
      <c r="BP11" t="e">
        <f>AND('GA55 Entry'!#REF!,"AAAAAG/++kM=")</f>
        <v>#REF!</v>
      </c>
      <c r="BQ11" t="e">
        <f>AND('GA55 Entry'!#REF!,"AAAAAG/++kQ=")</f>
        <v>#REF!</v>
      </c>
      <c r="BR11" t="e">
        <f>AND('GA55 Entry'!#REF!,"AAAAAG/++kU=")</f>
        <v>#REF!</v>
      </c>
      <c r="BS11" t="e">
        <f>AND('GA55 Entry'!#REF!,"AAAAAG/++kY=")</f>
        <v>#REF!</v>
      </c>
      <c r="BT11" t="e">
        <f>AND('GA55 Entry'!#REF!,"AAAAAG/++kc=")</f>
        <v>#REF!</v>
      </c>
      <c r="BU11" t="e">
        <f>AND('GA55 Entry'!#REF!,"AAAAAG/++kg=")</f>
        <v>#REF!</v>
      </c>
      <c r="BV11" t="e">
        <f>AND('GA55 Entry'!#REF!,"AAAAAG/++kk=")</f>
        <v>#REF!</v>
      </c>
      <c r="BW11" t="e">
        <f>AND('GA55 Entry'!#REF!,"AAAAAG/++ko=")</f>
        <v>#REF!</v>
      </c>
      <c r="BX11" t="e">
        <f>AND('GA55 Entry'!#REF!,"AAAAAG/++ks=")</f>
        <v>#REF!</v>
      </c>
      <c r="BY11" t="e">
        <f>AND('GA55 Entry'!#REF!,"AAAAAG/++kw=")</f>
        <v>#REF!</v>
      </c>
      <c r="BZ11" t="e">
        <f>AND('GA55 Entry'!#REF!,"AAAAAG/++k0=")</f>
        <v>#REF!</v>
      </c>
      <c r="CA11" t="e">
        <f>AND('GA55 Entry'!#REF!,"AAAAAG/++k4=")</f>
        <v>#REF!</v>
      </c>
      <c r="CB11" t="e">
        <f>AND('GA55 Entry'!#REF!,"AAAAAG/++k8=")</f>
        <v>#REF!</v>
      </c>
      <c r="CC11" t="e">
        <f>IF('GA55 Entry'!#REF!,"AAAAAG/++lA=",0)</f>
        <v>#REF!</v>
      </c>
      <c r="CD11" t="e">
        <f>AND('GA55 Entry'!#REF!,"AAAAAG/++lE=")</f>
        <v>#REF!</v>
      </c>
      <c r="CE11" t="e">
        <f>AND('GA55 Entry'!#REF!,"AAAAAG/++lI=")</f>
        <v>#REF!</v>
      </c>
      <c r="CF11" t="e">
        <f>AND('GA55 Entry'!#REF!,"AAAAAG/++lM=")</f>
        <v>#REF!</v>
      </c>
      <c r="CG11" t="e">
        <f>AND('GA55 Entry'!#REF!,"AAAAAG/++lQ=")</f>
        <v>#REF!</v>
      </c>
      <c r="CH11" t="e">
        <f>AND('GA55 Entry'!#REF!,"AAAAAG/++lU=")</f>
        <v>#REF!</v>
      </c>
      <c r="CI11" t="e">
        <f>AND('GA55 Entry'!#REF!,"AAAAAG/++lY=")</f>
        <v>#REF!</v>
      </c>
      <c r="CJ11" t="e">
        <f>AND('GA55 Entry'!#REF!,"AAAAAG/++lc=")</f>
        <v>#REF!</v>
      </c>
      <c r="CK11" t="e">
        <f>AND('GA55 Entry'!#REF!,"AAAAAG/++lg=")</f>
        <v>#REF!</v>
      </c>
      <c r="CL11" t="e">
        <f>AND('GA55 Entry'!#REF!,"AAAAAG/++lk=")</f>
        <v>#REF!</v>
      </c>
      <c r="CM11" t="e">
        <f>AND('GA55 Entry'!#REF!,"AAAAAG/++lo=")</f>
        <v>#REF!</v>
      </c>
      <c r="CN11" t="e">
        <f>AND('GA55 Entry'!#REF!,"AAAAAG/++ls=")</f>
        <v>#REF!</v>
      </c>
      <c r="CO11" t="e">
        <f>AND('GA55 Entry'!#REF!,"AAAAAG/++lw=")</f>
        <v>#REF!</v>
      </c>
      <c r="CP11" t="e">
        <f>AND('GA55 Entry'!#REF!,"AAAAAG/++l0=")</f>
        <v>#REF!</v>
      </c>
      <c r="CQ11" t="e">
        <f>AND('GA55 Entry'!#REF!,"AAAAAG/++l4=")</f>
        <v>#REF!</v>
      </c>
      <c r="CR11" t="e">
        <f>AND('GA55 Entry'!#REF!,"AAAAAG/++l8=")</f>
        <v>#REF!</v>
      </c>
      <c r="CS11" t="e">
        <f>AND('GA55 Entry'!#REF!,"AAAAAG/++mA=")</f>
        <v>#REF!</v>
      </c>
      <c r="CT11" t="e">
        <f>AND('GA55 Entry'!#REF!,"AAAAAG/++mE=")</f>
        <v>#REF!</v>
      </c>
      <c r="CU11" t="e">
        <f>AND('GA55 Entry'!#REF!,"AAAAAG/++mI=")</f>
        <v>#REF!</v>
      </c>
      <c r="CV11" t="e">
        <f>AND('GA55 Entry'!#REF!,"AAAAAG/++mM=")</f>
        <v>#REF!</v>
      </c>
      <c r="CW11" t="e">
        <f>AND('GA55 Entry'!#REF!,"AAAAAG/++mQ=")</f>
        <v>#REF!</v>
      </c>
      <c r="CX11" t="e">
        <f>AND('GA55 Entry'!#REF!,"AAAAAG/++mU=")</f>
        <v>#REF!</v>
      </c>
      <c r="CY11" t="e">
        <f>AND('GA55 Entry'!#REF!,"AAAAAG/++mY=")</f>
        <v>#REF!</v>
      </c>
      <c r="CZ11" t="e">
        <f>AND('GA55 Entry'!#REF!,"AAAAAG/++mc=")</f>
        <v>#REF!</v>
      </c>
      <c r="DA11" t="e">
        <f>AND('GA55 Entry'!#REF!,"AAAAAG/++mg=")</f>
        <v>#REF!</v>
      </c>
      <c r="DB11" t="e">
        <f>AND('GA55 Entry'!#REF!,"AAAAAG/++mk=")</f>
        <v>#REF!</v>
      </c>
      <c r="DC11" t="e">
        <f>AND('GA55 Entry'!#REF!,"AAAAAG/++mo=")</f>
        <v>#REF!</v>
      </c>
      <c r="DD11" t="e">
        <f>AND('GA55 Entry'!#REF!,"AAAAAG/++ms=")</f>
        <v>#REF!</v>
      </c>
      <c r="DE11" t="e">
        <f>AND('GA55 Entry'!#REF!,"AAAAAG/++mw=")</f>
        <v>#REF!</v>
      </c>
      <c r="DF11" t="e">
        <f>AND('GA55 Entry'!#REF!,"AAAAAG/++m0=")</f>
        <v>#REF!</v>
      </c>
      <c r="DG11" t="e">
        <f>AND('GA55 Entry'!#REF!,"AAAAAG/++m4=")</f>
        <v>#REF!</v>
      </c>
      <c r="DH11" t="e">
        <f>AND('GA55 Entry'!#REF!,"AAAAAG/++m8=")</f>
        <v>#REF!</v>
      </c>
      <c r="DI11" t="e">
        <f>AND('GA55 Entry'!#REF!,"AAAAAG/++nA=")</f>
        <v>#REF!</v>
      </c>
      <c r="DJ11" t="e">
        <f>AND('GA55 Entry'!#REF!,"AAAAAG/++nE=")</f>
        <v>#REF!</v>
      </c>
      <c r="DK11" t="e">
        <f>AND('GA55 Entry'!#REF!,"AAAAAG/++nI=")</f>
        <v>#REF!</v>
      </c>
      <c r="DL11" t="e">
        <f>AND('GA55 Entry'!#REF!,"AAAAAG/++nM=")</f>
        <v>#REF!</v>
      </c>
      <c r="DM11" t="e">
        <f>AND('GA55 Entry'!#REF!,"AAAAAG/++nQ=")</f>
        <v>#REF!</v>
      </c>
      <c r="DN11" t="e">
        <f>AND('GA55 Entry'!#REF!,"AAAAAG/++nU=")</f>
        <v>#REF!</v>
      </c>
      <c r="DO11" t="e">
        <f>AND('GA55 Entry'!#REF!,"AAAAAG/++nY=")</f>
        <v>#REF!</v>
      </c>
      <c r="DP11" t="e">
        <f>AND('GA55 Entry'!#REF!,"AAAAAG/++nc=")</f>
        <v>#REF!</v>
      </c>
      <c r="DQ11" t="e">
        <f>AND('GA55 Entry'!#REF!,"AAAAAG/++ng=")</f>
        <v>#REF!</v>
      </c>
      <c r="DR11" t="e">
        <f>AND('GA55 Entry'!#REF!,"AAAAAG/++nk=")</f>
        <v>#REF!</v>
      </c>
      <c r="DS11" t="e">
        <f>AND('GA55 Entry'!#REF!,"AAAAAG/++no=")</f>
        <v>#REF!</v>
      </c>
      <c r="DT11" t="e">
        <f>AND('GA55 Entry'!#REF!,"AAAAAG/++ns=")</f>
        <v>#REF!</v>
      </c>
      <c r="DU11" t="e">
        <f>AND('GA55 Entry'!#REF!,"AAAAAG/++nw=")</f>
        <v>#REF!</v>
      </c>
      <c r="DV11" t="e">
        <f>AND('GA55 Entry'!#REF!,"AAAAAG/++n0=")</f>
        <v>#REF!</v>
      </c>
      <c r="DW11" t="e">
        <f>AND('GA55 Entry'!#REF!,"AAAAAG/++n4=")</f>
        <v>#REF!</v>
      </c>
      <c r="DX11" t="e">
        <f>AND('GA55 Entry'!#REF!,"AAAAAG/++n8=")</f>
        <v>#REF!</v>
      </c>
      <c r="DY11" t="e">
        <f>AND('GA55 Entry'!#REF!,"AAAAAG/++oA=")</f>
        <v>#REF!</v>
      </c>
      <c r="DZ11" t="e">
        <f>AND('GA55 Entry'!#REF!,"AAAAAG/++oE=")</f>
        <v>#REF!</v>
      </c>
      <c r="EA11" t="e">
        <f>AND('GA55 Entry'!#REF!,"AAAAAG/++oI=")</f>
        <v>#REF!</v>
      </c>
      <c r="EB11" t="e">
        <f>IF('GA55 Entry'!#REF!,"AAAAAG/++oM=",0)</f>
        <v>#REF!</v>
      </c>
      <c r="EC11" t="e">
        <f>AND('GA55 Entry'!#REF!,"AAAAAG/++oQ=")</f>
        <v>#REF!</v>
      </c>
      <c r="ED11" t="e">
        <f>AND('GA55 Entry'!#REF!,"AAAAAG/++oU=")</f>
        <v>#REF!</v>
      </c>
      <c r="EE11" t="e">
        <f>AND('GA55 Entry'!#REF!,"AAAAAG/++oY=")</f>
        <v>#REF!</v>
      </c>
      <c r="EF11" t="e">
        <f>AND('GA55 Entry'!#REF!,"AAAAAG/++oc=")</f>
        <v>#REF!</v>
      </c>
      <c r="EG11" t="e">
        <f>AND('GA55 Entry'!#REF!,"AAAAAG/++og=")</f>
        <v>#REF!</v>
      </c>
      <c r="EH11" t="e">
        <f>AND('GA55 Entry'!#REF!,"AAAAAG/++ok=")</f>
        <v>#REF!</v>
      </c>
      <c r="EI11" t="e">
        <f>AND('GA55 Entry'!#REF!,"AAAAAG/++oo=")</f>
        <v>#REF!</v>
      </c>
      <c r="EJ11" t="e">
        <f>AND('GA55 Entry'!#REF!,"AAAAAG/++os=")</f>
        <v>#REF!</v>
      </c>
      <c r="EK11" t="e">
        <f>AND('GA55 Entry'!#REF!,"AAAAAG/++ow=")</f>
        <v>#REF!</v>
      </c>
      <c r="EL11" t="e">
        <f>AND('GA55 Entry'!#REF!,"AAAAAG/++o0=")</f>
        <v>#REF!</v>
      </c>
      <c r="EM11" t="e">
        <f>AND('GA55 Entry'!#REF!,"AAAAAG/++o4=")</f>
        <v>#REF!</v>
      </c>
      <c r="EN11" t="e">
        <f>AND('GA55 Entry'!#REF!,"AAAAAG/++o8=")</f>
        <v>#REF!</v>
      </c>
      <c r="EO11" t="e">
        <f>AND('GA55 Entry'!#REF!,"AAAAAG/++pA=")</f>
        <v>#REF!</v>
      </c>
      <c r="EP11" t="e">
        <f>AND('GA55 Entry'!#REF!,"AAAAAG/++pE=")</f>
        <v>#REF!</v>
      </c>
      <c r="EQ11" t="e">
        <f>AND('GA55 Entry'!#REF!,"AAAAAG/++pI=")</f>
        <v>#REF!</v>
      </c>
      <c r="ER11" t="e">
        <f>AND('GA55 Entry'!#REF!,"AAAAAG/++pM=")</f>
        <v>#REF!</v>
      </c>
      <c r="ES11" t="e">
        <f>AND('GA55 Entry'!#REF!,"AAAAAG/++pQ=")</f>
        <v>#REF!</v>
      </c>
      <c r="ET11" t="e">
        <f>AND('GA55 Entry'!#REF!,"AAAAAG/++pU=")</f>
        <v>#REF!</v>
      </c>
      <c r="EU11" t="e">
        <f>AND('GA55 Entry'!#REF!,"AAAAAG/++pY=")</f>
        <v>#REF!</v>
      </c>
      <c r="EV11" t="e">
        <f>AND('GA55 Entry'!#REF!,"AAAAAG/++pc=")</f>
        <v>#REF!</v>
      </c>
      <c r="EW11" t="e">
        <f>AND('GA55 Entry'!#REF!,"AAAAAG/++pg=")</f>
        <v>#REF!</v>
      </c>
      <c r="EX11" t="e">
        <f>AND('GA55 Entry'!#REF!,"AAAAAG/++pk=")</f>
        <v>#REF!</v>
      </c>
      <c r="EY11" t="e">
        <f>AND('GA55 Entry'!#REF!,"AAAAAG/++po=")</f>
        <v>#REF!</v>
      </c>
      <c r="EZ11" t="e">
        <f>AND('GA55 Entry'!#REF!,"AAAAAG/++ps=")</f>
        <v>#REF!</v>
      </c>
      <c r="FA11" t="e">
        <f>AND('GA55 Entry'!#REF!,"AAAAAG/++pw=")</f>
        <v>#REF!</v>
      </c>
      <c r="FB11" t="e">
        <f>AND('GA55 Entry'!#REF!,"AAAAAG/++p0=")</f>
        <v>#REF!</v>
      </c>
      <c r="FC11" t="e">
        <f>AND('GA55 Entry'!#REF!,"AAAAAG/++p4=")</f>
        <v>#REF!</v>
      </c>
      <c r="FD11" t="e">
        <f>AND('GA55 Entry'!#REF!,"AAAAAG/++p8=")</f>
        <v>#REF!</v>
      </c>
      <c r="FE11" t="e">
        <f>AND('GA55 Entry'!#REF!,"AAAAAG/++qA=")</f>
        <v>#REF!</v>
      </c>
      <c r="FF11" t="e">
        <f>AND('GA55 Entry'!#REF!,"AAAAAG/++qE=")</f>
        <v>#REF!</v>
      </c>
      <c r="FG11" t="e">
        <f>AND('GA55 Entry'!#REF!,"AAAAAG/++qI=")</f>
        <v>#REF!</v>
      </c>
      <c r="FH11" t="e">
        <f>AND('GA55 Entry'!#REF!,"AAAAAG/++qM=")</f>
        <v>#REF!</v>
      </c>
      <c r="FI11" t="e">
        <f>AND('GA55 Entry'!#REF!,"AAAAAG/++qQ=")</f>
        <v>#REF!</v>
      </c>
      <c r="FJ11" t="e">
        <f>AND('GA55 Entry'!#REF!,"AAAAAG/++qU=")</f>
        <v>#REF!</v>
      </c>
      <c r="FK11" t="e">
        <f>AND('GA55 Entry'!#REF!,"AAAAAG/++qY=")</f>
        <v>#REF!</v>
      </c>
      <c r="FL11" t="e">
        <f>AND('GA55 Entry'!#REF!,"AAAAAG/++qc=")</f>
        <v>#REF!</v>
      </c>
      <c r="FM11" t="e">
        <f>AND('GA55 Entry'!#REF!,"AAAAAG/++qg=")</f>
        <v>#REF!</v>
      </c>
      <c r="FN11" t="e">
        <f>AND('GA55 Entry'!#REF!,"AAAAAG/++qk=")</f>
        <v>#REF!</v>
      </c>
      <c r="FO11" t="e">
        <f>AND('GA55 Entry'!#REF!,"AAAAAG/++qo=")</f>
        <v>#REF!</v>
      </c>
      <c r="FP11" t="e">
        <f>AND('GA55 Entry'!#REF!,"AAAAAG/++qs=")</f>
        <v>#REF!</v>
      </c>
      <c r="FQ11" t="e">
        <f>AND('GA55 Entry'!#REF!,"AAAAAG/++qw=")</f>
        <v>#REF!</v>
      </c>
      <c r="FR11" t="e">
        <f>AND('GA55 Entry'!#REF!,"AAAAAG/++q0=")</f>
        <v>#REF!</v>
      </c>
      <c r="FS11" t="e">
        <f>AND('GA55 Entry'!#REF!,"AAAAAG/++q4=")</f>
        <v>#REF!</v>
      </c>
      <c r="FT11" t="e">
        <f>AND('GA55 Entry'!#REF!,"AAAAAG/++q8=")</f>
        <v>#REF!</v>
      </c>
      <c r="FU11" t="e">
        <f>AND('GA55 Entry'!#REF!,"AAAAAG/++rA=")</f>
        <v>#REF!</v>
      </c>
      <c r="FV11" t="e">
        <f>AND('GA55 Entry'!#REF!,"AAAAAG/++rE=")</f>
        <v>#REF!</v>
      </c>
      <c r="FW11" t="e">
        <f>AND('GA55 Entry'!#REF!,"AAAAAG/++rI=")</f>
        <v>#REF!</v>
      </c>
      <c r="FX11" t="e">
        <f>AND('GA55 Entry'!#REF!,"AAAAAG/++rM=")</f>
        <v>#REF!</v>
      </c>
      <c r="FY11" t="e">
        <f>AND('GA55 Entry'!#REF!,"AAAAAG/++rQ=")</f>
        <v>#REF!</v>
      </c>
      <c r="FZ11" t="e">
        <f>AND('GA55 Entry'!#REF!,"AAAAAG/++rU=")</f>
        <v>#REF!</v>
      </c>
      <c r="GA11" t="e">
        <f>IF('GA55 Entry'!#REF!,"AAAAAG/++rY=",0)</f>
        <v>#REF!</v>
      </c>
      <c r="GB11" t="e">
        <f>AND('GA55 Entry'!#REF!,"AAAAAG/++rc=")</f>
        <v>#REF!</v>
      </c>
      <c r="GC11" t="e">
        <f>AND('GA55 Entry'!#REF!,"AAAAAG/++rg=")</f>
        <v>#REF!</v>
      </c>
      <c r="GD11" t="e">
        <f>AND('GA55 Entry'!#REF!,"AAAAAG/++rk=")</f>
        <v>#REF!</v>
      </c>
      <c r="GE11" t="e">
        <f>AND('GA55 Entry'!#REF!,"AAAAAG/++ro=")</f>
        <v>#REF!</v>
      </c>
      <c r="GF11" t="e">
        <f>AND('GA55 Entry'!#REF!,"AAAAAG/++rs=")</f>
        <v>#REF!</v>
      </c>
      <c r="GG11" t="e">
        <f>AND('GA55 Entry'!#REF!,"AAAAAG/++rw=")</f>
        <v>#REF!</v>
      </c>
      <c r="GH11" t="e">
        <f>AND('GA55 Entry'!#REF!,"AAAAAG/++r0=")</f>
        <v>#REF!</v>
      </c>
      <c r="GI11" t="e">
        <f>AND('GA55 Entry'!#REF!,"AAAAAG/++r4=")</f>
        <v>#REF!</v>
      </c>
      <c r="GJ11" t="e">
        <f>AND('GA55 Entry'!#REF!,"AAAAAG/++r8=")</f>
        <v>#REF!</v>
      </c>
      <c r="GK11" t="e">
        <f>AND('GA55 Entry'!#REF!,"AAAAAG/++sA=")</f>
        <v>#REF!</v>
      </c>
      <c r="GL11" t="e">
        <f>AND('GA55 Entry'!#REF!,"AAAAAG/++sE=")</f>
        <v>#REF!</v>
      </c>
      <c r="GM11" t="e">
        <f>AND('GA55 Entry'!#REF!,"AAAAAG/++sI=")</f>
        <v>#REF!</v>
      </c>
      <c r="GN11" t="e">
        <f>AND('GA55 Entry'!#REF!,"AAAAAG/++sM=")</f>
        <v>#REF!</v>
      </c>
      <c r="GO11" t="e">
        <f>AND('GA55 Entry'!#REF!,"AAAAAG/++sQ=")</f>
        <v>#REF!</v>
      </c>
      <c r="GP11" t="e">
        <f>AND('GA55 Entry'!#REF!,"AAAAAG/++sU=")</f>
        <v>#REF!</v>
      </c>
      <c r="GQ11" t="e">
        <f>AND('GA55 Entry'!#REF!,"AAAAAG/++sY=")</f>
        <v>#REF!</v>
      </c>
      <c r="GR11" t="e">
        <f>AND('GA55 Entry'!#REF!,"AAAAAG/++sc=")</f>
        <v>#REF!</v>
      </c>
      <c r="GS11" t="e">
        <f>AND('GA55 Entry'!#REF!,"AAAAAG/++sg=")</f>
        <v>#REF!</v>
      </c>
      <c r="GT11" t="e">
        <f>AND('GA55 Entry'!#REF!,"AAAAAG/++sk=")</f>
        <v>#REF!</v>
      </c>
      <c r="GU11" t="e">
        <f>AND('GA55 Entry'!#REF!,"AAAAAG/++so=")</f>
        <v>#REF!</v>
      </c>
      <c r="GV11" t="e">
        <f>AND('GA55 Entry'!#REF!,"AAAAAG/++ss=")</f>
        <v>#REF!</v>
      </c>
      <c r="GW11" t="e">
        <f>AND('GA55 Entry'!#REF!,"AAAAAG/++sw=")</f>
        <v>#REF!</v>
      </c>
      <c r="GX11" t="e">
        <f>AND('GA55 Entry'!#REF!,"AAAAAG/++s0=")</f>
        <v>#REF!</v>
      </c>
      <c r="GY11" t="e">
        <f>AND('GA55 Entry'!#REF!,"AAAAAG/++s4=")</f>
        <v>#REF!</v>
      </c>
      <c r="GZ11" t="e">
        <f>AND('GA55 Entry'!#REF!,"AAAAAG/++s8=")</f>
        <v>#REF!</v>
      </c>
      <c r="HA11" t="e">
        <f>AND('GA55 Entry'!#REF!,"AAAAAG/++tA=")</f>
        <v>#REF!</v>
      </c>
      <c r="HB11" t="e">
        <f>AND('GA55 Entry'!#REF!,"AAAAAG/++tE=")</f>
        <v>#REF!</v>
      </c>
      <c r="HC11" t="e">
        <f>AND('GA55 Entry'!#REF!,"AAAAAG/++tI=")</f>
        <v>#REF!</v>
      </c>
      <c r="HD11" t="e">
        <f>AND('GA55 Entry'!#REF!,"AAAAAG/++tM=")</f>
        <v>#REF!</v>
      </c>
      <c r="HE11" t="e">
        <f>AND('GA55 Entry'!#REF!,"AAAAAG/++tQ=")</f>
        <v>#REF!</v>
      </c>
      <c r="HF11" t="e">
        <f>AND('GA55 Entry'!#REF!,"AAAAAG/++tU=")</f>
        <v>#REF!</v>
      </c>
      <c r="HG11" t="e">
        <f>AND('GA55 Entry'!#REF!,"AAAAAG/++tY=")</f>
        <v>#REF!</v>
      </c>
      <c r="HH11" t="e">
        <f>AND('GA55 Entry'!#REF!,"AAAAAG/++tc=")</f>
        <v>#REF!</v>
      </c>
      <c r="HI11" t="e">
        <f>AND('GA55 Entry'!#REF!,"AAAAAG/++tg=")</f>
        <v>#REF!</v>
      </c>
      <c r="HJ11" t="e">
        <f>AND('GA55 Entry'!#REF!,"AAAAAG/++tk=")</f>
        <v>#REF!</v>
      </c>
      <c r="HK11" t="e">
        <f>AND('GA55 Entry'!#REF!,"AAAAAG/++to=")</f>
        <v>#REF!</v>
      </c>
      <c r="HL11" t="e">
        <f>AND('GA55 Entry'!#REF!,"AAAAAG/++ts=")</f>
        <v>#REF!</v>
      </c>
      <c r="HM11" t="e">
        <f>AND('GA55 Entry'!#REF!,"AAAAAG/++tw=")</f>
        <v>#REF!</v>
      </c>
      <c r="HN11" t="e">
        <f>AND('GA55 Entry'!#REF!,"AAAAAG/++t0=")</f>
        <v>#REF!</v>
      </c>
      <c r="HO11" t="e">
        <f>AND('GA55 Entry'!#REF!,"AAAAAG/++t4=")</f>
        <v>#REF!</v>
      </c>
      <c r="HP11" t="e">
        <f>AND('GA55 Entry'!#REF!,"AAAAAG/++t8=")</f>
        <v>#REF!</v>
      </c>
      <c r="HQ11" t="e">
        <f>AND('GA55 Entry'!#REF!,"AAAAAG/++uA=")</f>
        <v>#REF!</v>
      </c>
      <c r="HR11" t="e">
        <f>AND('GA55 Entry'!#REF!,"AAAAAG/++uE=")</f>
        <v>#REF!</v>
      </c>
      <c r="HS11" t="e">
        <f>AND('GA55 Entry'!#REF!,"AAAAAG/++uI=")</f>
        <v>#REF!</v>
      </c>
      <c r="HT11" t="e">
        <f>AND('GA55 Entry'!#REF!,"AAAAAG/++uM=")</f>
        <v>#REF!</v>
      </c>
      <c r="HU11" t="e">
        <f>AND('GA55 Entry'!#REF!,"AAAAAG/++uQ=")</f>
        <v>#REF!</v>
      </c>
      <c r="HV11" t="e">
        <f>AND('GA55 Entry'!#REF!,"AAAAAG/++uU=")</f>
        <v>#REF!</v>
      </c>
      <c r="HW11" t="e">
        <f>AND('GA55 Entry'!#REF!,"AAAAAG/++uY=")</f>
        <v>#REF!</v>
      </c>
      <c r="HX11" t="e">
        <f>AND('GA55 Entry'!#REF!,"AAAAAG/++uc=")</f>
        <v>#REF!</v>
      </c>
      <c r="HY11" t="e">
        <f>AND('GA55 Entry'!#REF!,"AAAAAG/++ug=")</f>
        <v>#REF!</v>
      </c>
      <c r="HZ11" t="e">
        <f>IF('GA55 Entry'!#REF!,"AAAAAG/++uk=",0)</f>
        <v>#REF!</v>
      </c>
      <c r="IA11" t="e">
        <f>AND('GA55 Entry'!#REF!,"AAAAAG/++uo=")</f>
        <v>#REF!</v>
      </c>
      <c r="IB11" t="e">
        <f>AND('GA55 Entry'!#REF!,"AAAAAG/++us=")</f>
        <v>#REF!</v>
      </c>
      <c r="IC11" t="e">
        <f>AND('GA55 Entry'!#REF!,"AAAAAG/++uw=")</f>
        <v>#REF!</v>
      </c>
      <c r="ID11" t="e">
        <f>AND('GA55 Entry'!#REF!,"AAAAAG/++u0=")</f>
        <v>#REF!</v>
      </c>
      <c r="IE11" t="e">
        <f>AND('GA55 Entry'!#REF!,"AAAAAG/++u4=")</f>
        <v>#REF!</v>
      </c>
      <c r="IF11" t="e">
        <f>AND('GA55 Entry'!#REF!,"AAAAAG/++u8=")</f>
        <v>#REF!</v>
      </c>
      <c r="IG11" t="e">
        <f>AND('GA55 Entry'!#REF!,"AAAAAG/++vA=")</f>
        <v>#REF!</v>
      </c>
      <c r="IH11" t="e">
        <f>AND('GA55 Entry'!#REF!,"AAAAAG/++vE=")</f>
        <v>#REF!</v>
      </c>
      <c r="II11" t="e">
        <f>AND('GA55 Entry'!#REF!,"AAAAAG/++vI=")</f>
        <v>#REF!</v>
      </c>
      <c r="IJ11" t="e">
        <f>AND('GA55 Entry'!#REF!,"AAAAAG/++vM=")</f>
        <v>#REF!</v>
      </c>
      <c r="IK11" t="e">
        <f>AND('GA55 Entry'!#REF!,"AAAAAG/++vQ=")</f>
        <v>#REF!</v>
      </c>
      <c r="IL11" t="e">
        <f>AND('GA55 Entry'!#REF!,"AAAAAG/++vU=")</f>
        <v>#REF!</v>
      </c>
      <c r="IM11" t="e">
        <f>AND('GA55 Entry'!#REF!,"AAAAAG/++vY=")</f>
        <v>#REF!</v>
      </c>
      <c r="IN11" t="e">
        <f>AND('GA55 Entry'!#REF!,"AAAAAG/++vc=")</f>
        <v>#REF!</v>
      </c>
      <c r="IO11" t="e">
        <f>AND('GA55 Entry'!#REF!,"AAAAAG/++vg=")</f>
        <v>#REF!</v>
      </c>
      <c r="IP11" t="e">
        <f>AND('GA55 Entry'!#REF!,"AAAAAG/++vk=")</f>
        <v>#REF!</v>
      </c>
      <c r="IQ11" t="e">
        <f>AND('GA55 Entry'!#REF!,"AAAAAG/++vo=")</f>
        <v>#REF!</v>
      </c>
      <c r="IR11" t="e">
        <f>AND('GA55 Entry'!#REF!,"AAAAAG/++vs=")</f>
        <v>#REF!</v>
      </c>
      <c r="IS11" t="e">
        <f>AND('GA55 Entry'!#REF!,"AAAAAG/++vw=")</f>
        <v>#REF!</v>
      </c>
      <c r="IT11" t="e">
        <f>AND('GA55 Entry'!#REF!,"AAAAAG/++v0=")</f>
        <v>#REF!</v>
      </c>
      <c r="IU11" t="e">
        <f>AND('GA55 Entry'!#REF!,"AAAAAG/++v4=")</f>
        <v>#REF!</v>
      </c>
      <c r="IV11" t="e">
        <f>AND('GA55 Entry'!#REF!,"AAAAAG/++v8=")</f>
        <v>#REF!</v>
      </c>
    </row>
    <row r="12" spans="1:256">
      <c r="A12" t="e">
        <f>AND('GA55 Entry'!#REF!,"AAAAAFv/+gA=")</f>
        <v>#REF!</v>
      </c>
      <c r="B12" t="e">
        <f>AND('GA55 Entry'!#REF!,"AAAAAFv/+gE=")</f>
        <v>#REF!</v>
      </c>
      <c r="C12" t="e">
        <f>AND('GA55 Entry'!#REF!,"AAAAAFv/+gI=")</f>
        <v>#REF!</v>
      </c>
      <c r="D12" t="e">
        <f>AND('GA55 Entry'!#REF!,"AAAAAFv/+gM=")</f>
        <v>#REF!</v>
      </c>
      <c r="E12" t="e">
        <f>AND('GA55 Entry'!#REF!,"AAAAAFv/+gQ=")</f>
        <v>#REF!</v>
      </c>
      <c r="F12" t="e">
        <f>AND('GA55 Entry'!#REF!,"AAAAAFv/+gU=")</f>
        <v>#REF!</v>
      </c>
      <c r="G12" t="e">
        <f>AND('GA55 Entry'!#REF!,"AAAAAFv/+gY=")</f>
        <v>#REF!</v>
      </c>
      <c r="H12" t="e">
        <f>AND('GA55 Entry'!#REF!,"AAAAAFv/+gc=")</f>
        <v>#REF!</v>
      </c>
      <c r="I12" t="e">
        <f>AND('GA55 Entry'!#REF!,"AAAAAFv/+gg=")</f>
        <v>#REF!</v>
      </c>
      <c r="J12" t="e">
        <f>AND('GA55 Entry'!#REF!,"AAAAAFv/+gk=")</f>
        <v>#REF!</v>
      </c>
      <c r="K12" t="e">
        <f>AND('GA55 Entry'!#REF!,"AAAAAFv/+go=")</f>
        <v>#REF!</v>
      </c>
      <c r="L12" t="e">
        <f>AND('GA55 Entry'!#REF!,"AAAAAFv/+gs=")</f>
        <v>#REF!</v>
      </c>
      <c r="M12" t="e">
        <f>AND('GA55 Entry'!#REF!,"AAAAAFv/+gw=")</f>
        <v>#REF!</v>
      </c>
      <c r="N12" t="e">
        <f>AND('GA55 Entry'!#REF!,"AAAAAFv/+g0=")</f>
        <v>#REF!</v>
      </c>
      <c r="O12" t="e">
        <f>AND('GA55 Entry'!#REF!,"AAAAAFv/+g4=")</f>
        <v>#REF!</v>
      </c>
      <c r="P12" t="e">
        <f>AND('GA55 Entry'!#REF!,"AAAAAFv/+g8=")</f>
        <v>#REF!</v>
      </c>
      <c r="Q12" t="e">
        <f>AND('GA55 Entry'!#REF!,"AAAAAFv/+hA=")</f>
        <v>#REF!</v>
      </c>
      <c r="R12" t="e">
        <f>AND('GA55 Entry'!#REF!,"AAAAAFv/+hE=")</f>
        <v>#REF!</v>
      </c>
      <c r="S12" t="e">
        <f>AND('GA55 Entry'!#REF!,"AAAAAFv/+hI=")</f>
        <v>#REF!</v>
      </c>
      <c r="T12" t="e">
        <f>AND('GA55 Entry'!#REF!,"AAAAAFv/+hM=")</f>
        <v>#REF!</v>
      </c>
      <c r="U12" t="e">
        <f>AND('GA55 Entry'!#REF!,"AAAAAFv/+hQ=")</f>
        <v>#REF!</v>
      </c>
      <c r="V12" t="e">
        <f>AND('GA55 Entry'!#REF!,"AAAAAFv/+hU=")</f>
        <v>#REF!</v>
      </c>
      <c r="W12" t="e">
        <f>AND('GA55 Entry'!#REF!,"AAAAAFv/+hY=")</f>
        <v>#REF!</v>
      </c>
      <c r="X12" t="e">
        <f>AND('GA55 Entry'!#REF!,"AAAAAFv/+hc=")</f>
        <v>#REF!</v>
      </c>
      <c r="Y12" t="e">
        <f>AND('GA55 Entry'!#REF!,"AAAAAFv/+hg=")</f>
        <v>#REF!</v>
      </c>
      <c r="Z12" t="e">
        <f>AND('GA55 Entry'!#REF!,"AAAAAFv/+hk=")</f>
        <v>#REF!</v>
      </c>
      <c r="AA12" t="e">
        <f>AND('GA55 Entry'!#REF!,"AAAAAFv/+ho=")</f>
        <v>#REF!</v>
      </c>
      <c r="AB12" t="e">
        <f>AND('GA55 Entry'!#REF!,"AAAAAFv/+hs=")</f>
        <v>#REF!</v>
      </c>
      <c r="AC12" t="e">
        <f>IF('GA55 Entry'!#REF!,"AAAAAFv/+hw=",0)</f>
        <v>#REF!</v>
      </c>
      <c r="AD12" t="e">
        <f>AND('GA55 Entry'!#REF!,"AAAAAFv/+h0=")</f>
        <v>#REF!</v>
      </c>
      <c r="AE12" t="e">
        <f>AND('GA55 Entry'!#REF!,"AAAAAFv/+h4=")</f>
        <v>#REF!</v>
      </c>
      <c r="AF12" t="e">
        <f>AND('GA55 Entry'!#REF!,"AAAAAFv/+h8=")</f>
        <v>#REF!</v>
      </c>
      <c r="AG12" t="e">
        <f>AND('GA55 Entry'!#REF!,"AAAAAFv/+iA=")</f>
        <v>#REF!</v>
      </c>
      <c r="AH12" t="e">
        <f>AND('GA55 Entry'!#REF!,"AAAAAFv/+iE=")</f>
        <v>#REF!</v>
      </c>
      <c r="AI12" t="e">
        <f>AND('GA55 Entry'!#REF!,"AAAAAFv/+iI=")</f>
        <v>#REF!</v>
      </c>
      <c r="AJ12" t="e">
        <f>AND('GA55 Entry'!#REF!,"AAAAAFv/+iM=")</f>
        <v>#REF!</v>
      </c>
      <c r="AK12" t="e">
        <f>AND('GA55 Entry'!#REF!,"AAAAAFv/+iQ=")</f>
        <v>#REF!</v>
      </c>
      <c r="AL12" t="e">
        <f>AND('GA55 Entry'!#REF!,"AAAAAFv/+iU=")</f>
        <v>#REF!</v>
      </c>
      <c r="AM12" t="e">
        <f>AND('GA55 Entry'!#REF!,"AAAAAFv/+iY=")</f>
        <v>#REF!</v>
      </c>
      <c r="AN12" t="e">
        <f>AND('GA55 Entry'!#REF!,"AAAAAFv/+ic=")</f>
        <v>#REF!</v>
      </c>
      <c r="AO12" t="e">
        <f>AND('GA55 Entry'!#REF!,"AAAAAFv/+ig=")</f>
        <v>#REF!</v>
      </c>
      <c r="AP12" t="e">
        <f>AND('GA55 Entry'!#REF!,"AAAAAFv/+ik=")</f>
        <v>#REF!</v>
      </c>
      <c r="AQ12" t="e">
        <f>AND('GA55 Entry'!#REF!,"AAAAAFv/+io=")</f>
        <v>#REF!</v>
      </c>
      <c r="AR12" t="e">
        <f>AND('GA55 Entry'!#REF!,"AAAAAFv/+is=")</f>
        <v>#REF!</v>
      </c>
      <c r="AS12" t="e">
        <f>AND('GA55 Entry'!#REF!,"AAAAAFv/+iw=")</f>
        <v>#REF!</v>
      </c>
      <c r="AT12" t="e">
        <f>AND('GA55 Entry'!#REF!,"AAAAAFv/+i0=")</f>
        <v>#REF!</v>
      </c>
      <c r="AU12" t="e">
        <f>AND('GA55 Entry'!#REF!,"AAAAAFv/+i4=")</f>
        <v>#REF!</v>
      </c>
      <c r="AV12" t="e">
        <f>AND('GA55 Entry'!#REF!,"AAAAAFv/+i8=")</f>
        <v>#REF!</v>
      </c>
      <c r="AW12" t="e">
        <f>AND('GA55 Entry'!#REF!,"AAAAAFv/+jA=")</f>
        <v>#REF!</v>
      </c>
      <c r="AX12" t="e">
        <f>AND('GA55 Entry'!#REF!,"AAAAAFv/+jE=")</f>
        <v>#REF!</v>
      </c>
      <c r="AY12" t="e">
        <f>AND('GA55 Entry'!#REF!,"AAAAAFv/+jI=")</f>
        <v>#REF!</v>
      </c>
      <c r="AZ12" t="e">
        <f>AND('GA55 Entry'!#REF!,"AAAAAFv/+jM=")</f>
        <v>#REF!</v>
      </c>
      <c r="BA12" t="e">
        <f>AND('GA55 Entry'!#REF!,"AAAAAFv/+jQ=")</f>
        <v>#REF!</v>
      </c>
      <c r="BB12" t="e">
        <f>AND('GA55 Entry'!#REF!,"AAAAAFv/+jU=")</f>
        <v>#REF!</v>
      </c>
      <c r="BC12" t="e">
        <f>AND('GA55 Entry'!#REF!,"AAAAAFv/+jY=")</f>
        <v>#REF!</v>
      </c>
      <c r="BD12" t="e">
        <f>AND('GA55 Entry'!#REF!,"AAAAAFv/+jc=")</f>
        <v>#REF!</v>
      </c>
      <c r="BE12" t="e">
        <f>AND('GA55 Entry'!#REF!,"AAAAAFv/+jg=")</f>
        <v>#REF!</v>
      </c>
      <c r="BF12" t="e">
        <f>AND('GA55 Entry'!#REF!,"AAAAAFv/+jk=")</f>
        <v>#REF!</v>
      </c>
      <c r="BG12" t="e">
        <f>AND('GA55 Entry'!#REF!,"AAAAAFv/+jo=")</f>
        <v>#REF!</v>
      </c>
      <c r="BH12" t="e">
        <f>AND('GA55 Entry'!#REF!,"AAAAAFv/+js=")</f>
        <v>#REF!</v>
      </c>
      <c r="BI12" t="e">
        <f>AND('GA55 Entry'!#REF!,"AAAAAFv/+jw=")</f>
        <v>#REF!</v>
      </c>
      <c r="BJ12" t="e">
        <f>AND('GA55 Entry'!#REF!,"AAAAAFv/+j0=")</f>
        <v>#REF!</v>
      </c>
      <c r="BK12" t="e">
        <f>AND('GA55 Entry'!#REF!,"AAAAAFv/+j4=")</f>
        <v>#REF!</v>
      </c>
      <c r="BL12" t="e">
        <f>AND('GA55 Entry'!#REF!,"AAAAAFv/+j8=")</f>
        <v>#REF!</v>
      </c>
      <c r="BM12" t="e">
        <f>AND('GA55 Entry'!#REF!,"AAAAAFv/+kA=")</f>
        <v>#REF!</v>
      </c>
      <c r="BN12" t="e">
        <f>AND('GA55 Entry'!#REF!,"AAAAAFv/+kE=")</f>
        <v>#REF!</v>
      </c>
      <c r="BO12" t="e">
        <f>AND('GA55 Entry'!#REF!,"AAAAAFv/+kI=")</f>
        <v>#REF!</v>
      </c>
      <c r="BP12" t="e">
        <f>AND('GA55 Entry'!#REF!,"AAAAAFv/+kM=")</f>
        <v>#REF!</v>
      </c>
      <c r="BQ12" t="e">
        <f>AND('GA55 Entry'!#REF!,"AAAAAFv/+kQ=")</f>
        <v>#REF!</v>
      </c>
      <c r="BR12" t="e">
        <f>AND('GA55 Entry'!#REF!,"AAAAAFv/+kU=")</f>
        <v>#REF!</v>
      </c>
      <c r="BS12" t="e">
        <f>AND('GA55 Entry'!#REF!,"AAAAAFv/+kY=")</f>
        <v>#REF!</v>
      </c>
      <c r="BT12" t="e">
        <f>AND('GA55 Entry'!#REF!,"AAAAAFv/+kc=")</f>
        <v>#REF!</v>
      </c>
      <c r="BU12" t="e">
        <f>AND('GA55 Entry'!#REF!,"AAAAAFv/+kg=")</f>
        <v>#REF!</v>
      </c>
      <c r="BV12" t="e">
        <f>AND('GA55 Entry'!#REF!,"AAAAAFv/+kk=")</f>
        <v>#REF!</v>
      </c>
      <c r="BW12" t="e">
        <f>AND('GA55 Entry'!#REF!,"AAAAAFv/+ko=")</f>
        <v>#REF!</v>
      </c>
      <c r="BX12" t="e">
        <f>AND('GA55 Entry'!#REF!,"AAAAAFv/+ks=")</f>
        <v>#REF!</v>
      </c>
      <c r="BY12" t="e">
        <f>AND('GA55 Entry'!#REF!,"AAAAAFv/+kw=")</f>
        <v>#REF!</v>
      </c>
      <c r="BZ12" t="e">
        <f>AND('GA55 Entry'!#REF!,"AAAAAFv/+k0=")</f>
        <v>#REF!</v>
      </c>
      <c r="CA12" t="e">
        <f>AND('GA55 Entry'!#REF!,"AAAAAFv/+k4=")</f>
        <v>#REF!</v>
      </c>
      <c r="CB12" t="e">
        <f>IF('GA55 Entry'!#REF!,"AAAAAFv/+k8=",0)</f>
        <v>#REF!</v>
      </c>
      <c r="CC12" t="e">
        <f>AND('GA55 Entry'!#REF!,"AAAAAFv/+lA=")</f>
        <v>#REF!</v>
      </c>
      <c r="CD12" t="e">
        <f>AND('GA55 Entry'!#REF!,"AAAAAFv/+lE=")</f>
        <v>#REF!</v>
      </c>
      <c r="CE12" t="e">
        <f>AND('GA55 Entry'!#REF!,"AAAAAFv/+lI=")</f>
        <v>#REF!</v>
      </c>
      <c r="CF12" t="e">
        <f>AND('GA55 Entry'!#REF!,"AAAAAFv/+lM=")</f>
        <v>#REF!</v>
      </c>
      <c r="CG12" t="e">
        <f>AND('GA55 Entry'!#REF!,"AAAAAFv/+lQ=")</f>
        <v>#REF!</v>
      </c>
      <c r="CH12" t="e">
        <f>AND('GA55 Entry'!#REF!,"AAAAAFv/+lU=")</f>
        <v>#REF!</v>
      </c>
      <c r="CI12" t="e">
        <f>AND('GA55 Entry'!#REF!,"AAAAAFv/+lY=")</f>
        <v>#REF!</v>
      </c>
      <c r="CJ12" t="e">
        <f>AND('GA55 Entry'!#REF!,"AAAAAFv/+lc=")</f>
        <v>#REF!</v>
      </c>
      <c r="CK12" t="e">
        <f>AND('GA55 Entry'!#REF!,"AAAAAFv/+lg=")</f>
        <v>#REF!</v>
      </c>
      <c r="CL12" t="e">
        <f>AND('GA55 Entry'!#REF!,"AAAAAFv/+lk=")</f>
        <v>#REF!</v>
      </c>
      <c r="CM12" t="e">
        <f>AND('GA55 Entry'!#REF!,"AAAAAFv/+lo=")</f>
        <v>#REF!</v>
      </c>
      <c r="CN12" t="e">
        <f>AND('GA55 Entry'!#REF!,"AAAAAFv/+ls=")</f>
        <v>#REF!</v>
      </c>
      <c r="CO12" t="e">
        <f>AND('GA55 Entry'!#REF!,"AAAAAFv/+lw=")</f>
        <v>#REF!</v>
      </c>
      <c r="CP12" t="e">
        <f>AND('GA55 Entry'!#REF!,"AAAAAFv/+l0=")</f>
        <v>#REF!</v>
      </c>
      <c r="CQ12" t="e">
        <f>AND('GA55 Entry'!#REF!,"AAAAAFv/+l4=")</f>
        <v>#REF!</v>
      </c>
      <c r="CR12" t="e">
        <f>AND('GA55 Entry'!#REF!,"AAAAAFv/+l8=")</f>
        <v>#REF!</v>
      </c>
      <c r="CS12" t="e">
        <f>AND('GA55 Entry'!#REF!,"AAAAAFv/+mA=")</f>
        <v>#REF!</v>
      </c>
      <c r="CT12" t="e">
        <f>AND('GA55 Entry'!#REF!,"AAAAAFv/+mE=")</f>
        <v>#REF!</v>
      </c>
      <c r="CU12" t="e">
        <f>AND('GA55 Entry'!#REF!,"AAAAAFv/+mI=")</f>
        <v>#REF!</v>
      </c>
      <c r="CV12" t="e">
        <f>AND('GA55 Entry'!#REF!,"AAAAAFv/+mM=")</f>
        <v>#REF!</v>
      </c>
      <c r="CW12" t="e">
        <f>AND('GA55 Entry'!#REF!,"AAAAAFv/+mQ=")</f>
        <v>#REF!</v>
      </c>
      <c r="CX12" t="e">
        <f>AND('GA55 Entry'!#REF!,"AAAAAFv/+mU=")</f>
        <v>#REF!</v>
      </c>
      <c r="CY12" t="e">
        <f>AND('GA55 Entry'!#REF!,"AAAAAFv/+mY=")</f>
        <v>#REF!</v>
      </c>
      <c r="CZ12" t="e">
        <f>AND('GA55 Entry'!#REF!,"AAAAAFv/+mc=")</f>
        <v>#REF!</v>
      </c>
      <c r="DA12" t="e">
        <f>AND('GA55 Entry'!#REF!,"AAAAAFv/+mg=")</f>
        <v>#REF!</v>
      </c>
      <c r="DB12" t="e">
        <f>AND('GA55 Entry'!#REF!,"AAAAAFv/+mk=")</f>
        <v>#REF!</v>
      </c>
      <c r="DC12" t="e">
        <f>AND('GA55 Entry'!#REF!,"AAAAAFv/+mo=")</f>
        <v>#REF!</v>
      </c>
      <c r="DD12" t="e">
        <f>AND('GA55 Entry'!#REF!,"AAAAAFv/+ms=")</f>
        <v>#REF!</v>
      </c>
      <c r="DE12" t="e">
        <f>AND('GA55 Entry'!#REF!,"AAAAAFv/+mw=")</f>
        <v>#REF!</v>
      </c>
      <c r="DF12" t="e">
        <f>AND('GA55 Entry'!#REF!,"AAAAAFv/+m0=")</f>
        <v>#REF!</v>
      </c>
      <c r="DG12" t="e">
        <f>AND('GA55 Entry'!#REF!,"AAAAAFv/+m4=")</f>
        <v>#REF!</v>
      </c>
      <c r="DH12" t="e">
        <f>AND('GA55 Entry'!#REF!,"AAAAAFv/+m8=")</f>
        <v>#REF!</v>
      </c>
      <c r="DI12" t="e">
        <f>AND('GA55 Entry'!#REF!,"AAAAAFv/+nA=")</f>
        <v>#REF!</v>
      </c>
      <c r="DJ12" t="e">
        <f>AND('GA55 Entry'!#REF!,"AAAAAFv/+nE=")</f>
        <v>#REF!</v>
      </c>
      <c r="DK12" t="e">
        <f>AND('GA55 Entry'!#REF!,"AAAAAFv/+nI=")</f>
        <v>#REF!</v>
      </c>
      <c r="DL12" t="e">
        <f>AND('GA55 Entry'!#REF!,"AAAAAFv/+nM=")</f>
        <v>#REF!</v>
      </c>
      <c r="DM12" t="e">
        <f>AND('GA55 Entry'!#REF!,"AAAAAFv/+nQ=")</f>
        <v>#REF!</v>
      </c>
      <c r="DN12" t="e">
        <f>AND('GA55 Entry'!#REF!,"AAAAAFv/+nU=")</f>
        <v>#REF!</v>
      </c>
      <c r="DO12" t="e">
        <f>AND('GA55 Entry'!#REF!,"AAAAAFv/+nY=")</f>
        <v>#REF!</v>
      </c>
      <c r="DP12" t="e">
        <f>AND('GA55 Entry'!#REF!,"AAAAAFv/+nc=")</f>
        <v>#REF!</v>
      </c>
      <c r="DQ12" t="e">
        <f>AND('GA55 Entry'!#REF!,"AAAAAFv/+ng=")</f>
        <v>#REF!</v>
      </c>
      <c r="DR12" t="e">
        <f>AND('GA55 Entry'!#REF!,"AAAAAFv/+nk=")</f>
        <v>#REF!</v>
      </c>
      <c r="DS12" t="e">
        <f>AND('GA55 Entry'!#REF!,"AAAAAFv/+no=")</f>
        <v>#REF!</v>
      </c>
      <c r="DT12" t="e">
        <f>AND('GA55 Entry'!#REF!,"AAAAAFv/+ns=")</f>
        <v>#REF!</v>
      </c>
      <c r="DU12" t="e">
        <f>AND('GA55 Entry'!#REF!,"AAAAAFv/+nw=")</f>
        <v>#REF!</v>
      </c>
      <c r="DV12" t="e">
        <f>AND('GA55 Entry'!#REF!,"AAAAAFv/+n0=")</f>
        <v>#REF!</v>
      </c>
      <c r="DW12" t="e">
        <f>AND('GA55 Entry'!#REF!,"AAAAAFv/+n4=")</f>
        <v>#REF!</v>
      </c>
      <c r="DX12" t="e">
        <f>AND('GA55 Entry'!#REF!,"AAAAAFv/+n8=")</f>
        <v>#REF!</v>
      </c>
      <c r="DY12" t="e">
        <f>AND('GA55 Entry'!#REF!,"AAAAAFv/+oA=")</f>
        <v>#REF!</v>
      </c>
      <c r="DZ12" t="e">
        <f>AND('GA55 Entry'!#REF!,"AAAAAFv/+oE=")</f>
        <v>#REF!</v>
      </c>
      <c r="EA12" t="e">
        <f>IF('GA55 Entry'!#REF!,"AAAAAFv/+oI=",0)</f>
        <v>#REF!</v>
      </c>
      <c r="EB12" t="e">
        <f>AND('GA55 Entry'!#REF!,"AAAAAFv/+oM=")</f>
        <v>#REF!</v>
      </c>
      <c r="EC12" t="e">
        <f>AND('GA55 Entry'!#REF!,"AAAAAFv/+oQ=")</f>
        <v>#REF!</v>
      </c>
      <c r="ED12" t="e">
        <f>AND('GA55 Entry'!#REF!,"AAAAAFv/+oU=")</f>
        <v>#REF!</v>
      </c>
      <c r="EE12" t="e">
        <f>AND('GA55 Entry'!#REF!,"AAAAAFv/+oY=")</f>
        <v>#REF!</v>
      </c>
      <c r="EF12" t="e">
        <f>AND('GA55 Entry'!#REF!,"AAAAAFv/+oc=")</f>
        <v>#REF!</v>
      </c>
      <c r="EG12" t="e">
        <f>AND('GA55 Entry'!#REF!,"AAAAAFv/+og=")</f>
        <v>#REF!</v>
      </c>
      <c r="EH12" t="e">
        <f>AND('GA55 Entry'!#REF!,"AAAAAFv/+ok=")</f>
        <v>#REF!</v>
      </c>
      <c r="EI12" t="e">
        <f>AND('GA55 Entry'!#REF!,"AAAAAFv/+oo=")</f>
        <v>#REF!</v>
      </c>
      <c r="EJ12" t="e">
        <f>AND('GA55 Entry'!#REF!,"AAAAAFv/+os=")</f>
        <v>#REF!</v>
      </c>
      <c r="EK12" t="e">
        <f>AND('GA55 Entry'!#REF!,"AAAAAFv/+ow=")</f>
        <v>#REF!</v>
      </c>
      <c r="EL12" t="e">
        <f>AND('GA55 Entry'!#REF!,"AAAAAFv/+o0=")</f>
        <v>#REF!</v>
      </c>
      <c r="EM12" t="e">
        <f>AND('GA55 Entry'!#REF!,"AAAAAFv/+o4=")</f>
        <v>#REF!</v>
      </c>
      <c r="EN12" t="e">
        <f>AND('GA55 Entry'!#REF!,"AAAAAFv/+o8=")</f>
        <v>#REF!</v>
      </c>
      <c r="EO12" t="e">
        <f>AND('GA55 Entry'!#REF!,"AAAAAFv/+pA=")</f>
        <v>#REF!</v>
      </c>
      <c r="EP12" t="e">
        <f>AND('GA55 Entry'!#REF!,"AAAAAFv/+pE=")</f>
        <v>#REF!</v>
      </c>
      <c r="EQ12" t="e">
        <f>AND('GA55 Entry'!#REF!,"AAAAAFv/+pI=")</f>
        <v>#REF!</v>
      </c>
      <c r="ER12" t="e">
        <f>AND('GA55 Entry'!#REF!,"AAAAAFv/+pM=")</f>
        <v>#REF!</v>
      </c>
      <c r="ES12" t="e">
        <f>AND('GA55 Entry'!#REF!,"AAAAAFv/+pQ=")</f>
        <v>#REF!</v>
      </c>
      <c r="ET12" t="e">
        <f>AND('GA55 Entry'!#REF!,"AAAAAFv/+pU=")</f>
        <v>#REF!</v>
      </c>
      <c r="EU12" t="e">
        <f>AND('GA55 Entry'!#REF!,"AAAAAFv/+pY=")</f>
        <v>#REF!</v>
      </c>
      <c r="EV12" t="e">
        <f>AND('GA55 Entry'!#REF!,"AAAAAFv/+pc=")</f>
        <v>#REF!</v>
      </c>
      <c r="EW12" t="e">
        <f>AND('GA55 Entry'!#REF!,"AAAAAFv/+pg=")</f>
        <v>#REF!</v>
      </c>
      <c r="EX12" t="e">
        <f>AND('GA55 Entry'!#REF!,"AAAAAFv/+pk=")</f>
        <v>#REF!</v>
      </c>
      <c r="EY12" t="e">
        <f>AND('GA55 Entry'!#REF!,"AAAAAFv/+po=")</f>
        <v>#REF!</v>
      </c>
      <c r="EZ12" t="e">
        <f>AND('GA55 Entry'!#REF!,"AAAAAFv/+ps=")</f>
        <v>#REF!</v>
      </c>
      <c r="FA12" t="e">
        <f>AND('GA55 Entry'!#REF!,"AAAAAFv/+pw=")</f>
        <v>#REF!</v>
      </c>
      <c r="FB12" t="e">
        <f>AND('GA55 Entry'!#REF!,"AAAAAFv/+p0=")</f>
        <v>#REF!</v>
      </c>
      <c r="FC12" t="e">
        <f>AND('GA55 Entry'!#REF!,"AAAAAFv/+p4=")</f>
        <v>#REF!</v>
      </c>
      <c r="FD12" t="e">
        <f>AND('GA55 Entry'!#REF!,"AAAAAFv/+p8=")</f>
        <v>#REF!</v>
      </c>
      <c r="FE12" t="e">
        <f>AND('GA55 Entry'!#REF!,"AAAAAFv/+qA=")</f>
        <v>#REF!</v>
      </c>
      <c r="FF12" t="e">
        <f>AND('GA55 Entry'!#REF!,"AAAAAFv/+qE=")</f>
        <v>#REF!</v>
      </c>
      <c r="FG12" t="e">
        <f>AND('GA55 Entry'!#REF!,"AAAAAFv/+qI=")</f>
        <v>#REF!</v>
      </c>
      <c r="FH12" t="e">
        <f>AND('GA55 Entry'!#REF!,"AAAAAFv/+qM=")</f>
        <v>#REF!</v>
      </c>
      <c r="FI12" t="e">
        <f>AND('GA55 Entry'!#REF!,"AAAAAFv/+qQ=")</f>
        <v>#REF!</v>
      </c>
      <c r="FJ12" t="e">
        <f>AND('GA55 Entry'!#REF!,"AAAAAFv/+qU=")</f>
        <v>#REF!</v>
      </c>
      <c r="FK12" t="e">
        <f>AND('GA55 Entry'!#REF!,"AAAAAFv/+qY=")</f>
        <v>#REF!</v>
      </c>
      <c r="FL12" t="e">
        <f>AND('GA55 Entry'!#REF!,"AAAAAFv/+qc=")</f>
        <v>#REF!</v>
      </c>
      <c r="FM12" t="e">
        <f>AND('GA55 Entry'!#REF!,"AAAAAFv/+qg=")</f>
        <v>#REF!</v>
      </c>
      <c r="FN12" t="e">
        <f>AND('GA55 Entry'!#REF!,"AAAAAFv/+qk=")</f>
        <v>#REF!</v>
      </c>
      <c r="FO12" t="e">
        <f>AND('GA55 Entry'!#REF!,"AAAAAFv/+qo=")</f>
        <v>#REF!</v>
      </c>
      <c r="FP12" t="e">
        <f>AND('GA55 Entry'!#REF!,"AAAAAFv/+qs=")</f>
        <v>#REF!</v>
      </c>
      <c r="FQ12" t="e">
        <f>AND('GA55 Entry'!#REF!,"AAAAAFv/+qw=")</f>
        <v>#REF!</v>
      </c>
      <c r="FR12" t="e">
        <f>AND('GA55 Entry'!#REF!,"AAAAAFv/+q0=")</f>
        <v>#REF!</v>
      </c>
      <c r="FS12" t="e">
        <f>AND('GA55 Entry'!#REF!,"AAAAAFv/+q4=")</f>
        <v>#REF!</v>
      </c>
      <c r="FT12" t="e">
        <f>AND('GA55 Entry'!#REF!,"AAAAAFv/+q8=")</f>
        <v>#REF!</v>
      </c>
      <c r="FU12" t="e">
        <f>AND('GA55 Entry'!#REF!,"AAAAAFv/+rA=")</f>
        <v>#REF!</v>
      </c>
      <c r="FV12" t="e">
        <f>AND('GA55 Entry'!#REF!,"AAAAAFv/+rE=")</f>
        <v>#REF!</v>
      </c>
      <c r="FW12" t="e">
        <f>AND('GA55 Entry'!#REF!,"AAAAAFv/+rI=")</f>
        <v>#REF!</v>
      </c>
      <c r="FX12" t="e">
        <f>AND('GA55 Entry'!#REF!,"AAAAAFv/+rM=")</f>
        <v>#REF!</v>
      </c>
      <c r="FY12" t="e">
        <f>AND('GA55 Entry'!#REF!,"AAAAAFv/+rQ=")</f>
        <v>#REF!</v>
      </c>
      <c r="FZ12" t="e">
        <f>IF('GA55 Entry'!#REF!,"AAAAAFv/+rU=",0)</f>
        <v>#REF!</v>
      </c>
      <c r="GA12" t="e">
        <f>AND('GA55 Entry'!#REF!,"AAAAAFv/+rY=")</f>
        <v>#REF!</v>
      </c>
      <c r="GB12" t="e">
        <f>AND('GA55 Entry'!#REF!,"AAAAAFv/+rc=")</f>
        <v>#REF!</v>
      </c>
      <c r="GC12" t="e">
        <f>AND('GA55 Entry'!#REF!,"AAAAAFv/+rg=")</f>
        <v>#REF!</v>
      </c>
      <c r="GD12" t="e">
        <f>AND('GA55 Entry'!#REF!,"AAAAAFv/+rk=")</f>
        <v>#REF!</v>
      </c>
      <c r="GE12" t="e">
        <f>AND('GA55 Entry'!#REF!,"AAAAAFv/+ro=")</f>
        <v>#REF!</v>
      </c>
      <c r="GF12" t="e">
        <f>AND('GA55 Entry'!#REF!,"AAAAAFv/+rs=")</f>
        <v>#REF!</v>
      </c>
      <c r="GG12" t="e">
        <f>AND('GA55 Entry'!#REF!,"AAAAAFv/+rw=")</f>
        <v>#REF!</v>
      </c>
      <c r="GH12" t="e">
        <f>AND('GA55 Entry'!#REF!,"AAAAAFv/+r0=")</f>
        <v>#REF!</v>
      </c>
      <c r="GI12" t="e">
        <f>AND('GA55 Entry'!#REF!,"AAAAAFv/+r4=")</f>
        <v>#REF!</v>
      </c>
      <c r="GJ12" t="e">
        <f>AND('GA55 Entry'!#REF!,"AAAAAFv/+r8=")</f>
        <v>#REF!</v>
      </c>
      <c r="GK12" t="e">
        <f>AND('GA55 Entry'!#REF!,"AAAAAFv/+sA=")</f>
        <v>#REF!</v>
      </c>
      <c r="GL12" t="e">
        <f>AND('GA55 Entry'!#REF!,"AAAAAFv/+sE=")</f>
        <v>#REF!</v>
      </c>
      <c r="GM12" t="e">
        <f>AND('GA55 Entry'!#REF!,"AAAAAFv/+sI=")</f>
        <v>#REF!</v>
      </c>
      <c r="GN12" t="e">
        <f>AND('GA55 Entry'!#REF!,"AAAAAFv/+sM=")</f>
        <v>#REF!</v>
      </c>
      <c r="GO12" t="e">
        <f>AND('GA55 Entry'!#REF!,"AAAAAFv/+sQ=")</f>
        <v>#REF!</v>
      </c>
      <c r="GP12" t="e">
        <f>AND('GA55 Entry'!#REF!,"AAAAAFv/+sU=")</f>
        <v>#REF!</v>
      </c>
      <c r="GQ12" t="e">
        <f>AND('GA55 Entry'!#REF!,"AAAAAFv/+sY=")</f>
        <v>#REF!</v>
      </c>
      <c r="GR12" t="e">
        <f>AND('GA55 Entry'!#REF!,"AAAAAFv/+sc=")</f>
        <v>#REF!</v>
      </c>
      <c r="GS12" t="e">
        <f>AND('GA55 Entry'!#REF!,"AAAAAFv/+sg=")</f>
        <v>#REF!</v>
      </c>
      <c r="GT12" t="e">
        <f>AND('GA55 Entry'!#REF!,"AAAAAFv/+sk=")</f>
        <v>#REF!</v>
      </c>
      <c r="GU12" t="e">
        <f>AND('GA55 Entry'!#REF!,"AAAAAFv/+so=")</f>
        <v>#REF!</v>
      </c>
      <c r="GV12" t="e">
        <f>AND('GA55 Entry'!#REF!,"AAAAAFv/+ss=")</f>
        <v>#REF!</v>
      </c>
      <c r="GW12" t="e">
        <f>AND('GA55 Entry'!#REF!,"AAAAAFv/+sw=")</f>
        <v>#REF!</v>
      </c>
      <c r="GX12" t="e">
        <f>AND('GA55 Entry'!#REF!,"AAAAAFv/+s0=")</f>
        <v>#REF!</v>
      </c>
      <c r="GY12" t="e">
        <f>AND('GA55 Entry'!#REF!,"AAAAAFv/+s4=")</f>
        <v>#REF!</v>
      </c>
      <c r="GZ12" t="e">
        <f>AND('GA55 Entry'!#REF!,"AAAAAFv/+s8=")</f>
        <v>#REF!</v>
      </c>
      <c r="HA12" t="e">
        <f>AND('GA55 Entry'!#REF!,"AAAAAFv/+tA=")</f>
        <v>#REF!</v>
      </c>
      <c r="HB12" t="e">
        <f>AND('GA55 Entry'!#REF!,"AAAAAFv/+tE=")</f>
        <v>#REF!</v>
      </c>
      <c r="HC12" t="e">
        <f>AND('GA55 Entry'!#REF!,"AAAAAFv/+tI=")</f>
        <v>#REF!</v>
      </c>
      <c r="HD12" t="e">
        <f>AND('GA55 Entry'!#REF!,"AAAAAFv/+tM=")</f>
        <v>#REF!</v>
      </c>
      <c r="HE12" t="e">
        <f>AND('GA55 Entry'!#REF!,"AAAAAFv/+tQ=")</f>
        <v>#REF!</v>
      </c>
      <c r="HF12" t="e">
        <f>AND('GA55 Entry'!#REF!,"AAAAAFv/+tU=")</f>
        <v>#REF!</v>
      </c>
      <c r="HG12" t="e">
        <f>AND('GA55 Entry'!#REF!,"AAAAAFv/+tY=")</f>
        <v>#REF!</v>
      </c>
      <c r="HH12" t="e">
        <f>AND('GA55 Entry'!#REF!,"AAAAAFv/+tc=")</f>
        <v>#REF!</v>
      </c>
      <c r="HI12" t="e">
        <f>AND('GA55 Entry'!#REF!,"AAAAAFv/+tg=")</f>
        <v>#REF!</v>
      </c>
      <c r="HJ12" t="e">
        <f>AND('GA55 Entry'!#REF!,"AAAAAFv/+tk=")</f>
        <v>#REF!</v>
      </c>
      <c r="HK12" t="e">
        <f>AND('GA55 Entry'!#REF!,"AAAAAFv/+to=")</f>
        <v>#REF!</v>
      </c>
      <c r="HL12" t="e">
        <f>AND('GA55 Entry'!#REF!,"AAAAAFv/+ts=")</f>
        <v>#REF!</v>
      </c>
      <c r="HM12" t="e">
        <f>AND('GA55 Entry'!#REF!,"AAAAAFv/+tw=")</f>
        <v>#REF!</v>
      </c>
      <c r="HN12" t="e">
        <f>AND('GA55 Entry'!#REF!,"AAAAAFv/+t0=")</f>
        <v>#REF!</v>
      </c>
      <c r="HO12" t="e">
        <f>AND('GA55 Entry'!#REF!,"AAAAAFv/+t4=")</f>
        <v>#REF!</v>
      </c>
      <c r="HP12" t="e">
        <f>AND('GA55 Entry'!#REF!,"AAAAAFv/+t8=")</f>
        <v>#REF!</v>
      </c>
      <c r="HQ12" t="e">
        <f>AND('GA55 Entry'!#REF!,"AAAAAFv/+uA=")</f>
        <v>#REF!</v>
      </c>
      <c r="HR12" t="e">
        <f>AND('GA55 Entry'!#REF!,"AAAAAFv/+uE=")</f>
        <v>#REF!</v>
      </c>
      <c r="HS12" t="e">
        <f>AND('GA55 Entry'!#REF!,"AAAAAFv/+uI=")</f>
        <v>#REF!</v>
      </c>
      <c r="HT12" t="e">
        <f>AND('GA55 Entry'!#REF!,"AAAAAFv/+uM=")</f>
        <v>#REF!</v>
      </c>
      <c r="HU12" t="e">
        <f>AND('GA55 Entry'!#REF!,"AAAAAFv/+uQ=")</f>
        <v>#REF!</v>
      </c>
      <c r="HV12" t="e">
        <f>AND('GA55 Entry'!#REF!,"AAAAAFv/+uU=")</f>
        <v>#REF!</v>
      </c>
      <c r="HW12" t="e">
        <f>AND('GA55 Entry'!#REF!,"AAAAAFv/+uY=")</f>
        <v>#REF!</v>
      </c>
      <c r="HX12" t="e">
        <f>AND('GA55 Entry'!#REF!,"AAAAAFv/+uc=")</f>
        <v>#REF!</v>
      </c>
      <c r="HY12" t="e">
        <f>IF('GA55 Entry'!#REF!,"AAAAAFv/+ug=",0)</f>
        <v>#REF!</v>
      </c>
      <c r="HZ12" t="e">
        <f>AND('GA55 Entry'!#REF!,"AAAAAFv/+uk=")</f>
        <v>#REF!</v>
      </c>
      <c r="IA12" t="e">
        <f>AND('GA55 Entry'!#REF!,"AAAAAFv/+uo=")</f>
        <v>#REF!</v>
      </c>
      <c r="IB12" t="e">
        <f>AND('GA55 Entry'!#REF!,"AAAAAFv/+us=")</f>
        <v>#REF!</v>
      </c>
      <c r="IC12" t="e">
        <f>AND('GA55 Entry'!#REF!,"AAAAAFv/+uw=")</f>
        <v>#REF!</v>
      </c>
      <c r="ID12" t="e">
        <f>AND('GA55 Entry'!#REF!,"AAAAAFv/+u0=")</f>
        <v>#REF!</v>
      </c>
      <c r="IE12" t="e">
        <f>AND('GA55 Entry'!#REF!,"AAAAAFv/+u4=")</f>
        <v>#REF!</v>
      </c>
      <c r="IF12" t="e">
        <f>AND('GA55 Entry'!#REF!,"AAAAAFv/+u8=")</f>
        <v>#REF!</v>
      </c>
      <c r="IG12" t="e">
        <f>AND('GA55 Entry'!#REF!,"AAAAAFv/+vA=")</f>
        <v>#REF!</v>
      </c>
      <c r="IH12" t="e">
        <f>AND('GA55 Entry'!#REF!,"AAAAAFv/+vE=")</f>
        <v>#REF!</v>
      </c>
      <c r="II12" t="e">
        <f>AND('GA55 Entry'!#REF!,"AAAAAFv/+vI=")</f>
        <v>#REF!</v>
      </c>
      <c r="IJ12" t="e">
        <f>AND('GA55 Entry'!#REF!,"AAAAAFv/+vM=")</f>
        <v>#REF!</v>
      </c>
      <c r="IK12" t="e">
        <f>AND('GA55 Entry'!#REF!,"AAAAAFv/+vQ=")</f>
        <v>#REF!</v>
      </c>
      <c r="IL12" t="e">
        <f>AND('GA55 Entry'!#REF!,"AAAAAFv/+vU=")</f>
        <v>#REF!</v>
      </c>
      <c r="IM12" t="e">
        <f>AND('GA55 Entry'!#REF!,"AAAAAFv/+vY=")</f>
        <v>#REF!</v>
      </c>
      <c r="IN12" t="e">
        <f>AND('GA55 Entry'!#REF!,"AAAAAFv/+vc=")</f>
        <v>#REF!</v>
      </c>
      <c r="IO12" t="e">
        <f>AND('GA55 Entry'!#REF!,"AAAAAFv/+vg=")</f>
        <v>#REF!</v>
      </c>
      <c r="IP12" t="e">
        <f>AND('GA55 Entry'!#REF!,"AAAAAFv/+vk=")</f>
        <v>#REF!</v>
      </c>
      <c r="IQ12" t="e">
        <f>AND('GA55 Entry'!#REF!,"AAAAAFv/+vo=")</f>
        <v>#REF!</v>
      </c>
      <c r="IR12" t="e">
        <f>AND('GA55 Entry'!#REF!,"AAAAAFv/+vs=")</f>
        <v>#REF!</v>
      </c>
      <c r="IS12" t="e">
        <f>AND('GA55 Entry'!#REF!,"AAAAAFv/+vw=")</f>
        <v>#REF!</v>
      </c>
      <c r="IT12" t="e">
        <f>AND('GA55 Entry'!#REF!,"AAAAAFv/+v0=")</f>
        <v>#REF!</v>
      </c>
      <c r="IU12" t="e">
        <f>AND('GA55 Entry'!#REF!,"AAAAAFv/+v4=")</f>
        <v>#REF!</v>
      </c>
      <c r="IV12" t="e">
        <f>AND('GA55 Entry'!#REF!,"AAAAAFv/+v8=")</f>
        <v>#REF!</v>
      </c>
    </row>
    <row r="13" spans="1:256">
      <c r="A13" t="e">
        <f>AND('GA55 Entry'!#REF!,"AAAAADp/rwA=")</f>
        <v>#REF!</v>
      </c>
      <c r="B13" t="e">
        <f>AND('GA55 Entry'!#REF!,"AAAAADp/rwE=")</f>
        <v>#REF!</v>
      </c>
      <c r="C13" t="e">
        <f>AND('GA55 Entry'!#REF!,"AAAAADp/rwI=")</f>
        <v>#REF!</v>
      </c>
      <c r="D13" t="e">
        <f>AND('GA55 Entry'!#REF!,"AAAAADp/rwM=")</f>
        <v>#REF!</v>
      </c>
      <c r="E13" t="e">
        <f>AND('GA55 Entry'!#REF!,"AAAAADp/rwQ=")</f>
        <v>#REF!</v>
      </c>
      <c r="F13" t="e">
        <f>AND('GA55 Entry'!#REF!,"AAAAADp/rwU=")</f>
        <v>#REF!</v>
      </c>
      <c r="G13" t="e">
        <f>AND('GA55 Entry'!#REF!,"AAAAADp/rwY=")</f>
        <v>#REF!</v>
      </c>
      <c r="H13" t="e">
        <f>AND('GA55 Entry'!#REF!,"AAAAADp/rwc=")</f>
        <v>#REF!</v>
      </c>
      <c r="I13" t="e">
        <f>AND('GA55 Entry'!#REF!,"AAAAADp/rwg=")</f>
        <v>#REF!</v>
      </c>
      <c r="J13" t="e">
        <f>AND('GA55 Entry'!#REF!,"AAAAADp/rwk=")</f>
        <v>#REF!</v>
      </c>
      <c r="K13" t="e">
        <f>AND('GA55 Entry'!#REF!,"AAAAADp/rwo=")</f>
        <v>#REF!</v>
      </c>
      <c r="L13" t="e">
        <f>AND('GA55 Entry'!#REF!,"AAAAADp/rws=")</f>
        <v>#REF!</v>
      </c>
      <c r="M13" t="e">
        <f>AND('GA55 Entry'!#REF!,"AAAAADp/rww=")</f>
        <v>#REF!</v>
      </c>
      <c r="N13" t="e">
        <f>AND('GA55 Entry'!#REF!,"AAAAADp/rw0=")</f>
        <v>#REF!</v>
      </c>
      <c r="O13" t="e">
        <f>AND('GA55 Entry'!#REF!,"AAAAADp/rw4=")</f>
        <v>#REF!</v>
      </c>
      <c r="P13" t="e">
        <f>AND('GA55 Entry'!#REF!,"AAAAADp/rw8=")</f>
        <v>#REF!</v>
      </c>
      <c r="Q13" t="e">
        <f>AND('GA55 Entry'!#REF!,"AAAAADp/rxA=")</f>
        <v>#REF!</v>
      </c>
      <c r="R13" t="e">
        <f>AND('GA55 Entry'!#REF!,"AAAAADp/rxE=")</f>
        <v>#REF!</v>
      </c>
      <c r="S13" t="e">
        <f>AND('GA55 Entry'!#REF!,"AAAAADp/rxI=")</f>
        <v>#REF!</v>
      </c>
      <c r="T13" t="e">
        <f>AND('GA55 Entry'!#REF!,"AAAAADp/rxM=")</f>
        <v>#REF!</v>
      </c>
      <c r="U13" t="e">
        <f>AND('GA55 Entry'!#REF!,"AAAAADp/rxQ=")</f>
        <v>#REF!</v>
      </c>
      <c r="V13" t="e">
        <f>AND('GA55 Entry'!#REF!,"AAAAADp/rxU=")</f>
        <v>#REF!</v>
      </c>
      <c r="W13" t="e">
        <f>AND('GA55 Entry'!#REF!,"AAAAADp/rxY=")</f>
        <v>#REF!</v>
      </c>
      <c r="X13" t="e">
        <f>AND('GA55 Entry'!#REF!,"AAAAADp/rxc=")</f>
        <v>#REF!</v>
      </c>
      <c r="Y13" t="e">
        <f>AND('GA55 Entry'!#REF!,"AAAAADp/rxg=")</f>
        <v>#REF!</v>
      </c>
      <c r="Z13" t="e">
        <f>AND('GA55 Entry'!#REF!,"AAAAADp/rxk=")</f>
        <v>#REF!</v>
      </c>
      <c r="AA13" t="e">
        <f>AND('GA55 Entry'!#REF!,"AAAAADp/rxo=")</f>
        <v>#REF!</v>
      </c>
      <c r="AB13">
        <f>IF('GA55 Entry'!8:8,"AAAAADp/rxs=",0)</f>
        <v>0</v>
      </c>
      <c r="AC13" t="e">
        <f>AND('GA55 Entry'!B8,"AAAAADp/rxw=")</f>
        <v>#VALUE!</v>
      </c>
      <c r="AD13" t="e">
        <f>AND('GA55 Entry'!#REF!,"AAAAADp/rx0=")</f>
        <v>#REF!</v>
      </c>
      <c r="AE13" t="e">
        <f>AND('GA55 Entry'!C8,"AAAAADp/rx4=")</f>
        <v>#VALUE!</v>
      </c>
      <c r="AF13" t="e">
        <f>AND('GA55 Entry'!#REF!,"AAAAADp/rx8=")</f>
        <v>#REF!</v>
      </c>
      <c r="AG13" t="e">
        <f>AND('GA55 Entry'!#REF!,"AAAAADp/ryA=")</f>
        <v>#REF!</v>
      </c>
      <c r="AH13" t="e">
        <f>AND('GA55 Entry'!#REF!,"AAAAADp/ryE=")</f>
        <v>#REF!</v>
      </c>
      <c r="AI13" t="e">
        <f>AND('GA55 Entry'!#REF!,"AAAAADp/ryI=")</f>
        <v>#REF!</v>
      </c>
      <c r="AJ13" t="e">
        <f>AND('GA55 Entry'!#REF!,"AAAAADp/ryM=")</f>
        <v>#REF!</v>
      </c>
      <c r="AK13" t="e">
        <f>AND('GA55 Entry'!D8,"AAAAADp/ryQ=")</f>
        <v>#VALUE!</v>
      </c>
      <c r="AL13" t="e">
        <f>AND('GA55 Entry'!#REF!,"AAAAADp/ryU=")</f>
        <v>#REF!</v>
      </c>
      <c r="AM13" t="e">
        <f>AND('GA55 Entry'!E8,"AAAAADp/ryY=")</f>
        <v>#VALUE!</v>
      </c>
      <c r="AN13" t="e">
        <f>AND('GA55 Entry'!F8,"AAAAADp/ryc=")</f>
        <v>#VALUE!</v>
      </c>
      <c r="AO13" t="e">
        <f>AND('GA55 Entry'!G8,"AAAAADp/ryg=")</f>
        <v>#VALUE!</v>
      </c>
      <c r="AP13" t="e">
        <f>AND('GA55 Entry'!H8,"AAAAADp/ryk=")</f>
        <v>#VALUE!</v>
      </c>
      <c r="AQ13" t="e">
        <f>AND('GA55 Entry'!I8,"AAAAADp/ryo=")</f>
        <v>#VALUE!</v>
      </c>
      <c r="AR13" t="e">
        <f>AND('GA55 Entry'!J8,"AAAAADp/rys=")</f>
        <v>#VALUE!</v>
      </c>
      <c r="AS13" t="e">
        <f>AND('GA55 Entry'!#REF!,"AAAAADp/ryw=")</f>
        <v>#REF!</v>
      </c>
      <c r="AT13" t="e">
        <f>AND('GA55 Entry'!K8,"AAAAADp/ry0=")</f>
        <v>#VALUE!</v>
      </c>
      <c r="AU13" t="e">
        <f>AND('GA55 Entry'!L8,"AAAAADp/ry4=")</f>
        <v>#VALUE!</v>
      </c>
      <c r="AV13" t="e">
        <f>AND('GA55 Entry'!M8,"AAAAADp/ry8=")</f>
        <v>#VALUE!</v>
      </c>
      <c r="AW13" t="e">
        <f>AND('GA55 Entry'!N8,"AAAAADp/rzA=")</f>
        <v>#VALUE!</v>
      </c>
      <c r="AX13" t="e">
        <f>AND('GA55 Entry'!O8,"AAAAADp/rzE=")</f>
        <v>#VALUE!</v>
      </c>
      <c r="AY13" t="e">
        <f>AND('GA55 Entry'!P8,"AAAAADp/rzI=")</f>
        <v>#VALUE!</v>
      </c>
      <c r="AZ13" t="e">
        <f>AND('GA55 Entry'!Q8,"AAAAADp/rzM=")</f>
        <v>#VALUE!</v>
      </c>
      <c r="BA13" t="e">
        <f>AND('GA55 Entry'!S8,"AAAAADp/rzQ=")</f>
        <v>#VALUE!</v>
      </c>
      <c r="BB13" t="e">
        <f>AND('GA55 Entry'!#REF!,"AAAAADp/rzU=")</f>
        <v>#REF!</v>
      </c>
      <c r="BC13" t="e">
        <f>AND('GA55 Entry'!T8,"AAAAADp/rzY=")</f>
        <v>#VALUE!</v>
      </c>
      <c r="BD13" t="e">
        <f>AND('GA55 Entry'!U8,"AAAAADp/rzc=")</f>
        <v>#VALUE!</v>
      </c>
      <c r="BE13" t="e">
        <f>AND('GA55 Entry'!V8,"AAAAADp/rzg=")</f>
        <v>#VALUE!</v>
      </c>
      <c r="BF13" t="e">
        <f>AND('GA55 Entry'!#REF!,"AAAAADp/rzk=")</f>
        <v>#REF!</v>
      </c>
      <c r="BG13" t="e">
        <f>AND('GA55 Entry'!#REF!,"AAAAADp/rzo=")</f>
        <v>#REF!</v>
      </c>
      <c r="BH13" t="e">
        <f>AND('GA55 Entry'!X8,"AAAAADp/rzs=")</f>
        <v>#VALUE!</v>
      </c>
      <c r="BI13" t="e">
        <f>AND('GA55 Entry'!Y8,"AAAAADp/rzw=")</f>
        <v>#VALUE!</v>
      </c>
      <c r="BJ13" t="e">
        <f>AND('GA55 Entry'!#REF!,"AAAAADp/rz0=")</f>
        <v>#REF!</v>
      </c>
      <c r="BK13" t="e">
        <f>AND('GA55 Entry'!#REF!,"AAAAADp/rz4=")</f>
        <v>#REF!</v>
      </c>
      <c r="BL13" t="e">
        <f>AND('GA55 Entry'!#REF!,"AAAAADp/rz8=")</f>
        <v>#REF!</v>
      </c>
      <c r="BM13" t="e">
        <f>AND('GA55 Entry'!#REF!,"AAAAADp/r0A=")</f>
        <v>#REF!</v>
      </c>
      <c r="BN13" t="e">
        <f>AND('GA55 Entry'!#REF!,"AAAAADp/r0E=")</f>
        <v>#REF!</v>
      </c>
      <c r="BO13" t="e">
        <f>AND('GA55 Entry'!#REF!,"AAAAADp/r0I=")</f>
        <v>#REF!</v>
      </c>
      <c r="BP13" t="e">
        <f>AND('GA55 Entry'!#REF!,"AAAAADp/r0M=")</f>
        <v>#REF!</v>
      </c>
      <c r="BQ13" t="e">
        <f>AND('GA55 Entry'!#REF!,"AAAAADp/r0Q=")</f>
        <v>#REF!</v>
      </c>
      <c r="BR13" t="e">
        <f>AND('GA55 Entry'!#REF!,"AAAAADp/r0U=")</f>
        <v>#REF!</v>
      </c>
      <c r="BS13" t="e">
        <f>AND('GA55 Entry'!Z8,"AAAAADp/r0Y=")</f>
        <v>#VALUE!</v>
      </c>
      <c r="BT13" t="e">
        <f>AND('GA55 Entry'!AA8,"AAAAADp/r0c=")</f>
        <v>#VALUE!</v>
      </c>
      <c r="BU13" t="e">
        <f>AND('GA55 Entry'!#REF!,"AAAAADp/r0g=")</f>
        <v>#REF!</v>
      </c>
      <c r="BV13" t="e">
        <f>AND('GA55 Entry'!#REF!,"AAAAADp/r0k=")</f>
        <v>#REF!</v>
      </c>
      <c r="BW13" t="e">
        <f>AND('GA55 Entry'!#REF!,"AAAAADp/r0o=")</f>
        <v>#REF!</v>
      </c>
      <c r="BX13" t="e">
        <f>AND('GA55 Entry'!AB8,"AAAAADp/r0s=")</f>
        <v>#VALUE!</v>
      </c>
      <c r="BY13" t="e">
        <f>AND('GA55 Entry'!AC8,"AAAAADp/r0w=")</f>
        <v>#VALUE!</v>
      </c>
      <c r="BZ13" t="e">
        <f>AND('GA55 Entry'!#REF!,"AAAAADp/r00=")</f>
        <v>#REF!</v>
      </c>
      <c r="CA13" t="e">
        <f>IF('GA55 Entry'!#REF!,"AAAAADp/r04=",0)</f>
        <v>#REF!</v>
      </c>
      <c r="CB13" t="e">
        <f>AND('GA55 Entry'!#REF!,"AAAAADp/r08=")</f>
        <v>#REF!</v>
      </c>
      <c r="CC13" t="e">
        <f>AND('GA55 Entry'!#REF!,"AAAAADp/r1A=")</f>
        <v>#REF!</v>
      </c>
      <c r="CD13" t="e">
        <f>AND('GA55 Entry'!#REF!,"AAAAADp/r1E=")</f>
        <v>#REF!</v>
      </c>
      <c r="CE13" t="e">
        <f>AND('GA55 Entry'!#REF!,"AAAAADp/r1I=")</f>
        <v>#REF!</v>
      </c>
      <c r="CF13" t="e">
        <f>AND('GA55 Entry'!#REF!,"AAAAADp/r1M=")</f>
        <v>#REF!</v>
      </c>
      <c r="CG13" t="e">
        <f>AND('GA55 Entry'!#REF!,"AAAAADp/r1Q=")</f>
        <v>#REF!</v>
      </c>
      <c r="CH13" t="e">
        <f>AND('GA55 Entry'!#REF!,"AAAAADp/r1U=")</f>
        <v>#REF!</v>
      </c>
      <c r="CI13" t="e">
        <f>AND('GA55 Entry'!#REF!,"AAAAADp/r1Y=")</f>
        <v>#REF!</v>
      </c>
      <c r="CJ13" t="e">
        <f>AND('GA55 Entry'!#REF!,"AAAAADp/r1c=")</f>
        <v>#REF!</v>
      </c>
      <c r="CK13" t="e">
        <f>AND('GA55 Entry'!#REF!,"AAAAADp/r1g=")</f>
        <v>#REF!</v>
      </c>
      <c r="CL13" t="e">
        <f>AND('GA55 Entry'!#REF!,"AAAAADp/r1k=")</f>
        <v>#REF!</v>
      </c>
      <c r="CM13" t="e">
        <f>AND('GA55 Entry'!#REF!,"AAAAADp/r1o=")</f>
        <v>#REF!</v>
      </c>
      <c r="CN13" t="e">
        <f>AND('GA55 Entry'!#REF!,"AAAAADp/r1s=")</f>
        <v>#REF!</v>
      </c>
      <c r="CO13" t="e">
        <f>AND('GA55 Entry'!#REF!,"AAAAADp/r1w=")</f>
        <v>#REF!</v>
      </c>
      <c r="CP13" t="e">
        <f>AND('GA55 Entry'!#REF!,"AAAAADp/r10=")</f>
        <v>#REF!</v>
      </c>
      <c r="CQ13" t="e">
        <f>AND('GA55 Entry'!#REF!,"AAAAADp/r14=")</f>
        <v>#REF!</v>
      </c>
      <c r="CR13" t="e">
        <f>AND('GA55 Entry'!#REF!,"AAAAADp/r18=")</f>
        <v>#REF!</v>
      </c>
      <c r="CS13" t="e">
        <f>AND('GA55 Entry'!#REF!,"AAAAADp/r2A=")</f>
        <v>#REF!</v>
      </c>
      <c r="CT13" t="e">
        <f>AND('GA55 Entry'!#REF!,"AAAAADp/r2E=")</f>
        <v>#REF!</v>
      </c>
      <c r="CU13" t="e">
        <f>AND('GA55 Entry'!#REF!,"AAAAADp/r2I=")</f>
        <v>#REF!</v>
      </c>
      <c r="CV13" t="e">
        <f>AND('GA55 Entry'!#REF!,"AAAAADp/r2M=")</f>
        <v>#REF!</v>
      </c>
      <c r="CW13" t="e">
        <f>AND('GA55 Entry'!#REF!,"AAAAADp/r2Q=")</f>
        <v>#REF!</v>
      </c>
      <c r="CX13" t="e">
        <f>AND('GA55 Entry'!#REF!,"AAAAADp/r2U=")</f>
        <v>#REF!</v>
      </c>
      <c r="CY13" t="e">
        <f>AND('GA55 Entry'!#REF!,"AAAAADp/r2Y=")</f>
        <v>#REF!</v>
      </c>
      <c r="CZ13" t="e">
        <f>AND('GA55 Entry'!#REF!,"AAAAADp/r2c=")</f>
        <v>#REF!</v>
      </c>
      <c r="DA13" t="e">
        <f>AND('GA55 Entry'!#REF!,"AAAAADp/r2g=")</f>
        <v>#REF!</v>
      </c>
      <c r="DB13" t="e">
        <f>AND('GA55 Entry'!#REF!,"AAAAADp/r2k=")</f>
        <v>#REF!</v>
      </c>
      <c r="DC13" t="e">
        <f>AND('GA55 Entry'!#REF!,"AAAAADp/r2o=")</f>
        <v>#REF!</v>
      </c>
      <c r="DD13" t="e">
        <f>AND('GA55 Entry'!#REF!,"AAAAADp/r2s=")</f>
        <v>#REF!</v>
      </c>
      <c r="DE13" t="e">
        <f>AND('GA55 Entry'!#REF!,"AAAAADp/r2w=")</f>
        <v>#REF!</v>
      </c>
      <c r="DF13" t="e">
        <f>AND('GA55 Entry'!#REF!,"AAAAADp/r20=")</f>
        <v>#REF!</v>
      </c>
      <c r="DG13" t="e">
        <f>AND('GA55 Entry'!#REF!,"AAAAADp/r24=")</f>
        <v>#REF!</v>
      </c>
      <c r="DH13" t="e">
        <f>AND('GA55 Entry'!#REF!,"AAAAADp/r28=")</f>
        <v>#REF!</v>
      </c>
      <c r="DI13" t="e">
        <f>AND('GA55 Entry'!#REF!,"AAAAADp/r3A=")</f>
        <v>#REF!</v>
      </c>
      <c r="DJ13" t="e">
        <f>AND('GA55 Entry'!#REF!,"AAAAADp/r3E=")</f>
        <v>#REF!</v>
      </c>
      <c r="DK13" t="e">
        <f>AND('GA55 Entry'!#REF!,"AAAAADp/r3I=")</f>
        <v>#REF!</v>
      </c>
      <c r="DL13" t="e">
        <f>AND('GA55 Entry'!#REF!,"AAAAADp/r3M=")</f>
        <v>#REF!</v>
      </c>
      <c r="DM13" t="e">
        <f>AND('GA55 Entry'!#REF!,"AAAAADp/r3Q=")</f>
        <v>#REF!</v>
      </c>
      <c r="DN13" t="e">
        <f>AND('GA55 Entry'!#REF!,"AAAAADp/r3U=")</f>
        <v>#REF!</v>
      </c>
      <c r="DO13" t="e">
        <f>AND('GA55 Entry'!#REF!,"AAAAADp/r3Y=")</f>
        <v>#REF!</v>
      </c>
      <c r="DP13" t="e">
        <f>AND('GA55 Entry'!#REF!,"AAAAADp/r3c=")</f>
        <v>#REF!</v>
      </c>
      <c r="DQ13" t="e">
        <f>AND('GA55 Entry'!#REF!,"AAAAADp/r3g=")</f>
        <v>#REF!</v>
      </c>
      <c r="DR13" t="e">
        <f>AND('GA55 Entry'!#REF!,"AAAAADp/r3k=")</f>
        <v>#REF!</v>
      </c>
      <c r="DS13" t="e">
        <f>AND('GA55 Entry'!#REF!,"AAAAADp/r3o=")</f>
        <v>#REF!</v>
      </c>
      <c r="DT13" t="e">
        <f>AND('GA55 Entry'!#REF!,"AAAAADp/r3s=")</f>
        <v>#REF!</v>
      </c>
      <c r="DU13" t="e">
        <f>AND('GA55 Entry'!#REF!,"AAAAADp/r3w=")</f>
        <v>#REF!</v>
      </c>
      <c r="DV13" t="e">
        <f>AND('GA55 Entry'!#REF!,"AAAAADp/r30=")</f>
        <v>#REF!</v>
      </c>
      <c r="DW13" t="e">
        <f>AND('GA55 Entry'!#REF!,"AAAAADp/r34=")</f>
        <v>#REF!</v>
      </c>
      <c r="DX13" t="e">
        <f>AND('GA55 Entry'!#REF!,"AAAAADp/r38=")</f>
        <v>#REF!</v>
      </c>
      <c r="DY13" t="e">
        <f>AND('GA55 Entry'!#REF!,"AAAAADp/r4A=")</f>
        <v>#REF!</v>
      </c>
      <c r="DZ13" t="e">
        <f>IF('GA55 Entry'!#REF!,"AAAAADp/r4E=",0)</f>
        <v>#REF!</v>
      </c>
      <c r="EA13" t="e">
        <f>AND('GA55 Entry'!#REF!,"AAAAADp/r4I=")</f>
        <v>#REF!</v>
      </c>
      <c r="EB13" t="e">
        <f>AND('GA55 Entry'!#REF!,"AAAAADp/r4M=")</f>
        <v>#REF!</v>
      </c>
      <c r="EC13" t="e">
        <f>AND('GA55 Entry'!#REF!,"AAAAADp/r4Q=")</f>
        <v>#REF!</v>
      </c>
      <c r="ED13" t="e">
        <f>AND('GA55 Entry'!#REF!,"AAAAADp/r4U=")</f>
        <v>#REF!</v>
      </c>
      <c r="EE13" t="e">
        <f>AND('GA55 Entry'!#REF!,"AAAAADp/r4Y=")</f>
        <v>#REF!</v>
      </c>
      <c r="EF13" t="e">
        <f>AND('GA55 Entry'!#REF!,"AAAAADp/r4c=")</f>
        <v>#REF!</v>
      </c>
      <c r="EG13" t="e">
        <f>AND('GA55 Entry'!#REF!,"AAAAADp/r4g=")</f>
        <v>#REF!</v>
      </c>
      <c r="EH13" t="e">
        <f>AND('GA55 Entry'!#REF!,"AAAAADp/r4k=")</f>
        <v>#REF!</v>
      </c>
      <c r="EI13" t="e">
        <f>AND('GA55 Entry'!#REF!,"AAAAADp/r4o=")</f>
        <v>#REF!</v>
      </c>
      <c r="EJ13" t="e">
        <f>AND('GA55 Entry'!#REF!,"AAAAADp/r4s=")</f>
        <v>#REF!</v>
      </c>
      <c r="EK13" t="e">
        <f>AND('GA55 Entry'!#REF!,"AAAAADp/r4w=")</f>
        <v>#REF!</v>
      </c>
      <c r="EL13" t="e">
        <f>AND('GA55 Entry'!#REF!,"AAAAADp/r40=")</f>
        <v>#REF!</v>
      </c>
      <c r="EM13" t="e">
        <f>AND('GA55 Entry'!#REF!,"AAAAADp/r44=")</f>
        <v>#REF!</v>
      </c>
      <c r="EN13" t="e">
        <f>AND('GA55 Entry'!#REF!,"AAAAADp/r48=")</f>
        <v>#REF!</v>
      </c>
      <c r="EO13" t="e">
        <f>AND('GA55 Entry'!#REF!,"AAAAADp/r5A=")</f>
        <v>#REF!</v>
      </c>
      <c r="EP13" t="e">
        <f>AND('GA55 Entry'!#REF!,"AAAAADp/r5E=")</f>
        <v>#REF!</v>
      </c>
      <c r="EQ13" t="e">
        <f>AND('GA55 Entry'!#REF!,"AAAAADp/r5I=")</f>
        <v>#REF!</v>
      </c>
      <c r="ER13" t="e">
        <f>AND('GA55 Entry'!#REF!,"AAAAADp/r5M=")</f>
        <v>#REF!</v>
      </c>
      <c r="ES13" t="e">
        <f>AND('GA55 Entry'!#REF!,"AAAAADp/r5Q=")</f>
        <v>#REF!</v>
      </c>
      <c r="ET13" t="e">
        <f>AND('GA55 Entry'!#REF!,"AAAAADp/r5U=")</f>
        <v>#REF!</v>
      </c>
      <c r="EU13" t="e">
        <f>AND('GA55 Entry'!#REF!,"AAAAADp/r5Y=")</f>
        <v>#REF!</v>
      </c>
      <c r="EV13" t="e">
        <f>AND('GA55 Entry'!#REF!,"AAAAADp/r5c=")</f>
        <v>#REF!</v>
      </c>
      <c r="EW13" t="e">
        <f>AND('GA55 Entry'!#REF!,"AAAAADp/r5g=")</f>
        <v>#REF!</v>
      </c>
      <c r="EX13" t="e">
        <f>AND('GA55 Entry'!#REF!,"AAAAADp/r5k=")</f>
        <v>#REF!</v>
      </c>
      <c r="EY13" t="e">
        <f>AND('GA55 Entry'!#REF!,"AAAAADp/r5o=")</f>
        <v>#REF!</v>
      </c>
      <c r="EZ13" t="e">
        <f>AND('GA55 Entry'!#REF!,"AAAAADp/r5s=")</f>
        <v>#REF!</v>
      </c>
      <c r="FA13" t="e">
        <f>AND('GA55 Entry'!#REF!,"AAAAADp/r5w=")</f>
        <v>#REF!</v>
      </c>
      <c r="FB13" t="e">
        <f>AND('GA55 Entry'!#REF!,"AAAAADp/r50=")</f>
        <v>#REF!</v>
      </c>
      <c r="FC13" t="e">
        <f>AND('GA55 Entry'!#REF!,"AAAAADp/r54=")</f>
        <v>#REF!</v>
      </c>
      <c r="FD13" t="e">
        <f>AND('GA55 Entry'!#REF!,"AAAAADp/r58=")</f>
        <v>#REF!</v>
      </c>
      <c r="FE13" t="e">
        <f>AND('GA55 Entry'!#REF!,"AAAAADp/r6A=")</f>
        <v>#REF!</v>
      </c>
      <c r="FF13" t="e">
        <f>AND('GA55 Entry'!#REF!,"AAAAADp/r6E=")</f>
        <v>#REF!</v>
      </c>
      <c r="FG13" t="e">
        <f>AND('GA55 Entry'!#REF!,"AAAAADp/r6I=")</f>
        <v>#REF!</v>
      </c>
      <c r="FH13" t="e">
        <f>AND('GA55 Entry'!#REF!,"AAAAADp/r6M=")</f>
        <v>#REF!</v>
      </c>
      <c r="FI13" t="e">
        <f>AND('GA55 Entry'!#REF!,"AAAAADp/r6Q=")</f>
        <v>#REF!</v>
      </c>
      <c r="FJ13" t="e">
        <f>AND('GA55 Entry'!#REF!,"AAAAADp/r6U=")</f>
        <v>#REF!</v>
      </c>
      <c r="FK13" t="e">
        <f>AND('GA55 Entry'!#REF!,"AAAAADp/r6Y=")</f>
        <v>#REF!</v>
      </c>
      <c r="FL13" t="e">
        <f>AND('GA55 Entry'!#REF!,"AAAAADp/r6c=")</f>
        <v>#REF!</v>
      </c>
      <c r="FM13" t="e">
        <f>AND('GA55 Entry'!#REF!,"AAAAADp/r6g=")</f>
        <v>#REF!</v>
      </c>
      <c r="FN13" t="e">
        <f>AND('GA55 Entry'!#REF!,"AAAAADp/r6k=")</f>
        <v>#REF!</v>
      </c>
      <c r="FO13" t="e">
        <f>AND('GA55 Entry'!#REF!,"AAAAADp/r6o=")</f>
        <v>#REF!</v>
      </c>
      <c r="FP13" t="e">
        <f>AND('GA55 Entry'!#REF!,"AAAAADp/r6s=")</f>
        <v>#REF!</v>
      </c>
      <c r="FQ13" t="e">
        <f>AND('GA55 Entry'!#REF!,"AAAAADp/r6w=")</f>
        <v>#REF!</v>
      </c>
      <c r="FR13" t="e">
        <f>AND('GA55 Entry'!#REF!,"AAAAADp/r60=")</f>
        <v>#REF!</v>
      </c>
      <c r="FS13" t="e">
        <f>AND('GA55 Entry'!#REF!,"AAAAADp/r64=")</f>
        <v>#REF!</v>
      </c>
      <c r="FT13" t="e">
        <f>AND('GA55 Entry'!#REF!,"AAAAADp/r68=")</f>
        <v>#REF!</v>
      </c>
      <c r="FU13" t="e">
        <f>AND('GA55 Entry'!#REF!,"AAAAADp/r7A=")</f>
        <v>#REF!</v>
      </c>
      <c r="FV13" t="e">
        <f>AND('GA55 Entry'!#REF!,"AAAAADp/r7E=")</f>
        <v>#REF!</v>
      </c>
      <c r="FW13" t="e">
        <f>AND('GA55 Entry'!#REF!,"AAAAADp/r7I=")</f>
        <v>#REF!</v>
      </c>
      <c r="FX13" t="e">
        <f>AND('GA55 Entry'!#REF!,"AAAAADp/r7M=")</f>
        <v>#REF!</v>
      </c>
      <c r="FY13" t="e">
        <f>IF('GA55 Entry'!#REF!,"AAAAADp/r7Q=",0)</f>
        <v>#REF!</v>
      </c>
      <c r="FZ13" t="e">
        <f>AND('GA55 Entry'!#REF!,"AAAAADp/r7U=")</f>
        <v>#REF!</v>
      </c>
      <c r="GA13" t="e">
        <f>AND('GA55 Entry'!#REF!,"AAAAADp/r7Y=")</f>
        <v>#REF!</v>
      </c>
      <c r="GB13" t="e">
        <f>AND('GA55 Entry'!#REF!,"AAAAADp/r7c=")</f>
        <v>#REF!</v>
      </c>
      <c r="GC13" t="e">
        <f>AND('GA55 Entry'!#REF!,"AAAAADp/r7g=")</f>
        <v>#REF!</v>
      </c>
      <c r="GD13" t="e">
        <f>AND('GA55 Entry'!#REF!,"AAAAADp/r7k=")</f>
        <v>#REF!</v>
      </c>
      <c r="GE13" t="e">
        <f>AND('GA55 Entry'!#REF!,"AAAAADp/r7o=")</f>
        <v>#REF!</v>
      </c>
      <c r="GF13" t="e">
        <f>AND('GA55 Entry'!#REF!,"AAAAADp/r7s=")</f>
        <v>#REF!</v>
      </c>
      <c r="GG13" t="e">
        <f>AND('GA55 Entry'!#REF!,"AAAAADp/r7w=")</f>
        <v>#REF!</v>
      </c>
      <c r="GH13" t="e">
        <f>AND('GA55 Entry'!#REF!,"AAAAADp/r70=")</f>
        <v>#REF!</v>
      </c>
      <c r="GI13" t="e">
        <f>AND('GA55 Entry'!#REF!,"AAAAADp/r74=")</f>
        <v>#REF!</v>
      </c>
      <c r="GJ13" t="e">
        <f>AND('GA55 Entry'!#REF!,"AAAAADp/r78=")</f>
        <v>#REF!</v>
      </c>
      <c r="GK13" t="e">
        <f>AND('GA55 Entry'!#REF!,"AAAAADp/r8A=")</f>
        <v>#REF!</v>
      </c>
      <c r="GL13" t="e">
        <f>AND('GA55 Entry'!#REF!,"AAAAADp/r8E=")</f>
        <v>#REF!</v>
      </c>
      <c r="GM13" t="e">
        <f>AND('GA55 Entry'!#REF!,"AAAAADp/r8I=")</f>
        <v>#REF!</v>
      </c>
      <c r="GN13" t="e">
        <f>AND('GA55 Entry'!#REF!,"AAAAADp/r8M=")</f>
        <v>#REF!</v>
      </c>
      <c r="GO13" t="e">
        <f>AND('GA55 Entry'!#REF!,"AAAAADp/r8Q=")</f>
        <v>#REF!</v>
      </c>
      <c r="GP13" t="e">
        <f>AND('GA55 Entry'!#REF!,"AAAAADp/r8U=")</f>
        <v>#REF!</v>
      </c>
      <c r="GQ13" t="e">
        <f>AND('GA55 Entry'!#REF!,"AAAAADp/r8Y=")</f>
        <v>#REF!</v>
      </c>
      <c r="GR13" t="e">
        <f>AND('GA55 Entry'!#REF!,"AAAAADp/r8c=")</f>
        <v>#REF!</v>
      </c>
      <c r="GS13" t="e">
        <f>AND('GA55 Entry'!#REF!,"AAAAADp/r8g=")</f>
        <v>#REF!</v>
      </c>
      <c r="GT13" t="e">
        <f>AND('GA55 Entry'!#REF!,"AAAAADp/r8k=")</f>
        <v>#REF!</v>
      </c>
      <c r="GU13" t="e">
        <f>AND('GA55 Entry'!#REF!,"AAAAADp/r8o=")</f>
        <v>#REF!</v>
      </c>
      <c r="GV13" t="e">
        <f>AND('GA55 Entry'!#REF!,"AAAAADp/r8s=")</f>
        <v>#REF!</v>
      </c>
      <c r="GW13" t="e">
        <f>AND('GA55 Entry'!#REF!,"AAAAADp/r8w=")</f>
        <v>#REF!</v>
      </c>
      <c r="GX13" t="e">
        <f>AND('GA55 Entry'!#REF!,"AAAAADp/r80=")</f>
        <v>#REF!</v>
      </c>
      <c r="GY13" t="e">
        <f>AND('GA55 Entry'!#REF!,"AAAAADp/r84=")</f>
        <v>#REF!</v>
      </c>
      <c r="GZ13" t="e">
        <f>AND('GA55 Entry'!#REF!,"AAAAADp/r88=")</f>
        <v>#REF!</v>
      </c>
      <c r="HA13" t="e">
        <f>AND('GA55 Entry'!#REF!,"AAAAADp/r9A=")</f>
        <v>#REF!</v>
      </c>
      <c r="HB13" t="e">
        <f>AND('GA55 Entry'!#REF!,"AAAAADp/r9E=")</f>
        <v>#REF!</v>
      </c>
      <c r="HC13" t="e">
        <f>AND('GA55 Entry'!#REF!,"AAAAADp/r9I=")</f>
        <v>#REF!</v>
      </c>
      <c r="HD13" t="e">
        <f>AND('GA55 Entry'!#REF!,"AAAAADp/r9M=")</f>
        <v>#REF!</v>
      </c>
      <c r="HE13" t="e">
        <f>AND('GA55 Entry'!#REF!,"AAAAADp/r9Q=")</f>
        <v>#REF!</v>
      </c>
      <c r="HF13" t="e">
        <f>AND('GA55 Entry'!#REF!,"AAAAADp/r9U=")</f>
        <v>#REF!</v>
      </c>
      <c r="HG13" t="e">
        <f>AND('GA55 Entry'!#REF!,"AAAAADp/r9Y=")</f>
        <v>#REF!</v>
      </c>
      <c r="HH13" t="e">
        <f>AND('GA55 Entry'!#REF!,"AAAAADp/r9c=")</f>
        <v>#REF!</v>
      </c>
      <c r="HI13" t="e">
        <f>AND('GA55 Entry'!#REF!,"AAAAADp/r9g=")</f>
        <v>#REF!</v>
      </c>
      <c r="HJ13" t="e">
        <f>AND('GA55 Entry'!#REF!,"AAAAADp/r9k=")</f>
        <v>#REF!</v>
      </c>
      <c r="HK13" t="e">
        <f>AND('GA55 Entry'!#REF!,"AAAAADp/r9o=")</f>
        <v>#REF!</v>
      </c>
      <c r="HL13" t="e">
        <f>AND('GA55 Entry'!#REF!,"AAAAADp/r9s=")</f>
        <v>#REF!</v>
      </c>
      <c r="HM13" t="e">
        <f>AND('GA55 Entry'!#REF!,"AAAAADp/r9w=")</f>
        <v>#REF!</v>
      </c>
      <c r="HN13" t="e">
        <f>AND('GA55 Entry'!#REF!,"AAAAADp/r90=")</f>
        <v>#REF!</v>
      </c>
      <c r="HO13" t="e">
        <f>AND('GA55 Entry'!#REF!,"AAAAADp/r94=")</f>
        <v>#REF!</v>
      </c>
      <c r="HP13" t="e">
        <f>AND('GA55 Entry'!#REF!,"AAAAADp/r98=")</f>
        <v>#REF!</v>
      </c>
      <c r="HQ13" t="e">
        <f>AND('GA55 Entry'!#REF!,"AAAAADp/r+A=")</f>
        <v>#REF!</v>
      </c>
      <c r="HR13" t="e">
        <f>AND('GA55 Entry'!#REF!,"AAAAADp/r+E=")</f>
        <v>#REF!</v>
      </c>
      <c r="HS13" t="e">
        <f>AND('GA55 Entry'!#REF!,"AAAAADp/r+I=")</f>
        <v>#REF!</v>
      </c>
      <c r="HT13" t="e">
        <f>AND('GA55 Entry'!#REF!,"AAAAADp/r+M=")</f>
        <v>#REF!</v>
      </c>
      <c r="HU13" t="e">
        <f>AND('GA55 Entry'!#REF!,"AAAAADp/r+Q=")</f>
        <v>#REF!</v>
      </c>
      <c r="HV13" t="e">
        <f>AND('GA55 Entry'!#REF!,"AAAAADp/r+U=")</f>
        <v>#REF!</v>
      </c>
      <c r="HW13" t="e">
        <f>AND('GA55 Entry'!#REF!,"AAAAADp/r+Y=")</f>
        <v>#REF!</v>
      </c>
      <c r="HX13" t="e">
        <f>IF('GA55 Entry'!#REF!,"AAAAADp/r+c=",0)</f>
        <v>#REF!</v>
      </c>
      <c r="HY13" t="e">
        <f>AND('GA55 Entry'!#REF!,"AAAAADp/r+g=")</f>
        <v>#REF!</v>
      </c>
      <c r="HZ13" t="e">
        <f>AND('GA55 Entry'!#REF!,"AAAAADp/r+k=")</f>
        <v>#REF!</v>
      </c>
      <c r="IA13" t="e">
        <f>AND('GA55 Entry'!#REF!,"AAAAADp/r+o=")</f>
        <v>#REF!</v>
      </c>
      <c r="IB13" t="e">
        <f>AND('GA55 Entry'!#REF!,"AAAAADp/r+s=")</f>
        <v>#REF!</v>
      </c>
      <c r="IC13" t="e">
        <f>AND('GA55 Entry'!#REF!,"AAAAADp/r+w=")</f>
        <v>#REF!</v>
      </c>
      <c r="ID13" t="e">
        <f>AND('GA55 Entry'!#REF!,"AAAAADp/r+0=")</f>
        <v>#REF!</v>
      </c>
      <c r="IE13" t="e">
        <f>AND('GA55 Entry'!#REF!,"AAAAADp/r+4=")</f>
        <v>#REF!</v>
      </c>
      <c r="IF13" t="e">
        <f>AND('GA55 Entry'!#REF!,"AAAAADp/r+8=")</f>
        <v>#REF!</v>
      </c>
      <c r="IG13" t="e">
        <f>AND('GA55 Entry'!#REF!,"AAAAADp/r/A=")</f>
        <v>#REF!</v>
      </c>
      <c r="IH13" t="e">
        <f>AND('GA55 Entry'!#REF!,"AAAAADp/r/E=")</f>
        <v>#REF!</v>
      </c>
      <c r="II13" t="e">
        <f>AND('GA55 Entry'!#REF!,"AAAAADp/r/I=")</f>
        <v>#REF!</v>
      </c>
      <c r="IJ13" t="e">
        <f>AND('GA55 Entry'!#REF!,"AAAAADp/r/M=")</f>
        <v>#REF!</v>
      </c>
      <c r="IK13" t="e">
        <f>AND('GA55 Entry'!#REF!,"AAAAADp/r/Q=")</f>
        <v>#REF!</v>
      </c>
      <c r="IL13" t="e">
        <f>AND('GA55 Entry'!#REF!,"AAAAADp/r/U=")</f>
        <v>#REF!</v>
      </c>
      <c r="IM13" t="e">
        <f>AND('GA55 Entry'!#REF!,"AAAAADp/r/Y=")</f>
        <v>#REF!</v>
      </c>
      <c r="IN13" t="e">
        <f>AND('GA55 Entry'!#REF!,"AAAAADp/r/c=")</f>
        <v>#REF!</v>
      </c>
      <c r="IO13" t="e">
        <f>AND('GA55 Entry'!#REF!,"AAAAADp/r/g=")</f>
        <v>#REF!</v>
      </c>
      <c r="IP13" t="e">
        <f>AND('GA55 Entry'!#REF!,"AAAAADp/r/k=")</f>
        <v>#REF!</v>
      </c>
      <c r="IQ13" t="e">
        <f>AND('GA55 Entry'!#REF!,"AAAAADp/r/o=")</f>
        <v>#REF!</v>
      </c>
      <c r="IR13" t="e">
        <f>AND('GA55 Entry'!#REF!,"AAAAADp/r/s=")</f>
        <v>#REF!</v>
      </c>
      <c r="IS13" t="e">
        <f>AND('GA55 Entry'!#REF!,"AAAAADp/r/w=")</f>
        <v>#REF!</v>
      </c>
      <c r="IT13" t="e">
        <f>AND('GA55 Entry'!#REF!,"AAAAADp/r/0=")</f>
        <v>#REF!</v>
      </c>
      <c r="IU13" t="e">
        <f>AND('GA55 Entry'!#REF!,"AAAAADp/r/4=")</f>
        <v>#REF!</v>
      </c>
      <c r="IV13" t="e">
        <f>AND('GA55 Entry'!#REF!,"AAAAADp/r/8=")</f>
        <v>#REF!</v>
      </c>
    </row>
    <row r="14" spans="1:256">
      <c r="A14" t="e">
        <f>AND('GA55 Entry'!#REF!,"AAAAAHbzbQA=")</f>
        <v>#REF!</v>
      </c>
      <c r="B14" t="e">
        <f>AND('GA55 Entry'!#REF!,"AAAAAHbzbQE=")</f>
        <v>#REF!</v>
      </c>
      <c r="C14" t="e">
        <f>AND('GA55 Entry'!#REF!,"AAAAAHbzbQI=")</f>
        <v>#REF!</v>
      </c>
      <c r="D14" t="e">
        <f>AND('GA55 Entry'!#REF!,"AAAAAHbzbQM=")</f>
        <v>#REF!</v>
      </c>
      <c r="E14" t="e">
        <f>AND('GA55 Entry'!#REF!,"AAAAAHbzbQQ=")</f>
        <v>#REF!</v>
      </c>
      <c r="F14" t="e">
        <f>AND('GA55 Entry'!#REF!,"AAAAAHbzbQU=")</f>
        <v>#REF!</v>
      </c>
      <c r="G14" t="e">
        <f>AND('GA55 Entry'!#REF!,"AAAAAHbzbQY=")</f>
        <v>#REF!</v>
      </c>
      <c r="H14" t="e">
        <f>AND('GA55 Entry'!#REF!,"AAAAAHbzbQc=")</f>
        <v>#REF!</v>
      </c>
      <c r="I14" t="e">
        <f>AND('GA55 Entry'!#REF!,"AAAAAHbzbQg=")</f>
        <v>#REF!</v>
      </c>
      <c r="J14" t="e">
        <f>AND('GA55 Entry'!#REF!,"AAAAAHbzbQk=")</f>
        <v>#REF!</v>
      </c>
      <c r="K14" t="e">
        <f>AND('GA55 Entry'!#REF!,"AAAAAHbzbQo=")</f>
        <v>#REF!</v>
      </c>
      <c r="L14" t="e">
        <f>AND('GA55 Entry'!#REF!,"AAAAAHbzbQs=")</f>
        <v>#REF!</v>
      </c>
      <c r="M14" t="e">
        <f>AND('GA55 Entry'!#REF!,"AAAAAHbzbQw=")</f>
        <v>#REF!</v>
      </c>
      <c r="N14" t="e">
        <f>AND('GA55 Entry'!#REF!,"AAAAAHbzbQ0=")</f>
        <v>#REF!</v>
      </c>
      <c r="O14" t="e">
        <f>AND('GA55 Entry'!#REF!,"AAAAAHbzbQ4=")</f>
        <v>#REF!</v>
      </c>
      <c r="P14" t="e">
        <f>AND('GA55 Entry'!#REF!,"AAAAAHbzbQ8=")</f>
        <v>#REF!</v>
      </c>
      <c r="Q14" t="e">
        <f>AND('GA55 Entry'!#REF!,"AAAAAHbzbRA=")</f>
        <v>#REF!</v>
      </c>
      <c r="R14" t="e">
        <f>AND('GA55 Entry'!#REF!,"AAAAAHbzbRE=")</f>
        <v>#REF!</v>
      </c>
      <c r="S14" t="e">
        <f>AND('GA55 Entry'!#REF!,"AAAAAHbzbRI=")</f>
        <v>#REF!</v>
      </c>
      <c r="T14" t="e">
        <f>AND('GA55 Entry'!#REF!,"AAAAAHbzbRM=")</f>
        <v>#REF!</v>
      </c>
      <c r="U14" t="e">
        <f>AND('GA55 Entry'!#REF!,"AAAAAHbzbRQ=")</f>
        <v>#REF!</v>
      </c>
      <c r="V14" t="e">
        <f>AND('GA55 Entry'!#REF!,"AAAAAHbzbRU=")</f>
        <v>#REF!</v>
      </c>
      <c r="W14" t="e">
        <f>AND('GA55 Entry'!#REF!,"AAAAAHbzbRY=")</f>
        <v>#REF!</v>
      </c>
      <c r="X14" t="e">
        <f>AND('GA55 Entry'!#REF!,"AAAAAHbzbRc=")</f>
        <v>#REF!</v>
      </c>
      <c r="Y14" t="e">
        <f>AND('GA55 Entry'!#REF!,"AAAAAHbzbRg=")</f>
        <v>#REF!</v>
      </c>
      <c r="Z14" t="e">
        <f>AND('GA55 Entry'!#REF!,"AAAAAHbzbRk=")</f>
        <v>#REF!</v>
      </c>
      <c r="AA14" t="e">
        <f>IF('GA55 Entry'!#REF!,"AAAAAHbzbRo=",0)</f>
        <v>#REF!</v>
      </c>
      <c r="AB14" t="e">
        <f>AND('GA55 Entry'!#REF!,"AAAAAHbzbRs=")</f>
        <v>#REF!</v>
      </c>
      <c r="AC14" t="e">
        <f>AND('GA55 Entry'!#REF!,"AAAAAHbzbRw=")</f>
        <v>#REF!</v>
      </c>
      <c r="AD14" t="e">
        <f>AND('GA55 Entry'!#REF!,"AAAAAHbzbR0=")</f>
        <v>#REF!</v>
      </c>
      <c r="AE14" t="e">
        <f>AND('GA55 Entry'!#REF!,"AAAAAHbzbR4=")</f>
        <v>#REF!</v>
      </c>
      <c r="AF14" t="e">
        <f>AND('GA55 Entry'!#REF!,"AAAAAHbzbR8=")</f>
        <v>#REF!</v>
      </c>
      <c r="AG14" t="e">
        <f>AND('GA55 Entry'!#REF!,"AAAAAHbzbSA=")</f>
        <v>#REF!</v>
      </c>
      <c r="AH14" t="e">
        <f>AND('GA55 Entry'!#REF!,"AAAAAHbzbSE=")</f>
        <v>#REF!</v>
      </c>
      <c r="AI14" t="e">
        <f>AND('GA55 Entry'!#REF!,"AAAAAHbzbSI=")</f>
        <v>#REF!</v>
      </c>
      <c r="AJ14" t="e">
        <f>AND('GA55 Entry'!#REF!,"AAAAAHbzbSM=")</f>
        <v>#REF!</v>
      </c>
      <c r="AK14" t="e">
        <f>AND('GA55 Entry'!#REF!,"AAAAAHbzbSQ=")</f>
        <v>#REF!</v>
      </c>
      <c r="AL14" t="e">
        <f>AND('GA55 Entry'!#REF!,"AAAAAHbzbSU=")</f>
        <v>#REF!</v>
      </c>
      <c r="AM14" t="e">
        <f>AND('GA55 Entry'!#REF!,"AAAAAHbzbSY=")</f>
        <v>#REF!</v>
      </c>
      <c r="AN14" t="e">
        <f>AND('GA55 Entry'!#REF!,"AAAAAHbzbSc=")</f>
        <v>#REF!</v>
      </c>
      <c r="AO14" t="e">
        <f>AND('GA55 Entry'!#REF!,"AAAAAHbzbSg=")</f>
        <v>#REF!</v>
      </c>
      <c r="AP14" t="e">
        <f>AND('GA55 Entry'!#REF!,"AAAAAHbzbSk=")</f>
        <v>#REF!</v>
      </c>
      <c r="AQ14" t="e">
        <f>AND('GA55 Entry'!#REF!,"AAAAAHbzbSo=")</f>
        <v>#REF!</v>
      </c>
      <c r="AR14" t="e">
        <f>AND('GA55 Entry'!#REF!,"AAAAAHbzbSs=")</f>
        <v>#REF!</v>
      </c>
      <c r="AS14" t="e">
        <f>AND('GA55 Entry'!#REF!,"AAAAAHbzbSw=")</f>
        <v>#REF!</v>
      </c>
      <c r="AT14" t="e">
        <f>AND('GA55 Entry'!#REF!,"AAAAAHbzbS0=")</f>
        <v>#REF!</v>
      </c>
      <c r="AU14" t="e">
        <f>AND('GA55 Entry'!#REF!,"AAAAAHbzbS4=")</f>
        <v>#REF!</v>
      </c>
      <c r="AV14" t="e">
        <f>AND('GA55 Entry'!#REF!,"AAAAAHbzbS8=")</f>
        <v>#REF!</v>
      </c>
      <c r="AW14" t="e">
        <f>AND('GA55 Entry'!#REF!,"AAAAAHbzbTA=")</f>
        <v>#REF!</v>
      </c>
      <c r="AX14" t="e">
        <f>AND('GA55 Entry'!#REF!,"AAAAAHbzbTE=")</f>
        <v>#REF!</v>
      </c>
      <c r="AY14" t="e">
        <f>AND('GA55 Entry'!#REF!,"AAAAAHbzbTI=")</f>
        <v>#REF!</v>
      </c>
      <c r="AZ14" t="e">
        <f>AND('GA55 Entry'!#REF!,"AAAAAHbzbTM=")</f>
        <v>#REF!</v>
      </c>
      <c r="BA14" t="e">
        <f>AND('GA55 Entry'!#REF!,"AAAAAHbzbTQ=")</f>
        <v>#REF!</v>
      </c>
      <c r="BB14" t="e">
        <f>AND('GA55 Entry'!#REF!,"AAAAAHbzbTU=")</f>
        <v>#REF!</v>
      </c>
      <c r="BC14" t="e">
        <f>AND('GA55 Entry'!#REF!,"AAAAAHbzbTY=")</f>
        <v>#REF!</v>
      </c>
      <c r="BD14" t="e">
        <f>AND('GA55 Entry'!#REF!,"AAAAAHbzbTc=")</f>
        <v>#REF!</v>
      </c>
      <c r="BE14" t="e">
        <f>AND('GA55 Entry'!#REF!,"AAAAAHbzbTg=")</f>
        <v>#REF!</v>
      </c>
      <c r="BF14" t="e">
        <f>AND('GA55 Entry'!#REF!,"AAAAAHbzbTk=")</f>
        <v>#REF!</v>
      </c>
      <c r="BG14" t="e">
        <f>AND('GA55 Entry'!#REF!,"AAAAAHbzbTo=")</f>
        <v>#REF!</v>
      </c>
      <c r="BH14" t="e">
        <f>AND('GA55 Entry'!#REF!,"AAAAAHbzbTs=")</f>
        <v>#REF!</v>
      </c>
      <c r="BI14" t="e">
        <f>AND('GA55 Entry'!#REF!,"AAAAAHbzbTw=")</f>
        <v>#REF!</v>
      </c>
      <c r="BJ14" t="e">
        <f>AND('GA55 Entry'!#REF!,"AAAAAHbzbT0=")</f>
        <v>#REF!</v>
      </c>
      <c r="BK14" t="e">
        <f>AND('GA55 Entry'!#REF!,"AAAAAHbzbT4=")</f>
        <v>#REF!</v>
      </c>
      <c r="BL14" t="e">
        <f>AND('GA55 Entry'!#REF!,"AAAAAHbzbT8=")</f>
        <v>#REF!</v>
      </c>
      <c r="BM14" t="e">
        <f>AND('GA55 Entry'!#REF!,"AAAAAHbzbUA=")</f>
        <v>#REF!</v>
      </c>
      <c r="BN14" t="e">
        <f>AND('GA55 Entry'!#REF!,"AAAAAHbzbUE=")</f>
        <v>#REF!</v>
      </c>
      <c r="BO14" t="e">
        <f>AND('GA55 Entry'!#REF!,"AAAAAHbzbUI=")</f>
        <v>#REF!</v>
      </c>
      <c r="BP14" t="e">
        <f>AND('GA55 Entry'!#REF!,"AAAAAHbzbUM=")</f>
        <v>#REF!</v>
      </c>
      <c r="BQ14" t="e">
        <f>AND('GA55 Entry'!#REF!,"AAAAAHbzbUQ=")</f>
        <v>#REF!</v>
      </c>
      <c r="BR14" t="e">
        <f>AND('GA55 Entry'!#REF!,"AAAAAHbzbUU=")</f>
        <v>#REF!</v>
      </c>
      <c r="BS14" t="e">
        <f>AND('GA55 Entry'!#REF!,"AAAAAHbzbUY=")</f>
        <v>#REF!</v>
      </c>
      <c r="BT14" t="e">
        <f>AND('GA55 Entry'!#REF!,"AAAAAHbzbUc=")</f>
        <v>#REF!</v>
      </c>
      <c r="BU14" t="e">
        <f>AND('GA55 Entry'!#REF!,"AAAAAHbzbUg=")</f>
        <v>#REF!</v>
      </c>
      <c r="BV14" t="e">
        <f>AND('GA55 Entry'!#REF!,"AAAAAHbzbUk=")</f>
        <v>#REF!</v>
      </c>
      <c r="BW14" t="e">
        <f>AND('GA55 Entry'!#REF!,"AAAAAHbzbUo=")</f>
        <v>#REF!</v>
      </c>
      <c r="BX14" t="e">
        <f>AND('GA55 Entry'!#REF!,"AAAAAHbzbUs=")</f>
        <v>#REF!</v>
      </c>
      <c r="BY14" t="e">
        <f>AND('GA55 Entry'!#REF!,"AAAAAHbzbUw=")</f>
        <v>#REF!</v>
      </c>
      <c r="BZ14" t="e">
        <f>IF('GA55 Entry'!#REF!,"AAAAAHbzbU0=",0)</f>
        <v>#REF!</v>
      </c>
      <c r="CA14" t="e">
        <f>AND('GA55 Entry'!#REF!,"AAAAAHbzbU4=")</f>
        <v>#REF!</v>
      </c>
      <c r="CB14" t="e">
        <f>AND('GA55 Entry'!#REF!,"AAAAAHbzbU8=")</f>
        <v>#REF!</v>
      </c>
      <c r="CC14" t="e">
        <f>AND('GA55 Entry'!#REF!,"AAAAAHbzbVA=")</f>
        <v>#REF!</v>
      </c>
      <c r="CD14" t="e">
        <f>AND('GA55 Entry'!#REF!,"AAAAAHbzbVE=")</f>
        <v>#REF!</v>
      </c>
      <c r="CE14" t="e">
        <f>AND('GA55 Entry'!#REF!,"AAAAAHbzbVI=")</f>
        <v>#REF!</v>
      </c>
      <c r="CF14" t="e">
        <f>AND('GA55 Entry'!#REF!,"AAAAAHbzbVM=")</f>
        <v>#REF!</v>
      </c>
      <c r="CG14" t="e">
        <f>AND('GA55 Entry'!#REF!,"AAAAAHbzbVQ=")</f>
        <v>#REF!</v>
      </c>
      <c r="CH14" t="e">
        <f>AND('GA55 Entry'!#REF!,"AAAAAHbzbVU=")</f>
        <v>#REF!</v>
      </c>
      <c r="CI14" t="e">
        <f>AND('GA55 Entry'!#REF!,"AAAAAHbzbVY=")</f>
        <v>#REF!</v>
      </c>
      <c r="CJ14" t="e">
        <f>AND('GA55 Entry'!#REF!,"AAAAAHbzbVc=")</f>
        <v>#REF!</v>
      </c>
      <c r="CK14" t="e">
        <f>AND('GA55 Entry'!#REF!,"AAAAAHbzbVg=")</f>
        <v>#REF!</v>
      </c>
      <c r="CL14" t="e">
        <f>AND('GA55 Entry'!#REF!,"AAAAAHbzbVk=")</f>
        <v>#REF!</v>
      </c>
      <c r="CM14" t="e">
        <f>AND('GA55 Entry'!#REF!,"AAAAAHbzbVo=")</f>
        <v>#REF!</v>
      </c>
      <c r="CN14" t="e">
        <f>AND('GA55 Entry'!#REF!,"AAAAAHbzbVs=")</f>
        <v>#REF!</v>
      </c>
      <c r="CO14" t="e">
        <f>AND('GA55 Entry'!#REF!,"AAAAAHbzbVw=")</f>
        <v>#REF!</v>
      </c>
      <c r="CP14" t="e">
        <f>AND('GA55 Entry'!#REF!,"AAAAAHbzbV0=")</f>
        <v>#REF!</v>
      </c>
      <c r="CQ14" t="e">
        <f>AND('GA55 Entry'!#REF!,"AAAAAHbzbV4=")</f>
        <v>#REF!</v>
      </c>
      <c r="CR14" t="e">
        <f>AND('GA55 Entry'!#REF!,"AAAAAHbzbV8=")</f>
        <v>#REF!</v>
      </c>
      <c r="CS14" t="e">
        <f>AND('GA55 Entry'!#REF!,"AAAAAHbzbWA=")</f>
        <v>#REF!</v>
      </c>
      <c r="CT14" t="e">
        <f>AND('GA55 Entry'!#REF!,"AAAAAHbzbWE=")</f>
        <v>#REF!</v>
      </c>
      <c r="CU14" t="e">
        <f>AND('GA55 Entry'!#REF!,"AAAAAHbzbWI=")</f>
        <v>#REF!</v>
      </c>
      <c r="CV14" t="e">
        <f>AND('GA55 Entry'!#REF!,"AAAAAHbzbWM=")</f>
        <v>#REF!</v>
      </c>
      <c r="CW14" t="e">
        <f>AND('GA55 Entry'!#REF!,"AAAAAHbzbWQ=")</f>
        <v>#REF!</v>
      </c>
      <c r="CX14" t="e">
        <f>AND('GA55 Entry'!#REF!,"AAAAAHbzbWU=")</f>
        <v>#REF!</v>
      </c>
      <c r="CY14" t="e">
        <f>AND('GA55 Entry'!#REF!,"AAAAAHbzbWY=")</f>
        <v>#REF!</v>
      </c>
      <c r="CZ14" t="e">
        <f>AND('GA55 Entry'!#REF!,"AAAAAHbzbWc=")</f>
        <v>#REF!</v>
      </c>
      <c r="DA14" t="e">
        <f>AND('GA55 Entry'!#REF!,"AAAAAHbzbWg=")</f>
        <v>#REF!</v>
      </c>
      <c r="DB14" t="e">
        <f>AND('GA55 Entry'!#REF!,"AAAAAHbzbWk=")</f>
        <v>#REF!</v>
      </c>
      <c r="DC14" t="e">
        <f>AND('GA55 Entry'!#REF!,"AAAAAHbzbWo=")</f>
        <v>#REF!</v>
      </c>
      <c r="DD14" t="e">
        <f>AND('GA55 Entry'!#REF!,"AAAAAHbzbWs=")</f>
        <v>#REF!</v>
      </c>
      <c r="DE14" t="e">
        <f>AND('GA55 Entry'!#REF!,"AAAAAHbzbWw=")</f>
        <v>#REF!</v>
      </c>
      <c r="DF14" t="e">
        <f>AND('GA55 Entry'!#REF!,"AAAAAHbzbW0=")</f>
        <v>#REF!</v>
      </c>
      <c r="DG14" t="e">
        <f>AND('GA55 Entry'!#REF!,"AAAAAHbzbW4=")</f>
        <v>#REF!</v>
      </c>
      <c r="DH14" t="e">
        <f>AND('GA55 Entry'!#REF!,"AAAAAHbzbW8=")</f>
        <v>#REF!</v>
      </c>
      <c r="DI14" t="e">
        <f>AND('GA55 Entry'!#REF!,"AAAAAHbzbXA=")</f>
        <v>#REF!</v>
      </c>
      <c r="DJ14" t="e">
        <f>AND('GA55 Entry'!#REF!,"AAAAAHbzbXE=")</f>
        <v>#REF!</v>
      </c>
      <c r="DK14" t="e">
        <f>AND('GA55 Entry'!#REF!,"AAAAAHbzbXI=")</f>
        <v>#REF!</v>
      </c>
      <c r="DL14" t="e">
        <f>AND('GA55 Entry'!#REF!,"AAAAAHbzbXM=")</f>
        <v>#REF!</v>
      </c>
      <c r="DM14" t="e">
        <f>AND('GA55 Entry'!#REF!,"AAAAAHbzbXQ=")</f>
        <v>#REF!</v>
      </c>
      <c r="DN14" t="e">
        <f>AND('GA55 Entry'!#REF!,"AAAAAHbzbXU=")</f>
        <v>#REF!</v>
      </c>
      <c r="DO14" t="e">
        <f>AND('GA55 Entry'!#REF!,"AAAAAHbzbXY=")</f>
        <v>#REF!</v>
      </c>
      <c r="DP14" t="e">
        <f>AND('GA55 Entry'!#REF!,"AAAAAHbzbXc=")</f>
        <v>#REF!</v>
      </c>
      <c r="DQ14" t="e">
        <f>AND('GA55 Entry'!#REF!,"AAAAAHbzbXg=")</f>
        <v>#REF!</v>
      </c>
      <c r="DR14" t="e">
        <f>AND('GA55 Entry'!#REF!,"AAAAAHbzbXk=")</f>
        <v>#REF!</v>
      </c>
      <c r="DS14" t="e">
        <f>AND('GA55 Entry'!#REF!,"AAAAAHbzbXo=")</f>
        <v>#REF!</v>
      </c>
      <c r="DT14" t="e">
        <f>AND('GA55 Entry'!#REF!,"AAAAAHbzbXs=")</f>
        <v>#REF!</v>
      </c>
      <c r="DU14" t="e">
        <f>AND('GA55 Entry'!#REF!,"AAAAAHbzbXw=")</f>
        <v>#REF!</v>
      </c>
      <c r="DV14" t="e">
        <f>AND('GA55 Entry'!#REF!,"AAAAAHbzbX0=")</f>
        <v>#REF!</v>
      </c>
      <c r="DW14" t="e">
        <f>AND('GA55 Entry'!#REF!,"AAAAAHbzbX4=")</f>
        <v>#REF!</v>
      </c>
      <c r="DX14" t="e">
        <f>AND('GA55 Entry'!#REF!,"AAAAAHbzbX8=")</f>
        <v>#REF!</v>
      </c>
      <c r="DY14" t="e">
        <f>IF('GA55 Entry'!#REF!,"AAAAAHbzbYA=",0)</f>
        <v>#REF!</v>
      </c>
      <c r="DZ14" t="e">
        <f>AND('GA55 Entry'!#REF!,"AAAAAHbzbYE=")</f>
        <v>#REF!</v>
      </c>
      <c r="EA14" t="e">
        <f>AND('GA55 Entry'!#REF!,"AAAAAHbzbYI=")</f>
        <v>#REF!</v>
      </c>
      <c r="EB14" t="e">
        <f>AND('GA55 Entry'!#REF!,"AAAAAHbzbYM=")</f>
        <v>#REF!</v>
      </c>
      <c r="EC14" t="e">
        <f>AND('GA55 Entry'!#REF!,"AAAAAHbzbYQ=")</f>
        <v>#REF!</v>
      </c>
      <c r="ED14" t="e">
        <f>AND('GA55 Entry'!#REF!,"AAAAAHbzbYU=")</f>
        <v>#REF!</v>
      </c>
      <c r="EE14" t="e">
        <f>AND('GA55 Entry'!#REF!,"AAAAAHbzbYY=")</f>
        <v>#REF!</v>
      </c>
      <c r="EF14" t="e">
        <f>AND('GA55 Entry'!#REF!,"AAAAAHbzbYc=")</f>
        <v>#REF!</v>
      </c>
      <c r="EG14" t="e">
        <f>AND('GA55 Entry'!#REF!,"AAAAAHbzbYg=")</f>
        <v>#REF!</v>
      </c>
      <c r="EH14" t="e">
        <f>AND('GA55 Entry'!#REF!,"AAAAAHbzbYk=")</f>
        <v>#REF!</v>
      </c>
      <c r="EI14" t="e">
        <f>AND('GA55 Entry'!#REF!,"AAAAAHbzbYo=")</f>
        <v>#REF!</v>
      </c>
      <c r="EJ14" t="e">
        <f>AND('GA55 Entry'!#REF!,"AAAAAHbzbYs=")</f>
        <v>#REF!</v>
      </c>
      <c r="EK14" t="e">
        <f>AND('GA55 Entry'!#REF!,"AAAAAHbzbYw=")</f>
        <v>#REF!</v>
      </c>
      <c r="EL14" t="e">
        <f>AND('GA55 Entry'!#REF!,"AAAAAHbzbY0=")</f>
        <v>#REF!</v>
      </c>
      <c r="EM14" t="e">
        <f>AND('GA55 Entry'!#REF!,"AAAAAHbzbY4=")</f>
        <v>#REF!</v>
      </c>
      <c r="EN14" t="e">
        <f>AND('GA55 Entry'!#REF!,"AAAAAHbzbY8=")</f>
        <v>#REF!</v>
      </c>
      <c r="EO14" t="e">
        <f>AND('GA55 Entry'!#REF!,"AAAAAHbzbZA=")</f>
        <v>#REF!</v>
      </c>
      <c r="EP14" t="e">
        <f>AND('GA55 Entry'!#REF!,"AAAAAHbzbZE=")</f>
        <v>#REF!</v>
      </c>
      <c r="EQ14" t="e">
        <f>AND('GA55 Entry'!#REF!,"AAAAAHbzbZI=")</f>
        <v>#REF!</v>
      </c>
      <c r="ER14" t="e">
        <f>AND('GA55 Entry'!#REF!,"AAAAAHbzbZM=")</f>
        <v>#REF!</v>
      </c>
      <c r="ES14" t="e">
        <f>AND('GA55 Entry'!#REF!,"AAAAAHbzbZQ=")</f>
        <v>#REF!</v>
      </c>
      <c r="ET14" t="e">
        <f>AND('GA55 Entry'!#REF!,"AAAAAHbzbZU=")</f>
        <v>#REF!</v>
      </c>
      <c r="EU14" t="e">
        <f>AND('GA55 Entry'!#REF!,"AAAAAHbzbZY=")</f>
        <v>#REF!</v>
      </c>
      <c r="EV14" t="e">
        <f>AND('GA55 Entry'!#REF!,"AAAAAHbzbZc=")</f>
        <v>#REF!</v>
      </c>
      <c r="EW14" t="e">
        <f>AND('GA55 Entry'!#REF!,"AAAAAHbzbZg=")</f>
        <v>#REF!</v>
      </c>
      <c r="EX14" t="e">
        <f>AND('GA55 Entry'!#REF!,"AAAAAHbzbZk=")</f>
        <v>#REF!</v>
      </c>
      <c r="EY14" t="e">
        <f>AND('GA55 Entry'!#REF!,"AAAAAHbzbZo=")</f>
        <v>#REF!</v>
      </c>
      <c r="EZ14" t="e">
        <f>AND('GA55 Entry'!#REF!,"AAAAAHbzbZs=")</f>
        <v>#REF!</v>
      </c>
      <c r="FA14" t="e">
        <f>AND('GA55 Entry'!#REF!,"AAAAAHbzbZw=")</f>
        <v>#REF!</v>
      </c>
      <c r="FB14" t="e">
        <f>AND('GA55 Entry'!#REF!,"AAAAAHbzbZ0=")</f>
        <v>#REF!</v>
      </c>
      <c r="FC14" t="e">
        <f>AND('GA55 Entry'!#REF!,"AAAAAHbzbZ4=")</f>
        <v>#REF!</v>
      </c>
      <c r="FD14" t="e">
        <f>AND('GA55 Entry'!#REF!,"AAAAAHbzbZ8=")</f>
        <v>#REF!</v>
      </c>
      <c r="FE14" t="e">
        <f>AND('GA55 Entry'!#REF!,"AAAAAHbzbaA=")</f>
        <v>#REF!</v>
      </c>
      <c r="FF14" t="e">
        <f>AND('GA55 Entry'!#REF!,"AAAAAHbzbaE=")</f>
        <v>#REF!</v>
      </c>
      <c r="FG14" t="e">
        <f>AND('GA55 Entry'!#REF!,"AAAAAHbzbaI=")</f>
        <v>#REF!</v>
      </c>
      <c r="FH14" t="e">
        <f>AND('GA55 Entry'!#REF!,"AAAAAHbzbaM=")</f>
        <v>#REF!</v>
      </c>
      <c r="FI14" t="e">
        <f>AND('GA55 Entry'!#REF!,"AAAAAHbzbaQ=")</f>
        <v>#REF!</v>
      </c>
      <c r="FJ14" t="e">
        <f>AND('GA55 Entry'!#REF!,"AAAAAHbzbaU=")</f>
        <v>#REF!</v>
      </c>
      <c r="FK14" t="e">
        <f>AND('GA55 Entry'!#REF!,"AAAAAHbzbaY=")</f>
        <v>#REF!</v>
      </c>
      <c r="FL14" t="e">
        <f>AND('GA55 Entry'!#REF!,"AAAAAHbzbac=")</f>
        <v>#REF!</v>
      </c>
      <c r="FM14" t="e">
        <f>AND('GA55 Entry'!#REF!,"AAAAAHbzbag=")</f>
        <v>#REF!</v>
      </c>
      <c r="FN14" t="e">
        <f>AND('GA55 Entry'!#REF!,"AAAAAHbzbak=")</f>
        <v>#REF!</v>
      </c>
      <c r="FO14" t="e">
        <f>AND('GA55 Entry'!#REF!,"AAAAAHbzbao=")</f>
        <v>#REF!</v>
      </c>
      <c r="FP14" t="e">
        <f>AND('GA55 Entry'!#REF!,"AAAAAHbzbas=")</f>
        <v>#REF!</v>
      </c>
      <c r="FQ14" t="e">
        <f>AND('GA55 Entry'!#REF!,"AAAAAHbzbaw=")</f>
        <v>#REF!</v>
      </c>
      <c r="FR14" t="e">
        <f>AND('GA55 Entry'!#REF!,"AAAAAHbzba0=")</f>
        <v>#REF!</v>
      </c>
      <c r="FS14" t="e">
        <f>AND('GA55 Entry'!#REF!,"AAAAAHbzba4=")</f>
        <v>#REF!</v>
      </c>
      <c r="FT14" t="e">
        <f>AND('GA55 Entry'!#REF!,"AAAAAHbzba8=")</f>
        <v>#REF!</v>
      </c>
      <c r="FU14" t="e">
        <f>AND('GA55 Entry'!#REF!,"AAAAAHbzbbA=")</f>
        <v>#REF!</v>
      </c>
      <c r="FV14" t="e">
        <f>AND('GA55 Entry'!#REF!,"AAAAAHbzbbE=")</f>
        <v>#REF!</v>
      </c>
      <c r="FW14" t="e">
        <f>AND('GA55 Entry'!#REF!,"AAAAAHbzbbI=")</f>
        <v>#REF!</v>
      </c>
      <c r="FX14" t="e">
        <f>IF('GA55 Entry'!#REF!,"AAAAAHbzbbM=",0)</f>
        <v>#REF!</v>
      </c>
      <c r="FY14" t="e">
        <f>AND('GA55 Entry'!#REF!,"AAAAAHbzbbQ=")</f>
        <v>#REF!</v>
      </c>
      <c r="FZ14" t="e">
        <f>AND('GA55 Entry'!#REF!,"AAAAAHbzbbU=")</f>
        <v>#REF!</v>
      </c>
      <c r="GA14" t="e">
        <f>AND('GA55 Entry'!#REF!,"AAAAAHbzbbY=")</f>
        <v>#REF!</v>
      </c>
      <c r="GB14" t="e">
        <f>AND('GA55 Entry'!#REF!,"AAAAAHbzbbc=")</f>
        <v>#REF!</v>
      </c>
      <c r="GC14" t="e">
        <f>AND('GA55 Entry'!#REF!,"AAAAAHbzbbg=")</f>
        <v>#REF!</v>
      </c>
      <c r="GD14" t="e">
        <f>AND('GA55 Entry'!#REF!,"AAAAAHbzbbk=")</f>
        <v>#REF!</v>
      </c>
      <c r="GE14" t="e">
        <f>AND('GA55 Entry'!#REF!,"AAAAAHbzbbo=")</f>
        <v>#REF!</v>
      </c>
      <c r="GF14" t="e">
        <f>AND('GA55 Entry'!#REF!,"AAAAAHbzbbs=")</f>
        <v>#REF!</v>
      </c>
      <c r="GG14" t="e">
        <f>AND('GA55 Entry'!#REF!,"AAAAAHbzbbw=")</f>
        <v>#REF!</v>
      </c>
      <c r="GH14" t="e">
        <f>AND('GA55 Entry'!#REF!,"AAAAAHbzbb0=")</f>
        <v>#REF!</v>
      </c>
      <c r="GI14" t="e">
        <f>AND('GA55 Entry'!#REF!,"AAAAAHbzbb4=")</f>
        <v>#REF!</v>
      </c>
      <c r="GJ14" t="e">
        <f>AND('GA55 Entry'!#REF!,"AAAAAHbzbb8=")</f>
        <v>#REF!</v>
      </c>
      <c r="GK14" t="e">
        <f>AND('GA55 Entry'!#REF!,"AAAAAHbzbcA=")</f>
        <v>#REF!</v>
      </c>
      <c r="GL14" t="e">
        <f>AND('GA55 Entry'!#REF!,"AAAAAHbzbcE=")</f>
        <v>#REF!</v>
      </c>
      <c r="GM14" t="e">
        <f>AND('GA55 Entry'!#REF!,"AAAAAHbzbcI=")</f>
        <v>#REF!</v>
      </c>
      <c r="GN14" t="e">
        <f>AND('GA55 Entry'!#REF!,"AAAAAHbzbcM=")</f>
        <v>#REF!</v>
      </c>
      <c r="GO14" t="e">
        <f>AND('GA55 Entry'!#REF!,"AAAAAHbzbcQ=")</f>
        <v>#REF!</v>
      </c>
      <c r="GP14" t="e">
        <f>AND('GA55 Entry'!#REF!,"AAAAAHbzbcU=")</f>
        <v>#REF!</v>
      </c>
      <c r="GQ14" t="e">
        <f>AND('GA55 Entry'!#REF!,"AAAAAHbzbcY=")</f>
        <v>#REF!</v>
      </c>
      <c r="GR14" t="e">
        <f>AND('GA55 Entry'!#REF!,"AAAAAHbzbcc=")</f>
        <v>#REF!</v>
      </c>
      <c r="GS14" t="e">
        <f>AND('GA55 Entry'!#REF!,"AAAAAHbzbcg=")</f>
        <v>#REF!</v>
      </c>
      <c r="GT14" t="e">
        <f>AND('GA55 Entry'!#REF!,"AAAAAHbzbck=")</f>
        <v>#REF!</v>
      </c>
      <c r="GU14" t="e">
        <f>AND('GA55 Entry'!#REF!,"AAAAAHbzbco=")</f>
        <v>#REF!</v>
      </c>
      <c r="GV14" t="e">
        <f>AND('GA55 Entry'!#REF!,"AAAAAHbzbcs=")</f>
        <v>#REF!</v>
      </c>
      <c r="GW14" t="e">
        <f>AND('GA55 Entry'!#REF!,"AAAAAHbzbcw=")</f>
        <v>#REF!</v>
      </c>
      <c r="GX14" t="e">
        <f>AND('GA55 Entry'!#REF!,"AAAAAHbzbc0=")</f>
        <v>#REF!</v>
      </c>
      <c r="GY14" t="e">
        <f>AND('GA55 Entry'!#REF!,"AAAAAHbzbc4=")</f>
        <v>#REF!</v>
      </c>
      <c r="GZ14" t="e">
        <f>AND('GA55 Entry'!#REF!,"AAAAAHbzbc8=")</f>
        <v>#REF!</v>
      </c>
      <c r="HA14" t="e">
        <f>AND('GA55 Entry'!#REF!,"AAAAAHbzbdA=")</f>
        <v>#REF!</v>
      </c>
      <c r="HB14" t="e">
        <f>AND('GA55 Entry'!#REF!,"AAAAAHbzbdE=")</f>
        <v>#REF!</v>
      </c>
      <c r="HC14" t="e">
        <f>AND('GA55 Entry'!#REF!,"AAAAAHbzbdI=")</f>
        <v>#REF!</v>
      </c>
      <c r="HD14" t="e">
        <f>AND('GA55 Entry'!#REF!,"AAAAAHbzbdM=")</f>
        <v>#REF!</v>
      </c>
      <c r="HE14" t="e">
        <f>AND('GA55 Entry'!#REF!,"AAAAAHbzbdQ=")</f>
        <v>#REF!</v>
      </c>
      <c r="HF14" t="e">
        <f>AND('GA55 Entry'!#REF!,"AAAAAHbzbdU=")</f>
        <v>#REF!</v>
      </c>
      <c r="HG14" t="e">
        <f>AND('GA55 Entry'!#REF!,"AAAAAHbzbdY=")</f>
        <v>#REF!</v>
      </c>
      <c r="HH14" t="e">
        <f>AND('GA55 Entry'!#REF!,"AAAAAHbzbdc=")</f>
        <v>#REF!</v>
      </c>
      <c r="HI14" t="e">
        <f>AND('GA55 Entry'!#REF!,"AAAAAHbzbdg=")</f>
        <v>#REF!</v>
      </c>
      <c r="HJ14" t="e">
        <f>AND('GA55 Entry'!#REF!,"AAAAAHbzbdk=")</f>
        <v>#REF!</v>
      </c>
      <c r="HK14" t="e">
        <f>AND('GA55 Entry'!#REF!,"AAAAAHbzbdo=")</f>
        <v>#REF!</v>
      </c>
      <c r="HL14" t="e">
        <f>AND('GA55 Entry'!#REF!,"AAAAAHbzbds=")</f>
        <v>#REF!</v>
      </c>
      <c r="HM14" t="e">
        <f>AND('GA55 Entry'!#REF!,"AAAAAHbzbdw=")</f>
        <v>#REF!</v>
      </c>
      <c r="HN14" t="e">
        <f>AND('GA55 Entry'!#REF!,"AAAAAHbzbd0=")</f>
        <v>#REF!</v>
      </c>
      <c r="HO14" t="e">
        <f>AND('GA55 Entry'!#REF!,"AAAAAHbzbd4=")</f>
        <v>#REF!</v>
      </c>
      <c r="HP14" t="e">
        <f>AND('GA55 Entry'!#REF!,"AAAAAHbzbd8=")</f>
        <v>#REF!</v>
      </c>
      <c r="HQ14" t="e">
        <f>AND('GA55 Entry'!#REF!,"AAAAAHbzbeA=")</f>
        <v>#REF!</v>
      </c>
      <c r="HR14" t="e">
        <f>AND('GA55 Entry'!#REF!,"AAAAAHbzbeE=")</f>
        <v>#REF!</v>
      </c>
      <c r="HS14" t="e">
        <f>AND('GA55 Entry'!#REF!,"AAAAAHbzbeI=")</f>
        <v>#REF!</v>
      </c>
      <c r="HT14" t="e">
        <f>AND('GA55 Entry'!#REF!,"AAAAAHbzbeM=")</f>
        <v>#REF!</v>
      </c>
      <c r="HU14" t="e">
        <f>AND('GA55 Entry'!#REF!,"AAAAAHbzbeQ=")</f>
        <v>#REF!</v>
      </c>
      <c r="HV14" t="e">
        <f>AND('GA55 Entry'!#REF!,"AAAAAHbzbeU=")</f>
        <v>#REF!</v>
      </c>
      <c r="HW14" t="e">
        <f>IF('GA55 Entry'!#REF!,"AAAAAHbzbeY=",0)</f>
        <v>#REF!</v>
      </c>
      <c r="HX14" t="e">
        <f>AND('GA55 Entry'!#REF!,"AAAAAHbzbec=")</f>
        <v>#REF!</v>
      </c>
      <c r="HY14" t="e">
        <f>AND('GA55 Entry'!#REF!,"AAAAAHbzbeg=")</f>
        <v>#REF!</v>
      </c>
      <c r="HZ14" t="e">
        <f>AND('GA55 Entry'!#REF!,"AAAAAHbzbek=")</f>
        <v>#REF!</v>
      </c>
      <c r="IA14" t="e">
        <f>AND('GA55 Entry'!#REF!,"AAAAAHbzbeo=")</f>
        <v>#REF!</v>
      </c>
      <c r="IB14" t="e">
        <f>AND('GA55 Entry'!#REF!,"AAAAAHbzbes=")</f>
        <v>#REF!</v>
      </c>
      <c r="IC14" t="e">
        <f>AND('GA55 Entry'!#REF!,"AAAAAHbzbew=")</f>
        <v>#REF!</v>
      </c>
      <c r="ID14" t="e">
        <f>AND('GA55 Entry'!#REF!,"AAAAAHbzbe0=")</f>
        <v>#REF!</v>
      </c>
      <c r="IE14" t="e">
        <f>AND('GA55 Entry'!#REF!,"AAAAAHbzbe4=")</f>
        <v>#REF!</v>
      </c>
      <c r="IF14" t="e">
        <f>AND('GA55 Entry'!#REF!,"AAAAAHbzbe8=")</f>
        <v>#REF!</v>
      </c>
      <c r="IG14" t="e">
        <f>AND('GA55 Entry'!#REF!,"AAAAAHbzbfA=")</f>
        <v>#REF!</v>
      </c>
      <c r="IH14" t="e">
        <f>AND('GA55 Entry'!#REF!,"AAAAAHbzbfE=")</f>
        <v>#REF!</v>
      </c>
      <c r="II14" t="e">
        <f>AND('GA55 Entry'!#REF!,"AAAAAHbzbfI=")</f>
        <v>#REF!</v>
      </c>
      <c r="IJ14" t="e">
        <f>AND('GA55 Entry'!#REF!,"AAAAAHbzbfM=")</f>
        <v>#REF!</v>
      </c>
      <c r="IK14" t="e">
        <f>AND('GA55 Entry'!#REF!,"AAAAAHbzbfQ=")</f>
        <v>#REF!</v>
      </c>
      <c r="IL14" t="e">
        <f>AND('GA55 Entry'!#REF!,"AAAAAHbzbfU=")</f>
        <v>#REF!</v>
      </c>
      <c r="IM14" t="e">
        <f>AND('GA55 Entry'!#REF!,"AAAAAHbzbfY=")</f>
        <v>#REF!</v>
      </c>
      <c r="IN14" t="e">
        <f>AND('GA55 Entry'!#REF!,"AAAAAHbzbfc=")</f>
        <v>#REF!</v>
      </c>
      <c r="IO14" t="e">
        <f>AND('GA55 Entry'!#REF!,"AAAAAHbzbfg=")</f>
        <v>#REF!</v>
      </c>
      <c r="IP14" t="e">
        <f>AND('GA55 Entry'!#REF!,"AAAAAHbzbfk=")</f>
        <v>#REF!</v>
      </c>
      <c r="IQ14" t="e">
        <f>AND('GA55 Entry'!#REF!,"AAAAAHbzbfo=")</f>
        <v>#REF!</v>
      </c>
      <c r="IR14" t="e">
        <f>AND('GA55 Entry'!#REF!,"AAAAAHbzbfs=")</f>
        <v>#REF!</v>
      </c>
      <c r="IS14" t="e">
        <f>AND('GA55 Entry'!#REF!,"AAAAAHbzbfw=")</f>
        <v>#REF!</v>
      </c>
      <c r="IT14" t="e">
        <f>AND('GA55 Entry'!#REF!,"AAAAAHbzbf0=")</f>
        <v>#REF!</v>
      </c>
      <c r="IU14" t="e">
        <f>AND('GA55 Entry'!#REF!,"AAAAAHbzbf4=")</f>
        <v>#REF!</v>
      </c>
      <c r="IV14" t="e">
        <f>AND('GA55 Entry'!#REF!,"AAAAAHbzbf8=")</f>
        <v>#REF!</v>
      </c>
    </row>
    <row r="15" spans="1:256">
      <c r="A15" t="e">
        <f>AND('GA55 Entry'!#REF!,"AAAAADf9pAA=")</f>
        <v>#REF!</v>
      </c>
      <c r="B15" t="e">
        <f>AND('GA55 Entry'!#REF!,"AAAAADf9pAE=")</f>
        <v>#REF!</v>
      </c>
      <c r="C15" t="e">
        <f>AND('GA55 Entry'!#REF!,"AAAAADf9pAI=")</f>
        <v>#REF!</v>
      </c>
      <c r="D15" t="e">
        <f>AND('GA55 Entry'!#REF!,"AAAAADf9pAM=")</f>
        <v>#REF!</v>
      </c>
      <c r="E15" t="e">
        <f>AND('GA55 Entry'!#REF!,"AAAAADf9pAQ=")</f>
        <v>#REF!</v>
      </c>
      <c r="F15" t="e">
        <f>AND('GA55 Entry'!#REF!,"AAAAADf9pAU=")</f>
        <v>#REF!</v>
      </c>
      <c r="G15" t="e">
        <f>AND('GA55 Entry'!#REF!,"AAAAADf9pAY=")</f>
        <v>#REF!</v>
      </c>
      <c r="H15" t="e">
        <f>AND('GA55 Entry'!#REF!,"AAAAADf9pAc=")</f>
        <v>#REF!</v>
      </c>
      <c r="I15" t="e">
        <f>AND('GA55 Entry'!#REF!,"AAAAADf9pAg=")</f>
        <v>#REF!</v>
      </c>
      <c r="J15" t="e">
        <f>AND('GA55 Entry'!#REF!,"AAAAADf9pAk=")</f>
        <v>#REF!</v>
      </c>
      <c r="K15" t="e">
        <f>AND('GA55 Entry'!#REF!,"AAAAADf9pAo=")</f>
        <v>#REF!</v>
      </c>
      <c r="L15" t="e">
        <f>AND('GA55 Entry'!#REF!,"AAAAADf9pAs=")</f>
        <v>#REF!</v>
      </c>
      <c r="M15" t="e">
        <f>AND('GA55 Entry'!#REF!,"AAAAADf9pAw=")</f>
        <v>#REF!</v>
      </c>
      <c r="N15" t="e">
        <f>AND('GA55 Entry'!#REF!,"AAAAADf9pA0=")</f>
        <v>#REF!</v>
      </c>
      <c r="O15" t="e">
        <f>AND('GA55 Entry'!#REF!,"AAAAADf9pA4=")</f>
        <v>#REF!</v>
      </c>
      <c r="P15" t="e">
        <f>AND('GA55 Entry'!#REF!,"AAAAADf9pA8=")</f>
        <v>#REF!</v>
      </c>
      <c r="Q15" t="e">
        <f>AND('GA55 Entry'!#REF!,"AAAAADf9pBA=")</f>
        <v>#REF!</v>
      </c>
      <c r="R15" t="e">
        <f>AND('GA55 Entry'!#REF!,"AAAAADf9pBE=")</f>
        <v>#REF!</v>
      </c>
      <c r="S15" t="e">
        <f>AND('GA55 Entry'!#REF!,"AAAAADf9pBI=")</f>
        <v>#REF!</v>
      </c>
      <c r="T15" t="e">
        <f>AND('GA55 Entry'!#REF!,"AAAAADf9pBM=")</f>
        <v>#REF!</v>
      </c>
      <c r="U15" t="e">
        <f>AND('GA55 Entry'!#REF!,"AAAAADf9pBQ=")</f>
        <v>#REF!</v>
      </c>
      <c r="V15" t="e">
        <f>AND('GA55 Entry'!#REF!,"AAAAADf9pBU=")</f>
        <v>#REF!</v>
      </c>
      <c r="W15" t="e">
        <f>AND('GA55 Entry'!#REF!,"AAAAADf9pBY=")</f>
        <v>#REF!</v>
      </c>
      <c r="X15" t="e">
        <f>AND('GA55 Entry'!#REF!,"AAAAADf9pBc=")</f>
        <v>#REF!</v>
      </c>
      <c r="Y15" t="e">
        <f>AND('GA55 Entry'!#REF!,"AAAAADf9pBg=")</f>
        <v>#REF!</v>
      </c>
      <c r="Z15" t="e">
        <f>IF('GA55 Entry'!#REF!,"AAAAADf9pBk=",0)</f>
        <v>#REF!</v>
      </c>
      <c r="AA15" t="e">
        <f>AND('GA55 Entry'!#REF!,"AAAAADf9pBo=")</f>
        <v>#REF!</v>
      </c>
      <c r="AB15" t="e">
        <f>AND('GA55 Entry'!#REF!,"AAAAADf9pBs=")</f>
        <v>#REF!</v>
      </c>
      <c r="AC15" t="e">
        <f>AND('GA55 Entry'!#REF!,"AAAAADf9pBw=")</f>
        <v>#REF!</v>
      </c>
      <c r="AD15" t="e">
        <f>AND('GA55 Entry'!#REF!,"AAAAADf9pB0=")</f>
        <v>#REF!</v>
      </c>
      <c r="AE15" t="e">
        <f>AND('GA55 Entry'!#REF!,"AAAAADf9pB4=")</f>
        <v>#REF!</v>
      </c>
      <c r="AF15" t="e">
        <f>AND('GA55 Entry'!#REF!,"AAAAADf9pB8=")</f>
        <v>#REF!</v>
      </c>
      <c r="AG15" t="e">
        <f>AND('GA55 Entry'!#REF!,"AAAAADf9pCA=")</f>
        <v>#REF!</v>
      </c>
      <c r="AH15" t="e">
        <f>AND('GA55 Entry'!#REF!,"AAAAADf9pCE=")</f>
        <v>#REF!</v>
      </c>
      <c r="AI15" t="e">
        <f>AND('GA55 Entry'!#REF!,"AAAAADf9pCI=")</f>
        <v>#REF!</v>
      </c>
      <c r="AJ15" t="e">
        <f>AND('GA55 Entry'!#REF!,"AAAAADf9pCM=")</f>
        <v>#REF!</v>
      </c>
      <c r="AK15" t="e">
        <f>AND('GA55 Entry'!#REF!,"AAAAADf9pCQ=")</f>
        <v>#REF!</v>
      </c>
      <c r="AL15" t="e">
        <f>AND('GA55 Entry'!#REF!,"AAAAADf9pCU=")</f>
        <v>#REF!</v>
      </c>
      <c r="AM15" t="e">
        <f>AND('GA55 Entry'!#REF!,"AAAAADf9pCY=")</f>
        <v>#REF!</v>
      </c>
      <c r="AN15" t="e">
        <f>AND('GA55 Entry'!#REF!,"AAAAADf9pCc=")</f>
        <v>#REF!</v>
      </c>
      <c r="AO15" t="e">
        <f>AND('GA55 Entry'!#REF!,"AAAAADf9pCg=")</f>
        <v>#REF!</v>
      </c>
      <c r="AP15" t="e">
        <f>AND('GA55 Entry'!#REF!,"AAAAADf9pCk=")</f>
        <v>#REF!</v>
      </c>
      <c r="AQ15" t="e">
        <f>AND('GA55 Entry'!#REF!,"AAAAADf9pCo=")</f>
        <v>#REF!</v>
      </c>
      <c r="AR15" t="e">
        <f>AND('GA55 Entry'!#REF!,"AAAAADf9pCs=")</f>
        <v>#REF!</v>
      </c>
      <c r="AS15" t="e">
        <f>AND('GA55 Entry'!#REF!,"AAAAADf9pCw=")</f>
        <v>#REF!</v>
      </c>
      <c r="AT15" t="e">
        <f>AND('GA55 Entry'!#REF!,"AAAAADf9pC0=")</f>
        <v>#REF!</v>
      </c>
      <c r="AU15" t="e">
        <f>AND('GA55 Entry'!#REF!,"AAAAADf9pC4=")</f>
        <v>#REF!</v>
      </c>
      <c r="AV15" t="e">
        <f>AND('GA55 Entry'!#REF!,"AAAAADf9pC8=")</f>
        <v>#REF!</v>
      </c>
      <c r="AW15" t="e">
        <f>AND('GA55 Entry'!#REF!,"AAAAADf9pDA=")</f>
        <v>#REF!</v>
      </c>
      <c r="AX15" t="e">
        <f>AND('GA55 Entry'!#REF!,"AAAAADf9pDE=")</f>
        <v>#REF!</v>
      </c>
      <c r="AY15" t="e">
        <f>AND('GA55 Entry'!#REF!,"AAAAADf9pDI=")</f>
        <v>#REF!</v>
      </c>
      <c r="AZ15" t="e">
        <f>AND('GA55 Entry'!#REF!,"AAAAADf9pDM=")</f>
        <v>#REF!</v>
      </c>
      <c r="BA15" t="e">
        <f>AND('GA55 Entry'!#REF!,"AAAAADf9pDQ=")</f>
        <v>#REF!</v>
      </c>
      <c r="BB15" t="e">
        <f>AND('GA55 Entry'!#REF!,"AAAAADf9pDU=")</f>
        <v>#REF!</v>
      </c>
      <c r="BC15" t="e">
        <f>AND('GA55 Entry'!#REF!,"AAAAADf9pDY=")</f>
        <v>#REF!</v>
      </c>
      <c r="BD15" t="e">
        <f>AND('GA55 Entry'!#REF!,"AAAAADf9pDc=")</f>
        <v>#REF!</v>
      </c>
      <c r="BE15" t="e">
        <f>AND('GA55 Entry'!#REF!,"AAAAADf9pDg=")</f>
        <v>#REF!</v>
      </c>
      <c r="BF15" t="e">
        <f>AND('GA55 Entry'!#REF!,"AAAAADf9pDk=")</f>
        <v>#REF!</v>
      </c>
      <c r="BG15" t="e">
        <f>AND('GA55 Entry'!#REF!,"AAAAADf9pDo=")</f>
        <v>#REF!</v>
      </c>
      <c r="BH15" t="e">
        <f>AND('GA55 Entry'!#REF!,"AAAAADf9pDs=")</f>
        <v>#REF!</v>
      </c>
      <c r="BI15" t="e">
        <f>AND('GA55 Entry'!#REF!,"AAAAADf9pDw=")</f>
        <v>#REF!</v>
      </c>
      <c r="BJ15" t="e">
        <f>AND('GA55 Entry'!#REF!,"AAAAADf9pD0=")</f>
        <v>#REF!</v>
      </c>
      <c r="BK15" t="e">
        <f>AND('GA55 Entry'!#REF!,"AAAAADf9pD4=")</f>
        <v>#REF!</v>
      </c>
      <c r="BL15" t="e">
        <f>AND('GA55 Entry'!#REF!,"AAAAADf9pD8=")</f>
        <v>#REF!</v>
      </c>
      <c r="BM15" t="e">
        <f>AND('GA55 Entry'!#REF!,"AAAAADf9pEA=")</f>
        <v>#REF!</v>
      </c>
      <c r="BN15" t="e">
        <f>AND('GA55 Entry'!#REF!,"AAAAADf9pEE=")</f>
        <v>#REF!</v>
      </c>
      <c r="BO15" t="e">
        <f>AND('GA55 Entry'!#REF!,"AAAAADf9pEI=")</f>
        <v>#REF!</v>
      </c>
      <c r="BP15" t="e">
        <f>AND('GA55 Entry'!#REF!,"AAAAADf9pEM=")</f>
        <v>#REF!</v>
      </c>
      <c r="BQ15" t="e">
        <f>AND('GA55 Entry'!#REF!,"AAAAADf9pEQ=")</f>
        <v>#REF!</v>
      </c>
      <c r="BR15" t="e">
        <f>AND('GA55 Entry'!#REF!,"AAAAADf9pEU=")</f>
        <v>#REF!</v>
      </c>
      <c r="BS15" t="e">
        <f>AND('GA55 Entry'!#REF!,"AAAAADf9pEY=")</f>
        <v>#REF!</v>
      </c>
      <c r="BT15" t="e">
        <f>AND('GA55 Entry'!#REF!,"AAAAADf9pEc=")</f>
        <v>#REF!</v>
      </c>
      <c r="BU15" t="e">
        <f>AND('GA55 Entry'!#REF!,"AAAAADf9pEg=")</f>
        <v>#REF!</v>
      </c>
      <c r="BV15" t="e">
        <f>AND('GA55 Entry'!#REF!,"AAAAADf9pEk=")</f>
        <v>#REF!</v>
      </c>
      <c r="BW15" t="e">
        <f>AND('GA55 Entry'!#REF!,"AAAAADf9pEo=")</f>
        <v>#REF!</v>
      </c>
      <c r="BX15" t="e">
        <f>AND('GA55 Entry'!#REF!,"AAAAADf9pEs=")</f>
        <v>#REF!</v>
      </c>
      <c r="BY15" t="e">
        <f>IF('GA55 Entry'!#REF!,"AAAAADf9pEw=",0)</f>
        <v>#REF!</v>
      </c>
      <c r="BZ15" t="e">
        <f>AND('GA55 Entry'!#REF!,"AAAAADf9pE0=")</f>
        <v>#REF!</v>
      </c>
      <c r="CA15" t="e">
        <f>AND('GA55 Entry'!#REF!,"AAAAADf9pE4=")</f>
        <v>#REF!</v>
      </c>
      <c r="CB15" t="e">
        <f>AND('GA55 Entry'!#REF!,"AAAAADf9pE8=")</f>
        <v>#REF!</v>
      </c>
      <c r="CC15" t="e">
        <f>AND('GA55 Entry'!#REF!,"AAAAADf9pFA=")</f>
        <v>#REF!</v>
      </c>
      <c r="CD15" t="e">
        <f>AND('GA55 Entry'!#REF!,"AAAAADf9pFE=")</f>
        <v>#REF!</v>
      </c>
      <c r="CE15" t="e">
        <f>AND('GA55 Entry'!#REF!,"AAAAADf9pFI=")</f>
        <v>#REF!</v>
      </c>
      <c r="CF15" t="e">
        <f>AND('GA55 Entry'!#REF!,"AAAAADf9pFM=")</f>
        <v>#REF!</v>
      </c>
      <c r="CG15" t="e">
        <f>AND('GA55 Entry'!#REF!,"AAAAADf9pFQ=")</f>
        <v>#REF!</v>
      </c>
      <c r="CH15" t="e">
        <f>AND('GA55 Entry'!#REF!,"AAAAADf9pFU=")</f>
        <v>#REF!</v>
      </c>
      <c r="CI15" t="e">
        <f>AND('GA55 Entry'!#REF!,"AAAAADf9pFY=")</f>
        <v>#REF!</v>
      </c>
      <c r="CJ15" t="e">
        <f>AND('GA55 Entry'!#REF!,"AAAAADf9pFc=")</f>
        <v>#REF!</v>
      </c>
      <c r="CK15" t="e">
        <f>AND('GA55 Entry'!#REF!,"AAAAADf9pFg=")</f>
        <v>#REF!</v>
      </c>
      <c r="CL15" t="e">
        <f>AND('GA55 Entry'!#REF!,"AAAAADf9pFk=")</f>
        <v>#REF!</v>
      </c>
      <c r="CM15" t="e">
        <f>AND('GA55 Entry'!#REF!,"AAAAADf9pFo=")</f>
        <v>#REF!</v>
      </c>
      <c r="CN15" t="e">
        <f>AND('GA55 Entry'!#REF!,"AAAAADf9pFs=")</f>
        <v>#REF!</v>
      </c>
      <c r="CO15" t="e">
        <f>AND('GA55 Entry'!#REF!,"AAAAADf9pFw=")</f>
        <v>#REF!</v>
      </c>
      <c r="CP15" t="e">
        <f>AND('GA55 Entry'!#REF!,"AAAAADf9pF0=")</f>
        <v>#REF!</v>
      </c>
      <c r="CQ15" t="e">
        <f>AND('GA55 Entry'!#REF!,"AAAAADf9pF4=")</f>
        <v>#REF!</v>
      </c>
      <c r="CR15" t="e">
        <f>AND('GA55 Entry'!#REF!,"AAAAADf9pF8=")</f>
        <v>#REF!</v>
      </c>
      <c r="CS15" t="e">
        <f>AND('GA55 Entry'!#REF!,"AAAAADf9pGA=")</f>
        <v>#REF!</v>
      </c>
      <c r="CT15" t="e">
        <f>AND('GA55 Entry'!#REF!,"AAAAADf9pGE=")</f>
        <v>#REF!</v>
      </c>
      <c r="CU15" t="e">
        <f>AND('GA55 Entry'!#REF!,"AAAAADf9pGI=")</f>
        <v>#REF!</v>
      </c>
      <c r="CV15" t="e">
        <f>AND('GA55 Entry'!#REF!,"AAAAADf9pGM=")</f>
        <v>#REF!</v>
      </c>
      <c r="CW15" t="e">
        <f>AND('GA55 Entry'!#REF!,"AAAAADf9pGQ=")</f>
        <v>#REF!</v>
      </c>
      <c r="CX15" t="e">
        <f>AND('GA55 Entry'!#REF!,"AAAAADf9pGU=")</f>
        <v>#REF!</v>
      </c>
      <c r="CY15" t="e">
        <f>AND('GA55 Entry'!#REF!,"AAAAADf9pGY=")</f>
        <v>#REF!</v>
      </c>
      <c r="CZ15" t="e">
        <f>AND('GA55 Entry'!#REF!,"AAAAADf9pGc=")</f>
        <v>#REF!</v>
      </c>
      <c r="DA15" t="e">
        <f>AND('GA55 Entry'!#REF!,"AAAAADf9pGg=")</f>
        <v>#REF!</v>
      </c>
      <c r="DB15" t="e">
        <f>AND('GA55 Entry'!#REF!,"AAAAADf9pGk=")</f>
        <v>#REF!</v>
      </c>
      <c r="DC15" t="e">
        <f>AND('GA55 Entry'!#REF!,"AAAAADf9pGo=")</f>
        <v>#REF!</v>
      </c>
      <c r="DD15" t="e">
        <f>AND('GA55 Entry'!#REF!,"AAAAADf9pGs=")</f>
        <v>#REF!</v>
      </c>
      <c r="DE15" t="e">
        <f>AND('GA55 Entry'!#REF!,"AAAAADf9pGw=")</f>
        <v>#REF!</v>
      </c>
      <c r="DF15" t="e">
        <f>AND('GA55 Entry'!#REF!,"AAAAADf9pG0=")</f>
        <v>#REF!</v>
      </c>
      <c r="DG15" t="e">
        <f>AND('GA55 Entry'!#REF!,"AAAAADf9pG4=")</f>
        <v>#REF!</v>
      </c>
      <c r="DH15" t="e">
        <f>AND('GA55 Entry'!#REF!,"AAAAADf9pG8=")</f>
        <v>#REF!</v>
      </c>
      <c r="DI15" t="e">
        <f>AND('GA55 Entry'!#REF!,"AAAAADf9pHA=")</f>
        <v>#REF!</v>
      </c>
      <c r="DJ15" t="e">
        <f>AND('GA55 Entry'!#REF!,"AAAAADf9pHE=")</f>
        <v>#REF!</v>
      </c>
      <c r="DK15" t="e">
        <f>AND('GA55 Entry'!#REF!,"AAAAADf9pHI=")</f>
        <v>#REF!</v>
      </c>
      <c r="DL15" t="e">
        <f>AND('GA55 Entry'!#REF!,"AAAAADf9pHM=")</f>
        <v>#REF!</v>
      </c>
      <c r="DM15" t="e">
        <f>AND('GA55 Entry'!#REF!,"AAAAADf9pHQ=")</f>
        <v>#REF!</v>
      </c>
      <c r="DN15" t="e">
        <f>AND('GA55 Entry'!#REF!,"AAAAADf9pHU=")</f>
        <v>#REF!</v>
      </c>
      <c r="DO15" t="e">
        <f>AND('GA55 Entry'!#REF!,"AAAAADf9pHY=")</f>
        <v>#REF!</v>
      </c>
      <c r="DP15" t="e">
        <f>AND('GA55 Entry'!#REF!,"AAAAADf9pHc=")</f>
        <v>#REF!</v>
      </c>
      <c r="DQ15" t="e">
        <f>AND('GA55 Entry'!#REF!,"AAAAADf9pHg=")</f>
        <v>#REF!</v>
      </c>
      <c r="DR15" t="e">
        <f>AND('GA55 Entry'!#REF!,"AAAAADf9pHk=")</f>
        <v>#REF!</v>
      </c>
      <c r="DS15" t="e">
        <f>AND('GA55 Entry'!#REF!,"AAAAADf9pHo=")</f>
        <v>#REF!</v>
      </c>
      <c r="DT15" t="e">
        <f>AND('GA55 Entry'!#REF!,"AAAAADf9pHs=")</f>
        <v>#REF!</v>
      </c>
      <c r="DU15" t="e">
        <f>AND('GA55 Entry'!#REF!,"AAAAADf9pHw=")</f>
        <v>#REF!</v>
      </c>
      <c r="DV15" t="e">
        <f>AND('GA55 Entry'!#REF!,"AAAAADf9pH0=")</f>
        <v>#REF!</v>
      </c>
      <c r="DW15" t="e">
        <f>AND('GA55 Entry'!#REF!,"AAAAADf9pH4=")</f>
        <v>#REF!</v>
      </c>
      <c r="DX15">
        <f>IF('GA55 Entry'!9:9,"AAAAADf9pH8=",0)</f>
        <v>0</v>
      </c>
      <c r="DY15" t="e">
        <f>AND('GA55 Entry'!B9,"AAAAADf9pIA=")</f>
        <v>#VALUE!</v>
      </c>
      <c r="DZ15" t="e">
        <f>AND('GA55 Entry'!#REF!,"AAAAADf9pIE=")</f>
        <v>#REF!</v>
      </c>
      <c r="EA15" t="e">
        <f>AND('GA55 Entry'!C9,"AAAAADf9pII=")</f>
        <v>#VALUE!</v>
      </c>
      <c r="EB15" t="e">
        <f>AND('GA55 Entry'!#REF!,"AAAAADf9pIM=")</f>
        <v>#REF!</v>
      </c>
      <c r="EC15" t="e">
        <f>AND('GA55 Entry'!#REF!,"AAAAADf9pIQ=")</f>
        <v>#REF!</v>
      </c>
      <c r="ED15" t="e">
        <f>AND('GA55 Entry'!#REF!,"AAAAADf9pIU=")</f>
        <v>#REF!</v>
      </c>
      <c r="EE15" t="e">
        <f>AND('GA55 Entry'!#REF!,"AAAAADf9pIY=")</f>
        <v>#REF!</v>
      </c>
      <c r="EF15" t="e">
        <f>AND('GA55 Entry'!#REF!,"AAAAADf9pIc=")</f>
        <v>#REF!</v>
      </c>
      <c r="EG15" t="e">
        <f>AND('GA55 Entry'!D9,"AAAAADf9pIg=")</f>
        <v>#VALUE!</v>
      </c>
      <c r="EH15" t="e">
        <f>AND('GA55 Entry'!#REF!,"AAAAADf9pIk=")</f>
        <v>#REF!</v>
      </c>
      <c r="EI15" t="e">
        <f>AND('GA55 Entry'!E9,"AAAAADf9pIo=")</f>
        <v>#VALUE!</v>
      </c>
      <c r="EJ15" t="e">
        <f>AND('GA55 Entry'!F9,"AAAAADf9pIs=")</f>
        <v>#VALUE!</v>
      </c>
      <c r="EK15" t="e">
        <f>AND('GA55 Entry'!G9,"AAAAADf9pIw=")</f>
        <v>#VALUE!</v>
      </c>
      <c r="EL15" t="e">
        <f>AND('GA55 Entry'!H9,"AAAAADf9pI0=")</f>
        <v>#VALUE!</v>
      </c>
      <c r="EM15" t="e">
        <f>AND('GA55 Entry'!I9,"AAAAADf9pI4=")</f>
        <v>#VALUE!</v>
      </c>
      <c r="EN15" t="e">
        <f>AND('GA55 Entry'!J9,"AAAAADf9pI8=")</f>
        <v>#VALUE!</v>
      </c>
      <c r="EO15" t="e">
        <f>AND('GA55 Entry'!#REF!,"AAAAADf9pJA=")</f>
        <v>#REF!</v>
      </c>
      <c r="EP15" t="e">
        <f>AND('GA55 Entry'!K9,"AAAAADf9pJE=")</f>
        <v>#VALUE!</v>
      </c>
      <c r="EQ15" t="e">
        <f>AND('GA55 Entry'!L9,"AAAAADf9pJI=")</f>
        <v>#VALUE!</v>
      </c>
      <c r="ER15" t="e">
        <f>AND('GA55 Entry'!M9,"AAAAADf9pJM=")</f>
        <v>#VALUE!</v>
      </c>
      <c r="ES15" t="e">
        <f>AND('GA55 Entry'!N9,"AAAAADf9pJQ=")</f>
        <v>#VALUE!</v>
      </c>
      <c r="ET15" t="e">
        <f>AND('GA55 Entry'!O9,"AAAAADf9pJU=")</f>
        <v>#VALUE!</v>
      </c>
      <c r="EU15" t="e">
        <f>AND('GA55 Entry'!P9,"AAAAADf9pJY=")</f>
        <v>#VALUE!</v>
      </c>
      <c r="EV15" t="e">
        <f>AND('GA55 Entry'!Q9,"AAAAADf9pJc=")</f>
        <v>#VALUE!</v>
      </c>
      <c r="EW15" t="e">
        <f>AND('GA55 Entry'!S9,"AAAAADf9pJg=")</f>
        <v>#VALUE!</v>
      </c>
      <c r="EX15" t="e">
        <f>AND('GA55 Entry'!#REF!,"AAAAADf9pJk=")</f>
        <v>#REF!</v>
      </c>
      <c r="EY15" t="e">
        <f>AND('GA55 Entry'!T9,"AAAAADf9pJo=")</f>
        <v>#VALUE!</v>
      </c>
      <c r="EZ15" t="e">
        <f>AND('GA55 Entry'!U9,"AAAAADf9pJs=")</f>
        <v>#VALUE!</v>
      </c>
      <c r="FA15" t="e">
        <f>AND('GA55 Entry'!V9,"AAAAADf9pJw=")</f>
        <v>#VALUE!</v>
      </c>
      <c r="FB15" t="e">
        <f>AND('GA55 Entry'!#REF!,"AAAAADf9pJ0=")</f>
        <v>#REF!</v>
      </c>
      <c r="FC15" t="e">
        <f>AND('GA55 Entry'!#REF!,"AAAAADf9pJ4=")</f>
        <v>#REF!</v>
      </c>
      <c r="FD15" t="e">
        <f>AND('GA55 Entry'!X9,"AAAAADf9pJ8=")</f>
        <v>#VALUE!</v>
      </c>
      <c r="FE15" t="e">
        <f>AND('GA55 Entry'!Y9,"AAAAADf9pKA=")</f>
        <v>#VALUE!</v>
      </c>
      <c r="FF15" t="e">
        <f>AND('GA55 Entry'!#REF!,"AAAAADf9pKE=")</f>
        <v>#REF!</v>
      </c>
      <c r="FG15" t="e">
        <f>AND('GA55 Entry'!#REF!,"AAAAADf9pKI=")</f>
        <v>#REF!</v>
      </c>
      <c r="FH15" t="e">
        <f>AND('GA55 Entry'!#REF!,"AAAAADf9pKM=")</f>
        <v>#REF!</v>
      </c>
      <c r="FI15" t="e">
        <f>AND('GA55 Entry'!#REF!,"AAAAADf9pKQ=")</f>
        <v>#REF!</v>
      </c>
      <c r="FJ15" t="e">
        <f>AND('GA55 Entry'!#REF!,"AAAAADf9pKU=")</f>
        <v>#REF!</v>
      </c>
      <c r="FK15" t="e">
        <f>AND('GA55 Entry'!#REF!,"AAAAADf9pKY=")</f>
        <v>#REF!</v>
      </c>
      <c r="FL15" t="e">
        <f>AND('GA55 Entry'!#REF!,"AAAAADf9pKc=")</f>
        <v>#REF!</v>
      </c>
      <c r="FM15" t="e">
        <f>AND('GA55 Entry'!#REF!,"AAAAADf9pKg=")</f>
        <v>#REF!</v>
      </c>
      <c r="FN15" t="e">
        <f>AND('GA55 Entry'!#REF!,"AAAAADf9pKk=")</f>
        <v>#REF!</v>
      </c>
      <c r="FO15" t="e">
        <f>AND('GA55 Entry'!Z9,"AAAAADf9pKo=")</f>
        <v>#VALUE!</v>
      </c>
      <c r="FP15" t="e">
        <f>AND('GA55 Entry'!AA9,"AAAAADf9pKs=")</f>
        <v>#VALUE!</v>
      </c>
      <c r="FQ15" t="e">
        <f>AND('GA55 Entry'!#REF!,"AAAAADf9pKw=")</f>
        <v>#REF!</v>
      </c>
      <c r="FR15" t="e">
        <f>AND('GA55 Entry'!#REF!,"AAAAADf9pK0=")</f>
        <v>#REF!</v>
      </c>
      <c r="FS15" t="e">
        <f>AND('GA55 Entry'!#REF!,"AAAAADf9pK4=")</f>
        <v>#REF!</v>
      </c>
      <c r="FT15" t="e">
        <f>AND('GA55 Entry'!AB9,"AAAAADf9pK8=")</f>
        <v>#VALUE!</v>
      </c>
      <c r="FU15" t="e">
        <f>AND('GA55 Entry'!AC9,"AAAAADf9pLA=")</f>
        <v>#VALUE!</v>
      </c>
      <c r="FV15" t="e">
        <f>AND('GA55 Entry'!#REF!,"AAAAADf9pLE=")</f>
        <v>#REF!</v>
      </c>
      <c r="FW15" t="e">
        <f>IF('GA55 Entry'!#REF!,"AAAAADf9pLI=",0)</f>
        <v>#REF!</v>
      </c>
      <c r="FX15" t="e">
        <f>AND('GA55 Entry'!#REF!,"AAAAADf9pLM=")</f>
        <v>#REF!</v>
      </c>
      <c r="FY15" t="e">
        <f>AND('GA55 Entry'!#REF!,"AAAAADf9pLQ=")</f>
        <v>#REF!</v>
      </c>
      <c r="FZ15" t="e">
        <f>AND('GA55 Entry'!#REF!,"AAAAADf9pLU=")</f>
        <v>#REF!</v>
      </c>
      <c r="GA15" t="e">
        <f>AND('GA55 Entry'!#REF!,"AAAAADf9pLY=")</f>
        <v>#REF!</v>
      </c>
      <c r="GB15" t="e">
        <f>AND('GA55 Entry'!#REF!,"AAAAADf9pLc=")</f>
        <v>#REF!</v>
      </c>
      <c r="GC15" t="e">
        <f>AND('GA55 Entry'!#REF!,"AAAAADf9pLg=")</f>
        <v>#REF!</v>
      </c>
      <c r="GD15" t="e">
        <f>AND('GA55 Entry'!#REF!,"AAAAADf9pLk=")</f>
        <v>#REF!</v>
      </c>
      <c r="GE15" t="e">
        <f>AND('GA55 Entry'!#REF!,"AAAAADf9pLo=")</f>
        <v>#REF!</v>
      </c>
      <c r="GF15" t="e">
        <f>AND('GA55 Entry'!#REF!,"AAAAADf9pLs=")</f>
        <v>#REF!</v>
      </c>
      <c r="GG15" t="e">
        <f>AND('GA55 Entry'!#REF!,"AAAAADf9pLw=")</f>
        <v>#REF!</v>
      </c>
      <c r="GH15" t="e">
        <f>AND('GA55 Entry'!#REF!,"AAAAADf9pL0=")</f>
        <v>#REF!</v>
      </c>
      <c r="GI15" t="e">
        <f>AND('GA55 Entry'!#REF!,"AAAAADf9pL4=")</f>
        <v>#REF!</v>
      </c>
      <c r="GJ15" t="e">
        <f>AND('GA55 Entry'!#REF!,"AAAAADf9pL8=")</f>
        <v>#REF!</v>
      </c>
      <c r="GK15" t="e">
        <f>AND('GA55 Entry'!#REF!,"AAAAADf9pMA=")</f>
        <v>#REF!</v>
      </c>
      <c r="GL15" t="e">
        <f>AND('GA55 Entry'!#REF!,"AAAAADf9pME=")</f>
        <v>#REF!</v>
      </c>
      <c r="GM15" t="e">
        <f>AND('GA55 Entry'!#REF!,"AAAAADf9pMI=")</f>
        <v>#REF!</v>
      </c>
      <c r="GN15" t="e">
        <f>AND('GA55 Entry'!#REF!,"AAAAADf9pMM=")</f>
        <v>#REF!</v>
      </c>
      <c r="GO15" t="e">
        <f>AND('GA55 Entry'!#REF!,"AAAAADf9pMQ=")</f>
        <v>#REF!</v>
      </c>
      <c r="GP15" t="e">
        <f>AND('GA55 Entry'!#REF!,"AAAAADf9pMU=")</f>
        <v>#REF!</v>
      </c>
      <c r="GQ15" t="e">
        <f>AND('GA55 Entry'!#REF!,"AAAAADf9pMY=")</f>
        <v>#REF!</v>
      </c>
      <c r="GR15" t="e">
        <f>AND('GA55 Entry'!#REF!,"AAAAADf9pMc=")</f>
        <v>#REF!</v>
      </c>
      <c r="GS15" t="e">
        <f>AND('GA55 Entry'!#REF!,"AAAAADf9pMg=")</f>
        <v>#REF!</v>
      </c>
      <c r="GT15" t="e">
        <f>AND('GA55 Entry'!#REF!,"AAAAADf9pMk=")</f>
        <v>#REF!</v>
      </c>
      <c r="GU15" t="e">
        <f>AND('GA55 Entry'!#REF!,"AAAAADf9pMo=")</f>
        <v>#REF!</v>
      </c>
      <c r="GV15" t="e">
        <f>AND('GA55 Entry'!#REF!,"AAAAADf9pMs=")</f>
        <v>#REF!</v>
      </c>
      <c r="GW15" t="e">
        <f>AND('GA55 Entry'!#REF!,"AAAAADf9pMw=")</f>
        <v>#REF!</v>
      </c>
      <c r="GX15" t="e">
        <f>AND('GA55 Entry'!#REF!,"AAAAADf9pM0=")</f>
        <v>#REF!</v>
      </c>
      <c r="GY15" t="e">
        <f>AND('GA55 Entry'!#REF!,"AAAAADf9pM4=")</f>
        <v>#REF!</v>
      </c>
      <c r="GZ15" t="e">
        <f>AND('GA55 Entry'!#REF!,"AAAAADf9pM8=")</f>
        <v>#REF!</v>
      </c>
      <c r="HA15" t="e">
        <f>AND('GA55 Entry'!#REF!,"AAAAADf9pNA=")</f>
        <v>#REF!</v>
      </c>
      <c r="HB15" t="e">
        <f>AND('GA55 Entry'!#REF!,"AAAAADf9pNE=")</f>
        <v>#REF!</v>
      </c>
      <c r="HC15" t="e">
        <f>AND('GA55 Entry'!#REF!,"AAAAADf9pNI=")</f>
        <v>#REF!</v>
      </c>
      <c r="HD15" t="e">
        <f>AND('GA55 Entry'!#REF!,"AAAAADf9pNM=")</f>
        <v>#REF!</v>
      </c>
      <c r="HE15" t="e">
        <f>AND('GA55 Entry'!#REF!,"AAAAADf9pNQ=")</f>
        <v>#REF!</v>
      </c>
      <c r="HF15" t="e">
        <f>AND('GA55 Entry'!#REF!,"AAAAADf9pNU=")</f>
        <v>#REF!</v>
      </c>
      <c r="HG15" t="e">
        <f>AND('GA55 Entry'!#REF!,"AAAAADf9pNY=")</f>
        <v>#REF!</v>
      </c>
      <c r="HH15" t="e">
        <f>AND('GA55 Entry'!#REF!,"AAAAADf9pNc=")</f>
        <v>#REF!</v>
      </c>
      <c r="HI15" t="e">
        <f>AND('GA55 Entry'!#REF!,"AAAAADf9pNg=")</f>
        <v>#REF!</v>
      </c>
      <c r="HJ15" t="e">
        <f>AND('GA55 Entry'!#REF!,"AAAAADf9pNk=")</f>
        <v>#REF!</v>
      </c>
      <c r="HK15" t="e">
        <f>AND('GA55 Entry'!#REF!,"AAAAADf9pNo=")</f>
        <v>#REF!</v>
      </c>
      <c r="HL15" t="e">
        <f>AND('GA55 Entry'!#REF!,"AAAAADf9pNs=")</f>
        <v>#REF!</v>
      </c>
      <c r="HM15" t="e">
        <f>AND('GA55 Entry'!#REF!,"AAAAADf9pNw=")</f>
        <v>#REF!</v>
      </c>
      <c r="HN15" t="e">
        <f>AND('GA55 Entry'!#REF!,"AAAAADf9pN0=")</f>
        <v>#REF!</v>
      </c>
      <c r="HO15" t="e">
        <f>AND('GA55 Entry'!#REF!,"AAAAADf9pN4=")</f>
        <v>#REF!</v>
      </c>
      <c r="HP15" t="e">
        <f>AND('GA55 Entry'!#REF!,"AAAAADf9pN8=")</f>
        <v>#REF!</v>
      </c>
      <c r="HQ15" t="e">
        <f>AND('GA55 Entry'!#REF!,"AAAAADf9pOA=")</f>
        <v>#REF!</v>
      </c>
      <c r="HR15" t="e">
        <f>AND('GA55 Entry'!#REF!,"AAAAADf9pOE=")</f>
        <v>#REF!</v>
      </c>
      <c r="HS15" t="e">
        <f>AND('GA55 Entry'!#REF!,"AAAAADf9pOI=")</f>
        <v>#REF!</v>
      </c>
      <c r="HT15" t="e">
        <f>AND('GA55 Entry'!#REF!,"AAAAADf9pOM=")</f>
        <v>#REF!</v>
      </c>
      <c r="HU15" t="e">
        <f>AND('GA55 Entry'!#REF!,"AAAAADf9pOQ=")</f>
        <v>#REF!</v>
      </c>
      <c r="HV15" t="e">
        <f>IF('GA55 Entry'!#REF!,"AAAAADf9pOU=",0)</f>
        <v>#REF!</v>
      </c>
      <c r="HW15" t="e">
        <f>AND('GA55 Entry'!#REF!,"AAAAADf9pOY=")</f>
        <v>#REF!</v>
      </c>
      <c r="HX15" t="e">
        <f>AND('GA55 Entry'!#REF!,"AAAAADf9pOc=")</f>
        <v>#REF!</v>
      </c>
      <c r="HY15" t="e">
        <f>AND('GA55 Entry'!#REF!,"AAAAADf9pOg=")</f>
        <v>#REF!</v>
      </c>
      <c r="HZ15" t="e">
        <f>AND('GA55 Entry'!#REF!,"AAAAADf9pOk=")</f>
        <v>#REF!</v>
      </c>
      <c r="IA15" t="e">
        <f>AND('GA55 Entry'!#REF!,"AAAAADf9pOo=")</f>
        <v>#REF!</v>
      </c>
      <c r="IB15" t="e">
        <f>AND('GA55 Entry'!#REF!,"AAAAADf9pOs=")</f>
        <v>#REF!</v>
      </c>
      <c r="IC15" t="e">
        <f>AND('GA55 Entry'!#REF!,"AAAAADf9pOw=")</f>
        <v>#REF!</v>
      </c>
      <c r="ID15" t="e">
        <f>AND('GA55 Entry'!#REF!,"AAAAADf9pO0=")</f>
        <v>#REF!</v>
      </c>
      <c r="IE15" t="e">
        <f>AND('GA55 Entry'!#REF!,"AAAAADf9pO4=")</f>
        <v>#REF!</v>
      </c>
      <c r="IF15" t="e">
        <f>AND('GA55 Entry'!#REF!,"AAAAADf9pO8=")</f>
        <v>#REF!</v>
      </c>
      <c r="IG15" t="e">
        <f>AND('GA55 Entry'!#REF!,"AAAAADf9pPA=")</f>
        <v>#REF!</v>
      </c>
      <c r="IH15" t="e">
        <f>AND('GA55 Entry'!#REF!,"AAAAADf9pPE=")</f>
        <v>#REF!</v>
      </c>
      <c r="II15" t="e">
        <f>AND('GA55 Entry'!#REF!,"AAAAADf9pPI=")</f>
        <v>#REF!</v>
      </c>
      <c r="IJ15" t="e">
        <f>AND('GA55 Entry'!#REF!,"AAAAADf9pPM=")</f>
        <v>#REF!</v>
      </c>
      <c r="IK15" t="e">
        <f>AND('GA55 Entry'!#REF!,"AAAAADf9pPQ=")</f>
        <v>#REF!</v>
      </c>
      <c r="IL15" t="e">
        <f>AND('GA55 Entry'!#REF!,"AAAAADf9pPU=")</f>
        <v>#REF!</v>
      </c>
      <c r="IM15" t="e">
        <f>AND('GA55 Entry'!#REF!,"AAAAADf9pPY=")</f>
        <v>#REF!</v>
      </c>
      <c r="IN15" t="e">
        <f>AND('GA55 Entry'!#REF!,"AAAAADf9pPc=")</f>
        <v>#REF!</v>
      </c>
      <c r="IO15" t="e">
        <f>AND('GA55 Entry'!#REF!,"AAAAADf9pPg=")</f>
        <v>#REF!</v>
      </c>
      <c r="IP15" t="e">
        <f>AND('GA55 Entry'!#REF!,"AAAAADf9pPk=")</f>
        <v>#REF!</v>
      </c>
      <c r="IQ15" t="e">
        <f>AND('GA55 Entry'!#REF!,"AAAAADf9pPo=")</f>
        <v>#REF!</v>
      </c>
      <c r="IR15" t="e">
        <f>AND('GA55 Entry'!#REF!,"AAAAADf9pPs=")</f>
        <v>#REF!</v>
      </c>
      <c r="IS15" t="e">
        <f>AND('GA55 Entry'!#REF!,"AAAAADf9pPw=")</f>
        <v>#REF!</v>
      </c>
      <c r="IT15" t="e">
        <f>AND('GA55 Entry'!#REF!,"AAAAADf9pP0=")</f>
        <v>#REF!</v>
      </c>
      <c r="IU15" t="e">
        <f>AND('GA55 Entry'!#REF!,"AAAAADf9pP4=")</f>
        <v>#REF!</v>
      </c>
      <c r="IV15" t="e">
        <f>AND('GA55 Entry'!#REF!,"AAAAADf9pP8=")</f>
        <v>#REF!</v>
      </c>
    </row>
    <row r="16" spans="1:256">
      <c r="A16" t="e">
        <f>AND('GA55 Entry'!#REF!,"AAAAAE7O7wA=")</f>
        <v>#REF!</v>
      </c>
      <c r="B16" t="e">
        <f>AND('GA55 Entry'!#REF!,"AAAAAE7O7wE=")</f>
        <v>#REF!</v>
      </c>
      <c r="C16" t="e">
        <f>AND('GA55 Entry'!#REF!,"AAAAAE7O7wI=")</f>
        <v>#REF!</v>
      </c>
      <c r="D16" t="e">
        <f>AND('GA55 Entry'!#REF!,"AAAAAE7O7wM=")</f>
        <v>#REF!</v>
      </c>
      <c r="E16" t="e">
        <f>AND('GA55 Entry'!#REF!,"AAAAAE7O7wQ=")</f>
        <v>#REF!</v>
      </c>
      <c r="F16" t="e">
        <f>AND('GA55 Entry'!#REF!,"AAAAAE7O7wU=")</f>
        <v>#REF!</v>
      </c>
      <c r="G16" t="e">
        <f>AND('GA55 Entry'!#REF!,"AAAAAE7O7wY=")</f>
        <v>#REF!</v>
      </c>
      <c r="H16" t="e">
        <f>AND('GA55 Entry'!#REF!,"AAAAAE7O7wc=")</f>
        <v>#REF!</v>
      </c>
      <c r="I16" t="e">
        <f>AND('GA55 Entry'!#REF!,"AAAAAE7O7wg=")</f>
        <v>#REF!</v>
      </c>
      <c r="J16" t="e">
        <f>AND('GA55 Entry'!#REF!,"AAAAAE7O7wk=")</f>
        <v>#REF!</v>
      </c>
      <c r="K16" t="e">
        <f>AND('GA55 Entry'!#REF!,"AAAAAE7O7wo=")</f>
        <v>#REF!</v>
      </c>
      <c r="L16" t="e">
        <f>AND('GA55 Entry'!#REF!,"AAAAAE7O7ws=")</f>
        <v>#REF!</v>
      </c>
      <c r="M16" t="e">
        <f>AND('GA55 Entry'!#REF!,"AAAAAE7O7ww=")</f>
        <v>#REF!</v>
      </c>
      <c r="N16" t="e">
        <f>AND('GA55 Entry'!#REF!,"AAAAAE7O7w0=")</f>
        <v>#REF!</v>
      </c>
      <c r="O16" t="e">
        <f>AND('GA55 Entry'!#REF!,"AAAAAE7O7w4=")</f>
        <v>#REF!</v>
      </c>
      <c r="P16" t="e">
        <f>AND('GA55 Entry'!#REF!,"AAAAAE7O7w8=")</f>
        <v>#REF!</v>
      </c>
      <c r="Q16" t="e">
        <f>AND('GA55 Entry'!#REF!,"AAAAAE7O7xA=")</f>
        <v>#REF!</v>
      </c>
      <c r="R16" t="e">
        <f>AND('GA55 Entry'!#REF!,"AAAAAE7O7xE=")</f>
        <v>#REF!</v>
      </c>
      <c r="S16" t="e">
        <f>AND('GA55 Entry'!#REF!,"AAAAAE7O7xI=")</f>
        <v>#REF!</v>
      </c>
      <c r="T16" t="e">
        <f>AND('GA55 Entry'!#REF!,"AAAAAE7O7xM=")</f>
        <v>#REF!</v>
      </c>
      <c r="U16" t="e">
        <f>AND('GA55 Entry'!#REF!,"AAAAAE7O7xQ=")</f>
        <v>#REF!</v>
      </c>
      <c r="V16" t="e">
        <f>AND('GA55 Entry'!#REF!,"AAAAAE7O7xU=")</f>
        <v>#REF!</v>
      </c>
      <c r="W16" t="e">
        <f>AND('GA55 Entry'!#REF!,"AAAAAE7O7xY=")</f>
        <v>#REF!</v>
      </c>
      <c r="X16" t="e">
        <f>AND('GA55 Entry'!#REF!,"AAAAAE7O7xc=")</f>
        <v>#REF!</v>
      </c>
      <c r="Y16" t="e">
        <f>IF('GA55 Entry'!#REF!,"AAAAAE7O7xg=",0)</f>
        <v>#REF!</v>
      </c>
      <c r="Z16" t="e">
        <f>AND('GA55 Entry'!#REF!,"AAAAAE7O7xk=")</f>
        <v>#REF!</v>
      </c>
      <c r="AA16" t="e">
        <f>AND('GA55 Entry'!#REF!,"AAAAAE7O7xo=")</f>
        <v>#REF!</v>
      </c>
      <c r="AB16" t="e">
        <f>AND('GA55 Entry'!#REF!,"AAAAAE7O7xs=")</f>
        <v>#REF!</v>
      </c>
      <c r="AC16" t="e">
        <f>AND('GA55 Entry'!#REF!,"AAAAAE7O7xw=")</f>
        <v>#REF!</v>
      </c>
      <c r="AD16" t="e">
        <f>AND('GA55 Entry'!#REF!,"AAAAAE7O7x0=")</f>
        <v>#REF!</v>
      </c>
      <c r="AE16" t="e">
        <f>AND('GA55 Entry'!#REF!,"AAAAAE7O7x4=")</f>
        <v>#REF!</v>
      </c>
      <c r="AF16" t="e">
        <f>AND('GA55 Entry'!#REF!,"AAAAAE7O7x8=")</f>
        <v>#REF!</v>
      </c>
      <c r="AG16" t="e">
        <f>AND('GA55 Entry'!#REF!,"AAAAAE7O7yA=")</f>
        <v>#REF!</v>
      </c>
      <c r="AH16" t="e">
        <f>AND('GA55 Entry'!#REF!,"AAAAAE7O7yE=")</f>
        <v>#REF!</v>
      </c>
      <c r="AI16" t="e">
        <f>AND('GA55 Entry'!#REF!,"AAAAAE7O7yI=")</f>
        <v>#REF!</v>
      </c>
      <c r="AJ16" t="e">
        <f>AND('GA55 Entry'!#REF!,"AAAAAE7O7yM=")</f>
        <v>#REF!</v>
      </c>
      <c r="AK16" t="e">
        <f>AND('GA55 Entry'!#REF!,"AAAAAE7O7yQ=")</f>
        <v>#REF!</v>
      </c>
      <c r="AL16" t="e">
        <f>AND('GA55 Entry'!#REF!,"AAAAAE7O7yU=")</f>
        <v>#REF!</v>
      </c>
      <c r="AM16" t="e">
        <f>AND('GA55 Entry'!#REF!,"AAAAAE7O7yY=")</f>
        <v>#REF!</v>
      </c>
      <c r="AN16" t="e">
        <f>AND('GA55 Entry'!#REF!,"AAAAAE7O7yc=")</f>
        <v>#REF!</v>
      </c>
      <c r="AO16" t="e">
        <f>AND('GA55 Entry'!#REF!,"AAAAAE7O7yg=")</f>
        <v>#REF!</v>
      </c>
      <c r="AP16" t="e">
        <f>AND('GA55 Entry'!#REF!,"AAAAAE7O7yk=")</f>
        <v>#REF!</v>
      </c>
      <c r="AQ16" t="e">
        <f>AND('GA55 Entry'!#REF!,"AAAAAE7O7yo=")</f>
        <v>#REF!</v>
      </c>
      <c r="AR16" t="e">
        <f>AND('GA55 Entry'!#REF!,"AAAAAE7O7ys=")</f>
        <v>#REF!</v>
      </c>
      <c r="AS16" t="e">
        <f>AND('GA55 Entry'!#REF!,"AAAAAE7O7yw=")</f>
        <v>#REF!</v>
      </c>
      <c r="AT16" t="e">
        <f>AND('GA55 Entry'!#REF!,"AAAAAE7O7y0=")</f>
        <v>#REF!</v>
      </c>
      <c r="AU16" t="e">
        <f>AND('GA55 Entry'!#REF!,"AAAAAE7O7y4=")</f>
        <v>#REF!</v>
      </c>
      <c r="AV16" t="e">
        <f>AND('GA55 Entry'!#REF!,"AAAAAE7O7y8=")</f>
        <v>#REF!</v>
      </c>
      <c r="AW16" t="e">
        <f>AND('GA55 Entry'!#REF!,"AAAAAE7O7zA=")</f>
        <v>#REF!</v>
      </c>
      <c r="AX16" t="e">
        <f>AND('GA55 Entry'!#REF!,"AAAAAE7O7zE=")</f>
        <v>#REF!</v>
      </c>
      <c r="AY16" t="e">
        <f>AND('GA55 Entry'!#REF!,"AAAAAE7O7zI=")</f>
        <v>#REF!</v>
      </c>
      <c r="AZ16" t="e">
        <f>AND('GA55 Entry'!#REF!,"AAAAAE7O7zM=")</f>
        <v>#REF!</v>
      </c>
      <c r="BA16" t="e">
        <f>AND('GA55 Entry'!#REF!,"AAAAAE7O7zQ=")</f>
        <v>#REF!</v>
      </c>
      <c r="BB16" t="e">
        <f>AND('GA55 Entry'!#REF!,"AAAAAE7O7zU=")</f>
        <v>#REF!</v>
      </c>
      <c r="BC16" t="e">
        <f>AND('GA55 Entry'!#REF!,"AAAAAE7O7zY=")</f>
        <v>#REF!</v>
      </c>
      <c r="BD16" t="e">
        <f>AND('GA55 Entry'!#REF!,"AAAAAE7O7zc=")</f>
        <v>#REF!</v>
      </c>
      <c r="BE16" t="e">
        <f>AND('GA55 Entry'!#REF!,"AAAAAE7O7zg=")</f>
        <v>#REF!</v>
      </c>
      <c r="BF16" t="e">
        <f>AND('GA55 Entry'!#REF!,"AAAAAE7O7zk=")</f>
        <v>#REF!</v>
      </c>
      <c r="BG16" t="e">
        <f>AND('GA55 Entry'!#REF!,"AAAAAE7O7zo=")</f>
        <v>#REF!</v>
      </c>
      <c r="BH16" t="e">
        <f>AND('GA55 Entry'!#REF!,"AAAAAE7O7zs=")</f>
        <v>#REF!</v>
      </c>
      <c r="BI16" t="e">
        <f>AND('GA55 Entry'!#REF!,"AAAAAE7O7zw=")</f>
        <v>#REF!</v>
      </c>
      <c r="BJ16" t="e">
        <f>AND('GA55 Entry'!#REF!,"AAAAAE7O7z0=")</f>
        <v>#REF!</v>
      </c>
      <c r="BK16" t="e">
        <f>AND('GA55 Entry'!#REF!,"AAAAAE7O7z4=")</f>
        <v>#REF!</v>
      </c>
      <c r="BL16" t="e">
        <f>AND('GA55 Entry'!#REF!,"AAAAAE7O7z8=")</f>
        <v>#REF!</v>
      </c>
      <c r="BM16" t="e">
        <f>AND('GA55 Entry'!#REF!,"AAAAAE7O70A=")</f>
        <v>#REF!</v>
      </c>
      <c r="BN16" t="e">
        <f>AND('GA55 Entry'!#REF!,"AAAAAE7O70E=")</f>
        <v>#REF!</v>
      </c>
      <c r="BO16" t="e">
        <f>AND('GA55 Entry'!#REF!,"AAAAAE7O70I=")</f>
        <v>#REF!</v>
      </c>
      <c r="BP16" t="e">
        <f>AND('GA55 Entry'!#REF!,"AAAAAE7O70M=")</f>
        <v>#REF!</v>
      </c>
      <c r="BQ16" t="e">
        <f>AND('GA55 Entry'!#REF!,"AAAAAE7O70Q=")</f>
        <v>#REF!</v>
      </c>
      <c r="BR16" t="e">
        <f>AND('GA55 Entry'!#REF!,"AAAAAE7O70U=")</f>
        <v>#REF!</v>
      </c>
      <c r="BS16" t="e">
        <f>AND('GA55 Entry'!#REF!,"AAAAAE7O70Y=")</f>
        <v>#REF!</v>
      </c>
      <c r="BT16" t="e">
        <f>AND('GA55 Entry'!#REF!,"AAAAAE7O70c=")</f>
        <v>#REF!</v>
      </c>
      <c r="BU16" t="e">
        <f>AND('GA55 Entry'!#REF!,"AAAAAE7O70g=")</f>
        <v>#REF!</v>
      </c>
      <c r="BV16" t="e">
        <f>AND('GA55 Entry'!#REF!,"AAAAAE7O70k=")</f>
        <v>#REF!</v>
      </c>
      <c r="BW16" t="e">
        <f>AND('GA55 Entry'!#REF!,"AAAAAE7O70o=")</f>
        <v>#REF!</v>
      </c>
      <c r="BX16" t="e">
        <f>IF('GA55 Entry'!#REF!,"AAAAAE7O70s=",0)</f>
        <v>#REF!</v>
      </c>
      <c r="BY16" t="e">
        <f>AND('GA55 Entry'!#REF!,"AAAAAE7O70w=")</f>
        <v>#REF!</v>
      </c>
      <c r="BZ16" t="e">
        <f>AND('GA55 Entry'!#REF!,"AAAAAE7O700=")</f>
        <v>#REF!</v>
      </c>
      <c r="CA16" t="e">
        <f>AND('GA55 Entry'!#REF!,"AAAAAE7O704=")</f>
        <v>#REF!</v>
      </c>
      <c r="CB16" t="e">
        <f>AND('GA55 Entry'!#REF!,"AAAAAE7O708=")</f>
        <v>#REF!</v>
      </c>
      <c r="CC16" t="e">
        <f>AND('GA55 Entry'!#REF!,"AAAAAE7O71A=")</f>
        <v>#REF!</v>
      </c>
      <c r="CD16" t="e">
        <f>AND('GA55 Entry'!#REF!,"AAAAAE7O71E=")</f>
        <v>#REF!</v>
      </c>
      <c r="CE16" t="e">
        <f>AND('GA55 Entry'!#REF!,"AAAAAE7O71I=")</f>
        <v>#REF!</v>
      </c>
      <c r="CF16" t="e">
        <f>AND('GA55 Entry'!#REF!,"AAAAAE7O71M=")</f>
        <v>#REF!</v>
      </c>
      <c r="CG16" t="e">
        <f>AND('GA55 Entry'!#REF!,"AAAAAE7O71Q=")</f>
        <v>#REF!</v>
      </c>
      <c r="CH16" t="e">
        <f>AND('GA55 Entry'!#REF!,"AAAAAE7O71U=")</f>
        <v>#REF!</v>
      </c>
      <c r="CI16" t="e">
        <f>AND('GA55 Entry'!#REF!,"AAAAAE7O71Y=")</f>
        <v>#REF!</v>
      </c>
      <c r="CJ16" t="e">
        <f>AND('GA55 Entry'!#REF!,"AAAAAE7O71c=")</f>
        <v>#REF!</v>
      </c>
      <c r="CK16" t="e">
        <f>AND('GA55 Entry'!#REF!,"AAAAAE7O71g=")</f>
        <v>#REF!</v>
      </c>
      <c r="CL16" t="e">
        <f>AND('GA55 Entry'!#REF!,"AAAAAE7O71k=")</f>
        <v>#REF!</v>
      </c>
      <c r="CM16" t="e">
        <f>AND('GA55 Entry'!#REF!,"AAAAAE7O71o=")</f>
        <v>#REF!</v>
      </c>
      <c r="CN16" t="e">
        <f>AND('GA55 Entry'!#REF!,"AAAAAE7O71s=")</f>
        <v>#REF!</v>
      </c>
      <c r="CO16" t="e">
        <f>AND('GA55 Entry'!#REF!,"AAAAAE7O71w=")</f>
        <v>#REF!</v>
      </c>
      <c r="CP16" t="e">
        <f>AND('GA55 Entry'!#REF!,"AAAAAE7O710=")</f>
        <v>#REF!</v>
      </c>
      <c r="CQ16" t="e">
        <f>AND('GA55 Entry'!#REF!,"AAAAAE7O714=")</f>
        <v>#REF!</v>
      </c>
      <c r="CR16" t="e">
        <f>AND('GA55 Entry'!#REF!,"AAAAAE7O718=")</f>
        <v>#REF!</v>
      </c>
      <c r="CS16" t="e">
        <f>AND('GA55 Entry'!#REF!,"AAAAAE7O72A=")</f>
        <v>#REF!</v>
      </c>
      <c r="CT16" t="e">
        <f>AND('GA55 Entry'!#REF!,"AAAAAE7O72E=")</f>
        <v>#REF!</v>
      </c>
      <c r="CU16" t="e">
        <f>AND('GA55 Entry'!#REF!,"AAAAAE7O72I=")</f>
        <v>#REF!</v>
      </c>
      <c r="CV16" t="e">
        <f>AND('GA55 Entry'!#REF!,"AAAAAE7O72M=")</f>
        <v>#REF!</v>
      </c>
      <c r="CW16" t="e">
        <f>AND('GA55 Entry'!#REF!,"AAAAAE7O72Q=")</f>
        <v>#REF!</v>
      </c>
      <c r="CX16" t="e">
        <f>AND('GA55 Entry'!#REF!,"AAAAAE7O72U=")</f>
        <v>#REF!</v>
      </c>
      <c r="CY16" t="e">
        <f>AND('GA55 Entry'!#REF!,"AAAAAE7O72Y=")</f>
        <v>#REF!</v>
      </c>
      <c r="CZ16" t="e">
        <f>AND('GA55 Entry'!#REF!,"AAAAAE7O72c=")</f>
        <v>#REF!</v>
      </c>
      <c r="DA16" t="e">
        <f>AND('GA55 Entry'!#REF!,"AAAAAE7O72g=")</f>
        <v>#REF!</v>
      </c>
      <c r="DB16" t="e">
        <f>AND('GA55 Entry'!#REF!,"AAAAAE7O72k=")</f>
        <v>#REF!</v>
      </c>
      <c r="DC16" t="e">
        <f>AND('GA55 Entry'!#REF!,"AAAAAE7O72o=")</f>
        <v>#REF!</v>
      </c>
      <c r="DD16" t="e">
        <f>AND('GA55 Entry'!#REF!,"AAAAAE7O72s=")</f>
        <v>#REF!</v>
      </c>
      <c r="DE16" t="e">
        <f>AND('GA55 Entry'!#REF!,"AAAAAE7O72w=")</f>
        <v>#REF!</v>
      </c>
      <c r="DF16" t="e">
        <f>AND('GA55 Entry'!#REF!,"AAAAAE7O720=")</f>
        <v>#REF!</v>
      </c>
      <c r="DG16" t="e">
        <f>AND('GA55 Entry'!#REF!,"AAAAAE7O724=")</f>
        <v>#REF!</v>
      </c>
      <c r="DH16" t="e">
        <f>AND('GA55 Entry'!#REF!,"AAAAAE7O728=")</f>
        <v>#REF!</v>
      </c>
      <c r="DI16" t="e">
        <f>AND('GA55 Entry'!#REF!,"AAAAAE7O73A=")</f>
        <v>#REF!</v>
      </c>
      <c r="DJ16" t="e">
        <f>AND('GA55 Entry'!#REF!,"AAAAAE7O73E=")</f>
        <v>#REF!</v>
      </c>
      <c r="DK16" t="e">
        <f>AND('GA55 Entry'!#REF!,"AAAAAE7O73I=")</f>
        <v>#REF!</v>
      </c>
      <c r="DL16" t="e">
        <f>AND('GA55 Entry'!#REF!,"AAAAAE7O73M=")</f>
        <v>#REF!</v>
      </c>
      <c r="DM16" t="e">
        <f>AND('GA55 Entry'!#REF!,"AAAAAE7O73Q=")</f>
        <v>#REF!</v>
      </c>
      <c r="DN16" t="e">
        <f>AND('GA55 Entry'!#REF!,"AAAAAE7O73U=")</f>
        <v>#REF!</v>
      </c>
      <c r="DO16" t="e">
        <f>AND('GA55 Entry'!#REF!,"AAAAAE7O73Y=")</f>
        <v>#REF!</v>
      </c>
      <c r="DP16" t="e">
        <f>AND('GA55 Entry'!#REF!,"AAAAAE7O73c=")</f>
        <v>#REF!</v>
      </c>
      <c r="DQ16" t="e">
        <f>AND('GA55 Entry'!#REF!,"AAAAAE7O73g=")</f>
        <v>#REF!</v>
      </c>
      <c r="DR16" t="e">
        <f>AND('GA55 Entry'!#REF!,"AAAAAE7O73k=")</f>
        <v>#REF!</v>
      </c>
      <c r="DS16" t="e">
        <f>AND('GA55 Entry'!#REF!,"AAAAAE7O73o=")</f>
        <v>#REF!</v>
      </c>
      <c r="DT16" t="e">
        <f>AND('GA55 Entry'!#REF!,"AAAAAE7O73s=")</f>
        <v>#REF!</v>
      </c>
      <c r="DU16" t="e">
        <f>AND('GA55 Entry'!#REF!,"AAAAAE7O73w=")</f>
        <v>#REF!</v>
      </c>
      <c r="DV16" t="e">
        <f>AND('GA55 Entry'!#REF!,"AAAAAE7O730=")</f>
        <v>#REF!</v>
      </c>
      <c r="DW16" t="e">
        <f>IF('GA55 Entry'!#REF!,"AAAAAE7O734=",0)</f>
        <v>#REF!</v>
      </c>
      <c r="DX16" t="e">
        <f>AND('GA55 Entry'!#REF!,"AAAAAE7O738=")</f>
        <v>#REF!</v>
      </c>
      <c r="DY16" t="e">
        <f>AND('GA55 Entry'!#REF!,"AAAAAE7O74A=")</f>
        <v>#REF!</v>
      </c>
      <c r="DZ16" t="e">
        <f>AND('GA55 Entry'!#REF!,"AAAAAE7O74E=")</f>
        <v>#REF!</v>
      </c>
      <c r="EA16" t="e">
        <f>AND('GA55 Entry'!#REF!,"AAAAAE7O74I=")</f>
        <v>#REF!</v>
      </c>
      <c r="EB16" t="e">
        <f>AND('GA55 Entry'!#REF!,"AAAAAE7O74M=")</f>
        <v>#REF!</v>
      </c>
      <c r="EC16" t="e">
        <f>AND('GA55 Entry'!#REF!,"AAAAAE7O74Q=")</f>
        <v>#REF!</v>
      </c>
      <c r="ED16" t="e">
        <f>AND('GA55 Entry'!#REF!,"AAAAAE7O74U=")</f>
        <v>#REF!</v>
      </c>
      <c r="EE16" t="e">
        <f>AND('GA55 Entry'!#REF!,"AAAAAE7O74Y=")</f>
        <v>#REF!</v>
      </c>
      <c r="EF16" t="e">
        <f>AND('GA55 Entry'!#REF!,"AAAAAE7O74c=")</f>
        <v>#REF!</v>
      </c>
      <c r="EG16" t="e">
        <f>AND('GA55 Entry'!#REF!,"AAAAAE7O74g=")</f>
        <v>#REF!</v>
      </c>
      <c r="EH16" t="e">
        <f>AND('GA55 Entry'!#REF!,"AAAAAE7O74k=")</f>
        <v>#REF!</v>
      </c>
      <c r="EI16" t="e">
        <f>AND('GA55 Entry'!#REF!,"AAAAAE7O74o=")</f>
        <v>#REF!</v>
      </c>
      <c r="EJ16" t="e">
        <f>AND('GA55 Entry'!#REF!,"AAAAAE7O74s=")</f>
        <v>#REF!</v>
      </c>
      <c r="EK16" t="e">
        <f>AND('GA55 Entry'!#REF!,"AAAAAE7O74w=")</f>
        <v>#REF!</v>
      </c>
      <c r="EL16" t="e">
        <f>AND('GA55 Entry'!#REF!,"AAAAAE7O740=")</f>
        <v>#REF!</v>
      </c>
      <c r="EM16" t="e">
        <f>AND('GA55 Entry'!#REF!,"AAAAAE7O744=")</f>
        <v>#REF!</v>
      </c>
      <c r="EN16" t="e">
        <f>AND('GA55 Entry'!#REF!,"AAAAAE7O748=")</f>
        <v>#REF!</v>
      </c>
      <c r="EO16" t="e">
        <f>AND('GA55 Entry'!#REF!,"AAAAAE7O75A=")</f>
        <v>#REF!</v>
      </c>
      <c r="EP16" t="e">
        <f>AND('GA55 Entry'!#REF!,"AAAAAE7O75E=")</f>
        <v>#REF!</v>
      </c>
      <c r="EQ16" t="e">
        <f>AND('GA55 Entry'!#REF!,"AAAAAE7O75I=")</f>
        <v>#REF!</v>
      </c>
      <c r="ER16" t="e">
        <f>AND('GA55 Entry'!#REF!,"AAAAAE7O75M=")</f>
        <v>#REF!</v>
      </c>
      <c r="ES16" t="e">
        <f>AND('GA55 Entry'!#REF!,"AAAAAE7O75Q=")</f>
        <v>#REF!</v>
      </c>
      <c r="ET16" t="e">
        <f>AND('GA55 Entry'!#REF!,"AAAAAE7O75U=")</f>
        <v>#REF!</v>
      </c>
      <c r="EU16" t="e">
        <f>AND('GA55 Entry'!#REF!,"AAAAAE7O75Y=")</f>
        <v>#REF!</v>
      </c>
      <c r="EV16" t="e">
        <f>AND('GA55 Entry'!#REF!,"AAAAAE7O75c=")</f>
        <v>#REF!</v>
      </c>
      <c r="EW16" t="e">
        <f>AND('GA55 Entry'!#REF!,"AAAAAE7O75g=")</f>
        <v>#REF!</v>
      </c>
      <c r="EX16" t="e">
        <f>AND('GA55 Entry'!#REF!,"AAAAAE7O75k=")</f>
        <v>#REF!</v>
      </c>
      <c r="EY16" t="e">
        <f>AND('GA55 Entry'!#REF!,"AAAAAE7O75o=")</f>
        <v>#REF!</v>
      </c>
      <c r="EZ16" t="e">
        <f>AND('GA55 Entry'!#REF!,"AAAAAE7O75s=")</f>
        <v>#REF!</v>
      </c>
      <c r="FA16" t="e">
        <f>AND('GA55 Entry'!#REF!,"AAAAAE7O75w=")</f>
        <v>#REF!</v>
      </c>
      <c r="FB16" t="e">
        <f>AND('GA55 Entry'!#REF!,"AAAAAE7O750=")</f>
        <v>#REF!</v>
      </c>
      <c r="FC16" t="e">
        <f>AND('GA55 Entry'!#REF!,"AAAAAE7O754=")</f>
        <v>#REF!</v>
      </c>
      <c r="FD16" t="e">
        <f>AND('GA55 Entry'!#REF!,"AAAAAE7O758=")</f>
        <v>#REF!</v>
      </c>
      <c r="FE16" t="e">
        <f>AND('GA55 Entry'!#REF!,"AAAAAE7O76A=")</f>
        <v>#REF!</v>
      </c>
      <c r="FF16" t="e">
        <f>AND('GA55 Entry'!#REF!,"AAAAAE7O76E=")</f>
        <v>#REF!</v>
      </c>
      <c r="FG16" t="e">
        <f>AND('GA55 Entry'!#REF!,"AAAAAE7O76I=")</f>
        <v>#REF!</v>
      </c>
      <c r="FH16" t="e">
        <f>AND('GA55 Entry'!#REF!,"AAAAAE7O76M=")</f>
        <v>#REF!</v>
      </c>
      <c r="FI16" t="e">
        <f>AND('GA55 Entry'!#REF!,"AAAAAE7O76Q=")</f>
        <v>#REF!</v>
      </c>
      <c r="FJ16" t="e">
        <f>AND('GA55 Entry'!#REF!,"AAAAAE7O76U=")</f>
        <v>#REF!</v>
      </c>
      <c r="FK16" t="e">
        <f>AND('GA55 Entry'!#REF!,"AAAAAE7O76Y=")</f>
        <v>#REF!</v>
      </c>
      <c r="FL16" t="e">
        <f>AND('GA55 Entry'!#REF!,"AAAAAE7O76c=")</f>
        <v>#REF!</v>
      </c>
      <c r="FM16" t="e">
        <f>AND('GA55 Entry'!#REF!,"AAAAAE7O76g=")</f>
        <v>#REF!</v>
      </c>
      <c r="FN16" t="e">
        <f>AND('GA55 Entry'!#REF!,"AAAAAE7O76k=")</f>
        <v>#REF!</v>
      </c>
      <c r="FO16" t="e">
        <f>AND('GA55 Entry'!#REF!,"AAAAAE7O76o=")</f>
        <v>#REF!</v>
      </c>
      <c r="FP16" t="e">
        <f>AND('GA55 Entry'!#REF!,"AAAAAE7O76s=")</f>
        <v>#REF!</v>
      </c>
      <c r="FQ16" t="e">
        <f>AND('GA55 Entry'!#REF!,"AAAAAE7O76w=")</f>
        <v>#REF!</v>
      </c>
      <c r="FR16" t="e">
        <f>AND('GA55 Entry'!#REF!,"AAAAAE7O760=")</f>
        <v>#REF!</v>
      </c>
      <c r="FS16" t="e">
        <f>AND('GA55 Entry'!#REF!,"AAAAAE7O764=")</f>
        <v>#REF!</v>
      </c>
      <c r="FT16" t="e">
        <f>AND('GA55 Entry'!#REF!,"AAAAAE7O768=")</f>
        <v>#REF!</v>
      </c>
      <c r="FU16" t="e">
        <f>AND('GA55 Entry'!#REF!,"AAAAAE7O77A=")</f>
        <v>#REF!</v>
      </c>
      <c r="FV16" t="e">
        <f>IF('GA55 Entry'!#REF!,"AAAAAE7O77E=",0)</f>
        <v>#REF!</v>
      </c>
      <c r="FW16" t="e">
        <f>AND('GA55 Entry'!#REF!,"AAAAAE7O77I=")</f>
        <v>#REF!</v>
      </c>
      <c r="FX16" t="e">
        <f>AND('GA55 Entry'!#REF!,"AAAAAE7O77M=")</f>
        <v>#REF!</v>
      </c>
      <c r="FY16" t="e">
        <f>AND('GA55 Entry'!#REF!,"AAAAAE7O77Q=")</f>
        <v>#REF!</v>
      </c>
      <c r="FZ16" t="e">
        <f>AND('GA55 Entry'!#REF!,"AAAAAE7O77U=")</f>
        <v>#REF!</v>
      </c>
      <c r="GA16" t="e">
        <f>AND('GA55 Entry'!#REF!,"AAAAAE7O77Y=")</f>
        <v>#REF!</v>
      </c>
      <c r="GB16" t="e">
        <f>AND('GA55 Entry'!#REF!,"AAAAAE7O77c=")</f>
        <v>#REF!</v>
      </c>
      <c r="GC16" t="e">
        <f>AND('GA55 Entry'!#REF!,"AAAAAE7O77g=")</f>
        <v>#REF!</v>
      </c>
      <c r="GD16" t="e">
        <f>AND('GA55 Entry'!#REF!,"AAAAAE7O77k=")</f>
        <v>#REF!</v>
      </c>
      <c r="GE16" t="e">
        <f>AND('GA55 Entry'!#REF!,"AAAAAE7O77o=")</f>
        <v>#REF!</v>
      </c>
      <c r="GF16" t="e">
        <f>AND('GA55 Entry'!#REF!,"AAAAAE7O77s=")</f>
        <v>#REF!</v>
      </c>
      <c r="GG16" t="e">
        <f>AND('GA55 Entry'!#REF!,"AAAAAE7O77w=")</f>
        <v>#REF!</v>
      </c>
      <c r="GH16" t="e">
        <f>AND('GA55 Entry'!#REF!,"AAAAAE7O770=")</f>
        <v>#REF!</v>
      </c>
      <c r="GI16" t="e">
        <f>AND('GA55 Entry'!#REF!,"AAAAAE7O774=")</f>
        <v>#REF!</v>
      </c>
      <c r="GJ16" t="e">
        <f>AND('GA55 Entry'!#REF!,"AAAAAE7O778=")</f>
        <v>#REF!</v>
      </c>
      <c r="GK16" t="e">
        <f>AND('GA55 Entry'!#REF!,"AAAAAE7O78A=")</f>
        <v>#REF!</v>
      </c>
      <c r="GL16" t="e">
        <f>AND('GA55 Entry'!#REF!,"AAAAAE7O78E=")</f>
        <v>#REF!</v>
      </c>
      <c r="GM16" t="e">
        <f>AND('GA55 Entry'!#REF!,"AAAAAE7O78I=")</f>
        <v>#REF!</v>
      </c>
      <c r="GN16" t="e">
        <f>AND('GA55 Entry'!#REF!,"AAAAAE7O78M=")</f>
        <v>#REF!</v>
      </c>
      <c r="GO16" t="e">
        <f>AND('GA55 Entry'!#REF!,"AAAAAE7O78Q=")</f>
        <v>#REF!</v>
      </c>
      <c r="GP16" t="e">
        <f>AND('GA55 Entry'!#REF!,"AAAAAE7O78U=")</f>
        <v>#REF!</v>
      </c>
      <c r="GQ16" t="e">
        <f>AND('GA55 Entry'!#REF!,"AAAAAE7O78Y=")</f>
        <v>#REF!</v>
      </c>
      <c r="GR16" t="e">
        <f>AND('GA55 Entry'!#REF!,"AAAAAE7O78c=")</f>
        <v>#REF!</v>
      </c>
      <c r="GS16" t="e">
        <f>AND('GA55 Entry'!#REF!,"AAAAAE7O78g=")</f>
        <v>#REF!</v>
      </c>
      <c r="GT16" t="e">
        <f>AND('GA55 Entry'!#REF!,"AAAAAE7O78k=")</f>
        <v>#REF!</v>
      </c>
      <c r="GU16" t="e">
        <f>AND('GA55 Entry'!#REF!,"AAAAAE7O78o=")</f>
        <v>#REF!</v>
      </c>
      <c r="GV16" t="e">
        <f>AND('GA55 Entry'!#REF!,"AAAAAE7O78s=")</f>
        <v>#REF!</v>
      </c>
      <c r="GW16" t="e">
        <f>AND('GA55 Entry'!#REF!,"AAAAAE7O78w=")</f>
        <v>#REF!</v>
      </c>
      <c r="GX16" t="e">
        <f>AND('GA55 Entry'!#REF!,"AAAAAE7O780=")</f>
        <v>#REF!</v>
      </c>
      <c r="GY16" t="e">
        <f>AND('GA55 Entry'!#REF!,"AAAAAE7O784=")</f>
        <v>#REF!</v>
      </c>
      <c r="GZ16" t="e">
        <f>AND('GA55 Entry'!#REF!,"AAAAAE7O788=")</f>
        <v>#REF!</v>
      </c>
      <c r="HA16" t="e">
        <f>AND('GA55 Entry'!#REF!,"AAAAAE7O79A=")</f>
        <v>#REF!</v>
      </c>
      <c r="HB16" t="e">
        <f>AND('GA55 Entry'!#REF!,"AAAAAE7O79E=")</f>
        <v>#REF!</v>
      </c>
      <c r="HC16" t="e">
        <f>AND('GA55 Entry'!#REF!,"AAAAAE7O79I=")</f>
        <v>#REF!</v>
      </c>
      <c r="HD16" t="e">
        <f>AND('GA55 Entry'!#REF!,"AAAAAE7O79M=")</f>
        <v>#REF!</v>
      </c>
      <c r="HE16" t="e">
        <f>AND('GA55 Entry'!#REF!,"AAAAAE7O79Q=")</f>
        <v>#REF!</v>
      </c>
      <c r="HF16" t="e">
        <f>AND('GA55 Entry'!#REF!,"AAAAAE7O79U=")</f>
        <v>#REF!</v>
      </c>
      <c r="HG16" t="e">
        <f>AND('GA55 Entry'!#REF!,"AAAAAE7O79Y=")</f>
        <v>#REF!</v>
      </c>
      <c r="HH16" t="e">
        <f>AND('GA55 Entry'!#REF!,"AAAAAE7O79c=")</f>
        <v>#REF!</v>
      </c>
      <c r="HI16" t="e">
        <f>AND('GA55 Entry'!#REF!,"AAAAAE7O79g=")</f>
        <v>#REF!</v>
      </c>
      <c r="HJ16" t="e">
        <f>AND('GA55 Entry'!#REF!,"AAAAAE7O79k=")</f>
        <v>#REF!</v>
      </c>
      <c r="HK16" t="e">
        <f>AND('GA55 Entry'!#REF!,"AAAAAE7O79o=")</f>
        <v>#REF!</v>
      </c>
      <c r="HL16" t="e">
        <f>AND('GA55 Entry'!#REF!,"AAAAAE7O79s=")</f>
        <v>#REF!</v>
      </c>
      <c r="HM16" t="e">
        <f>AND('GA55 Entry'!#REF!,"AAAAAE7O79w=")</f>
        <v>#REF!</v>
      </c>
      <c r="HN16" t="e">
        <f>AND('GA55 Entry'!#REF!,"AAAAAE7O790=")</f>
        <v>#REF!</v>
      </c>
      <c r="HO16" t="e">
        <f>AND('GA55 Entry'!#REF!,"AAAAAE7O794=")</f>
        <v>#REF!</v>
      </c>
      <c r="HP16" t="e">
        <f>AND('GA55 Entry'!#REF!,"AAAAAE7O798=")</f>
        <v>#REF!</v>
      </c>
      <c r="HQ16" t="e">
        <f>AND('GA55 Entry'!#REF!,"AAAAAE7O7+A=")</f>
        <v>#REF!</v>
      </c>
      <c r="HR16" t="e">
        <f>AND('GA55 Entry'!#REF!,"AAAAAE7O7+E=")</f>
        <v>#REF!</v>
      </c>
      <c r="HS16" t="e">
        <f>AND('GA55 Entry'!#REF!,"AAAAAE7O7+I=")</f>
        <v>#REF!</v>
      </c>
      <c r="HT16" t="e">
        <f>AND('GA55 Entry'!#REF!,"AAAAAE7O7+M=")</f>
        <v>#REF!</v>
      </c>
      <c r="HU16" t="e">
        <f>IF('GA55 Entry'!#REF!,"AAAAAE7O7+Q=",0)</f>
        <v>#REF!</v>
      </c>
      <c r="HV16" t="e">
        <f>AND('GA55 Entry'!#REF!,"AAAAAE7O7+U=")</f>
        <v>#REF!</v>
      </c>
      <c r="HW16" t="e">
        <f>AND('GA55 Entry'!#REF!,"AAAAAE7O7+Y=")</f>
        <v>#REF!</v>
      </c>
      <c r="HX16" t="e">
        <f>AND('GA55 Entry'!#REF!,"AAAAAE7O7+c=")</f>
        <v>#REF!</v>
      </c>
      <c r="HY16" t="e">
        <f>AND('GA55 Entry'!#REF!,"AAAAAE7O7+g=")</f>
        <v>#REF!</v>
      </c>
      <c r="HZ16" t="e">
        <f>AND('GA55 Entry'!#REF!,"AAAAAE7O7+k=")</f>
        <v>#REF!</v>
      </c>
      <c r="IA16" t="e">
        <f>AND('GA55 Entry'!#REF!,"AAAAAE7O7+o=")</f>
        <v>#REF!</v>
      </c>
      <c r="IB16" t="e">
        <f>AND('GA55 Entry'!#REF!,"AAAAAE7O7+s=")</f>
        <v>#REF!</v>
      </c>
      <c r="IC16" t="e">
        <f>AND('GA55 Entry'!#REF!,"AAAAAE7O7+w=")</f>
        <v>#REF!</v>
      </c>
      <c r="ID16" t="e">
        <f>AND('GA55 Entry'!#REF!,"AAAAAE7O7+0=")</f>
        <v>#REF!</v>
      </c>
      <c r="IE16" t="e">
        <f>AND('GA55 Entry'!#REF!,"AAAAAE7O7+4=")</f>
        <v>#REF!</v>
      </c>
      <c r="IF16" t="e">
        <f>AND('GA55 Entry'!#REF!,"AAAAAE7O7+8=")</f>
        <v>#REF!</v>
      </c>
      <c r="IG16" t="e">
        <f>AND('GA55 Entry'!#REF!,"AAAAAE7O7/A=")</f>
        <v>#REF!</v>
      </c>
      <c r="IH16" t="e">
        <f>AND('GA55 Entry'!#REF!,"AAAAAE7O7/E=")</f>
        <v>#REF!</v>
      </c>
      <c r="II16" t="e">
        <f>AND('GA55 Entry'!#REF!,"AAAAAE7O7/I=")</f>
        <v>#REF!</v>
      </c>
      <c r="IJ16" t="e">
        <f>AND('GA55 Entry'!#REF!,"AAAAAE7O7/M=")</f>
        <v>#REF!</v>
      </c>
      <c r="IK16" t="e">
        <f>AND('GA55 Entry'!#REF!,"AAAAAE7O7/Q=")</f>
        <v>#REF!</v>
      </c>
      <c r="IL16" t="e">
        <f>AND('GA55 Entry'!#REF!,"AAAAAE7O7/U=")</f>
        <v>#REF!</v>
      </c>
      <c r="IM16" t="e">
        <f>AND('GA55 Entry'!#REF!,"AAAAAE7O7/Y=")</f>
        <v>#REF!</v>
      </c>
      <c r="IN16" t="e">
        <f>AND('GA55 Entry'!#REF!,"AAAAAE7O7/c=")</f>
        <v>#REF!</v>
      </c>
      <c r="IO16" t="e">
        <f>AND('GA55 Entry'!#REF!,"AAAAAE7O7/g=")</f>
        <v>#REF!</v>
      </c>
      <c r="IP16" t="e">
        <f>AND('GA55 Entry'!#REF!,"AAAAAE7O7/k=")</f>
        <v>#REF!</v>
      </c>
      <c r="IQ16" t="e">
        <f>AND('GA55 Entry'!#REF!,"AAAAAE7O7/o=")</f>
        <v>#REF!</v>
      </c>
      <c r="IR16" t="e">
        <f>AND('GA55 Entry'!#REF!,"AAAAAE7O7/s=")</f>
        <v>#REF!</v>
      </c>
      <c r="IS16" t="e">
        <f>AND('GA55 Entry'!#REF!,"AAAAAE7O7/w=")</f>
        <v>#REF!</v>
      </c>
      <c r="IT16" t="e">
        <f>AND('GA55 Entry'!#REF!,"AAAAAE7O7/0=")</f>
        <v>#REF!</v>
      </c>
      <c r="IU16" t="e">
        <f>AND('GA55 Entry'!#REF!,"AAAAAE7O7/4=")</f>
        <v>#REF!</v>
      </c>
      <c r="IV16" t="e">
        <f>AND('GA55 Entry'!#REF!,"AAAAAE7O7/8=")</f>
        <v>#REF!</v>
      </c>
    </row>
    <row r="17" spans="1:256">
      <c r="A17" t="e">
        <f>AND('GA55 Entry'!#REF!,"AAAAAB21/wA=")</f>
        <v>#REF!</v>
      </c>
      <c r="B17" t="e">
        <f>AND('GA55 Entry'!#REF!,"AAAAAB21/wE=")</f>
        <v>#REF!</v>
      </c>
      <c r="C17" t="e">
        <f>AND('GA55 Entry'!#REF!,"AAAAAB21/wI=")</f>
        <v>#REF!</v>
      </c>
      <c r="D17" t="e">
        <f>AND('GA55 Entry'!#REF!,"AAAAAB21/wM=")</f>
        <v>#REF!</v>
      </c>
      <c r="E17" t="e">
        <f>AND('GA55 Entry'!#REF!,"AAAAAB21/wQ=")</f>
        <v>#REF!</v>
      </c>
      <c r="F17" t="e">
        <f>AND('GA55 Entry'!#REF!,"AAAAAB21/wU=")</f>
        <v>#REF!</v>
      </c>
      <c r="G17" t="e">
        <f>AND('GA55 Entry'!#REF!,"AAAAAB21/wY=")</f>
        <v>#REF!</v>
      </c>
      <c r="H17" t="e">
        <f>AND('GA55 Entry'!#REF!,"AAAAAB21/wc=")</f>
        <v>#REF!</v>
      </c>
      <c r="I17" t="e">
        <f>AND('GA55 Entry'!#REF!,"AAAAAB21/wg=")</f>
        <v>#REF!</v>
      </c>
      <c r="J17" t="e">
        <f>AND('GA55 Entry'!#REF!,"AAAAAB21/wk=")</f>
        <v>#REF!</v>
      </c>
      <c r="K17" t="e">
        <f>AND('GA55 Entry'!#REF!,"AAAAAB21/wo=")</f>
        <v>#REF!</v>
      </c>
      <c r="L17" t="e">
        <f>AND('GA55 Entry'!#REF!,"AAAAAB21/ws=")</f>
        <v>#REF!</v>
      </c>
      <c r="M17" t="e">
        <f>AND('GA55 Entry'!#REF!,"AAAAAB21/ww=")</f>
        <v>#REF!</v>
      </c>
      <c r="N17" t="e">
        <f>AND('GA55 Entry'!#REF!,"AAAAAB21/w0=")</f>
        <v>#REF!</v>
      </c>
      <c r="O17" t="e">
        <f>AND('GA55 Entry'!#REF!,"AAAAAB21/w4=")</f>
        <v>#REF!</v>
      </c>
      <c r="P17" t="e">
        <f>AND('GA55 Entry'!#REF!,"AAAAAB21/w8=")</f>
        <v>#REF!</v>
      </c>
      <c r="Q17" t="e">
        <f>AND('GA55 Entry'!#REF!,"AAAAAB21/xA=")</f>
        <v>#REF!</v>
      </c>
      <c r="R17" t="e">
        <f>AND('GA55 Entry'!#REF!,"AAAAAB21/xE=")</f>
        <v>#REF!</v>
      </c>
      <c r="S17" t="e">
        <f>AND('GA55 Entry'!#REF!,"AAAAAB21/xI=")</f>
        <v>#REF!</v>
      </c>
      <c r="T17" t="e">
        <f>AND('GA55 Entry'!#REF!,"AAAAAB21/xM=")</f>
        <v>#REF!</v>
      </c>
      <c r="U17" t="e">
        <f>AND('GA55 Entry'!#REF!,"AAAAAB21/xQ=")</f>
        <v>#REF!</v>
      </c>
      <c r="V17" t="e">
        <f>AND('GA55 Entry'!#REF!,"AAAAAB21/xU=")</f>
        <v>#REF!</v>
      </c>
      <c r="W17" t="e">
        <f>AND('GA55 Entry'!#REF!,"AAAAAB21/xY=")</f>
        <v>#REF!</v>
      </c>
      <c r="X17" t="e">
        <f>IF('GA55 Entry'!#REF!,"AAAAAB21/xc=",0)</f>
        <v>#REF!</v>
      </c>
      <c r="Y17" t="e">
        <f>AND('GA55 Entry'!#REF!,"AAAAAB21/xg=")</f>
        <v>#REF!</v>
      </c>
      <c r="Z17" t="e">
        <f>AND('GA55 Entry'!#REF!,"AAAAAB21/xk=")</f>
        <v>#REF!</v>
      </c>
      <c r="AA17" t="e">
        <f>AND('GA55 Entry'!#REF!,"AAAAAB21/xo=")</f>
        <v>#REF!</v>
      </c>
      <c r="AB17" t="e">
        <f>AND('GA55 Entry'!#REF!,"AAAAAB21/xs=")</f>
        <v>#REF!</v>
      </c>
      <c r="AC17" t="e">
        <f>AND('GA55 Entry'!#REF!,"AAAAAB21/xw=")</f>
        <v>#REF!</v>
      </c>
      <c r="AD17" t="e">
        <f>AND('GA55 Entry'!#REF!,"AAAAAB21/x0=")</f>
        <v>#REF!</v>
      </c>
      <c r="AE17" t="e">
        <f>AND('GA55 Entry'!#REF!,"AAAAAB21/x4=")</f>
        <v>#REF!</v>
      </c>
      <c r="AF17" t="e">
        <f>AND('GA55 Entry'!#REF!,"AAAAAB21/x8=")</f>
        <v>#REF!</v>
      </c>
      <c r="AG17" t="e">
        <f>AND('GA55 Entry'!#REF!,"AAAAAB21/yA=")</f>
        <v>#REF!</v>
      </c>
      <c r="AH17" t="e">
        <f>AND('GA55 Entry'!#REF!,"AAAAAB21/yE=")</f>
        <v>#REF!</v>
      </c>
      <c r="AI17" t="e">
        <f>AND('GA55 Entry'!#REF!,"AAAAAB21/yI=")</f>
        <v>#REF!</v>
      </c>
      <c r="AJ17" t="e">
        <f>AND('GA55 Entry'!#REF!,"AAAAAB21/yM=")</f>
        <v>#REF!</v>
      </c>
      <c r="AK17" t="e">
        <f>AND('GA55 Entry'!#REF!,"AAAAAB21/yQ=")</f>
        <v>#REF!</v>
      </c>
      <c r="AL17" t="e">
        <f>AND('GA55 Entry'!#REF!,"AAAAAB21/yU=")</f>
        <v>#REF!</v>
      </c>
      <c r="AM17" t="e">
        <f>AND('GA55 Entry'!#REF!,"AAAAAB21/yY=")</f>
        <v>#REF!</v>
      </c>
      <c r="AN17" t="e">
        <f>AND('GA55 Entry'!#REF!,"AAAAAB21/yc=")</f>
        <v>#REF!</v>
      </c>
      <c r="AO17" t="e">
        <f>AND('GA55 Entry'!#REF!,"AAAAAB21/yg=")</f>
        <v>#REF!</v>
      </c>
      <c r="AP17" t="e">
        <f>AND('GA55 Entry'!#REF!,"AAAAAB21/yk=")</f>
        <v>#REF!</v>
      </c>
      <c r="AQ17" t="e">
        <f>AND('GA55 Entry'!#REF!,"AAAAAB21/yo=")</f>
        <v>#REF!</v>
      </c>
      <c r="AR17" t="e">
        <f>AND('GA55 Entry'!#REF!,"AAAAAB21/ys=")</f>
        <v>#REF!</v>
      </c>
      <c r="AS17" t="e">
        <f>AND('GA55 Entry'!#REF!,"AAAAAB21/yw=")</f>
        <v>#REF!</v>
      </c>
      <c r="AT17" t="e">
        <f>AND('GA55 Entry'!#REF!,"AAAAAB21/y0=")</f>
        <v>#REF!</v>
      </c>
      <c r="AU17" t="e">
        <f>AND('GA55 Entry'!#REF!,"AAAAAB21/y4=")</f>
        <v>#REF!</v>
      </c>
      <c r="AV17" t="e">
        <f>AND('GA55 Entry'!#REF!,"AAAAAB21/y8=")</f>
        <v>#REF!</v>
      </c>
      <c r="AW17" t="e">
        <f>AND('GA55 Entry'!#REF!,"AAAAAB21/zA=")</f>
        <v>#REF!</v>
      </c>
      <c r="AX17" t="e">
        <f>AND('GA55 Entry'!#REF!,"AAAAAB21/zE=")</f>
        <v>#REF!</v>
      </c>
      <c r="AY17" t="e">
        <f>AND('GA55 Entry'!#REF!,"AAAAAB21/zI=")</f>
        <v>#REF!</v>
      </c>
      <c r="AZ17" t="e">
        <f>AND('GA55 Entry'!#REF!,"AAAAAB21/zM=")</f>
        <v>#REF!</v>
      </c>
      <c r="BA17" t="e">
        <f>AND('GA55 Entry'!#REF!,"AAAAAB21/zQ=")</f>
        <v>#REF!</v>
      </c>
      <c r="BB17" t="e">
        <f>AND('GA55 Entry'!#REF!,"AAAAAB21/zU=")</f>
        <v>#REF!</v>
      </c>
      <c r="BC17" t="e">
        <f>AND('GA55 Entry'!#REF!,"AAAAAB21/zY=")</f>
        <v>#REF!</v>
      </c>
      <c r="BD17" t="e">
        <f>AND('GA55 Entry'!#REF!,"AAAAAB21/zc=")</f>
        <v>#REF!</v>
      </c>
      <c r="BE17" t="e">
        <f>AND('GA55 Entry'!#REF!,"AAAAAB21/zg=")</f>
        <v>#REF!</v>
      </c>
      <c r="BF17" t="e">
        <f>AND('GA55 Entry'!#REF!,"AAAAAB21/zk=")</f>
        <v>#REF!</v>
      </c>
      <c r="BG17" t="e">
        <f>AND('GA55 Entry'!#REF!,"AAAAAB21/zo=")</f>
        <v>#REF!</v>
      </c>
      <c r="BH17" t="e">
        <f>AND('GA55 Entry'!#REF!,"AAAAAB21/zs=")</f>
        <v>#REF!</v>
      </c>
      <c r="BI17" t="e">
        <f>AND('GA55 Entry'!#REF!,"AAAAAB21/zw=")</f>
        <v>#REF!</v>
      </c>
      <c r="BJ17" t="e">
        <f>AND('GA55 Entry'!#REF!,"AAAAAB21/z0=")</f>
        <v>#REF!</v>
      </c>
      <c r="BK17" t="e">
        <f>AND('GA55 Entry'!#REF!,"AAAAAB21/z4=")</f>
        <v>#REF!</v>
      </c>
      <c r="BL17" t="e">
        <f>AND('GA55 Entry'!#REF!,"AAAAAB21/z8=")</f>
        <v>#REF!</v>
      </c>
      <c r="BM17" t="e">
        <f>AND('GA55 Entry'!#REF!,"AAAAAB21/0A=")</f>
        <v>#REF!</v>
      </c>
      <c r="BN17" t="e">
        <f>AND('GA55 Entry'!#REF!,"AAAAAB21/0E=")</f>
        <v>#REF!</v>
      </c>
      <c r="BO17" t="e">
        <f>AND('GA55 Entry'!#REF!,"AAAAAB21/0I=")</f>
        <v>#REF!</v>
      </c>
      <c r="BP17" t="e">
        <f>AND('GA55 Entry'!#REF!,"AAAAAB21/0M=")</f>
        <v>#REF!</v>
      </c>
      <c r="BQ17" t="e">
        <f>AND('GA55 Entry'!#REF!,"AAAAAB21/0Q=")</f>
        <v>#REF!</v>
      </c>
      <c r="BR17" t="e">
        <f>AND('GA55 Entry'!#REF!,"AAAAAB21/0U=")</f>
        <v>#REF!</v>
      </c>
      <c r="BS17" t="e">
        <f>AND('GA55 Entry'!#REF!,"AAAAAB21/0Y=")</f>
        <v>#REF!</v>
      </c>
      <c r="BT17" t="e">
        <f>AND('GA55 Entry'!#REF!,"AAAAAB21/0c=")</f>
        <v>#REF!</v>
      </c>
      <c r="BU17" t="e">
        <f>AND('GA55 Entry'!#REF!,"AAAAAB21/0g=")</f>
        <v>#REF!</v>
      </c>
      <c r="BV17" t="e">
        <f>AND('GA55 Entry'!#REF!,"AAAAAB21/0k=")</f>
        <v>#REF!</v>
      </c>
      <c r="BW17" t="e">
        <f>IF('GA55 Entry'!#REF!,"AAAAAB21/0o=",0)</f>
        <v>#REF!</v>
      </c>
      <c r="BX17" t="e">
        <f>AND('GA55 Entry'!#REF!,"AAAAAB21/0s=")</f>
        <v>#REF!</v>
      </c>
      <c r="BY17" t="e">
        <f>AND('GA55 Entry'!#REF!,"AAAAAB21/0w=")</f>
        <v>#REF!</v>
      </c>
      <c r="BZ17" t="e">
        <f>AND('GA55 Entry'!#REF!,"AAAAAB21/00=")</f>
        <v>#REF!</v>
      </c>
      <c r="CA17" t="e">
        <f>AND('GA55 Entry'!#REF!,"AAAAAB21/04=")</f>
        <v>#REF!</v>
      </c>
      <c r="CB17" t="e">
        <f>AND('GA55 Entry'!#REF!,"AAAAAB21/08=")</f>
        <v>#REF!</v>
      </c>
      <c r="CC17" t="e">
        <f>AND('GA55 Entry'!#REF!,"AAAAAB21/1A=")</f>
        <v>#REF!</v>
      </c>
      <c r="CD17" t="e">
        <f>AND('GA55 Entry'!#REF!,"AAAAAB21/1E=")</f>
        <v>#REF!</v>
      </c>
      <c r="CE17" t="e">
        <f>AND('GA55 Entry'!#REF!,"AAAAAB21/1I=")</f>
        <v>#REF!</v>
      </c>
      <c r="CF17" t="e">
        <f>AND('GA55 Entry'!#REF!,"AAAAAB21/1M=")</f>
        <v>#REF!</v>
      </c>
      <c r="CG17" t="e">
        <f>AND('GA55 Entry'!#REF!,"AAAAAB21/1Q=")</f>
        <v>#REF!</v>
      </c>
      <c r="CH17" t="e">
        <f>AND('GA55 Entry'!#REF!,"AAAAAB21/1U=")</f>
        <v>#REF!</v>
      </c>
      <c r="CI17" t="e">
        <f>AND('GA55 Entry'!#REF!,"AAAAAB21/1Y=")</f>
        <v>#REF!</v>
      </c>
      <c r="CJ17" t="e">
        <f>AND('GA55 Entry'!#REF!,"AAAAAB21/1c=")</f>
        <v>#REF!</v>
      </c>
      <c r="CK17" t="e">
        <f>AND('GA55 Entry'!#REF!,"AAAAAB21/1g=")</f>
        <v>#REF!</v>
      </c>
      <c r="CL17" t="e">
        <f>AND('GA55 Entry'!#REF!,"AAAAAB21/1k=")</f>
        <v>#REF!</v>
      </c>
      <c r="CM17" t="e">
        <f>AND('GA55 Entry'!#REF!,"AAAAAB21/1o=")</f>
        <v>#REF!</v>
      </c>
      <c r="CN17" t="e">
        <f>AND('GA55 Entry'!#REF!,"AAAAAB21/1s=")</f>
        <v>#REF!</v>
      </c>
      <c r="CO17" t="e">
        <f>AND('GA55 Entry'!#REF!,"AAAAAB21/1w=")</f>
        <v>#REF!</v>
      </c>
      <c r="CP17" t="e">
        <f>AND('GA55 Entry'!#REF!,"AAAAAB21/10=")</f>
        <v>#REF!</v>
      </c>
      <c r="CQ17" t="e">
        <f>AND('GA55 Entry'!#REF!,"AAAAAB21/14=")</f>
        <v>#REF!</v>
      </c>
      <c r="CR17" t="e">
        <f>AND('GA55 Entry'!#REF!,"AAAAAB21/18=")</f>
        <v>#REF!</v>
      </c>
      <c r="CS17" t="e">
        <f>AND('GA55 Entry'!#REF!,"AAAAAB21/2A=")</f>
        <v>#REF!</v>
      </c>
      <c r="CT17" t="e">
        <f>AND('GA55 Entry'!#REF!,"AAAAAB21/2E=")</f>
        <v>#REF!</v>
      </c>
      <c r="CU17" t="e">
        <f>AND('GA55 Entry'!#REF!,"AAAAAB21/2I=")</f>
        <v>#REF!</v>
      </c>
      <c r="CV17" t="e">
        <f>AND('GA55 Entry'!#REF!,"AAAAAB21/2M=")</f>
        <v>#REF!</v>
      </c>
      <c r="CW17" t="e">
        <f>AND('GA55 Entry'!#REF!,"AAAAAB21/2Q=")</f>
        <v>#REF!</v>
      </c>
      <c r="CX17" t="e">
        <f>AND('GA55 Entry'!#REF!,"AAAAAB21/2U=")</f>
        <v>#REF!</v>
      </c>
      <c r="CY17" t="e">
        <f>AND('GA55 Entry'!#REF!,"AAAAAB21/2Y=")</f>
        <v>#REF!</v>
      </c>
      <c r="CZ17" t="e">
        <f>AND('GA55 Entry'!#REF!,"AAAAAB21/2c=")</f>
        <v>#REF!</v>
      </c>
      <c r="DA17" t="e">
        <f>AND('GA55 Entry'!#REF!,"AAAAAB21/2g=")</f>
        <v>#REF!</v>
      </c>
      <c r="DB17" t="e">
        <f>AND('GA55 Entry'!#REF!,"AAAAAB21/2k=")</f>
        <v>#REF!</v>
      </c>
      <c r="DC17" t="e">
        <f>AND('GA55 Entry'!#REF!,"AAAAAB21/2o=")</f>
        <v>#REF!</v>
      </c>
      <c r="DD17" t="e">
        <f>AND('GA55 Entry'!#REF!,"AAAAAB21/2s=")</f>
        <v>#REF!</v>
      </c>
      <c r="DE17" t="e">
        <f>AND('GA55 Entry'!#REF!,"AAAAAB21/2w=")</f>
        <v>#REF!</v>
      </c>
      <c r="DF17" t="e">
        <f>AND('GA55 Entry'!#REF!,"AAAAAB21/20=")</f>
        <v>#REF!</v>
      </c>
      <c r="DG17" t="e">
        <f>AND('GA55 Entry'!#REF!,"AAAAAB21/24=")</f>
        <v>#REF!</v>
      </c>
      <c r="DH17" t="e">
        <f>AND('GA55 Entry'!#REF!,"AAAAAB21/28=")</f>
        <v>#REF!</v>
      </c>
      <c r="DI17" t="e">
        <f>AND('GA55 Entry'!#REF!,"AAAAAB21/3A=")</f>
        <v>#REF!</v>
      </c>
      <c r="DJ17" t="e">
        <f>AND('GA55 Entry'!#REF!,"AAAAAB21/3E=")</f>
        <v>#REF!</v>
      </c>
      <c r="DK17" t="e">
        <f>AND('GA55 Entry'!#REF!,"AAAAAB21/3I=")</f>
        <v>#REF!</v>
      </c>
      <c r="DL17" t="e">
        <f>AND('GA55 Entry'!#REF!,"AAAAAB21/3M=")</f>
        <v>#REF!</v>
      </c>
      <c r="DM17" t="e">
        <f>AND('GA55 Entry'!#REF!,"AAAAAB21/3Q=")</f>
        <v>#REF!</v>
      </c>
      <c r="DN17" t="e">
        <f>AND('GA55 Entry'!#REF!,"AAAAAB21/3U=")</f>
        <v>#REF!</v>
      </c>
      <c r="DO17" t="e">
        <f>AND('GA55 Entry'!#REF!,"AAAAAB21/3Y=")</f>
        <v>#REF!</v>
      </c>
      <c r="DP17" t="e">
        <f>AND('GA55 Entry'!#REF!,"AAAAAB21/3c=")</f>
        <v>#REF!</v>
      </c>
      <c r="DQ17" t="e">
        <f>AND('GA55 Entry'!#REF!,"AAAAAB21/3g=")</f>
        <v>#REF!</v>
      </c>
      <c r="DR17" t="e">
        <f>AND('GA55 Entry'!#REF!,"AAAAAB21/3k=")</f>
        <v>#REF!</v>
      </c>
      <c r="DS17" t="e">
        <f>AND('GA55 Entry'!#REF!,"AAAAAB21/3o=")</f>
        <v>#REF!</v>
      </c>
      <c r="DT17" t="e">
        <f>AND('GA55 Entry'!#REF!,"AAAAAB21/3s=")</f>
        <v>#REF!</v>
      </c>
      <c r="DU17" t="e">
        <f>AND('GA55 Entry'!#REF!,"AAAAAB21/3w=")</f>
        <v>#REF!</v>
      </c>
      <c r="DV17" t="e">
        <f>IF('GA55 Entry'!#REF!,"AAAAAB21/30=",0)</f>
        <v>#REF!</v>
      </c>
      <c r="DW17" t="e">
        <f>AND('GA55 Entry'!#REF!,"AAAAAB21/34=")</f>
        <v>#REF!</v>
      </c>
      <c r="DX17" t="e">
        <f>AND('GA55 Entry'!#REF!,"AAAAAB21/38=")</f>
        <v>#REF!</v>
      </c>
      <c r="DY17" t="e">
        <f>AND('GA55 Entry'!#REF!,"AAAAAB21/4A=")</f>
        <v>#REF!</v>
      </c>
      <c r="DZ17" t="e">
        <f>AND('GA55 Entry'!#REF!,"AAAAAB21/4E=")</f>
        <v>#REF!</v>
      </c>
      <c r="EA17" t="e">
        <f>AND('GA55 Entry'!#REF!,"AAAAAB21/4I=")</f>
        <v>#REF!</v>
      </c>
      <c r="EB17" t="e">
        <f>AND('GA55 Entry'!#REF!,"AAAAAB21/4M=")</f>
        <v>#REF!</v>
      </c>
      <c r="EC17" t="e">
        <f>AND('GA55 Entry'!#REF!,"AAAAAB21/4Q=")</f>
        <v>#REF!</v>
      </c>
      <c r="ED17" t="e">
        <f>AND('GA55 Entry'!#REF!,"AAAAAB21/4U=")</f>
        <v>#REF!</v>
      </c>
      <c r="EE17" t="e">
        <f>AND('GA55 Entry'!#REF!,"AAAAAB21/4Y=")</f>
        <v>#REF!</v>
      </c>
      <c r="EF17" t="e">
        <f>AND('GA55 Entry'!#REF!,"AAAAAB21/4c=")</f>
        <v>#REF!</v>
      </c>
      <c r="EG17" t="e">
        <f>AND('GA55 Entry'!#REF!,"AAAAAB21/4g=")</f>
        <v>#REF!</v>
      </c>
      <c r="EH17" t="e">
        <f>AND('GA55 Entry'!#REF!,"AAAAAB21/4k=")</f>
        <v>#REF!</v>
      </c>
      <c r="EI17" t="e">
        <f>AND('GA55 Entry'!#REF!,"AAAAAB21/4o=")</f>
        <v>#REF!</v>
      </c>
      <c r="EJ17" t="e">
        <f>AND('GA55 Entry'!#REF!,"AAAAAB21/4s=")</f>
        <v>#REF!</v>
      </c>
      <c r="EK17" t="e">
        <f>AND('GA55 Entry'!#REF!,"AAAAAB21/4w=")</f>
        <v>#REF!</v>
      </c>
      <c r="EL17" t="e">
        <f>AND('GA55 Entry'!#REF!,"AAAAAB21/40=")</f>
        <v>#REF!</v>
      </c>
      <c r="EM17" t="e">
        <f>AND('GA55 Entry'!#REF!,"AAAAAB21/44=")</f>
        <v>#REF!</v>
      </c>
      <c r="EN17" t="e">
        <f>AND('GA55 Entry'!#REF!,"AAAAAB21/48=")</f>
        <v>#REF!</v>
      </c>
      <c r="EO17" t="e">
        <f>AND('GA55 Entry'!#REF!,"AAAAAB21/5A=")</f>
        <v>#REF!</v>
      </c>
      <c r="EP17" t="e">
        <f>AND('GA55 Entry'!#REF!,"AAAAAB21/5E=")</f>
        <v>#REF!</v>
      </c>
      <c r="EQ17" t="e">
        <f>AND('GA55 Entry'!#REF!,"AAAAAB21/5I=")</f>
        <v>#REF!</v>
      </c>
      <c r="ER17" t="e">
        <f>AND('GA55 Entry'!#REF!,"AAAAAB21/5M=")</f>
        <v>#REF!</v>
      </c>
      <c r="ES17" t="e">
        <f>AND('GA55 Entry'!#REF!,"AAAAAB21/5Q=")</f>
        <v>#REF!</v>
      </c>
      <c r="ET17" t="e">
        <f>AND('GA55 Entry'!#REF!,"AAAAAB21/5U=")</f>
        <v>#REF!</v>
      </c>
      <c r="EU17" t="e">
        <f>AND('GA55 Entry'!#REF!,"AAAAAB21/5Y=")</f>
        <v>#REF!</v>
      </c>
      <c r="EV17" t="e">
        <f>AND('GA55 Entry'!#REF!,"AAAAAB21/5c=")</f>
        <v>#REF!</v>
      </c>
      <c r="EW17" t="e">
        <f>AND('GA55 Entry'!#REF!,"AAAAAB21/5g=")</f>
        <v>#REF!</v>
      </c>
      <c r="EX17" t="e">
        <f>AND('GA55 Entry'!#REF!,"AAAAAB21/5k=")</f>
        <v>#REF!</v>
      </c>
      <c r="EY17" t="e">
        <f>AND('GA55 Entry'!#REF!,"AAAAAB21/5o=")</f>
        <v>#REF!</v>
      </c>
      <c r="EZ17" t="e">
        <f>AND('GA55 Entry'!#REF!,"AAAAAB21/5s=")</f>
        <v>#REF!</v>
      </c>
      <c r="FA17" t="e">
        <f>AND('GA55 Entry'!#REF!,"AAAAAB21/5w=")</f>
        <v>#REF!</v>
      </c>
      <c r="FB17" t="e">
        <f>AND('GA55 Entry'!#REF!,"AAAAAB21/50=")</f>
        <v>#REF!</v>
      </c>
      <c r="FC17" t="e">
        <f>AND('GA55 Entry'!#REF!,"AAAAAB21/54=")</f>
        <v>#REF!</v>
      </c>
      <c r="FD17" t="e">
        <f>AND('GA55 Entry'!#REF!,"AAAAAB21/58=")</f>
        <v>#REF!</v>
      </c>
      <c r="FE17" t="e">
        <f>AND('GA55 Entry'!#REF!,"AAAAAB21/6A=")</f>
        <v>#REF!</v>
      </c>
      <c r="FF17" t="e">
        <f>AND('GA55 Entry'!#REF!,"AAAAAB21/6E=")</f>
        <v>#REF!</v>
      </c>
      <c r="FG17" t="e">
        <f>AND('GA55 Entry'!#REF!,"AAAAAB21/6I=")</f>
        <v>#REF!</v>
      </c>
      <c r="FH17" t="e">
        <f>AND('GA55 Entry'!#REF!,"AAAAAB21/6M=")</f>
        <v>#REF!</v>
      </c>
      <c r="FI17" t="e">
        <f>AND('GA55 Entry'!#REF!,"AAAAAB21/6Q=")</f>
        <v>#REF!</v>
      </c>
      <c r="FJ17" t="e">
        <f>AND('GA55 Entry'!#REF!,"AAAAAB21/6U=")</f>
        <v>#REF!</v>
      </c>
      <c r="FK17" t="e">
        <f>AND('GA55 Entry'!#REF!,"AAAAAB21/6Y=")</f>
        <v>#REF!</v>
      </c>
      <c r="FL17" t="e">
        <f>AND('GA55 Entry'!#REF!,"AAAAAB21/6c=")</f>
        <v>#REF!</v>
      </c>
      <c r="FM17" t="e">
        <f>AND('GA55 Entry'!#REF!,"AAAAAB21/6g=")</f>
        <v>#REF!</v>
      </c>
      <c r="FN17" t="e">
        <f>AND('GA55 Entry'!#REF!,"AAAAAB21/6k=")</f>
        <v>#REF!</v>
      </c>
      <c r="FO17" t="e">
        <f>AND('GA55 Entry'!#REF!,"AAAAAB21/6o=")</f>
        <v>#REF!</v>
      </c>
      <c r="FP17" t="e">
        <f>AND('GA55 Entry'!#REF!,"AAAAAB21/6s=")</f>
        <v>#REF!</v>
      </c>
      <c r="FQ17" t="e">
        <f>AND('GA55 Entry'!#REF!,"AAAAAB21/6w=")</f>
        <v>#REF!</v>
      </c>
      <c r="FR17" t="e">
        <f>AND('GA55 Entry'!#REF!,"AAAAAB21/60=")</f>
        <v>#REF!</v>
      </c>
      <c r="FS17" t="e">
        <f>AND('GA55 Entry'!#REF!,"AAAAAB21/64=")</f>
        <v>#REF!</v>
      </c>
      <c r="FT17" t="e">
        <f>AND('GA55 Entry'!#REF!,"AAAAAB21/68=")</f>
        <v>#REF!</v>
      </c>
      <c r="FU17" t="e">
        <f>IF('GA55 Entry'!#REF!,"AAAAAB21/7A=",0)</f>
        <v>#REF!</v>
      </c>
      <c r="FV17" t="e">
        <f>AND('GA55 Entry'!#REF!,"AAAAAB21/7E=")</f>
        <v>#REF!</v>
      </c>
      <c r="FW17" t="e">
        <f>AND('GA55 Entry'!#REF!,"AAAAAB21/7I=")</f>
        <v>#REF!</v>
      </c>
      <c r="FX17" t="e">
        <f>AND('GA55 Entry'!#REF!,"AAAAAB21/7M=")</f>
        <v>#REF!</v>
      </c>
      <c r="FY17" t="e">
        <f>AND('GA55 Entry'!#REF!,"AAAAAB21/7Q=")</f>
        <v>#REF!</v>
      </c>
      <c r="FZ17" t="e">
        <f>AND('GA55 Entry'!#REF!,"AAAAAB21/7U=")</f>
        <v>#REF!</v>
      </c>
      <c r="GA17" t="e">
        <f>AND('GA55 Entry'!#REF!,"AAAAAB21/7Y=")</f>
        <v>#REF!</v>
      </c>
      <c r="GB17" t="e">
        <f>AND('GA55 Entry'!#REF!,"AAAAAB21/7c=")</f>
        <v>#REF!</v>
      </c>
      <c r="GC17" t="e">
        <f>AND('GA55 Entry'!#REF!,"AAAAAB21/7g=")</f>
        <v>#REF!</v>
      </c>
      <c r="GD17" t="e">
        <f>AND('GA55 Entry'!#REF!,"AAAAAB21/7k=")</f>
        <v>#REF!</v>
      </c>
      <c r="GE17" t="e">
        <f>AND('GA55 Entry'!#REF!,"AAAAAB21/7o=")</f>
        <v>#REF!</v>
      </c>
      <c r="GF17" t="e">
        <f>AND('GA55 Entry'!#REF!,"AAAAAB21/7s=")</f>
        <v>#REF!</v>
      </c>
      <c r="GG17" t="e">
        <f>AND('GA55 Entry'!#REF!,"AAAAAB21/7w=")</f>
        <v>#REF!</v>
      </c>
      <c r="GH17" t="e">
        <f>AND('GA55 Entry'!#REF!,"AAAAAB21/70=")</f>
        <v>#REF!</v>
      </c>
      <c r="GI17" t="e">
        <f>AND('GA55 Entry'!#REF!,"AAAAAB21/74=")</f>
        <v>#REF!</v>
      </c>
      <c r="GJ17" t="e">
        <f>AND('GA55 Entry'!#REF!,"AAAAAB21/78=")</f>
        <v>#REF!</v>
      </c>
      <c r="GK17" t="e">
        <f>AND('GA55 Entry'!#REF!,"AAAAAB21/8A=")</f>
        <v>#REF!</v>
      </c>
      <c r="GL17" t="e">
        <f>AND('GA55 Entry'!#REF!,"AAAAAB21/8E=")</f>
        <v>#REF!</v>
      </c>
      <c r="GM17" t="e">
        <f>AND('GA55 Entry'!#REF!,"AAAAAB21/8I=")</f>
        <v>#REF!</v>
      </c>
      <c r="GN17" t="e">
        <f>AND('GA55 Entry'!#REF!,"AAAAAB21/8M=")</f>
        <v>#REF!</v>
      </c>
      <c r="GO17" t="e">
        <f>AND('GA55 Entry'!#REF!,"AAAAAB21/8Q=")</f>
        <v>#REF!</v>
      </c>
      <c r="GP17" t="e">
        <f>AND('GA55 Entry'!#REF!,"AAAAAB21/8U=")</f>
        <v>#REF!</v>
      </c>
      <c r="GQ17" t="e">
        <f>AND('GA55 Entry'!#REF!,"AAAAAB21/8Y=")</f>
        <v>#REF!</v>
      </c>
      <c r="GR17" t="e">
        <f>AND('GA55 Entry'!#REF!,"AAAAAB21/8c=")</f>
        <v>#REF!</v>
      </c>
      <c r="GS17" t="e">
        <f>AND('GA55 Entry'!#REF!,"AAAAAB21/8g=")</f>
        <v>#REF!</v>
      </c>
      <c r="GT17" t="e">
        <f>AND('GA55 Entry'!#REF!,"AAAAAB21/8k=")</f>
        <v>#REF!</v>
      </c>
      <c r="GU17" t="e">
        <f>AND('GA55 Entry'!#REF!,"AAAAAB21/8o=")</f>
        <v>#REF!</v>
      </c>
      <c r="GV17" t="e">
        <f>AND('GA55 Entry'!#REF!,"AAAAAB21/8s=")</f>
        <v>#REF!</v>
      </c>
      <c r="GW17" t="e">
        <f>AND('GA55 Entry'!#REF!,"AAAAAB21/8w=")</f>
        <v>#REF!</v>
      </c>
      <c r="GX17" t="e">
        <f>AND('GA55 Entry'!#REF!,"AAAAAB21/80=")</f>
        <v>#REF!</v>
      </c>
      <c r="GY17" t="e">
        <f>AND('GA55 Entry'!#REF!,"AAAAAB21/84=")</f>
        <v>#REF!</v>
      </c>
      <c r="GZ17" t="e">
        <f>AND('GA55 Entry'!#REF!,"AAAAAB21/88=")</f>
        <v>#REF!</v>
      </c>
      <c r="HA17" t="e">
        <f>AND('GA55 Entry'!#REF!,"AAAAAB21/9A=")</f>
        <v>#REF!</v>
      </c>
      <c r="HB17" t="e">
        <f>AND('GA55 Entry'!#REF!,"AAAAAB21/9E=")</f>
        <v>#REF!</v>
      </c>
      <c r="HC17" t="e">
        <f>AND('GA55 Entry'!#REF!,"AAAAAB21/9I=")</f>
        <v>#REF!</v>
      </c>
      <c r="HD17" t="e">
        <f>AND('GA55 Entry'!#REF!,"AAAAAB21/9M=")</f>
        <v>#REF!</v>
      </c>
      <c r="HE17" t="e">
        <f>AND('GA55 Entry'!#REF!,"AAAAAB21/9Q=")</f>
        <v>#REF!</v>
      </c>
      <c r="HF17" t="e">
        <f>AND('GA55 Entry'!#REF!,"AAAAAB21/9U=")</f>
        <v>#REF!</v>
      </c>
      <c r="HG17" t="e">
        <f>AND('GA55 Entry'!#REF!,"AAAAAB21/9Y=")</f>
        <v>#REF!</v>
      </c>
      <c r="HH17" t="e">
        <f>AND('GA55 Entry'!#REF!,"AAAAAB21/9c=")</f>
        <v>#REF!</v>
      </c>
      <c r="HI17" t="e">
        <f>AND('GA55 Entry'!#REF!,"AAAAAB21/9g=")</f>
        <v>#REF!</v>
      </c>
      <c r="HJ17" t="e">
        <f>AND('GA55 Entry'!#REF!,"AAAAAB21/9k=")</f>
        <v>#REF!</v>
      </c>
      <c r="HK17" t="e">
        <f>AND('GA55 Entry'!#REF!,"AAAAAB21/9o=")</f>
        <v>#REF!</v>
      </c>
      <c r="HL17" t="e">
        <f>AND('GA55 Entry'!#REF!,"AAAAAB21/9s=")</f>
        <v>#REF!</v>
      </c>
      <c r="HM17" t="e">
        <f>AND('GA55 Entry'!#REF!,"AAAAAB21/9w=")</f>
        <v>#REF!</v>
      </c>
      <c r="HN17" t="e">
        <f>AND('GA55 Entry'!#REF!,"AAAAAB21/90=")</f>
        <v>#REF!</v>
      </c>
      <c r="HO17" t="e">
        <f>AND('GA55 Entry'!#REF!,"AAAAAB21/94=")</f>
        <v>#REF!</v>
      </c>
      <c r="HP17" t="e">
        <f>AND('GA55 Entry'!#REF!,"AAAAAB21/98=")</f>
        <v>#REF!</v>
      </c>
      <c r="HQ17" t="e">
        <f>AND('GA55 Entry'!#REF!,"AAAAAB21/+A=")</f>
        <v>#REF!</v>
      </c>
      <c r="HR17" t="e">
        <f>AND('GA55 Entry'!#REF!,"AAAAAB21/+E=")</f>
        <v>#REF!</v>
      </c>
      <c r="HS17" t="e">
        <f>AND('GA55 Entry'!#REF!,"AAAAAB21/+I=")</f>
        <v>#REF!</v>
      </c>
      <c r="HT17" t="e">
        <f>IF('GA55 Entry'!#REF!,"AAAAAB21/+M=",0)</f>
        <v>#REF!</v>
      </c>
      <c r="HU17" t="e">
        <f>AND('GA55 Entry'!#REF!,"AAAAAB21/+Q=")</f>
        <v>#REF!</v>
      </c>
      <c r="HV17" t="e">
        <f>AND('GA55 Entry'!#REF!,"AAAAAB21/+U=")</f>
        <v>#REF!</v>
      </c>
      <c r="HW17" t="e">
        <f>AND('GA55 Entry'!#REF!,"AAAAAB21/+Y=")</f>
        <v>#REF!</v>
      </c>
      <c r="HX17" t="e">
        <f>AND('GA55 Entry'!#REF!,"AAAAAB21/+c=")</f>
        <v>#REF!</v>
      </c>
      <c r="HY17" t="e">
        <f>AND('GA55 Entry'!#REF!,"AAAAAB21/+g=")</f>
        <v>#REF!</v>
      </c>
      <c r="HZ17" t="e">
        <f>AND('GA55 Entry'!#REF!,"AAAAAB21/+k=")</f>
        <v>#REF!</v>
      </c>
      <c r="IA17" t="e">
        <f>AND('GA55 Entry'!#REF!,"AAAAAB21/+o=")</f>
        <v>#REF!</v>
      </c>
      <c r="IB17" t="e">
        <f>AND('GA55 Entry'!#REF!,"AAAAAB21/+s=")</f>
        <v>#REF!</v>
      </c>
      <c r="IC17" t="e">
        <f>AND('GA55 Entry'!#REF!,"AAAAAB21/+w=")</f>
        <v>#REF!</v>
      </c>
      <c r="ID17" t="e">
        <f>AND('GA55 Entry'!#REF!,"AAAAAB21/+0=")</f>
        <v>#REF!</v>
      </c>
      <c r="IE17" t="e">
        <f>AND('GA55 Entry'!#REF!,"AAAAAB21/+4=")</f>
        <v>#REF!</v>
      </c>
      <c r="IF17" t="e">
        <f>AND('GA55 Entry'!#REF!,"AAAAAB21/+8=")</f>
        <v>#REF!</v>
      </c>
      <c r="IG17" t="e">
        <f>AND('GA55 Entry'!#REF!,"AAAAAB21//A=")</f>
        <v>#REF!</v>
      </c>
      <c r="IH17" t="e">
        <f>AND('GA55 Entry'!#REF!,"AAAAAB21//E=")</f>
        <v>#REF!</v>
      </c>
      <c r="II17" t="e">
        <f>AND('GA55 Entry'!#REF!,"AAAAAB21//I=")</f>
        <v>#REF!</v>
      </c>
      <c r="IJ17" t="e">
        <f>AND('GA55 Entry'!#REF!,"AAAAAB21//M=")</f>
        <v>#REF!</v>
      </c>
      <c r="IK17" t="e">
        <f>AND('GA55 Entry'!#REF!,"AAAAAB21//Q=")</f>
        <v>#REF!</v>
      </c>
      <c r="IL17" t="e">
        <f>AND('GA55 Entry'!#REF!,"AAAAAB21//U=")</f>
        <v>#REF!</v>
      </c>
      <c r="IM17" t="e">
        <f>AND('GA55 Entry'!#REF!,"AAAAAB21//Y=")</f>
        <v>#REF!</v>
      </c>
      <c r="IN17" t="e">
        <f>AND('GA55 Entry'!#REF!,"AAAAAB21//c=")</f>
        <v>#REF!</v>
      </c>
      <c r="IO17" t="e">
        <f>AND('GA55 Entry'!#REF!,"AAAAAB21//g=")</f>
        <v>#REF!</v>
      </c>
      <c r="IP17" t="e">
        <f>AND('GA55 Entry'!#REF!,"AAAAAB21//k=")</f>
        <v>#REF!</v>
      </c>
      <c r="IQ17" t="e">
        <f>AND('GA55 Entry'!#REF!,"AAAAAB21//o=")</f>
        <v>#REF!</v>
      </c>
      <c r="IR17" t="e">
        <f>AND('GA55 Entry'!#REF!,"AAAAAB21//s=")</f>
        <v>#REF!</v>
      </c>
      <c r="IS17" t="e">
        <f>AND('GA55 Entry'!#REF!,"AAAAAB21//w=")</f>
        <v>#REF!</v>
      </c>
      <c r="IT17" t="e">
        <f>AND('GA55 Entry'!#REF!,"AAAAAB21//0=")</f>
        <v>#REF!</v>
      </c>
      <c r="IU17" t="e">
        <f>AND('GA55 Entry'!#REF!,"AAAAAB21//4=")</f>
        <v>#REF!</v>
      </c>
      <c r="IV17" t="e">
        <f>AND('GA55 Entry'!#REF!,"AAAAAB21//8=")</f>
        <v>#REF!</v>
      </c>
    </row>
    <row r="18" spans="1:256">
      <c r="A18" t="e">
        <f>AND('GA55 Entry'!#REF!,"AAAAAD4rFwA=")</f>
        <v>#REF!</v>
      </c>
      <c r="B18" t="e">
        <f>AND('GA55 Entry'!#REF!,"AAAAAD4rFwE=")</f>
        <v>#REF!</v>
      </c>
      <c r="C18" t="e">
        <f>AND('GA55 Entry'!#REF!,"AAAAAD4rFwI=")</f>
        <v>#REF!</v>
      </c>
      <c r="D18" t="e">
        <f>AND('GA55 Entry'!#REF!,"AAAAAD4rFwM=")</f>
        <v>#REF!</v>
      </c>
      <c r="E18" t="e">
        <f>AND('GA55 Entry'!#REF!,"AAAAAD4rFwQ=")</f>
        <v>#REF!</v>
      </c>
      <c r="F18" t="e">
        <f>AND('GA55 Entry'!#REF!,"AAAAAD4rFwU=")</f>
        <v>#REF!</v>
      </c>
      <c r="G18" t="e">
        <f>AND('GA55 Entry'!#REF!,"AAAAAD4rFwY=")</f>
        <v>#REF!</v>
      </c>
      <c r="H18" t="e">
        <f>AND('GA55 Entry'!#REF!,"AAAAAD4rFwc=")</f>
        <v>#REF!</v>
      </c>
      <c r="I18" t="e">
        <f>AND('GA55 Entry'!#REF!,"AAAAAD4rFwg=")</f>
        <v>#REF!</v>
      </c>
      <c r="J18" t="e">
        <f>AND('GA55 Entry'!#REF!,"AAAAAD4rFwk=")</f>
        <v>#REF!</v>
      </c>
      <c r="K18" t="e">
        <f>AND('GA55 Entry'!#REF!,"AAAAAD4rFwo=")</f>
        <v>#REF!</v>
      </c>
      <c r="L18" t="e">
        <f>AND('GA55 Entry'!#REF!,"AAAAAD4rFws=")</f>
        <v>#REF!</v>
      </c>
      <c r="M18" t="e">
        <f>AND('GA55 Entry'!#REF!,"AAAAAD4rFww=")</f>
        <v>#REF!</v>
      </c>
      <c r="N18" t="e">
        <f>AND('GA55 Entry'!#REF!,"AAAAAD4rFw0=")</f>
        <v>#REF!</v>
      </c>
      <c r="O18" t="e">
        <f>AND('GA55 Entry'!#REF!,"AAAAAD4rFw4=")</f>
        <v>#REF!</v>
      </c>
      <c r="P18" t="e">
        <f>AND('GA55 Entry'!#REF!,"AAAAAD4rFw8=")</f>
        <v>#REF!</v>
      </c>
      <c r="Q18" t="e">
        <f>AND('GA55 Entry'!#REF!,"AAAAAD4rFxA=")</f>
        <v>#REF!</v>
      </c>
      <c r="R18" t="e">
        <f>AND('GA55 Entry'!#REF!,"AAAAAD4rFxE=")</f>
        <v>#REF!</v>
      </c>
      <c r="S18" t="e">
        <f>AND('GA55 Entry'!#REF!,"AAAAAD4rFxI=")</f>
        <v>#REF!</v>
      </c>
      <c r="T18" t="e">
        <f>AND('GA55 Entry'!#REF!,"AAAAAD4rFxM=")</f>
        <v>#REF!</v>
      </c>
      <c r="U18" t="e">
        <f>AND('GA55 Entry'!#REF!,"AAAAAD4rFxQ=")</f>
        <v>#REF!</v>
      </c>
      <c r="V18" t="e">
        <f>AND('GA55 Entry'!#REF!,"AAAAAD4rFxU=")</f>
        <v>#REF!</v>
      </c>
      <c r="W18" t="str">
        <f>IF('GA55 Entry'!10:10,"AAAAAD4rFxY=",0)</f>
        <v>AAAAAD4rFxY=</v>
      </c>
      <c r="X18" t="e">
        <f>AND('GA55 Entry'!B10,"AAAAAD4rFxc=")</f>
        <v>#VALUE!</v>
      </c>
      <c r="Y18" t="e">
        <f>AND('GA55 Entry'!#REF!,"AAAAAD4rFxg=")</f>
        <v>#REF!</v>
      </c>
      <c r="Z18" t="e">
        <f>AND('GA55 Entry'!C10,"AAAAAD4rFxk=")</f>
        <v>#VALUE!</v>
      </c>
      <c r="AA18" t="e">
        <f>AND('GA55 Entry'!#REF!,"AAAAAD4rFxo=")</f>
        <v>#REF!</v>
      </c>
      <c r="AB18" t="e">
        <f>AND('GA55 Entry'!#REF!,"AAAAAD4rFxs=")</f>
        <v>#REF!</v>
      </c>
      <c r="AC18" t="e">
        <f>AND('GA55 Entry'!#REF!,"AAAAAD4rFxw=")</f>
        <v>#REF!</v>
      </c>
      <c r="AD18" t="e">
        <f>AND('GA55 Entry'!#REF!,"AAAAAD4rFx0=")</f>
        <v>#REF!</v>
      </c>
      <c r="AE18" t="e">
        <f>AND('GA55 Entry'!#REF!,"AAAAAD4rFx4=")</f>
        <v>#REF!</v>
      </c>
      <c r="AF18" t="e">
        <f>AND('GA55 Entry'!D10,"AAAAAD4rFx8=")</f>
        <v>#VALUE!</v>
      </c>
      <c r="AG18" t="e">
        <f>AND('GA55 Entry'!#REF!,"AAAAAD4rFyA=")</f>
        <v>#REF!</v>
      </c>
      <c r="AH18" t="e">
        <f>AND('GA55 Entry'!E10,"AAAAAD4rFyE=")</f>
        <v>#VALUE!</v>
      </c>
      <c r="AI18" t="e">
        <f>AND('GA55 Entry'!F10,"AAAAAD4rFyI=")</f>
        <v>#VALUE!</v>
      </c>
      <c r="AJ18" t="e">
        <f>AND('GA55 Entry'!G10,"AAAAAD4rFyM=")</f>
        <v>#VALUE!</v>
      </c>
      <c r="AK18" t="e">
        <f>AND('GA55 Entry'!H10,"AAAAAD4rFyQ=")</f>
        <v>#VALUE!</v>
      </c>
      <c r="AL18" t="e">
        <f>AND('GA55 Entry'!I10,"AAAAAD4rFyU=")</f>
        <v>#VALUE!</v>
      </c>
      <c r="AM18" t="e">
        <f>AND('GA55 Entry'!J10,"AAAAAD4rFyY=")</f>
        <v>#VALUE!</v>
      </c>
      <c r="AN18" t="e">
        <f>AND('GA55 Entry'!#REF!,"AAAAAD4rFyc=")</f>
        <v>#REF!</v>
      </c>
      <c r="AO18" t="e">
        <f>AND('GA55 Entry'!K10,"AAAAAD4rFyg=")</f>
        <v>#VALUE!</v>
      </c>
      <c r="AP18" t="e">
        <f>AND('GA55 Entry'!L10,"AAAAAD4rFyk=")</f>
        <v>#VALUE!</v>
      </c>
      <c r="AQ18" t="e">
        <f>AND('GA55 Entry'!M10,"AAAAAD4rFyo=")</f>
        <v>#VALUE!</v>
      </c>
      <c r="AR18" t="e">
        <f>AND('GA55 Entry'!N10,"AAAAAD4rFys=")</f>
        <v>#VALUE!</v>
      </c>
      <c r="AS18" t="e">
        <f>AND('GA55 Entry'!O10,"AAAAAD4rFyw=")</f>
        <v>#VALUE!</v>
      </c>
      <c r="AT18" t="e">
        <f>AND('GA55 Entry'!P10,"AAAAAD4rFy0=")</f>
        <v>#VALUE!</v>
      </c>
      <c r="AU18" t="e">
        <f>AND('GA55 Entry'!Q10,"AAAAAD4rFy4=")</f>
        <v>#VALUE!</v>
      </c>
      <c r="AV18" t="e">
        <f>AND('GA55 Entry'!S10,"AAAAAD4rFy8=")</f>
        <v>#VALUE!</v>
      </c>
      <c r="AW18" t="e">
        <f>AND('GA55 Entry'!#REF!,"AAAAAD4rFzA=")</f>
        <v>#REF!</v>
      </c>
      <c r="AX18" t="e">
        <f>AND('GA55 Entry'!T10,"AAAAAD4rFzE=")</f>
        <v>#VALUE!</v>
      </c>
      <c r="AY18" t="e">
        <f>AND('GA55 Entry'!U10,"AAAAAD4rFzI=")</f>
        <v>#VALUE!</v>
      </c>
      <c r="AZ18" t="e">
        <f>AND('GA55 Entry'!V10,"AAAAAD4rFzM=")</f>
        <v>#VALUE!</v>
      </c>
      <c r="BA18" t="e">
        <f>AND('GA55 Entry'!#REF!,"AAAAAD4rFzQ=")</f>
        <v>#REF!</v>
      </c>
      <c r="BB18" t="e">
        <f>AND('GA55 Entry'!#REF!,"AAAAAD4rFzU=")</f>
        <v>#REF!</v>
      </c>
      <c r="BC18" t="e">
        <f>AND('GA55 Entry'!X10,"AAAAAD4rFzY=")</f>
        <v>#VALUE!</v>
      </c>
      <c r="BD18" t="e">
        <f>AND('GA55 Entry'!Y10,"AAAAAD4rFzc=")</f>
        <v>#VALUE!</v>
      </c>
      <c r="BE18" t="e">
        <f>AND('GA55 Entry'!#REF!,"AAAAAD4rFzg=")</f>
        <v>#REF!</v>
      </c>
      <c r="BF18" t="e">
        <f>AND('GA55 Entry'!#REF!,"AAAAAD4rFzk=")</f>
        <v>#REF!</v>
      </c>
      <c r="BG18" t="e">
        <f>AND('GA55 Entry'!#REF!,"AAAAAD4rFzo=")</f>
        <v>#REF!</v>
      </c>
      <c r="BH18" t="e">
        <f>AND('GA55 Entry'!#REF!,"AAAAAD4rFzs=")</f>
        <v>#REF!</v>
      </c>
      <c r="BI18" t="e">
        <f>AND('GA55 Entry'!#REF!,"AAAAAD4rFzw=")</f>
        <v>#REF!</v>
      </c>
      <c r="BJ18" t="e">
        <f>AND('GA55 Entry'!#REF!,"AAAAAD4rFz0=")</f>
        <v>#REF!</v>
      </c>
      <c r="BK18" t="e">
        <f>AND('GA55 Entry'!#REF!,"AAAAAD4rFz4=")</f>
        <v>#REF!</v>
      </c>
      <c r="BL18" t="e">
        <f>AND('GA55 Entry'!#REF!,"AAAAAD4rFz8=")</f>
        <v>#REF!</v>
      </c>
      <c r="BM18" t="e">
        <f>AND('GA55 Entry'!#REF!,"AAAAAD4rF0A=")</f>
        <v>#REF!</v>
      </c>
      <c r="BN18" t="e">
        <f>AND('GA55 Entry'!Z10,"AAAAAD4rF0E=")</f>
        <v>#VALUE!</v>
      </c>
      <c r="BO18" t="e">
        <f>AND('GA55 Entry'!AA10,"AAAAAD4rF0I=")</f>
        <v>#VALUE!</v>
      </c>
      <c r="BP18" t="e">
        <f>AND('GA55 Entry'!#REF!,"AAAAAD4rF0M=")</f>
        <v>#REF!</v>
      </c>
      <c r="BQ18" t="e">
        <f>AND('GA55 Entry'!#REF!,"AAAAAD4rF0Q=")</f>
        <v>#REF!</v>
      </c>
      <c r="BR18" t="e">
        <f>AND('GA55 Entry'!#REF!,"AAAAAD4rF0U=")</f>
        <v>#REF!</v>
      </c>
      <c r="BS18" t="e">
        <f>AND('GA55 Entry'!AB10,"AAAAAD4rF0Y=")</f>
        <v>#VALUE!</v>
      </c>
      <c r="BT18" t="e">
        <f>AND('GA55 Entry'!AC10,"AAAAAD4rF0c=")</f>
        <v>#VALUE!</v>
      </c>
      <c r="BU18" t="e">
        <f>AND('GA55 Entry'!#REF!,"AAAAAD4rF0g=")</f>
        <v>#REF!</v>
      </c>
      <c r="BV18" t="e">
        <f>IF('GA55 Entry'!#REF!,"AAAAAD4rF0k=",0)</f>
        <v>#REF!</v>
      </c>
      <c r="BW18" t="e">
        <f>AND('GA55 Entry'!#REF!,"AAAAAD4rF0o=")</f>
        <v>#REF!</v>
      </c>
      <c r="BX18" t="e">
        <f>AND('GA55 Entry'!#REF!,"AAAAAD4rF0s=")</f>
        <v>#REF!</v>
      </c>
      <c r="BY18" t="e">
        <f>AND('GA55 Entry'!#REF!,"AAAAAD4rF0w=")</f>
        <v>#REF!</v>
      </c>
      <c r="BZ18" t="e">
        <f>AND('GA55 Entry'!#REF!,"AAAAAD4rF00=")</f>
        <v>#REF!</v>
      </c>
      <c r="CA18" t="e">
        <f>AND('GA55 Entry'!#REF!,"AAAAAD4rF04=")</f>
        <v>#REF!</v>
      </c>
      <c r="CB18" t="e">
        <f>AND('GA55 Entry'!#REF!,"AAAAAD4rF08=")</f>
        <v>#REF!</v>
      </c>
      <c r="CC18" t="e">
        <f>AND('GA55 Entry'!#REF!,"AAAAAD4rF1A=")</f>
        <v>#REF!</v>
      </c>
      <c r="CD18" t="e">
        <f>AND('GA55 Entry'!#REF!,"AAAAAD4rF1E=")</f>
        <v>#REF!</v>
      </c>
      <c r="CE18" t="e">
        <f>AND('GA55 Entry'!#REF!,"AAAAAD4rF1I=")</f>
        <v>#REF!</v>
      </c>
      <c r="CF18" t="e">
        <f>AND('GA55 Entry'!#REF!,"AAAAAD4rF1M=")</f>
        <v>#REF!</v>
      </c>
      <c r="CG18" t="e">
        <f>AND('GA55 Entry'!#REF!,"AAAAAD4rF1Q=")</f>
        <v>#REF!</v>
      </c>
      <c r="CH18" t="e">
        <f>AND('GA55 Entry'!#REF!,"AAAAAD4rF1U=")</f>
        <v>#REF!</v>
      </c>
      <c r="CI18" t="e">
        <f>AND('GA55 Entry'!#REF!,"AAAAAD4rF1Y=")</f>
        <v>#REF!</v>
      </c>
      <c r="CJ18" t="e">
        <f>AND('GA55 Entry'!#REF!,"AAAAAD4rF1c=")</f>
        <v>#REF!</v>
      </c>
      <c r="CK18" t="e">
        <f>AND('GA55 Entry'!#REF!,"AAAAAD4rF1g=")</f>
        <v>#REF!</v>
      </c>
      <c r="CL18" t="e">
        <f>AND('GA55 Entry'!#REF!,"AAAAAD4rF1k=")</f>
        <v>#REF!</v>
      </c>
      <c r="CM18" t="e">
        <f>AND('GA55 Entry'!#REF!,"AAAAAD4rF1o=")</f>
        <v>#REF!</v>
      </c>
      <c r="CN18" t="e">
        <f>AND('GA55 Entry'!#REF!,"AAAAAD4rF1s=")</f>
        <v>#REF!</v>
      </c>
      <c r="CO18" t="e">
        <f>AND('GA55 Entry'!#REF!,"AAAAAD4rF1w=")</f>
        <v>#REF!</v>
      </c>
      <c r="CP18" t="e">
        <f>AND('GA55 Entry'!#REF!,"AAAAAD4rF10=")</f>
        <v>#REF!</v>
      </c>
      <c r="CQ18" t="e">
        <f>AND('GA55 Entry'!#REF!,"AAAAAD4rF14=")</f>
        <v>#REF!</v>
      </c>
      <c r="CR18" t="e">
        <f>AND('GA55 Entry'!#REF!,"AAAAAD4rF18=")</f>
        <v>#REF!</v>
      </c>
      <c r="CS18" t="e">
        <f>AND('GA55 Entry'!#REF!,"AAAAAD4rF2A=")</f>
        <v>#REF!</v>
      </c>
      <c r="CT18" t="e">
        <f>AND('GA55 Entry'!#REF!,"AAAAAD4rF2E=")</f>
        <v>#REF!</v>
      </c>
      <c r="CU18" t="e">
        <f>AND('GA55 Entry'!#REF!,"AAAAAD4rF2I=")</f>
        <v>#REF!</v>
      </c>
      <c r="CV18" t="e">
        <f>AND('GA55 Entry'!#REF!,"AAAAAD4rF2M=")</f>
        <v>#REF!</v>
      </c>
      <c r="CW18" t="e">
        <f>AND('GA55 Entry'!#REF!,"AAAAAD4rF2Q=")</f>
        <v>#REF!</v>
      </c>
      <c r="CX18" t="e">
        <f>AND('GA55 Entry'!#REF!,"AAAAAD4rF2U=")</f>
        <v>#REF!</v>
      </c>
      <c r="CY18" t="e">
        <f>AND('GA55 Entry'!#REF!,"AAAAAD4rF2Y=")</f>
        <v>#REF!</v>
      </c>
      <c r="CZ18" t="e">
        <f>AND('GA55 Entry'!#REF!,"AAAAAD4rF2c=")</f>
        <v>#REF!</v>
      </c>
      <c r="DA18" t="e">
        <f>AND('GA55 Entry'!#REF!,"AAAAAD4rF2g=")</f>
        <v>#REF!</v>
      </c>
      <c r="DB18" t="e">
        <f>AND('GA55 Entry'!#REF!,"AAAAAD4rF2k=")</f>
        <v>#REF!</v>
      </c>
      <c r="DC18" t="e">
        <f>AND('GA55 Entry'!#REF!,"AAAAAD4rF2o=")</f>
        <v>#REF!</v>
      </c>
      <c r="DD18" t="e">
        <f>AND('GA55 Entry'!#REF!,"AAAAAD4rF2s=")</f>
        <v>#REF!</v>
      </c>
      <c r="DE18" t="e">
        <f>AND('GA55 Entry'!#REF!,"AAAAAD4rF2w=")</f>
        <v>#REF!</v>
      </c>
      <c r="DF18" t="e">
        <f>AND('GA55 Entry'!#REF!,"AAAAAD4rF20=")</f>
        <v>#REF!</v>
      </c>
      <c r="DG18" t="e">
        <f>AND('GA55 Entry'!#REF!,"AAAAAD4rF24=")</f>
        <v>#REF!</v>
      </c>
      <c r="DH18" t="e">
        <f>AND('GA55 Entry'!#REF!,"AAAAAD4rF28=")</f>
        <v>#REF!</v>
      </c>
      <c r="DI18" t="e">
        <f>AND('GA55 Entry'!#REF!,"AAAAAD4rF3A=")</f>
        <v>#REF!</v>
      </c>
      <c r="DJ18" t="e">
        <f>AND('GA55 Entry'!#REF!,"AAAAAD4rF3E=")</f>
        <v>#REF!</v>
      </c>
      <c r="DK18" t="e">
        <f>AND('GA55 Entry'!#REF!,"AAAAAD4rF3I=")</f>
        <v>#REF!</v>
      </c>
      <c r="DL18" t="e">
        <f>AND('GA55 Entry'!#REF!,"AAAAAD4rF3M=")</f>
        <v>#REF!</v>
      </c>
      <c r="DM18" t="e">
        <f>AND('GA55 Entry'!#REF!,"AAAAAD4rF3Q=")</f>
        <v>#REF!</v>
      </c>
      <c r="DN18" t="e">
        <f>AND('GA55 Entry'!#REF!,"AAAAAD4rF3U=")</f>
        <v>#REF!</v>
      </c>
      <c r="DO18" t="e">
        <f>AND('GA55 Entry'!#REF!,"AAAAAD4rF3Y=")</f>
        <v>#REF!</v>
      </c>
      <c r="DP18" t="e">
        <f>AND('GA55 Entry'!#REF!,"AAAAAD4rF3c=")</f>
        <v>#REF!</v>
      </c>
      <c r="DQ18" t="e">
        <f>AND('GA55 Entry'!#REF!,"AAAAAD4rF3g=")</f>
        <v>#REF!</v>
      </c>
      <c r="DR18" t="e">
        <f>AND('GA55 Entry'!#REF!,"AAAAAD4rF3k=")</f>
        <v>#REF!</v>
      </c>
      <c r="DS18" t="e">
        <f>AND('GA55 Entry'!#REF!,"AAAAAD4rF3o=")</f>
        <v>#REF!</v>
      </c>
      <c r="DT18" t="e">
        <f>AND('GA55 Entry'!#REF!,"AAAAAD4rF3s=")</f>
        <v>#REF!</v>
      </c>
      <c r="DU18" t="e">
        <f>IF('GA55 Entry'!#REF!,"AAAAAD4rF3w=",0)</f>
        <v>#REF!</v>
      </c>
      <c r="DV18" t="e">
        <f>AND('GA55 Entry'!#REF!,"AAAAAD4rF30=")</f>
        <v>#REF!</v>
      </c>
      <c r="DW18" t="e">
        <f>AND('GA55 Entry'!#REF!,"AAAAAD4rF34=")</f>
        <v>#REF!</v>
      </c>
      <c r="DX18" t="e">
        <f>AND('GA55 Entry'!#REF!,"AAAAAD4rF38=")</f>
        <v>#REF!</v>
      </c>
      <c r="DY18" t="e">
        <f>AND('GA55 Entry'!#REF!,"AAAAAD4rF4A=")</f>
        <v>#REF!</v>
      </c>
      <c r="DZ18" t="e">
        <f>AND('GA55 Entry'!#REF!,"AAAAAD4rF4E=")</f>
        <v>#REF!</v>
      </c>
      <c r="EA18" t="e">
        <f>AND('GA55 Entry'!#REF!,"AAAAAD4rF4I=")</f>
        <v>#REF!</v>
      </c>
      <c r="EB18" t="e">
        <f>AND('GA55 Entry'!#REF!,"AAAAAD4rF4M=")</f>
        <v>#REF!</v>
      </c>
      <c r="EC18" t="e">
        <f>AND('GA55 Entry'!#REF!,"AAAAAD4rF4Q=")</f>
        <v>#REF!</v>
      </c>
      <c r="ED18" t="e">
        <f>AND('GA55 Entry'!#REF!,"AAAAAD4rF4U=")</f>
        <v>#REF!</v>
      </c>
      <c r="EE18" t="e">
        <f>AND('GA55 Entry'!#REF!,"AAAAAD4rF4Y=")</f>
        <v>#REF!</v>
      </c>
      <c r="EF18" t="e">
        <f>AND('GA55 Entry'!#REF!,"AAAAAD4rF4c=")</f>
        <v>#REF!</v>
      </c>
      <c r="EG18" t="e">
        <f>AND('GA55 Entry'!#REF!,"AAAAAD4rF4g=")</f>
        <v>#REF!</v>
      </c>
      <c r="EH18" t="e">
        <f>AND('GA55 Entry'!#REF!,"AAAAAD4rF4k=")</f>
        <v>#REF!</v>
      </c>
      <c r="EI18" t="e">
        <f>AND('GA55 Entry'!#REF!,"AAAAAD4rF4o=")</f>
        <v>#REF!</v>
      </c>
      <c r="EJ18" t="e">
        <f>AND('GA55 Entry'!#REF!,"AAAAAD4rF4s=")</f>
        <v>#REF!</v>
      </c>
      <c r="EK18" t="e">
        <f>AND('GA55 Entry'!#REF!,"AAAAAD4rF4w=")</f>
        <v>#REF!</v>
      </c>
      <c r="EL18" t="e">
        <f>AND('GA55 Entry'!#REF!,"AAAAAD4rF40=")</f>
        <v>#REF!</v>
      </c>
      <c r="EM18" t="e">
        <f>AND('GA55 Entry'!#REF!,"AAAAAD4rF44=")</f>
        <v>#REF!</v>
      </c>
      <c r="EN18" t="e">
        <f>AND('GA55 Entry'!#REF!,"AAAAAD4rF48=")</f>
        <v>#REF!</v>
      </c>
      <c r="EO18" t="e">
        <f>AND('GA55 Entry'!#REF!,"AAAAAD4rF5A=")</f>
        <v>#REF!</v>
      </c>
      <c r="EP18" t="e">
        <f>AND('GA55 Entry'!#REF!,"AAAAAD4rF5E=")</f>
        <v>#REF!</v>
      </c>
      <c r="EQ18" t="e">
        <f>AND('GA55 Entry'!#REF!,"AAAAAD4rF5I=")</f>
        <v>#REF!</v>
      </c>
      <c r="ER18" t="e">
        <f>AND('GA55 Entry'!#REF!,"AAAAAD4rF5M=")</f>
        <v>#REF!</v>
      </c>
      <c r="ES18" t="e">
        <f>AND('GA55 Entry'!#REF!,"AAAAAD4rF5Q=")</f>
        <v>#REF!</v>
      </c>
      <c r="ET18" t="e">
        <f>AND('GA55 Entry'!#REF!,"AAAAAD4rF5U=")</f>
        <v>#REF!</v>
      </c>
      <c r="EU18" t="e">
        <f>AND('GA55 Entry'!#REF!,"AAAAAD4rF5Y=")</f>
        <v>#REF!</v>
      </c>
      <c r="EV18" t="e">
        <f>AND('GA55 Entry'!#REF!,"AAAAAD4rF5c=")</f>
        <v>#REF!</v>
      </c>
      <c r="EW18" t="e">
        <f>AND('GA55 Entry'!#REF!,"AAAAAD4rF5g=")</f>
        <v>#REF!</v>
      </c>
      <c r="EX18" t="e">
        <f>AND('GA55 Entry'!#REF!,"AAAAAD4rF5k=")</f>
        <v>#REF!</v>
      </c>
      <c r="EY18" t="e">
        <f>AND('GA55 Entry'!#REF!,"AAAAAD4rF5o=")</f>
        <v>#REF!</v>
      </c>
      <c r="EZ18" t="e">
        <f>AND('GA55 Entry'!#REF!,"AAAAAD4rF5s=")</f>
        <v>#REF!</v>
      </c>
      <c r="FA18" t="e">
        <f>AND('GA55 Entry'!#REF!,"AAAAAD4rF5w=")</f>
        <v>#REF!</v>
      </c>
      <c r="FB18" t="e">
        <f>AND('GA55 Entry'!#REF!,"AAAAAD4rF50=")</f>
        <v>#REF!</v>
      </c>
      <c r="FC18" t="e">
        <f>AND('GA55 Entry'!#REF!,"AAAAAD4rF54=")</f>
        <v>#REF!</v>
      </c>
      <c r="FD18" t="e">
        <f>AND('GA55 Entry'!#REF!,"AAAAAD4rF58=")</f>
        <v>#REF!</v>
      </c>
      <c r="FE18" t="e">
        <f>AND('GA55 Entry'!#REF!,"AAAAAD4rF6A=")</f>
        <v>#REF!</v>
      </c>
      <c r="FF18" t="e">
        <f>AND('GA55 Entry'!#REF!,"AAAAAD4rF6E=")</f>
        <v>#REF!</v>
      </c>
      <c r="FG18" t="e">
        <f>AND('GA55 Entry'!#REF!,"AAAAAD4rF6I=")</f>
        <v>#REF!</v>
      </c>
      <c r="FH18" t="e">
        <f>AND('GA55 Entry'!#REF!,"AAAAAD4rF6M=")</f>
        <v>#REF!</v>
      </c>
      <c r="FI18" t="e">
        <f>AND('GA55 Entry'!#REF!,"AAAAAD4rF6Q=")</f>
        <v>#REF!</v>
      </c>
      <c r="FJ18" t="e">
        <f>AND('GA55 Entry'!#REF!,"AAAAAD4rF6U=")</f>
        <v>#REF!</v>
      </c>
      <c r="FK18" t="e">
        <f>AND('GA55 Entry'!#REF!,"AAAAAD4rF6Y=")</f>
        <v>#REF!</v>
      </c>
      <c r="FL18" t="e">
        <f>AND('GA55 Entry'!#REF!,"AAAAAD4rF6c=")</f>
        <v>#REF!</v>
      </c>
      <c r="FM18" t="e">
        <f>AND('GA55 Entry'!#REF!,"AAAAAD4rF6g=")</f>
        <v>#REF!</v>
      </c>
      <c r="FN18" t="e">
        <f>AND('GA55 Entry'!#REF!,"AAAAAD4rF6k=")</f>
        <v>#REF!</v>
      </c>
      <c r="FO18" t="e">
        <f>AND('GA55 Entry'!#REF!,"AAAAAD4rF6o=")</f>
        <v>#REF!</v>
      </c>
      <c r="FP18" t="e">
        <f>AND('GA55 Entry'!#REF!,"AAAAAD4rF6s=")</f>
        <v>#REF!</v>
      </c>
      <c r="FQ18" t="e">
        <f>AND('GA55 Entry'!#REF!,"AAAAAD4rF6w=")</f>
        <v>#REF!</v>
      </c>
      <c r="FR18" t="e">
        <f>AND('GA55 Entry'!#REF!,"AAAAAD4rF60=")</f>
        <v>#REF!</v>
      </c>
      <c r="FS18" t="e">
        <f>AND('GA55 Entry'!#REF!,"AAAAAD4rF64=")</f>
        <v>#REF!</v>
      </c>
      <c r="FT18" t="e">
        <f>IF('GA55 Entry'!#REF!,"AAAAAD4rF68=",0)</f>
        <v>#REF!</v>
      </c>
      <c r="FU18" t="e">
        <f>AND('GA55 Entry'!#REF!,"AAAAAD4rF7A=")</f>
        <v>#REF!</v>
      </c>
      <c r="FV18" t="e">
        <f>AND('GA55 Entry'!#REF!,"AAAAAD4rF7E=")</f>
        <v>#REF!</v>
      </c>
      <c r="FW18" t="e">
        <f>AND('GA55 Entry'!#REF!,"AAAAAD4rF7I=")</f>
        <v>#REF!</v>
      </c>
      <c r="FX18" t="e">
        <f>AND('GA55 Entry'!#REF!,"AAAAAD4rF7M=")</f>
        <v>#REF!</v>
      </c>
      <c r="FY18" t="e">
        <f>AND('GA55 Entry'!#REF!,"AAAAAD4rF7Q=")</f>
        <v>#REF!</v>
      </c>
      <c r="FZ18" t="e">
        <f>AND('GA55 Entry'!#REF!,"AAAAAD4rF7U=")</f>
        <v>#REF!</v>
      </c>
      <c r="GA18" t="e">
        <f>AND('GA55 Entry'!#REF!,"AAAAAD4rF7Y=")</f>
        <v>#REF!</v>
      </c>
      <c r="GB18" t="e">
        <f>AND('GA55 Entry'!#REF!,"AAAAAD4rF7c=")</f>
        <v>#REF!</v>
      </c>
      <c r="GC18" t="e">
        <f>AND('GA55 Entry'!#REF!,"AAAAAD4rF7g=")</f>
        <v>#REF!</v>
      </c>
      <c r="GD18" t="e">
        <f>AND('GA55 Entry'!#REF!,"AAAAAD4rF7k=")</f>
        <v>#REF!</v>
      </c>
      <c r="GE18" t="e">
        <f>AND('GA55 Entry'!#REF!,"AAAAAD4rF7o=")</f>
        <v>#REF!</v>
      </c>
      <c r="GF18" t="e">
        <f>AND('GA55 Entry'!#REF!,"AAAAAD4rF7s=")</f>
        <v>#REF!</v>
      </c>
      <c r="GG18" t="e">
        <f>AND('GA55 Entry'!#REF!,"AAAAAD4rF7w=")</f>
        <v>#REF!</v>
      </c>
      <c r="GH18" t="e">
        <f>AND('GA55 Entry'!#REF!,"AAAAAD4rF70=")</f>
        <v>#REF!</v>
      </c>
      <c r="GI18" t="e">
        <f>AND('GA55 Entry'!#REF!,"AAAAAD4rF74=")</f>
        <v>#REF!</v>
      </c>
      <c r="GJ18" t="e">
        <f>AND('GA55 Entry'!#REF!,"AAAAAD4rF78=")</f>
        <v>#REF!</v>
      </c>
      <c r="GK18" t="e">
        <f>AND('GA55 Entry'!#REF!,"AAAAAD4rF8A=")</f>
        <v>#REF!</v>
      </c>
      <c r="GL18" t="e">
        <f>AND('GA55 Entry'!#REF!,"AAAAAD4rF8E=")</f>
        <v>#REF!</v>
      </c>
      <c r="GM18" t="e">
        <f>AND('GA55 Entry'!#REF!,"AAAAAD4rF8I=")</f>
        <v>#REF!</v>
      </c>
      <c r="GN18" t="e">
        <f>AND('GA55 Entry'!#REF!,"AAAAAD4rF8M=")</f>
        <v>#REF!</v>
      </c>
      <c r="GO18" t="e">
        <f>AND('GA55 Entry'!#REF!,"AAAAAD4rF8Q=")</f>
        <v>#REF!</v>
      </c>
      <c r="GP18" t="e">
        <f>AND('GA55 Entry'!#REF!,"AAAAAD4rF8U=")</f>
        <v>#REF!</v>
      </c>
      <c r="GQ18" t="e">
        <f>AND('GA55 Entry'!#REF!,"AAAAAD4rF8Y=")</f>
        <v>#REF!</v>
      </c>
      <c r="GR18" t="e">
        <f>AND('GA55 Entry'!#REF!,"AAAAAD4rF8c=")</f>
        <v>#REF!</v>
      </c>
      <c r="GS18" t="e">
        <f>AND('GA55 Entry'!#REF!,"AAAAAD4rF8g=")</f>
        <v>#REF!</v>
      </c>
      <c r="GT18" t="e">
        <f>AND('GA55 Entry'!#REF!,"AAAAAD4rF8k=")</f>
        <v>#REF!</v>
      </c>
      <c r="GU18" t="e">
        <f>AND('GA55 Entry'!#REF!,"AAAAAD4rF8o=")</f>
        <v>#REF!</v>
      </c>
      <c r="GV18" t="e">
        <f>AND('GA55 Entry'!#REF!,"AAAAAD4rF8s=")</f>
        <v>#REF!</v>
      </c>
      <c r="GW18" t="e">
        <f>AND('GA55 Entry'!#REF!,"AAAAAD4rF8w=")</f>
        <v>#REF!</v>
      </c>
      <c r="GX18" t="e">
        <f>AND('GA55 Entry'!#REF!,"AAAAAD4rF80=")</f>
        <v>#REF!</v>
      </c>
      <c r="GY18" t="e">
        <f>AND('GA55 Entry'!#REF!,"AAAAAD4rF84=")</f>
        <v>#REF!</v>
      </c>
      <c r="GZ18" t="e">
        <f>AND('GA55 Entry'!#REF!,"AAAAAD4rF88=")</f>
        <v>#REF!</v>
      </c>
      <c r="HA18" t="e">
        <f>AND('GA55 Entry'!#REF!,"AAAAAD4rF9A=")</f>
        <v>#REF!</v>
      </c>
      <c r="HB18" t="e">
        <f>AND('GA55 Entry'!#REF!,"AAAAAD4rF9E=")</f>
        <v>#REF!</v>
      </c>
      <c r="HC18" t="e">
        <f>AND('GA55 Entry'!#REF!,"AAAAAD4rF9I=")</f>
        <v>#REF!</v>
      </c>
      <c r="HD18" t="e">
        <f>AND('GA55 Entry'!#REF!,"AAAAAD4rF9M=")</f>
        <v>#REF!</v>
      </c>
      <c r="HE18" t="e">
        <f>AND('GA55 Entry'!#REF!,"AAAAAD4rF9Q=")</f>
        <v>#REF!</v>
      </c>
      <c r="HF18" t="e">
        <f>AND('GA55 Entry'!#REF!,"AAAAAD4rF9U=")</f>
        <v>#REF!</v>
      </c>
      <c r="HG18" t="e">
        <f>AND('GA55 Entry'!#REF!,"AAAAAD4rF9Y=")</f>
        <v>#REF!</v>
      </c>
      <c r="HH18" t="e">
        <f>AND('GA55 Entry'!#REF!,"AAAAAD4rF9c=")</f>
        <v>#REF!</v>
      </c>
      <c r="HI18" t="e">
        <f>AND('GA55 Entry'!#REF!,"AAAAAD4rF9g=")</f>
        <v>#REF!</v>
      </c>
      <c r="HJ18" t="e">
        <f>AND('GA55 Entry'!#REF!,"AAAAAD4rF9k=")</f>
        <v>#REF!</v>
      </c>
      <c r="HK18" t="e">
        <f>AND('GA55 Entry'!#REF!,"AAAAAD4rF9o=")</f>
        <v>#REF!</v>
      </c>
      <c r="HL18" t="e">
        <f>AND('GA55 Entry'!#REF!,"AAAAAD4rF9s=")</f>
        <v>#REF!</v>
      </c>
      <c r="HM18" t="e">
        <f>AND('GA55 Entry'!#REF!,"AAAAAD4rF9w=")</f>
        <v>#REF!</v>
      </c>
      <c r="HN18" t="e">
        <f>AND('GA55 Entry'!#REF!,"AAAAAD4rF90=")</f>
        <v>#REF!</v>
      </c>
      <c r="HO18" t="e">
        <f>AND('GA55 Entry'!#REF!,"AAAAAD4rF94=")</f>
        <v>#REF!</v>
      </c>
      <c r="HP18" t="e">
        <f>AND('GA55 Entry'!#REF!,"AAAAAD4rF98=")</f>
        <v>#REF!</v>
      </c>
      <c r="HQ18" t="e">
        <f>AND('GA55 Entry'!#REF!,"AAAAAD4rF+A=")</f>
        <v>#REF!</v>
      </c>
      <c r="HR18" t="e">
        <f>AND('GA55 Entry'!#REF!,"AAAAAD4rF+E=")</f>
        <v>#REF!</v>
      </c>
      <c r="HS18" t="e">
        <f>IF('GA55 Entry'!#REF!,"AAAAAD4rF+I=",0)</f>
        <v>#REF!</v>
      </c>
      <c r="HT18" t="e">
        <f>AND('GA55 Entry'!#REF!,"AAAAAD4rF+M=")</f>
        <v>#REF!</v>
      </c>
      <c r="HU18" t="e">
        <f>AND('GA55 Entry'!#REF!,"AAAAAD4rF+Q=")</f>
        <v>#REF!</v>
      </c>
      <c r="HV18" t="e">
        <f>AND('GA55 Entry'!#REF!,"AAAAAD4rF+U=")</f>
        <v>#REF!</v>
      </c>
      <c r="HW18" t="e">
        <f>AND('GA55 Entry'!#REF!,"AAAAAD4rF+Y=")</f>
        <v>#REF!</v>
      </c>
      <c r="HX18" t="e">
        <f>AND('GA55 Entry'!#REF!,"AAAAAD4rF+c=")</f>
        <v>#REF!</v>
      </c>
      <c r="HY18" t="e">
        <f>AND('GA55 Entry'!#REF!,"AAAAAD4rF+g=")</f>
        <v>#REF!</v>
      </c>
      <c r="HZ18" t="e">
        <f>AND('GA55 Entry'!#REF!,"AAAAAD4rF+k=")</f>
        <v>#REF!</v>
      </c>
      <c r="IA18" t="e">
        <f>AND('GA55 Entry'!#REF!,"AAAAAD4rF+o=")</f>
        <v>#REF!</v>
      </c>
      <c r="IB18" t="e">
        <f>AND('GA55 Entry'!#REF!,"AAAAAD4rF+s=")</f>
        <v>#REF!</v>
      </c>
      <c r="IC18" t="e">
        <f>AND('GA55 Entry'!#REF!,"AAAAAD4rF+w=")</f>
        <v>#REF!</v>
      </c>
      <c r="ID18" t="e">
        <f>AND('GA55 Entry'!#REF!,"AAAAAD4rF+0=")</f>
        <v>#REF!</v>
      </c>
      <c r="IE18" t="e">
        <f>AND('GA55 Entry'!#REF!,"AAAAAD4rF+4=")</f>
        <v>#REF!</v>
      </c>
      <c r="IF18" t="e">
        <f>AND('GA55 Entry'!#REF!,"AAAAAD4rF+8=")</f>
        <v>#REF!</v>
      </c>
      <c r="IG18" t="e">
        <f>AND('GA55 Entry'!#REF!,"AAAAAD4rF/A=")</f>
        <v>#REF!</v>
      </c>
      <c r="IH18" t="e">
        <f>AND('GA55 Entry'!#REF!,"AAAAAD4rF/E=")</f>
        <v>#REF!</v>
      </c>
      <c r="II18" t="e">
        <f>AND('GA55 Entry'!#REF!,"AAAAAD4rF/I=")</f>
        <v>#REF!</v>
      </c>
      <c r="IJ18" t="e">
        <f>AND('GA55 Entry'!#REF!,"AAAAAD4rF/M=")</f>
        <v>#REF!</v>
      </c>
      <c r="IK18" t="e">
        <f>AND('GA55 Entry'!#REF!,"AAAAAD4rF/Q=")</f>
        <v>#REF!</v>
      </c>
      <c r="IL18" t="e">
        <f>AND('GA55 Entry'!#REF!,"AAAAAD4rF/U=")</f>
        <v>#REF!</v>
      </c>
      <c r="IM18" t="e">
        <f>AND('GA55 Entry'!#REF!,"AAAAAD4rF/Y=")</f>
        <v>#REF!</v>
      </c>
      <c r="IN18" t="e">
        <f>AND('GA55 Entry'!#REF!,"AAAAAD4rF/c=")</f>
        <v>#REF!</v>
      </c>
      <c r="IO18" t="e">
        <f>AND('GA55 Entry'!#REF!,"AAAAAD4rF/g=")</f>
        <v>#REF!</v>
      </c>
      <c r="IP18" t="e">
        <f>AND('GA55 Entry'!#REF!,"AAAAAD4rF/k=")</f>
        <v>#REF!</v>
      </c>
      <c r="IQ18" t="e">
        <f>AND('GA55 Entry'!#REF!,"AAAAAD4rF/o=")</f>
        <v>#REF!</v>
      </c>
      <c r="IR18" t="e">
        <f>AND('GA55 Entry'!#REF!,"AAAAAD4rF/s=")</f>
        <v>#REF!</v>
      </c>
      <c r="IS18" t="e">
        <f>AND('GA55 Entry'!#REF!,"AAAAAD4rF/w=")</f>
        <v>#REF!</v>
      </c>
      <c r="IT18" t="e">
        <f>AND('GA55 Entry'!#REF!,"AAAAAD4rF/0=")</f>
        <v>#REF!</v>
      </c>
      <c r="IU18" t="e">
        <f>AND('GA55 Entry'!#REF!,"AAAAAD4rF/4=")</f>
        <v>#REF!</v>
      </c>
      <c r="IV18" t="e">
        <f>AND('GA55 Entry'!#REF!,"AAAAAD4rF/8=")</f>
        <v>#REF!</v>
      </c>
    </row>
    <row r="19" spans="1:256">
      <c r="A19" t="e">
        <f>AND('GA55 Entry'!#REF!,"AAAAAH2n3QA=")</f>
        <v>#REF!</v>
      </c>
      <c r="B19" t="e">
        <f>AND('GA55 Entry'!#REF!,"AAAAAH2n3QE=")</f>
        <v>#REF!</v>
      </c>
      <c r="C19" t="e">
        <f>AND('GA55 Entry'!#REF!,"AAAAAH2n3QI=")</f>
        <v>#REF!</v>
      </c>
      <c r="D19" t="e">
        <f>AND('GA55 Entry'!#REF!,"AAAAAH2n3QM=")</f>
        <v>#REF!</v>
      </c>
      <c r="E19" t="e">
        <f>AND('GA55 Entry'!#REF!,"AAAAAH2n3QQ=")</f>
        <v>#REF!</v>
      </c>
      <c r="F19" t="e">
        <f>AND('GA55 Entry'!#REF!,"AAAAAH2n3QU=")</f>
        <v>#REF!</v>
      </c>
      <c r="G19" t="e">
        <f>AND('GA55 Entry'!#REF!,"AAAAAH2n3QY=")</f>
        <v>#REF!</v>
      </c>
      <c r="H19" t="e">
        <f>AND('GA55 Entry'!#REF!,"AAAAAH2n3Qc=")</f>
        <v>#REF!</v>
      </c>
      <c r="I19" t="e">
        <f>AND('GA55 Entry'!#REF!,"AAAAAH2n3Qg=")</f>
        <v>#REF!</v>
      </c>
      <c r="J19" t="e">
        <f>AND('GA55 Entry'!#REF!,"AAAAAH2n3Qk=")</f>
        <v>#REF!</v>
      </c>
      <c r="K19" t="e">
        <f>AND('GA55 Entry'!#REF!,"AAAAAH2n3Qo=")</f>
        <v>#REF!</v>
      </c>
      <c r="L19" t="e">
        <f>AND('GA55 Entry'!#REF!,"AAAAAH2n3Qs=")</f>
        <v>#REF!</v>
      </c>
      <c r="M19" t="e">
        <f>AND('GA55 Entry'!#REF!,"AAAAAH2n3Qw=")</f>
        <v>#REF!</v>
      </c>
      <c r="N19" t="e">
        <f>AND('GA55 Entry'!#REF!,"AAAAAH2n3Q0=")</f>
        <v>#REF!</v>
      </c>
      <c r="O19" t="e">
        <f>AND('GA55 Entry'!#REF!,"AAAAAH2n3Q4=")</f>
        <v>#REF!</v>
      </c>
      <c r="P19" t="e">
        <f>AND('GA55 Entry'!#REF!,"AAAAAH2n3Q8=")</f>
        <v>#REF!</v>
      </c>
      <c r="Q19" t="e">
        <f>AND('GA55 Entry'!#REF!,"AAAAAH2n3RA=")</f>
        <v>#REF!</v>
      </c>
      <c r="R19" t="e">
        <f>AND('GA55 Entry'!#REF!,"AAAAAH2n3RE=")</f>
        <v>#REF!</v>
      </c>
      <c r="S19" t="e">
        <f>AND('GA55 Entry'!#REF!,"AAAAAH2n3RI=")</f>
        <v>#REF!</v>
      </c>
      <c r="T19" t="e">
        <f>AND('GA55 Entry'!#REF!,"AAAAAH2n3RM=")</f>
        <v>#REF!</v>
      </c>
      <c r="U19" t="e">
        <f>AND('GA55 Entry'!#REF!,"AAAAAH2n3RQ=")</f>
        <v>#REF!</v>
      </c>
      <c r="V19" t="e">
        <f>IF('GA55 Entry'!#REF!,"AAAAAH2n3RU=",0)</f>
        <v>#REF!</v>
      </c>
      <c r="W19" t="e">
        <f>AND('GA55 Entry'!#REF!,"AAAAAH2n3RY=")</f>
        <v>#REF!</v>
      </c>
      <c r="X19" t="e">
        <f>AND('GA55 Entry'!#REF!,"AAAAAH2n3Rc=")</f>
        <v>#REF!</v>
      </c>
      <c r="Y19" t="e">
        <f>AND('GA55 Entry'!#REF!,"AAAAAH2n3Rg=")</f>
        <v>#REF!</v>
      </c>
      <c r="Z19" t="e">
        <f>AND('GA55 Entry'!#REF!,"AAAAAH2n3Rk=")</f>
        <v>#REF!</v>
      </c>
      <c r="AA19" t="e">
        <f>AND('GA55 Entry'!#REF!,"AAAAAH2n3Ro=")</f>
        <v>#REF!</v>
      </c>
      <c r="AB19" t="e">
        <f>AND('GA55 Entry'!#REF!,"AAAAAH2n3Rs=")</f>
        <v>#REF!</v>
      </c>
      <c r="AC19" t="e">
        <f>AND('GA55 Entry'!#REF!,"AAAAAH2n3Rw=")</f>
        <v>#REF!</v>
      </c>
      <c r="AD19" t="e">
        <f>AND('GA55 Entry'!#REF!,"AAAAAH2n3R0=")</f>
        <v>#REF!</v>
      </c>
      <c r="AE19" t="e">
        <f>AND('GA55 Entry'!#REF!,"AAAAAH2n3R4=")</f>
        <v>#REF!</v>
      </c>
      <c r="AF19" t="e">
        <f>AND('GA55 Entry'!#REF!,"AAAAAH2n3R8=")</f>
        <v>#REF!</v>
      </c>
      <c r="AG19" t="e">
        <f>AND('GA55 Entry'!#REF!,"AAAAAH2n3SA=")</f>
        <v>#REF!</v>
      </c>
      <c r="AH19" t="e">
        <f>AND('GA55 Entry'!#REF!,"AAAAAH2n3SE=")</f>
        <v>#REF!</v>
      </c>
      <c r="AI19" t="e">
        <f>AND('GA55 Entry'!#REF!,"AAAAAH2n3SI=")</f>
        <v>#REF!</v>
      </c>
      <c r="AJ19" t="e">
        <f>AND('GA55 Entry'!#REF!,"AAAAAH2n3SM=")</f>
        <v>#REF!</v>
      </c>
      <c r="AK19" t="e">
        <f>AND('GA55 Entry'!#REF!,"AAAAAH2n3SQ=")</f>
        <v>#REF!</v>
      </c>
      <c r="AL19" t="e">
        <f>AND('GA55 Entry'!#REF!,"AAAAAH2n3SU=")</f>
        <v>#REF!</v>
      </c>
      <c r="AM19" t="e">
        <f>AND('GA55 Entry'!#REF!,"AAAAAH2n3SY=")</f>
        <v>#REF!</v>
      </c>
      <c r="AN19" t="e">
        <f>AND('GA55 Entry'!#REF!,"AAAAAH2n3Sc=")</f>
        <v>#REF!</v>
      </c>
      <c r="AO19" t="e">
        <f>AND('GA55 Entry'!#REF!,"AAAAAH2n3Sg=")</f>
        <v>#REF!</v>
      </c>
      <c r="AP19" t="e">
        <f>AND('GA55 Entry'!#REF!,"AAAAAH2n3Sk=")</f>
        <v>#REF!</v>
      </c>
      <c r="AQ19" t="e">
        <f>AND('GA55 Entry'!#REF!,"AAAAAH2n3So=")</f>
        <v>#REF!</v>
      </c>
      <c r="AR19" t="e">
        <f>AND('GA55 Entry'!#REF!,"AAAAAH2n3Ss=")</f>
        <v>#REF!</v>
      </c>
      <c r="AS19" t="e">
        <f>AND('GA55 Entry'!#REF!,"AAAAAH2n3Sw=")</f>
        <v>#REF!</v>
      </c>
      <c r="AT19" t="e">
        <f>AND('GA55 Entry'!#REF!,"AAAAAH2n3S0=")</f>
        <v>#REF!</v>
      </c>
      <c r="AU19" t="e">
        <f>AND('GA55 Entry'!#REF!,"AAAAAH2n3S4=")</f>
        <v>#REF!</v>
      </c>
      <c r="AV19" t="e">
        <f>AND('GA55 Entry'!#REF!,"AAAAAH2n3S8=")</f>
        <v>#REF!</v>
      </c>
      <c r="AW19" t="e">
        <f>AND('GA55 Entry'!#REF!,"AAAAAH2n3TA=")</f>
        <v>#REF!</v>
      </c>
      <c r="AX19" t="e">
        <f>AND('GA55 Entry'!#REF!,"AAAAAH2n3TE=")</f>
        <v>#REF!</v>
      </c>
      <c r="AY19" t="e">
        <f>AND('GA55 Entry'!#REF!,"AAAAAH2n3TI=")</f>
        <v>#REF!</v>
      </c>
      <c r="AZ19" t="e">
        <f>AND('GA55 Entry'!#REF!,"AAAAAH2n3TM=")</f>
        <v>#REF!</v>
      </c>
      <c r="BA19" t="e">
        <f>AND('GA55 Entry'!#REF!,"AAAAAH2n3TQ=")</f>
        <v>#REF!</v>
      </c>
      <c r="BB19" t="e">
        <f>AND('GA55 Entry'!#REF!,"AAAAAH2n3TU=")</f>
        <v>#REF!</v>
      </c>
      <c r="BC19" t="e">
        <f>AND('GA55 Entry'!#REF!,"AAAAAH2n3TY=")</f>
        <v>#REF!</v>
      </c>
      <c r="BD19" t="e">
        <f>AND('GA55 Entry'!#REF!,"AAAAAH2n3Tc=")</f>
        <v>#REF!</v>
      </c>
      <c r="BE19" t="e">
        <f>AND('GA55 Entry'!#REF!,"AAAAAH2n3Tg=")</f>
        <v>#REF!</v>
      </c>
      <c r="BF19" t="e">
        <f>AND('GA55 Entry'!#REF!,"AAAAAH2n3Tk=")</f>
        <v>#REF!</v>
      </c>
      <c r="BG19" t="e">
        <f>AND('GA55 Entry'!#REF!,"AAAAAH2n3To=")</f>
        <v>#REF!</v>
      </c>
      <c r="BH19" t="e">
        <f>AND('GA55 Entry'!#REF!,"AAAAAH2n3Ts=")</f>
        <v>#REF!</v>
      </c>
      <c r="BI19" t="e">
        <f>AND('GA55 Entry'!#REF!,"AAAAAH2n3Tw=")</f>
        <v>#REF!</v>
      </c>
      <c r="BJ19" t="e">
        <f>AND('GA55 Entry'!#REF!,"AAAAAH2n3T0=")</f>
        <v>#REF!</v>
      </c>
      <c r="BK19" t="e">
        <f>AND('GA55 Entry'!#REF!,"AAAAAH2n3T4=")</f>
        <v>#REF!</v>
      </c>
      <c r="BL19" t="e">
        <f>AND('GA55 Entry'!#REF!,"AAAAAH2n3T8=")</f>
        <v>#REF!</v>
      </c>
      <c r="BM19" t="e">
        <f>AND('GA55 Entry'!#REF!,"AAAAAH2n3UA=")</f>
        <v>#REF!</v>
      </c>
      <c r="BN19" t="e">
        <f>AND('GA55 Entry'!#REF!,"AAAAAH2n3UE=")</f>
        <v>#REF!</v>
      </c>
      <c r="BO19" t="e">
        <f>AND('GA55 Entry'!#REF!,"AAAAAH2n3UI=")</f>
        <v>#REF!</v>
      </c>
      <c r="BP19" t="e">
        <f>AND('GA55 Entry'!#REF!,"AAAAAH2n3UM=")</f>
        <v>#REF!</v>
      </c>
      <c r="BQ19" t="e">
        <f>AND('GA55 Entry'!#REF!,"AAAAAH2n3UQ=")</f>
        <v>#REF!</v>
      </c>
      <c r="BR19" t="e">
        <f>AND('GA55 Entry'!#REF!,"AAAAAH2n3UU=")</f>
        <v>#REF!</v>
      </c>
      <c r="BS19" t="e">
        <f>AND('GA55 Entry'!#REF!,"AAAAAH2n3UY=")</f>
        <v>#REF!</v>
      </c>
      <c r="BT19" t="e">
        <f>AND('GA55 Entry'!#REF!,"AAAAAH2n3Uc=")</f>
        <v>#REF!</v>
      </c>
      <c r="BU19" t="e">
        <f>IF('GA55 Entry'!#REF!,"AAAAAH2n3Ug=",0)</f>
        <v>#REF!</v>
      </c>
      <c r="BV19" t="e">
        <f>AND('GA55 Entry'!#REF!,"AAAAAH2n3Uk=")</f>
        <v>#REF!</v>
      </c>
      <c r="BW19" t="e">
        <f>AND('GA55 Entry'!#REF!,"AAAAAH2n3Uo=")</f>
        <v>#REF!</v>
      </c>
      <c r="BX19" t="e">
        <f>AND('GA55 Entry'!#REF!,"AAAAAH2n3Us=")</f>
        <v>#REF!</v>
      </c>
      <c r="BY19" t="e">
        <f>AND('GA55 Entry'!#REF!,"AAAAAH2n3Uw=")</f>
        <v>#REF!</v>
      </c>
      <c r="BZ19" t="e">
        <f>AND('GA55 Entry'!#REF!,"AAAAAH2n3U0=")</f>
        <v>#REF!</v>
      </c>
      <c r="CA19" t="e">
        <f>AND('GA55 Entry'!#REF!,"AAAAAH2n3U4=")</f>
        <v>#REF!</v>
      </c>
      <c r="CB19" t="e">
        <f>AND('GA55 Entry'!#REF!,"AAAAAH2n3U8=")</f>
        <v>#REF!</v>
      </c>
      <c r="CC19" t="e">
        <f>AND('GA55 Entry'!#REF!,"AAAAAH2n3VA=")</f>
        <v>#REF!</v>
      </c>
      <c r="CD19" t="e">
        <f>AND('GA55 Entry'!#REF!,"AAAAAH2n3VE=")</f>
        <v>#REF!</v>
      </c>
      <c r="CE19" t="e">
        <f>AND('GA55 Entry'!#REF!,"AAAAAH2n3VI=")</f>
        <v>#REF!</v>
      </c>
      <c r="CF19" t="e">
        <f>AND('GA55 Entry'!#REF!,"AAAAAH2n3VM=")</f>
        <v>#REF!</v>
      </c>
      <c r="CG19" t="e">
        <f>AND('GA55 Entry'!#REF!,"AAAAAH2n3VQ=")</f>
        <v>#REF!</v>
      </c>
      <c r="CH19" t="e">
        <f>AND('GA55 Entry'!#REF!,"AAAAAH2n3VU=")</f>
        <v>#REF!</v>
      </c>
      <c r="CI19" t="e">
        <f>AND('GA55 Entry'!#REF!,"AAAAAH2n3VY=")</f>
        <v>#REF!</v>
      </c>
      <c r="CJ19" t="e">
        <f>AND('GA55 Entry'!#REF!,"AAAAAH2n3Vc=")</f>
        <v>#REF!</v>
      </c>
      <c r="CK19" t="e">
        <f>AND('GA55 Entry'!#REF!,"AAAAAH2n3Vg=")</f>
        <v>#REF!</v>
      </c>
      <c r="CL19" t="e">
        <f>AND('GA55 Entry'!#REF!,"AAAAAH2n3Vk=")</f>
        <v>#REF!</v>
      </c>
      <c r="CM19" t="e">
        <f>AND('GA55 Entry'!#REF!,"AAAAAH2n3Vo=")</f>
        <v>#REF!</v>
      </c>
      <c r="CN19" t="e">
        <f>AND('GA55 Entry'!#REF!,"AAAAAH2n3Vs=")</f>
        <v>#REF!</v>
      </c>
      <c r="CO19" t="e">
        <f>AND('GA55 Entry'!#REF!,"AAAAAH2n3Vw=")</f>
        <v>#REF!</v>
      </c>
      <c r="CP19" t="e">
        <f>AND('GA55 Entry'!#REF!,"AAAAAH2n3V0=")</f>
        <v>#REF!</v>
      </c>
      <c r="CQ19" t="e">
        <f>AND('GA55 Entry'!#REF!,"AAAAAH2n3V4=")</f>
        <v>#REF!</v>
      </c>
      <c r="CR19" t="e">
        <f>AND('GA55 Entry'!#REF!,"AAAAAH2n3V8=")</f>
        <v>#REF!</v>
      </c>
      <c r="CS19" t="e">
        <f>AND('GA55 Entry'!#REF!,"AAAAAH2n3WA=")</f>
        <v>#REF!</v>
      </c>
      <c r="CT19" t="e">
        <f>AND('GA55 Entry'!#REF!,"AAAAAH2n3WE=")</f>
        <v>#REF!</v>
      </c>
      <c r="CU19" t="e">
        <f>AND('GA55 Entry'!#REF!,"AAAAAH2n3WI=")</f>
        <v>#REF!</v>
      </c>
      <c r="CV19" t="e">
        <f>AND('GA55 Entry'!#REF!,"AAAAAH2n3WM=")</f>
        <v>#REF!</v>
      </c>
      <c r="CW19" t="e">
        <f>AND('GA55 Entry'!#REF!,"AAAAAH2n3WQ=")</f>
        <v>#REF!</v>
      </c>
      <c r="CX19" t="e">
        <f>AND('GA55 Entry'!#REF!,"AAAAAH2n3WU=")</f>
        <v>#REF!</v>
      </c>
      <c r="CY19" t="e">
        <f>AND('GA55 Entry'!#REF!,"AAAAAH2n3WY=")</f>
        <v>#REF!</v>
      </c>
      <c r="CZ19" t="e">
        <f>AND('GA55 Entry'!#REF!,"AAAAAH2n3Wc=")</f>
        <v>#REF!</v>
      </c>
      <c r="DA19" t="e">
        <f>AND('GA55 Entry'!#REF!,"AAAAAH2n3Wg=")</f>
        <v>#REF!</v>
      </c>
      <c r="DB19" t="e">
        <f>AND('GA55 Entry'!#REF!,"AAAAAH2n3Wk=")</f>
        <v>#REF!</v>
      </c>
      <c r="DC19" t="e">
        <f>AND('GA55 Entry'!#REF!,"AAAAAH2n3Wo=")</f>
        <v>#REF!</v>
      </c>
      <c r="DD19" t="e">
        <f>AND('GA55 Entry'!#REF!,"AAAAAH2n3Ws=")</f>
        <v>#REF!</v>
      </c>
      <c r="DE19" t="e">
        <f>AND('GA55 Entry'!#REF!,"AAAAAH2n3Ww=")</f>
        <v>#REF!</v>
      </c>
      <c r="DF19" t="e">
        <f>AND('GA55 Entry'!#REF!,"AAAAAH2n3W0=")</f>
        <v>#REF!</v>
      </c>
      <c r="DG19" t="e">
        <f>AND('GA55 Entry'!#REF!,"AAAAAH2n3W4=")</f>
        <v>#REF!</v>
      </c>
      <c r="DH19" t="e">
        <f>AND('GA55 Entry'!#REF!,"AAAAAH2n3W8=")</f>
        <v>#REF!</v>
      </c>
      <c r="DI19" t="e">
        <f>AND('GA55 Entry'!#REF!,"AAAAAH2n3XA=")</f>
        <v>#REF!</v>
      </c>
      <c r="DJ19" t="e">
        <f>AND('GA55 Entry'!#REF!,"AAAAAH2n3XE=")</f>
        <v>#REF!</v>
      </c>
      <c r="DK19" t="e">
        <f>AND('GA55 Entry'!#REF!,"AAAAAH2n3XI=")</f>
        <v>#REF!</v>
      </c>
      <c r="DL19" t="e">
        <f>AND('GA55 Entry'!#REF!,"AAAAAH2n3XM=")</f>
        <v>#REF!</v>
      </c>
      <c r="DM19" t="e">
        <f>AND('GA55 Entry'!#REF!,"AAAAAH2n3XQ=")</f>
        <v>#REF!</v>
      </c>
      <c r="DN19" t="e">
        <f>AND('GA55 Entry'!#REF!,"AAAAAH2n3XU=")</f>
        <v>#REF!</v>
      </c>
      <c r="DO19" t="e">
        <f>AND('GA55 Entry'!#REF!,"AAAAAH2n3XY=")</f>
        <v>#REF!</v>
      </c>
      <c r="DP19" t="e">
        <f>AND('GA55 Entry'!#REF!,"AAAAAH2n3Xc=")</f>
        <v>#REF!</v>
      </c>
      <c r="DQ19" t="e">
        <f>AND('GA55 Entry'!#REF!,"AAAAAH2n3Xg=")</f>
        <v>#REF!</v>
      </c>
      <c r="DR19" t="e">
        <f>AND('GA55 Entry'!#REF!,"AAAAAH2n3Xk=")</f>
        <v>#REF!</v>
      </c>
      <c r="DS19" t="e">
        <f>AND('GA55 Entry'!#REF!,"AAAAAH2n3Xo=")</f>
        <v>#REF!</v>
      </c>
      <c r="DT19" t="e">
        <f>IF('GA55 Entry'!#REF!,"AAAAAH2n3Xs=",0)</f>
        <v>#REF!</v>
      </c>
      <c r="DU19" t="e">
        <f>AND('GA55 Entry'!#REF!,"AAAAAH2n3Xw=")</f>
        <v>#REF!</v>
      </c>
      <c r="DV19" t="e">
        <f>AND('GA55 Entry'!#REF!,"AAAAAH2n3X0=")</f>
        <v>#REF!</v>
      </c>
      <c r="DW19" t="e">
        <f>AND('GA55 Entry'!#REF!,"AAAAAH2n3X4=")</f>
        <v>#REF!</v>
      </c>
      <c r="DX19" t="e">
        <f>AND('GA55 Entry'!#REF!,"AAAAAH2n3X8=")</f>
        <v>#REF!</v>
      </c>
      <c r="DY19" t="e">
        <f>AND('GA55 Entry'!#REF!,"AAAAAH2n3YA=")</f>
        <v>#REF!</v>
      </c>
      <c r="DZ19" t="e">
        <f>AND('GA55 Entry'!#REF!,"AAAAAH2n3YE=")</f>
        <v>#REF!</v>
      </c>
      <c r="EA19" t="e">
        <f>AND('GA55 Entry'!#REF!,"AAAAAH2n3YI=")</f>
        <v>#REF!</v>
      </c>
      <c r="EB19" t="e">
        <f>AND('GA55 Entry'!#REF!,"AAAAAH2n3YM=")</f>
        <v>#REF!</v>
      </c>
      <c r="EC19" t="e">
        <f>AND('GA55 Entry'!#REF!,"AAAAAH2n3YQ=")</f>
        <v>#REF!</v>
      </c>
      <c r="ED19" t="e">
        <f>AND('GA55 Entry'!#REF!,"AAAAAH2n3YU=")</f>
        <v>#REF!</v>
      </c>
      <c r="EE19" t="e">
        <f>AND('GA55 Entry'!#REF!,"AAAAAH2n3YY=")</f>
        <v>#REF!</v>
      </c>
      <c r="EF19" t="e">
        <f>AND('GA55 Entry'!#REF!,"AAAAAH2n3Yc=")</f>
        <v>#REF!</v>
      </c>
      <c r="EG19" t="e">
        <f>AND('GA55 Entry'!#REF!,"AAAAAH2n3Yg=")</f>
        <v>#REF!</v>
      </c>
      <c r="EH19" t="e">
        <f>AND('GA55 Entry'!#REF!,"AAAAAH2n3Yk=")</f>
        <v>#REF!</v>
      </c>
      <c r="EI19" t="e">
        <f>AND('GA55 Entry'!#REF!,"AAAAAH2n3Yo=")</f>
        <v>#REF!</v>
      </c>
      <c r="EJ19" t="e">
        <f>AND('GA55 Entry'!#REF!,"AAAAAH2n3Ys=")</f>
        <v>#REF!</v>
      </c>
      <c r="EK19" t="e">
        <f>AND('GA55 Entry'!#REF!,"AAAAAH2n3Yw=")</f>
        <v>#REF!</v>
      </c>
      <c r="EL19" t="e">
        <f>AND('GA55 Entry'!#REF!,"AAAAAH2n3Y0=")</f>
        <v>#REF!</v>
      </c>
      <c r="EM19" t="e">
        <f>AND('GA55 Entry'!#REF!,"AAAAAH2n3Y4=")</f>
        <v>#REF!</v>
      </c>
      <c r="EN19" t="e">
        <f>AND('GA55 Entry'!#REF!,"AAAAAH2n3Y8=")</f>
        <v>#REF!</v>
      </c>
      <c r="EO19" t="e">
        <f>AND('GA55 Entry'!#REF!,"AAAAAH2n3ZA=")</f>
        <v>#REF!</v>
      </c>
      <c r="EP19" t="e">
        <f>AND('GA55 Entry'!#REF!,"AAAAAH2n3ZE=")</f>
        <v>#REF!</v>
      </c>
      <c r="EQ19" t="e">
        <f>AND('GA55 Entry'!#REF!,"AAAAAH2n3ZI=")</f>
        <v>#REF!</v>
      </c>
      <c r="ER19" t="e">
        <f>AND('GA55 Entry'!#REF!,"AAAAAH2n3ZM=")</f>
        <v>#REF!</v>
      </c>
      <c r="ES19" t="e">
        <f>AND('GA55 Entry'!#REF!,"AAAAAH2n3ZQ=")</f>
        <v>#REF!</v>
      </c>
      <c r="ET19" t="e">
        <f>AND('GA55 Entry'!#REF!,"AAAAAH2n3ZU=")</f>
        <v>#REF!</v>
      </c>
      <c r="EU19" t="e">
        <f>AND('GA55 Entry'!#REF!,"AAAAAH2n3ZY=")</f>
        <v>#REF!</v>
      </c>
      <c r="EV19" t="e">
        <f>AND('GA55 Entry'!#REF!,"AAAAAH2n3Zc=")</f>
        <v>#REF!</v>
      </c>
      <c r="EW19" t="e">
        <f>AND('GA55 Entry'!#REF!,"AAAAAH2n3Zg=")</f>
        <v>#REF!</v>
      </c>
      <c r="EX19" t="e">
        <f>AND('GA55 Entry'!#REF!,"AAAAAH2n3Zk=")</f>
        <v>#REF!</v>
      </c>
      <c r="EY19" t="e">
        <f>AND('GA55 Entry'!#REF!,"AAAAAH2n3Zo=")</f>
        <v>#REF!</v>
      </c>
      <c r="EZ19" t="e">
        <f>AND('GA55 Entry'!#REF!,"AAAAAH2n3Zs=")</f>
        <v>#REF!</v>
      </c>
      <c r="FA19" t="e">
        <f>AND('GA55 Entry'!#REF!,"AAAAAH2n3Zw=")</f>
        <v>#REF!</v>
      </c>
      <c r="FB19" t="e">
        <f>AND('GA55 Entry'!#REF!,"AAAAAH2n3Z0=")</f>
        <v>#REF!</v>
      </c>
      <c r="FC19" t="e">
        <f>AND('GA55 Entry'!#REF!,"AAAAAH2n3Z4=")</f>
        <v>#REF!</v>
      </c>
      <c r="FD19" t="e">
        <f>AND('GA55 Entry'!#REF!,"AAAAAH2n3Z8=")</f>
        <v>#REF!</v>
      </c>
      <c r="FE19" t="e">
        <f>AND('GA55 Entry'!#REF!,"AAAAAH2n3aA=")</f>
        <v>#REF!</v>
      </c>
      <c r="FF19" t="e">
        <f>AND('GA55 Entry'!#REF!,"AAAAAH2n3aE=")</f>
        <v>#REF!</v>
      </c>
      <c r="FG19" t="e">
        <f>AND('GA55 Entry'!#REF!,"AAAAAH2n3aI=")</f>
        <v>#REF!</v>
      </c>
      <c r="FH19" t="e">
        <f>AND('GA55 Entry'!#REF!,"AAAAAH2n3aM=")</f>
        <v>#REF!</v>
      </c>
      <c r="FI19" t="e">
        <f>AND('GA55 Entry'!#REF!,"AAAAAH2n3aQ=")</f>
        <v>#REF!</v>
      </c>
      <c r="FJ19" t="e">
        <f>AND('GA55 Entry'!#REF!,"AAAAAH2n3aU=")</f>
        <v>#REF!</v>
      </c>
      <c r="FK19" t="e">
        <f>AND('GA55 Entry'!#REF!,"AAAAAH2n3aY=")</f>
        <v>#REF!</v>
      </c>
      <c r="FL19" t="e">
        <f>AND('GA55 Entry'!#REF!,"AAAAAH2n3ac=")</f>
        <v>#REF!</v>
      </c>
      <c r="FM19" t="e">
        <f>AND('GA55 Entry'!#REF!,"AAAAAH2n3ag=")</f>
        <v>#REF!</v>
      </c>
      <c r="FN19" t="e">
        <f>AND('GA55 Entry'!#REF!,"AAAAAH2n3ak=")</f>
        <v>#REF!</v>
      </c>
      <c r="FO19" t="e">
        <f>AND('GA55 Entry'!#REF!,"AAAAAH2n3ao=")</f>
        <v>#REF!</v>
      </c>
      <c r="FP19" t="e">
        <f>AND('GA55 Entry'!#REF!,"AAAAAH2n3as=")</f>
        <v>#REF!</v>
      </c>
      <c r="FQ19" t="e">
        <f>AND('GA55 Entry'!#REF!,"AAAAAH2n3aw=")</f>
        <v>#REF!</v>
      </c>
      <c r="FR19" t="e">
        <f>AND('GA55 Entry'!#REF!,"AAAAAH2n3a0=")</f>
        <v>#REF!</v>
      </c>
      <c r="FS19" t="e">
        <f>IF('GA55 Entry'!#REF!,"AAAAAH2n3a4=",0)</f>
        <v>#REF!</v>
      </c>
      <c r="FT19" t="e">
        <f>AND('GA55 Entry'!#REF!,"AAAAAH2n3a8=")</f>
        <v>#REF!</v>
      </c>
      <c r="FU19" t="e">
        <f>AND('GA55 Entry'!#REF!,"AAAAAH2n3bA=")</f>
        <v>#REF!</v>
      </c>
      <c r="FV19" t="e">
        <f>AND('GA55 Entry'!#REF!,"AAAAAH2n3bE=")</f>
        <v>#REF!</v>
      </c>
      <c r="FW19" t="e">
        <f>AND('GA55 Entry'!#REF!,"AAAAAH2n3bI=")</f>
        <v>#REF!</v>
      </c>
      <c r="FX19" t="e">
        <f>AND('GA55 Entry'!#REF!,"AAAAAH2n3bM=")</f>
        <v>#REF!</v>
      </c>
      <c r="FY19" t="e">
        <f>AND('GA55 Entry'!#REF!,"AAAAAH2n3bQ=")</f>
        <v>#REF!</v>
      </c>
      <c r="FZ19" t="e">
        <f>AND('GA55 Entry'!#REF!,"AAAAAH2n3bU=")</f>
        <v>#REF!</v>
      </c>
      <c r="GA19" t="e">
        <f>AND('GA55 Entry'!#REF!,"AAAAAH2n3bY=")</f>
        <v>#REF!</v>
      </c>
      <c r="GB19" t="e">
        <f>AND('GA55 Entry'!#REF!,"AAAAAH2n3bc=")</f>
        <v>#REF!</v>
      </c>
      <c r="GC19" t="e">
        <f>AND('GA55 Entry'!#REF!,"AAAAAH2n3bg=")</f>
        <v>#REF!</v>
      </c>
      <c r="GD19" t="e">
        <f>AND('GA55 Entry'!#REF!,"AAAAAH2n3bk=")</f>
        <v>#REF!</v>
      </c>
      <c r="GE19" t="e">
        <f>AND('GA55 Entry'!#REF!,"AAAAAH2n3bo=")</f>
        <v>#REF!</v>
      </c>
      <c r="GF19" t="e">
        <f>AND('GA55 Entry'!#REF!,"AAAAAH2n3bs=")</f>
        <v>#REF!</v>
      </c>
      <c r="GG19" t="e">
        <f>AND('GA55 Entry'!#REF!,"AAAAAH2n3bw=")</f>
        <v>#REF!</v>
      </c>
      <c r="GH19" t="e">
        <f>AND('GA55 Entry'!#REF!,"AAAAAH2n3b0=")</f>
        <v>#REF!</v>
      </c>
      <c r="GI19" t="e">
        <f>AND('GA55 Entry'!#REF!,"AAAAAH2n3b4=")</f>
        <v>#REF!</v>
      </c>
      <c r="GJ19" t="e">
        <f>AND('GA55 Entry'!#REF!,"AAAAAH2n3b8=")</f>
        <v>#REF!</v>
      </c>
      <c r="GK19" t="e">
        <f>AND('GA55 Entry'!#REF!,"AAAAAH2n3cA=")</f>
        <v>#REF!</v>
      </c>
      <c r="GL19" t="e">
        <f>AND('GA55 Entry'!#REF!,"AAAAAH2n3cE=")</f>
        <v>#REF!</v>
      </c>
      <c r="GM19" t="e">
        <f>AND('GA55 Entry'!#REF!,"AAAAAH2n3cI=")</f>
        <v>#REF!</v>
      </c>
      <c r="GN19" t="e">
        <f>AND('GA55 Entry'!#REF!,"AAAAAH2n3cM=")</f>
        <v>#REF!</v>
      </c>
      <c r="GO19" t="e">
        <f>AND('GA55 Entry'!#REF!,"AAAAAH2n3cQ=")</f>
        <v>#REF!</v>
      </c>
      <c r="GP19" t="e">
        <f>AND('GA55 Entry'!#REF!,"AAAAAH2n3cU=")</f>
        <v>#REF!</v>
      </c>
      <c r="GQ19" t="e">
        <f>AND('GA55 Entry'!#REF!,"AAAAAH2n3cY=")</f>
        <v>#REF!</v>
      </c>
      <c r="GR19" t="e">
        <f>AND('GA55 Entry'!#REF!,"AAAAAH2n3cc=")</f>
        <v>#REF!</v>
      </c>
      <c r="GS19" t="e">
        <f>AND('GA55 Entry'!#REF!,"AAAAAH2n3cg=")</f>
        <v>#REF!</v>
      </c>
      <c r="GT19" t="e">
        <f>AND('GA55 Entry'!#REF!,"AAAAAH2n3ck=")</f>
        <v>#REF!</v>
      </c>
      <c r="GU19" t="e">
        <f>AND('GA55 Entry'!#REF!,"AAAAAH2n3co=")</f>
        <v>#REF!</v>
      </c>
      <c r="GV19" t="e">
        <f>AND('GA55 Entry'!#REF!,"AAAAAH2n3cs=")</f>
        <v>#REF!</v>
      </c>
      <c r="GW19" t="e">
        <f>AND('GA55 Entry'!#REF!,"AAAAAH2n3cw=")</f>
        <v>#REF!</v>
      </c>
      <c r="GX19" t="e">
        <f>AND('GA55 Entry'!#REF!,"AAAAAH2n3c0=")</f>
        <v>#REF!</v>
      </c>
      <c r="GY19" t="e">
        <f>AND('GA55 Entry'!#REF!,"AAAAAH2n3c4=")</f>
        <v>#REF!</v>
      </c>
      <c r="GZ19" t="e">
        <f>AND('GA55 Entry'!#REF!,"AAAAAH2n3c8=")</f>
        <v>#REF!</v>
      </c>
      <c r="HA19" t="e">
        <f>AND('GA55 Entry'!#REF!,"AAAAAH2n3dA=")</f>
        <v>#REF!</v>
      </c>
      <c r="HB19" t="e">
        <f>AND('GA55 Entry'!#REF!,"AAAAAH2n3dE=")</f>
        <v>#REF!</v>
      </c>
      <c r="HC19" t="e">
        <f>AND('GA55 Entry'!#REF!,"AAAAAH2n3dI=")</f>
        <v>#REF!</v>
      </c>
      <c r="HD19" t="e">
        <f>AND('GA55 Entry'!#REF!,"AAAAAH2n3dM=")</f>
        <v>#REF!</v>
      </c>
      <c r="HE19" t="e">
        <f>AND('GA55 Entry'!#REF!,"AAAAAH2n3dQ=")</f>
        <v>#REF!</v>
      </c>
      <c r="HF19" t="e">
        <f>AND('GA55 Entry'!#REF!,"AAAAAH2n3dU=")</f>
        <v>#REF!</v>
      </c>
      <c r="HG19" t="e">
        <f>AND('GA55 Entry'!#REF!,"AAAAAH2n3dY=")</f>
        <v>#REF!</v>
      </c>
      <c r="HH19" t="e">
        <f>AND('GA55 Entry'!#REF!,"AAAAAH2n3dc=")</f>
        <v>#REF!</v>
      </c>
      <c r="HI19" t="e">
        <f>AND('GA55 Entry'!#REF!,"AAAAAH2n3dg=")</f>
        <v>#REF!</v>
      </c>
      <c r="HJ19" t="e">
        <f>AND('GA55 Entry'!#REF!,"AAAAAH2n3dk=")</f>
        <v>#REF!</v>
      </c>
      <c r="HK19" t="e">
        <f>AND('GA55 Entry'!#REF!,"AAAAAH2n3do=")</f>
        <v>#REF!</v>
      </c>
      <c r="HL19" t="e">
        <f>AND('GA55 Entry'!#REF!,"AAAAAH2n3ds=")</f>
        <v>#REF!</v>
      </c>
      <c r="HM19" t="e">
        <f>AND('GA55 Entry'!#REF!,"AAAAAH2n3dw=")</f>
        <v>#REF!</v>
      </c>
      <c r="HN19" t="e">
        <f>AND('GA55 Entry'!#REF!,"AAAAAH2n3d0=")</f>
        <v>#REF!</v>
      </c>
      <c r="HO19" t="e">
        <f>AND('GA55 Entry'!#REF!,"AAAAAH2n3d4=")</f>
        <v>#REF!</v>
      </c>
      <c r="HP19" t="e">
        <f>AND('GA55 Entry'!#REF!,"AAAAAH2n3d8=")</f>
        <v>#REF!</v>
      </c>
      <c r="HQ19" t="e">
        <f>AND('GA55 Entry'!#REF!,"AAAAAH2n3eA=")</f>
        <v>#REF!</v>
      </c>
      <c r="HR19" t="e">
        <f>IF('GA55 Entry'!#REF!,"AAAAAH2n3eE=",0)</f>
        <v>#REF!</v>
      </c>
      <c r="HS19" t="e">
        <f>AND('GA55 Entry'!#REF!,"AAAAAH2n3eI=")</f>
        <v>#REF!</v>
      </c>
      <c r="HT19" t="e">
        <f>AND('GA55 Entry'!#REF!,"AAAAAH2n3eM=")</f>
        <v>#REF!</v>
      </c>
      <c r="HU19" t="e">
        <f>AND('GA55 Entry'!#REF!,"AAAAAH2n3eQ=")</f>
        <v>#REF!</v>
      </c>
      <c r="HV19" t="e">
        <f>AND('GA55 Entry'!#REF!,"AAAAAH2n3eU=")</f>
        <v>#REF!</v>
      </c>
      <c r="HW19" t="e">
        <f>AND('GA55 Entry'!#REF!,"AAAAAH2n3eY=")</f>
        <v>#REF!</v>
      </c>
      <c r="HX19" t="e">
        <f>AND('GA55 Entry'!#REF!,"AAAAAH2n3ec=")</f>
        <v>#REF!</v>
      </c>
      <c r="HY19" t="e">
        <f>AND('GA55 Entry'!#REF!,"AAAAAH2n3eg=")</f>
        <v>#REF!</v>
      </c>
      <c r="HZ19" t="e">
        <f>AND('GA55 Entry'!#REF!,"AAAAAH2n3ek=")</f>
        <v>#REF!</v>
      </c>
      <c r="IA19" t="e">
        <f>AND('GA55 Entry'!#REF!,"AAAAAH2n3eo=")</f>
        <v>#REF!</v>
      </c>
      <c r="IB19" t="e">
        <f>AND('GA55 Entry'!#REF!,"AAAAAH2n3es=")</f>
        <v>#REF!</v>
      </c>
      <c r="IC19" t="e">
        <f>AND('GA55 Entry'!#REF!,"AAAAAH2n3ew=")</f>
        <v>#REF!</v>
      </c>
      <c r="ID19" t="e">
        <f>AND('GA55 Entry'!#REF!,"AAAAAH2n3e0=")</f>
        <v>#REF!</v>
      </c>
      <c r="IE19" t="e">
        <f>AND('GA55 Entry'!#REF!,"AAAAAH2n3e4=")</f>
        <v>#REF!</v>
      </c>
      <c r="IF19" t="e">
        <f>AND('GA55 Entry'!#REF!,"AAAAAH2n3e8=")</f>
        <v>#REF!</v>
      </c>
      <c r="IG19" t="e">
        <f>AND('GA55 Entry'!#REF!,"AAAAAH2n3fA=")</f>
        <v>#REF!</v>
      </c>
      <c r="IH19" t="e">
        <f>AND('GA55 Entry'!#REF!,"AAAAAH2n3fE=")</f>
        <v>#REF!</v>
      </c>
      <c r="II19" t="e">
        <f>AND('GA55 Entry'!#REF!,"AAAAAH2n3fI=")</f>
        <v>#REF!</v>
      </c>
      <c r="IJ19" t="e">
        <f>AND('GA55 Entry'!#REF!,"AAAAAH2n3fM=")</f>
        <v>#REF!</v>
      </c>
      <c r="IK19" t="e">
        <f>AND('GA55 Entry'!#REF!,"AAAAAH2n3fQ=")</f>
        <v>#REF!</v>
      </c>
      <c r="IL19" t="e">
        <f>AND('GA55 Entry'!#REF!,"AAAAAH2n3fU=")</f>
        <v>#REF!</v>
      </c>
      <c r="IM19" t="e">
        <f>AND('GA55 Entry'!#REF!,"AAAAAH2n3fY=")</f>
        <v>#REF!</v>
      </c>
      <c r="IN19" t="e">
        <f>AND('GA55 Entry'!#REF!,"AAAAAH2n3fc=")</f>
        <v>#REF!</v>
      </c>
      <c r="IO19" t="e">
        <f>AND('GA55 Entry'!#REF!,"AAAAAH2n3fg=")</f>
        <v>#REF!</v>
      </c>
      <c r="IP19" t="e">
        <f>AND('GA55 Entry'!#REF!,"AAAAAH2n3fk=")</f>
        <v>#REF!</v>
      </c>
      <c r="IQ19" t="e">
        <f>AND('GA55 Entry'!#REF!,"AAAAAH2n3fo=")</f>
        <v>#REF!</v>
      </c>
      <c r="IR19" t="e">
        <f>AND('GA55 Entry'!#REF!,"AAAAAH2n3fs=")</f>
        <v>#REF!</v>
      </c>
      <c r="IS19" t="e">
        <f>AND('GA55 Entry'!#REF!,"AAAAAH2n3fw=")</f>
        <v>#REF!</v>
      </c>
      <c r="IT19" t="e">
        <f>AND('GA55 Entry'!#REF!,"AAAAAH2n3f0=")</f>
        <v>#REF!</v>
      </c>
      <c r="IU19" t="e">
        <f>AND('GA55 Entry'!#REF!,"AAAAAH2n3f4=")</f>
        <v>#REF!</v>
      </c>
      <c r="IV19" t="e">
        <f>AND('GA55 Entry'!#REF!,"AAAAAH2n3f8=")</f>
        <v>#REF!</v>
      </c>
    </row>
    <row r="20" spans="1:256">
      <c r="A20" t="e">
        <f>AND('GA55 Entry'!#REF!,"AAAAADH7vwA=")</f>
        <v>#REF!</v>
      </c>
      <c r="B20" t="e">
        <f>AND('GA55 Entry'!#REF!,"AAAAADH7vwE=")</f>
        <v>#REF!</v>
      </c>
      <c r="C20" t="e">
        <f>AND('GA55 Entry'!#REF!,"AAAAADH7vwI=")</f>
        <v>#REF!</v>
      </c>
      <c r="D20" t="e">
        <f>AND('GA55 Entry'!#REF!,"AAAAADH7vwM=")</f>
        <v>#REF!</v>
      </c>
      <c r="E20" t="e">
        <f>AND('GA55 Entry'!#REF!,"AAAAADH7vwQ=")</f>
        <v>#REF!</v>
      </c>
      <c r="F20" t="e">
        <f>AND('GA55 Entry'!#REF!,"AAAAADH7vwU=")</f>
        <v>#REF!</v>
      </c>
      <c r="G20" t="e">
        <f>AND('GA55 Entry'!#REF!,"AAAAADH7vwY=")</f>
        <v>#REF!</v>
      </c>
      <c r="H20" t="e">
        <f>AND('GA55 Entry'!#REF!,"AAAAADH7vwc=")</f>
        <v>#REF!</v>
      </c>
      <c r="I20" t="e">
        <f>AND('GA55 Entry'!#REF!,"AAAAADH7vwg=")</f>
        <v>#REF!</v>
      </c>
      <c r="J20" t="e">
        <f>AND('GA55 Entry'!#REF!,"AAAAADH7vwk=")</f>
        <v>#REF!</v>
      </c>
      <c r="K20" t="e">
        <f>AND('GA55 Entry'!#REF!,"AAAAADH7vwo=")</f>
        <v>#REF!</v>
      </c>
      <c r="L20" t="e">
        <f>AND('GA55 Entry'!#REF!,"AAAAADH7vws=")</f>
        <v>#REF!</v>
      </c>
      <c r="M20" t="e">
        <f>AND('GA55 Entry'!#REF!,"AAAAADH7vww=")</f>
        <v>#REF!</v>
      </c>
      <c r="N20" t="e">
        <f>AND('GA55 Entry'!#REF!,"AAAAADH7vw0=")</f>
        <v>#REF!</v>
      </c>
      <c r="O20" t="e">
        <f>AND('GA55 Entry'!#REF!,"AAAAADH7vw4=")</f>
        <v>#REF!</v>
      </c>
      <c r="P20" t="e">
        <f>AND('GA55 Entry'!#REF!,"AAAAADH7vw8=")</f>
        <v>#REF!</v>
      </c>
      <c r="Q20" t="e">
        <f>AND('GA55 Entry'!#REF!,"AAAAADH7vxA=")</f>
        <v>#REF!</v>
      </c>
      <c r="R20" t="e">
        <f>AND('GA55 Entry'!#REF!,"AAAAADH7vxE=")</f>
        <v>#REF!</v>
      </c>
      <c r="S20" t="e">
        <f>AND('GA55 Entry'!#REF!,"AAAAADH7vxI=")</f>
        <v>#REF!</v>
      </c>
      <c r="T20" t="e">
        <f>AND('GA55 Entry'!#REF!,"AAAAADH7vxM=")</f>
        <v>#REF!</v>
      </c>
      <c r="U20" t="e">
        <f>IF('GA55 Entry'!#REF!,"AAAAADH7vxQ=",0)</f>
        <v>#REF!</v>
      </c>
      <c r="V20" t="e">
        <f>AND('GA55 Entry'!#REF!,"AAAAADH7vxU=")</f>
        <v>#REF!</v>
      </c>
      <c r="W20" t="e">
        <f>AND('GA55 Entry'!#REF!,"AAAAADH7vxY=")</f>
        <v>#REF!</v>
      </c>
      <c r="X20" t="e">
        <f>AND('GA55 Entry'!#REF!,"AAAAADH7vxc=")</f>
        <v>#REF!</v>
      </c>
      <c r="Y20" t="e">
        <f>AND('GA55 Entry'!#REF!,"AAAAADH7vxg=")</f>
        <v>#REF!</v>
      </c>
      <c r="Z20" t="e">
        <f>AND('GA55 Entry'!#REF!,"AAAAADH7vxk=")</f>
        <v>#REF!</v>
      </c>
      <c r="AA20" t="e">
        <f>AND('GA55 Entry'!#REF!,"AAAAADH7vxo=")</f>
        <v>#REF!</v>
      </c>
      <c r="AB20" t="e">
        <f>AND('GA55 Entry'!#REF!,"AAAAADH7vxs=")</f>
        <v>#REF!</v>
      </c>
      <c r="AC20" t="e">
        <f>AND('GA55 Entry'!#REF!,"AAAAADH7vxw=")</f>
        <v>#REF!</v>
      </c>
      <c r="AD20" t="e">
        <f>AND('GA55 Entry'!#REF!,"AAAAADH7vx0=")</f>
        <v>#REF!</v>
      </c>
      <c r="AE20" t="e">
        <f>AND('GA55 Entry'!#REF!,"AAAAADH7vx4=")</f>
        <v>#REF!</v>
      </c>
      <c r="AF20" t="e">
        <f>AND('GA55 Entry'!#REF!,"AAAAADH7vx8=")</f>
        <v>#REF!</v>
      </c>
      <c r="AG20" t="e">
        <f>AND('GA55 Entry'!#REF!,"AAAAADH7vyA=")</f>
        <v>#REF!</v>
      </c>
      <c r="AH20" t="e">
        <f>AND('GA55 Entry'!#REF!,"AAAAADH7vyE=")</f>
        <v>#REF!</v>
      </c>
      <c r="AI20" t="e">
        <f>AND('GA55 Entry'!#REF!,"AAAAADH7vyI=")</f>
        <v>#REF!</v>
      </c>
      <c r="AJ20" t="e">
        <f>AND('GA55 Entry'!#REF!,"AAAAADH7vyM=")</f>
        <v>#REF!</v>
      </c>
      <c r="AK20" t="e">
        <f>AND('GA55 Entry'!#REF!,"AAAAADH7vyQ=")</f>
        <v>#REF!</v>
      </c>
      <c r="AL20" t="e">
        <f>AND('GA55 Entry'!#REF!,"AAAAADH7vyU=")</f>
        <v>#REF!</v>
      </c>
      <c r="AM20" t="e">
        <f>AND('GA55 Entry'!#REF!,"AAAAADH7vyY=")</f>
        <v>#REF!</v>
      </c>
      <c r="AN20" t="e">
        <f>AND('GA55 Entry'!#REF!,"AAAAADH7vyc=")</f>
        <v>#REF!</v>
      </c>
      <c r="AO20" t="e">
        <f>AND('GA55 Entry'!#REF!,"AAAAADH7vyg=")</f>
        <v>#REF!</v>
      </c>
      <c r="AP20" t="e">
        <f>AND('GA55 Entry'!#REF!,"AAAAADH7vyk=")</f>
        <v>#REF!</v>
      </c>
      <c r="AQ20" t="e">
        <f>AND('GA55 Entry'!#REF!,"AAAAADH7vyo=")</f>
        <v>#REF!</v>
      </c>
      <c r="AR20" t="e">
        <f>AND('GA55 Entry'!#REF!,"AAAAADH7vys=")</f>
        <v>#REF!</v>
      </c>
      <c r="AS20" t="e">
        <f>AND('GA55 Entry'!#REF!,"AAAAADH7vyw=")</f>
        <v>#REF!</v>
      </c>
      <c r="AT20" t="e">
        <f>AND('GA55 Entry'!#REF!,"AAAAADH7vy0=")</f>
        <v>#REF!</v>
      </c>
      <c r="AU20" t="e">
        <f>AND('GA55 Entry'!#REF!,"AAAAADH7vy4=")</f>
        <v>#REF!</v>
      </c>
      <c r="AV20" t="e">
        <f>AND('GA55 Entry'!#REF!,"AAAAADH7vy8=")</f>
        <v>#REF!</v>
      </c>
      <c r="AW20" t="e">
        <f>AND('GA55 Entry'!#REF!,"AAAAADH7vzA=")</f>
        <v>#REF!</v>
      </c>
      <c r="AX20" t="e">
        <f>AND('GA55 Entry'!#REF!,"AAAAADH7vzE=")</f>
        <v>#REF!</v>
      </c>
      <c r="AY20" t="e">
        <f>AND('GA55 Entry'!#REF!,"AAAAADH7vzI=")</f>
        <v>#REF!</v>
      </c>
      <c r="AZ20" t="e">
        <f>AND('GA55 Entry'!#REF!,"AAAAADH7vzM=")</f>
        <v>#REF!</v>
      </c>
      <c r="BA20" t="e">
        <f>AND('GA55 Entry'!#REF!,"AAAAADH7vzQ=")</f>
        <v>#REF!</v>
      </c>
      <c r="BB20" t="e">
        <f>AND('GA55 Entry'!#REF!,"AAAAADH7vzU=")</f>
        <v>#REF!</v>
      </c>
      <c r="BC20" t="e">
        <f>AND('GA55 Entry'!#REF!,"AAAAADH7vzY=")</f>
        <v>#REF!</v>
      </c>
      <c r="BD20" t="e">
        <f>AND('GA55 Entry'!#REF!,"AAAAADH7vzc=")</f>
        <v>#REF!</v>
      </c>
      <c r="BE20" t="e">
        <f>AND('GA55 Entry'!#REF!,"AAAAADH7vzg=")</f>
        <v>#REF!</v>
      </c>
      <c r="BF20" t="e">
        <f>AND('GA55 Entry'!#REF!,"AAAAADH7vzk=")</f>
        <v>#REF!</v>
      </c>
      <c r="BG20" t="e">
        <f>AND('GA55 Entry'!#REF!,"AAAAADH7vzo=")</f>
        <v>#REF!</v>
      </c>
      <c r="BH20" t="e">
        <f>AND('GA55 Entry'!#REF!,"AAAAADH7vzs=")</f>
        <v>#REF!</v>
      </c>
      <c r="BI20" t="e">
        <f>AND('GA55 Entry'!#REF!,"AAAAADH7vzw=")</f>
        <v>#REF!</v>
      </c>
      <c r="BJ20" t="e">
        <f>AND('GA55 Entry'!#REF!,"AAAAADH7vz0=")</f>
        <v>#REF!</v>
      </c>
      <c r="BK20" t="e">
        <f>AND('GA55 Entry'!#REF!,"AAAAADH7vz4=")</f>
        <v>#REF!</v>
      </c>
      <c r="BL20" t="e">
        <f>AND('GA55 Entry'!#REF!,"AAAAADH7vz8=")</f>
        <v>#REF!</v>
      </c>
      <c r="BM20" t="e">
        <f>AND('GA55 Entry'!#REF!,"AAAAADH7v0A=")</f>
        <v>#REF!</v>
      </c>
      <c r="BN20" t="e">
        <f>AND('GA55 Entry'!#REF!,"AAAAADH7v0E=")</f>
        <v>#REF!</v>
      </c>
      <c r="BO20" t="e">
        <f>AND('GA55 Entry'!#REF!,"AAAAADH7v0I=")</f>
        <v>#REF!</v>
      </c>
      <c r="BP20" t="e">
        <f>AND('GA55 Entry'!#REF!,"AAAAADH7v0M=")</f>
        <v>#REF!</v>
      </c>
      <c r="BQ20" t="e">
        <f>AND('GA55 Entry'!#REF!,"AAAAADH7v0Q=")</f>
        <v>#REF!</v>
      </c>
      <c r="BR20" t="e">
        <f>AND('GA55 Entry'!#REF!,"AAAAADH7v0U=")</f>
        <v>#REF!</v>
      </c>
      <c r="BS20" t="e">
        <f>AND('GA55 Entry'!#REF!,"AAAAADH7v0Y=")</f>
        <v>#REF!</v>
      </c>
      <c r="BT20" t="e">
        <f>IF('GA55 Entry'!#REF!,"AAAAADH7v0c=",0)</f>
        <v>#REF!</v>
      </c>
      <c r="BU20" t="e">
        <f>AND('GA55 Entry'!#REF!,"AAAAADH7v0g=")</f>
        <v>#REF!</v>
      </c>
      <c r="BV20" t="e">
        <f>AND('GA55 Entry'!#REF!,"AAAAADH7v0k=")</f>
        <v>#REF!</v>
      </c>
      <c r="BW20" t="e">
        <f>AND('GA55 Entry'!#REF!,"AAAAADH7v0o=")</f>
        <v>#REF!</v>
      </c>
      <c r="BX20" t="e">
        <f>AND('GA55 Entry'!#REF!,"AAAAADH7v0s=")</f>
        <v>#REF!</v>
      </c>
      <c r="BY20" t="e">
        <f>AND('GA55 Entry'!#REF!,"AAAAADH7v0w=")</f>
        <v>#REF!</v>
      </c>
      <c r="BZ20" t="e">
        <f>AND('GA55 Entry'!#REF!,"AAAAADH7v00=")</f>
        <v>#REF!</v>
      </c>
      <c r="CA20" t="e">
        <f>AND('GA55 Entry'!#REF!,"AAAAADH7v04=")</f>
        <v>#REF!</v>
      </c>
      <c r="CB20" t="e">
        <f>AND('GA55 Entry'!#REF!,"AAAAADH7v08=")</f>
        <v>#REF!</v>
      </c>
      <c r="CC20" t="e">
        <f>AND('GA55 Entry'!#REF!,"AAAAADH7v1A=")</f>
        <v>#REF!</v>
      </c>
      <c r="CD20" t="e">
        <f>AND('GA55 Entry'!#REF!,"AAAAADH7v1E=")</f>
        <v>#REF!</v>
      </c>
      <c r="CE20" t="e">
        <f>AND('GA55 Entry'!#REF!,"AAAAADH7v1I=")</f>
        <v>#REF!</v>
      </c>
      <c r="CF20" t="e">
        <f>AND('GA55 Entry'!#REF!,"AAAAADH7v1M=")</f>
        <v>#REF!</v>
      </c>
      <c r="CG20" t="e">
        <f>AND('GA55 Entry'!#REF!,"AAAAADH7v1Q=")</f>
        <v>#REF!</v>
      </c>
      <c r="CH20" t="e">
        <f>AND('GA55 Entry'!#REF!,"AAAAADH7v1U=")</f>
        <v>#REF!</v>
      </c>
      <c r="CI20" t="e">
        <f>AND('GA55 Entry'!#REF!,"AAAAADH7v1Y=")</f>
        <v>#REF!</v>
      </c>
      <c r="CJ20" t="e">
        <f>AND('GA55 Entry'!#REF!,"AAAAADH7v1c=")</f>
        <v>#REF!</v>
      </c>
      <c r="CK20" t="e">
        <f>AND('GA55 Entry'!#REF!,"AAAAADH7v1g=")</f>
        <v>#REF!</v>
      </c>
      <c r="CL20" t="e">
        <f>AND('GA55 Entry'!#REF!,"AAAAADH7v1k=")</f>
        <v>#REF!</v>
      </c>
      <c r="CM20" t="e">
        <f>AND('GA55 Entry'!#REF!,"AAAAADH7v1o=")</f>
        <v>#REF!</v>
      </c>
      <c r="CN20" t="e">
        <f>AND('GA55 Entry'!#REF!,"AAAAADH7v1s=")</f>
        <v>#REF!</v>
      </c>
      <c r="CO20" t="e">
        <f>AND('GA55 Entry'!#REF!,"AAAAADH7v1w=")</f>
        <v>#REF!</v>
      </c>
      <c r="CP20" t="e">
        <f>AND('GA55 Entry'!#REF!,"AAAAADH7v10=")</f>
        <v>#REF!</v>
      </c>
      <c r="CQ20" t="e">
        <f>AND('GA55 Entry'!#REF!,"AAAAADH7v14=")</f>
        <v>#REF!</v>
      </c>
      <c r="CR20" t="e">
        <f>AND('GA55 Entry'!#REF!,"AAAAADH7v18=")</f>
        <v>#REF!</v>
      </c>
      <c r="CS20" t="e">
        <f>AND('GA55 Entry'!#REF!,"AAAAADH7v2A=")</f>
        <v>#REF!</v>
      </c>
      <c r="CT20" t="e">
        <f>AND('GA55 Entry'!#REF!,"AAAAADH7v2E=")</f>
        <v>#REF!</v>
      </c>
      <c r="CU20" t="e">
        <f>AND('GA55 Entry'!#REF!,"AAAAADH7v2I=")</f>
        <v>#REF!</v>
      </c>
      <c r="CV20" t="e">
        <f>AND('GA55 Entry'!#REF!,"AAAAADH7v2M=")</f>
        <v>#REF!</v>
      </c>
      <c r="CW20" t="e">
        <f>AND('GA55 Entry'!#REF!,"AAAAADH7v2Q=")</f>
        <v>#REF!</v>
      </c>
      <c r="CX20" t="e">
        <f>AND('GA55 Entry'!#REF!,"AAAAADH7v2U=")</f>
        <v>#REF!</v>
      </c>
      <c r="CY20" t="e">
        <f>AND('GA55 Entry'!#REF!,"AAAAADH7v2Y=")</f>
        <v>#REF!</v>
      </c>
      <c r="CZ20" t="e">
        <f>AND('GA55 Entry'!#REF!,"AAAAADH7v2c=")</f>
        <v>#REF!</v>
      </c>
      <c r="DA20" t="e">
        <f>AND('GA55 Entry'!#REF!,"AAAAADH7v2g=")</f>
        <v>#REF!</v>
      </c>
      <c r="DB20" t="e">
        <f>AND('GA55 Entry'!#REF!,"AAAAADH7v2k=")</f>
        <v>#REF!</v>
      </c>
      <c r="DC20" t="e">
        <f>AND('GA55 Entry'!#REF!,"AAAAADH7v2o=")</f>
        <v>#REF!</v>
      </c>
      <c r="DD20" t="e">
        <f>AND('GA55 Entry'!#REF!,"AAAAADH7v2s=")</f>
        <v>#REF!</v>
      </c>
      <c r="DE20" t="e">
        <f>AND('GA55 Entry'!#REF!,"AAAAADH7v2w=")</f>
        <v>#REF!</v>
      </c>
      <c r="DF20" t="e">
        <f>AND('GA55 Entry'!#REF!,"AAAAADH7v20=")</f>
        <v>#REF!</v>
      </c>
      <c r="DG20" t="e">
        <f>AND('GA55 Entry'!#REF!,"AAAAADH7v24=")</f>
        <v>#REF!</v>
      </c>
      <c r="DH20" t="e">
        <f>AND('GA55 Entry'!#REF!,"AAAAADH7v28=")</f>
        <v>#REF!</v>
      </c>
      <c r="DI20" t="e">
        <f>AND('GA55 Entry'!#REF!,"AAAAADH7v3A=")</f>
        <v>#REF!</v>
      </c>
      <c r="DJ20" t="e">
        <f>AND('GA55 Entry'!#REF!,"AAAAADH7v3E=")</f>
        <v>#REF!</v>
      </c>
      <c r="DK20" t="e">
        <f>AND('GA55 Entry'!#REF!,"AAAAADH7v3I=")</f>
        <v>#REF!</v>
      </c>
      <c r="DL20" t="e">
        <f>AND('GA55 Entry'!#REF!,"AAAAADH7v3M=")</f>
        <v>#REF!</v>
      </c>
      <c r="DM20" t="e">
        <f>AND('GA55 Entry'!#REF!,"AAAAADH7v3Q=")</f>
        <v>#REF!</v>
      </c>
      <c r="DN20" t="e">
        <f>AND('GA55 Entry'!#REF!,"AAAAADH7v3U=")</f>
        <v>#REF!</v>
      </c>
      <c r="DO20" t="e">
        <f>AND('GA55 Entry'!#REF!,"AAAAADH7v3Y=")</f>
        <v>#REF!</v>
      </c>
      <c r="DP20" t="e">
        <f>AND('GA55 Entry'!#REF!,"AAAAADH7v3c=")</f>
        <v>#REF!</v>
      </c>
      <c r="DQ20" t="e">
        <f>AND('GA55 Entry'!#REF!,"AAAAADH7v3g=")</f>
        <v>#REF!</v>
      </c>
      <c r="DR20" t="e">
        <f>AND('GA55 Entry'!#REF!,"AAAAADH7v3k=")</f>
        <v>#REF!</v>
      </c>
      <c r="DS20">
        <f>IF('GA55 Entry'!11:11,"AAAAADH7v3o=",0)</f>
        <v>0</v>
      </c>
      <c r="DT20" t="e">
        <f>AND('GA55 Entry'!B11,"AAAAADH7v3s=")</f>
        <v>#VALUE!</v>
      </c>
      <c r="DU20" t="e">
        <f>AND('GA55 Entry'!#REF!,"AAAAADH7v3w=")</f>
        <v>#REF!</v>
      </c>
      <c r="DV20" t="e">
        <f>AND('GA55 Entry'!C11,"AAAAADH7v30=")</f>
        <v>#VALUE!</v>
      </c>
      <c r="DW20" t="e">
        <f>AND('GA55 Entry'!#REF!,"AAAAADH7v34=")</f>
        <v>#REF!</v>
      </c>
      <c r="DX20" t="e">
        <f>AND('GA55 Entry'!#REF!,"AAAAADH7v38=")</f>
        <v>#REF!</v>
      </c>
      <c r="DY20" t="e">
        <f>AND('GA55 Entry'!#REF!,"AAAAADH7v4A=")</f>
        <v>#REF!</v>
      </c>
      <c r="DZ20" t="e">
        <f>AND('GA55 Entry'!#REF!,"AAAAADH7v4E=")</f>
        <v>#REF!</v>
      </c>
      <c r="EA20" t="e">
        <f>AND('GA55 Entry'!#REF!,"AAAAADH7v4I=")</f>
        <v>#REF!</v>
      </c>
      <c r="EB20" t="e">
        <f>AND('GA55 Entry'!D11,"AAAAADH7v4M=")</f>
        <v>#VALUE!</v>
      </c>
      <c r="EC20" t="e">
        <f>AND('GA55 Entry'!#REF!,"AAAAADH7v4Q=")</f>
        <v>#REF!</v>
      </c>
      <c r="ED20" t="e">
        <f>AND('GA55 Entry'!E11,"AAAAADH7v4U=")</f>
        <v>#VALUE!</v>
      </c>
      <c r="EE20" t="e">
        <f>AND('GA55 Entry'!F11,"AAAAADH7v4Y=")</f>
        <v>#VALUE!</v>
      </c>
      <c r="EF20" t="e">
        <f>AND('GA55 Entry'!G11,"AAAAADH7v4c=")</f>
        <v>#VALUE!</v>
      </c>
      <c r="EG20" t="e">
        <f>AND('GA55 Entry'!H11,"AAAAADH7v4g=")</f>
        <v>#VALUE!</v>
      </c>
      <c r="EH20" t="e">
        <f>AND('GA55 Entry'!I11,"AAAAADH7v4k=")</f>
        <v>#VALUE!</v>
      </c>
      <c r="EI20" t="e">
        <f>AND('GA55 Entry'!J11,"AAAAADH7v4o=")</f>
        <v>#VALUE!</v>
      </c>
      <c r="EJ20" t="e">
        <f>AND('GA55 Entry'!#REF!,"AAAAADH7v4s=")</f>
        <v>#REF!</v>
      </c>
      <c r="EK20" t="e">
        <f>AND('GA55 Entry'!K11,"AAAAADH7v4w=")</f>
        <v>#VALUE!</v>
      </c>
      <c r="EL20" t="e">
        <f>AND('GA55 Entry'!L11,"AAAAADH7v40=")</f>
        <v>#VALUE!</v>
      </c>
      <c r="EM20" t="e">
        <f>AND('GA55 Entry'!M11,"AAAAADH7v44=")</f>
        <v>#VALUE!</v>
      </c>
      <c r="EN20" t="e">
        <f>AND('GA55 Entry'!N11,"AAAAADH7v48=")</f>
        <v>#VALUE!</v>
      </c>
      <c r="EO20" t="e">
        <f>AND('GA55 Entry'!O11,"AAAAADH7v5A=")</f>
        <v>#VALUE!</v>
      </c>
      <c r="EP20" t="e">
        <f>AND('GA55 Entry'!P11,"AAAAADH7v5E=")</f>
        <v>#VALUE!</v>
      </c>
      <c r="EQ20" t="e">
        <f>AND('GA55 Entry'!Q11,"AAAAADH7v5I=")</f>
        <v>#VALUE!</v>
      </c>
      <c r="ER20" t="e">
        <f>AND('GA55 Entry'!S11,"AAAAADH7v5M=")</f>
        <v>#VALUE!</v>
      </c>
      <c r="ES20" t="e">
        <f>AND('GA55 Entry'!#REF!,"AAAAADH7v5Q=")</f>
        <v>#REF!</v>
      </c>
      <c r="ET20" t="e">
        <f>AND('GA55 Entry'!T11,"AAAAADH7v5U=")</f>
        <v>#VALUE!</v>
      </c>
      <c r="EU20" t="e">
        <f>AND('GA55 Entry'!U11,"AAAAADH7v5Y=")</f>
        <v>#VALUE!</v>
      </c>
      <c r="EV20" t="e">
        <f>AND('GA55 Entry'!V11,"AAAAADH7v5c=")</f>
        <v>#VALUE!</v>
      </c>
      <c r="EW20" t="e">
        <f>AND('GA55 Entry'!#REF!,"AAAAADH7v5g=")</f>
        <v>#REF!</v>
      </c>
      <c r="EX20" t="e">
        <f>AND('GA55 Entry'!#REF!,"AAAAADH7v5k=")</f>
        <v>#REF!</v>
      </c>
      <c r="EY20" t="e">
        <f>AND('GA55 Entry'!X11,"AAAAADH7v5o=")</f>
        <v>#VALUE!</v>
      </c>
      <c r="EZ20" t="e">
        <f>AND('GA55 Entry'!Y11,"AAAAADH7v5s=")</f>
        <v>#VALUE!</v>
      </c>
      <c r="FA20" t="e">
        <f>AND('GA55 Entry'!#REF!,"AAAAADH7v5w=")</f>
        <v>#REF!</v>
      </c>
      <c r="FB20" t="e">
        <f>AND('GA55 Entry'!#REF!,"AAAAADH7v50=")</f>
        <v>#REF!</v>
      </c>
      <c r="FC20" t="e">
        <f>AND('GA55 Entry'!#REF!,"AAAAADH7v54=")</f>
        <v>#REF!</v>
      </c>
      <c r="FD20" t="e">
        <f>AND('GA55 Entry'!#REF!,"AAAAADH7v58=")</f>
        <v>#REF!</v>
      </c>
      <c r="FE20" t="e">
        <f>AND('GA55 Entry'!#REF!,"AAAAADH7v6A=")</f>
        <v>#REF!</v>
      </c>
      <c r="FF20" t="e">
        <f>AND('GA55 Entry'!#REF!,"AAAAADH7v6E=")</f>
        <v>#REF!</v>
      </c>
      <c r="FG20" t="e">
        <f>AND('GA55 Entry'!#REF!,"AAAAADH7v6I=")</f>
        <v>#REF!</v>
      </c>
      <c r="FH20" t="e">
        <f>AND('GA55 Entry'!#REF!,"AAAAADH7v6M=")</f>
        <v>#REF!</v>
      </c>
      <c r="FI20" t="e">
        <f>AND('GA55 Entry'!#REF!,"AAAAADH7v6Q=")</f>
        <v>#REF!</v>
      </c>
      <c r="FJ20" t="e">
        <f>AND('GA55 Entry'!Z11,"AAAAADH7v6U=")</f>
        <v>#VALUE!</v>
      </c>
      <c r="FK20" t="e">
        <f>AND('GA55 Entry'!AA11,"AAAAADH7v6Y=")</f>
        <v>#VALUE!</v>
      </c>
      <c r="FL20" t="e">
        <f>AND('GA55 Entry'!#REF!,"AAAAADH7v6c=")</f>
        <v>#REF!</v>
      </c>
      <c r="FM20" t="e">
        <f>AND('GA55 Entry'!#REF!,"AAAAADH7v6g=")</f>
        <v>#REF!</v>
      </c>
      <c r="FN20" t="e">
        <f>AND('GA55 Entry'!#REF!,"AAAAADH7v6k=")</f>
        <v>#REF!</v>
      </c>
      <c r="FO20" t="e">
        <f>AND('GA55 Entry'!AB11,"AAAAADH7v6o=")</f>
        <v>#VALUE!</v>
      </c>
      <c r="FP20" t="e">
        <f>AND('GA55 Entry'!AC11,"AAAAADH7v6s=")</f>
        <v>#VALUE!</v>
      </c>
      <c r="FQ20" t="e">
        <f>AND('GA55 Entry'!#REF!,"AAAAADH7v6w=")</f>
        <v>#REF!</v>
      </c>
      <c r="FR20" t="e">
        <f>IF('GA55 Entry'!#REF!,"AAAAADH7v60=",0)</f>
        <v>#REF!</v>
      </c>
      <c r="FS20" t="e">
        <f>AND('GA55 Entry'!#REF!,"AAAAADH7v64=")</f>
        <v>#REF!</v>
      </c>
      <c r="FT20" t="e">
        <f>AND('GA55 Entry'!#REF!,"AAAAADH7v68=")</f>
        <v>#REF!</v>
      </c>
      <c r="FU20" t="e">
        <f>AND('GA55 Entry'!#REF!,"AAAAADH7v7A=")</f>
        <v>#REF!</v>
      </c>
      <c r="FV20" t="e">
        <f>AND('GA55 Entry'!#REF!,"AAAAADH7v7E=")</f>
        <v>#REF!</v>
      </c>
      <c r="FW20" t="e">
        <f>AND('GA55 Entry'!#REF!,"AAAAADH7v7I=")</f>
        <v>#REF!</v>
      </c>
      <c r="FX20" t="e">
        <f>AND('GA55 Entry'!#REF!,"AAAAADH7v7M=")</f>
        <v>#REF!</v>
      </c>
      <c r="FY20" t="e">
        <f>AND('GA55 Entry'!#REF!,"AAAAADH7v7Q=")</f>
        <v>#REF!</v>
      </c>
      <c r="FZ20" t="e">
        <f>AND('GA55 Entry'!#REF!,"AAAAADH7v7U=")</f>
        <v>#REF!</v>
      </c>
      <c r="GA20" t="e">
        <f>AND('GA55 Entry'!#REF!,"AAAAADH7v7Y=")</f>
        <v>#REF!</v>
      </c>
      <c r="GB20" t="e">
        <f>AND('GA55 Entry'!#REF!,"AAAAADH7v7c=")</f>
        <v>#REF!</v>
      </c>
      <c r="GC20" t="e">
        <f>AND('GA55 Entry'!#REF!,"AAAAADH7v7g=")</f>
        <v>#REF!</v>
      </c>
      <c r="GD20" t="e">
        <f>AND('GA55 Entry'!#REF!,"AAAAADH7v7k=")</f>
        <v>#REF!</v>
      </c>
      <c r="GE20" t="e">
        <f>AND('GA55 Entry'!#REF!,"AAAAADH7v7o=")</f>
        <v>#REF!</v>
      </c>
      <c r="GF20" t="e">
        <f>AND('GA55 Entry'!#REF!,"AAAAADH7v7s=")</f>
        <v>#REF!</v>
      </c>
      <c r="GG20" t="e">
        <f>AND('GA55 Entry'!#REF!,"AAAAADH7v7w=")</f>
        <v>#REF!</v>
      </c>
      <c r="GH20" t="e">
        <f>AND('GA55 Entry'!#REF!,"AAAAADH7v70=")</f>
        <v>#REF!</v>
      </c>
      <c r="GI20" t="e">
        <f>AND('GA55 Entry'!#REF!,"AAAAADH7v74=")</f>
        <v>#REF!</v>
      </c>
      <c r="GJ20" t="e">
        <f>AND('GA55 Entry'!#REF!,"AAAAADH7v78=")</f>
        <v>#REF!</v>
      </c>
      <c r="GK20" t="e">
        <f>AND('GA55 Entry'!#REF!,"AAAAADH7v8A=")</f>
        <v>#REF!</v>
      </c>
      <c r="GL20" t="e">
        <f>AND('GA55 Entry'!#REF!,"AAAAADH7v8E=")</f>
        <v>#REF!</v>
      </c>
      <c r="GM20" t="e">
        <f>AND('GA55 Entry'!#REF!,"AAAAADH7v8I=")</f>
        <v>#REF!</v>
      </c>
      <c r="GN20" t="e">
        <f>AND('GA55 Entry'!#REF!,"AAAAADH7v8M=")</f>
        <v>#REF!</v>
      </c>
      <c r="GO20" t="e">
        <f>AND('GA55 Entry'!#REF!,"AAAAADH7v8Q=")</f>
        <v>#REF!</v>
      </c>
      <c r="GP20" t="e">
        <f>AND('GA55 Entry'!#REF!,"AAAAADH7v8U=")</f>
        <v>#REF!</v>
      </c>
      <c r="GQ20" t="e">
        <f>AND('GA55 Entry'!#REF!,"AAAAADH7v8Y=")</f>
        <v>#REF!</v>
      </c>
      <c r="GR20" t="e">
        <f>AND('GA55 Entry'!#REF!,"AAAAADH7v8c=")</f>
        <v>#REF!</v>
      </c>
      <c r="GS20" t="e">
        <f>AND('GA55 Entry'!#REF!,"AAAAADH7v8g=")</f>
        <v>#REF!</v>
      </c>
      <c r="GT20" t="e">
        <f>AND('GA55 Entry'!#REF!,"AAAAADH7v8k=")</f>
        <v>#REF!</v>
      </c>
      <c r="GU20" t="e">
        <f>AND('GA55 Entry'!#REF!,"AAAAADH7v8o=")</f>
        <v>#REF!</v>
      </c>
      <c r="GV20" t="e">
        <f>AND('GA55 Entry'!#REF!,"AAAAADH7v8s=")</f>
        <v>#REF!</v>
      </c>
      <c r="GW20" t="e">
        <f>AND('GA55 Entry'!#REF!,"AAAAADH7v8w=")</f>
        <v>#REF!</v>
      </c>
      <c r="GX20" t="e">
        <f>AND('GA55 Entry'!#REF!,"AAAAADH7v80=")</f>
        <v>#REF!</v>
      </c>
      <c r="GY20" t="e">
        <f>AND('GA55 Entry'!#REF!,"AAAAADH7v84=")</f>
        <v>#REF!</v>
      </c>
      <c r="GZ20" t="e">
        <f>AND('GA55 Entry'!#REF!,"AAAAADH7v88=")</f>
        <v>#REF!</v>
      </c>
      <c r="HA20" t="e">
        <f>AND('GA55 Entry'!#REF!,"AAAAADH7v9A=")</f>
        <v>#REF!</v>
      </c>
      <c r="HB20" t="e">
        <f>AND('GA55 Entry'!#REF!,"AAAAADH7v9E=")</f>
        <v>#REF!</v>
      </c>
      <c r="HC20" t="e">
        <f>AND('GA55 Entry'!#REF!,"AAAAADH7v9I=")</f>
        <v>#REF!</v>
      </c>
      <c r="HD20" t="e">
        <f>AND('GA55 Entry'!#REF!,"AAAAADH7v9M=")</f>
        <v>#REF!</v>
      </c>
      <c r="HE20" t="e">
        <f>AND('GA55 Entry'!#REF!,"AAAAADH7v9Q=")</f>
        <v>#REF!</v>
      </c>
      <c r="HF20" t="e">
        <f>AND('GA55 Entry'!#REF!,"AAAAADH7v9U=")</f>
        <v>#REF!</v>
      </c>
      <c r="HG20" t="e">
        <f>AND('GA55 Entry'!#REF!,"AAAAADH7v9Y=")</f>
        <v>#REF!</v>
      </c>
      <c r="HH20" t="e">
        <f>AND('GA55 Entry'!#REF!,"AAAAADH7v9c=")</f>
        <v>#REF!</v>
      </c>
      <c r="HI20" t="e">
        <f>AND('GA55 Entry'!#REF!,"AAAAADH7v9g=")</f>
        <v>#REF!</v>
      </c>
      <c r="HJ20" t="e">
        <f>AND('GA55 Entry'!#REF!,"AAAAADH7v9k=")</f>
        <v>#REF!</v>
      </c>
      <c r="HK20" t="e">
        <f>AND('GA55 Entry'!#REF!,"AAAAADH7v9o=")</f>
        <v>#REF!</v>
      </c>
      <c r="HL20" t="e">
        <f>AND('GA55 Entry'!#REF!,"AAAAADH7v9s=")</f>
        <v>#REF!</v>
      </c>
      <c r="HM20" t="e">
        <f>AND('GA55 Entry'!#REF!,"AAAAADH7v9w=")</f>
        <v>#REF!</v>
      </c>
      <c r="HN20" t="e">
        <f>AND('GA55 Entry'!#REF!,"AAAAADH7v90=")</f>
        <v>#REF!</v>
      </c>
      <c r="HO20" t="e">
        <f>AND('GA55 Entry'!#REF!,"AAAAADH7v94=")</f>
        <v>#REF!</v>
      </c>
      <c r="HP20" t="e">
        <f>AND('GA55 Entry'!#REF!,"AAAAADH7v98=")</f>
        <v>#REF!</v>
      </c>
      <c r="HQ20" t="e">
        <f>IF('GA55 Entry'!#REF!,"AAAAADH7v+A=",0)</f>
        <v>#REF!</v>
      </c>
      <c r="HR20" t="e">
        <f>AND('GA55 Entry'!#REF!,"AAAAADH7v+E=")</f>
        <v>#REF!</v>
      </c>
      <c r="HS20" t="e">
        <f>AND('GA55 Entry'!#REF!,"AAAAADH7v+I=")</f>
        <v>#REF!</v>
      </c>
      <c r="HT20" t="e">
        <f>AND('GA55 Entry'!#REF!,"AAAAADH7v+M=")</f>
        <v>#REF!</v>
      </c>
      <c r="HU20" t="e">
        <f>AND('GA55 Entry'!#REF!,"AAAAADH7v+Q=")</f>
        <v>#REF!</v>
      </c>
      <c r="HV20" t="e">
        <f>AND('GA55 Entry'!#REF!,"AAAAADH7v+U=")</f>
        <v>#REF!</v>
      </c>
      <c r="HW20" t="e">
        <f>AND('GA55 Entry'!#REF!,"AAAAADH7v+Y=")</f>
        <v>#REF!</v>
      </c>
      <c r="HX20" t="e">
        <f>AND('GA55 Entry'!#REF!,"AAAAADH7v+c=")</f>
        <v>#REF!</v>
      </c>
      <c r="HY20" t="e">
        <f>AND('GA55 Entry'!#REF!,"AAAAADH7v+g=")</f>
        <v>#REF!</v>
      </c>
      <c r="HZ20" t="e">
        <f>AND('GA55 Entry'!#REF!,"AAAAADH7v+k=")</f>
        <v>#REF!</v>
      </c>
      <c r="IA20" t="e">
        <f>AND('GA55 Entry'!#REF!,"AAAAADH7v+o=")</f>
        <v>#REF!</v>
      </c>
      <c r="IB20" t="e">
        <f>AND('GA55 Entry'!#REF!,"AAAAADH7v+s=")</f>
        <v>#REF!</v>
      </c>
      <c r="IC20" t="e">
        <f>AND('GA55 Entry'!#REF!,"AAAAADH7v+w=")</f>
        <v>#REF!</v>
      </c>
      <c r="ID20" t="e">
        <f>AND('GA55 Entry'!#REF!,"AAAAADH7v+0=")</f>
        <v>#REF!</v>
      </c>
      <c r="IE20" t="e">
        <f>AND('GA55 Entry'!#REF!,"AAAAADH7v+4=")</f>
        <v>#REF!</v>
      </c>
      <c r="IF20" t="e">
        <f>AND('GA55 Entry'!#REF!,"AAAAADH7v+8=")</f>
        <v>#REF!</v>
      </c>
      <c r="IG20" t="e">
        <f>AND('GA55 Entry'!#REF!,"AAAAADH7v/A=")</f>
        <v>#REF!</v>
      </c>
      <c r="IH20" t="e">
        <f>AND('GA55 Entry'!#REF!,"AAAAADH7v/E=")</f>
        <v>#REF!</v>
      </c>
      <c r="II20" t="e">
        <f>AND('GA55 Entry'!#REF!,"AAAAADH7v/I=")</f>
        <v>#REF!</v>
      </c>
      <c r="IJ20" t="e">
        <f>AND('GA55 Entry'!#REF!,"AAAAADH7v/M=")</f>
        <v>#REF!</v>
      </c>
      <c r="IK20" t="e">
        <f>AND('GA55 Entry'!#REF!,"AAAAADH7v/Q=")</f>
        <v>#REF!</v>
      </c>
      <c r="IL20" t="e">
        <f>AND('GA55 Entry'!#REF!,"AAAAADH7v/U=")</f>
        <v>#REF!</v>
      </c>
      <c r="IM20" t="e">
        <f>AND('GA55 Entry'!#REF!,"AAAAADH7v/Y=")</f>
        <v>#REF!</v>
      </c>
      <c r="IN20" t="e">
        <f>AND('GA55 Entry'!#REF!,"AAAAADH7v/c=")</f>
        <v>#REF!</v>
      </c>
      <c r="IO20" t="e">
        <f>AND('GA55 Entry'!#REF!,"AAAAADH7v/g=")</f>
        <v>#REF!</v>
      </c>
      <c r="IP20" t="e">
        <f>AND('GA55 Entry'!#REF!,"AAAAADH7v/k=")</f>
        <v>#REF!</v>
      </c>
      <c r="IQ20" t="e">
        <f>AND('GA55 Entry'!#REF!,"AAAAADH7v/o=")</f>
        <v>#REF!</v>
      </c>
      <c r="IR20" t="e">
        <f>AND('GA55 Entry'!#REF!,"AAAAADH7v/s=")</f>
        <v>#REF!</v>
      </c>
      <c r="IS20" t="e">
        <f>AND('GA55 Entry'!#REF!,"AAAAADH7v/w=")</f>
        <v>#REF!</v>
      </c>
      <c r="IT20" t="e">
        <f>AND('GA55 Entry'!#REF!,"AAAAADH7v/0=")</f>
        <v>#REF!</v>
      </c>
      <c r="IU20" t="e">
        <f>AND('GA55 Entry'!#REF!,"AAAAADH7v/4=")</f>
        <v>#REF!</v>
      </c>
      <c r="IV20" t="e">
        <f>AND('GA55 Entry'!#REF!,"AAAAADH7v/8=")</f>
        <v>#REF!</v>
      </c>
    </row>
    <row r="21" spans="1:256">
      <c r="A21" t="e">
        <f>AND('GA55 Entry'!#REF!,"AAAAAD7+bAA=")</f>
        <v>#REF!</v>
      </c>
      <c r="B21" t="e">
        <f>AND('GA55 Entry'!#REF!,"AAAAAD7+bAE=")</f>
        <v>#REF!</v>
      </c>
      <c r="C21" t="e">
        <f>AND('GA55 Entry'!#REF!,"AAAAAD7+bAI=")</f>
        <v>#REF!</v>
      </c>
      <c r="D21" t="e">
        <f>AND('GA55 Entry'!#REF!,"AAAAAD7+bAM=")</f>
        <v>#REF!</v>
      </c>
      <c r="E21" t="e">
        <f>AND('GA55 Entry'!#REF!,"AAAAAD7+bAQ=")</f>
        <v>#REF!</v>
      </c>
      <c r="F21" t="e">
        <f>AND('GA55 Entry'!#REF!,"AAAAAD7+bAU=")</f>
        <v>#REF!</v>
      </c>
      <c r="G21" t="e">
        <f>AND('GA55 Entry'!#REF!,"AAAAAD7+bAY=")</f>
        <v>#REF!</v>
      </c>
      <c r="H21" t="e">
        <f>AND('GA55 Entry'!#REF!,"AAAAAD7+bAc=")</f>
        <v>#REF!</v>
      </c>
      <c r="I21" t="e">
        <f>AND('GA55 Entry'!#REF!,"AAAAAD7+bAg=")</f>
        <v>#REF!</v>
      </c>
      <c r="J21" t="e">
        <f>AND('GA55 Entry'!#REF!,"AAAAAD7+bAk=")</f>
        <v>#REF!</v>
      </c>
      <c r="K21" t="e">
        <f>AND('GA55 Entry'!#REF!,"AAAAAD7+bAo=")</f>
        <v>#REF!</v>
      </c>
      <c r="L21" t="e">
        <f>AND('GA55 Entry'!#REF!,"AAAAAD7+bAs=")</f>
        <v>#REF!</v>
      </c>
      <c r="M21" t="e">
        <f>AND('GA55 Entry'!#REF!,"AAAAAD7+bAw=")</f>
        <v>#REF!</v>
      </c>
      <c r="N21" t="e">
        <f>AND('GA55 Entry'!#REF!,"AAAAAD7+bA0=")</f>
        <v>#REF!</v>
      </c>
      <c r="O21" t="e">
        <f>AND('GA55 Entry'!#REF!,"AAAAAD7+bA4=")</f>
        <v>#REF!</v>
      </c>
      <c r="P21" t="e">
        <f>AND('GA55 Entry'!#REF!,"AAAAAD7+bA8=")</f>
        <v>#REF!</v>
      </c>
      <c r="Q21" t="e">
        <f>AND('GA55 Entry'!#REF!,"AAAAAD7+bBA=")</f>
        <v>#REF!</v>
      </c>
      <c r="R21" t="e">
        <f>AND('GA55 Entry'!#REF!,"AAAAAD7+bBE=")</f>
        <v>#REF!</v>
      </c>
      <c r="S21" t="e">
        <f>AND('GA55 Entry'!#REF!,"AAAAAD7+bBI=")</f>
        <v>#REF!</v>
      </c>
      <c r="T21" t="e">
        <f>IF('GA55 Entry'!#REF!,"AAAAAD7+bBM=",0)</f>
        <v>#REF!</v>
      </c>
      <c r="U21" t="e">
        <f>AND('GA55 Entry'!#REF!,"AAAAAD7+bBQ=")</f>
        <v>#REF!</v>
      </c>
      <c r="V21" t="e">
        <f>AND('GA55 Entry'!#REF!,"AAAAAD7+bBU=")</f>
        <v>#REF!</v>
      </c>
      <c r="W21" t="e">
        <f>AND('GA55 Entry'!#REF!,"AAAAAD7+bBY=")</f>
        <v>#REF!</v>
      </c>
      <c r="X21" t="e">
        <f>AND('GA55 Entry'!#REF!,"AAAAAD7+bBc=")</f>
        <v>#REF!</v>
      </c>
      <c r="Y21" t="e">
        <f>AND('GA55 Entry'!#REF!,"AAAAAD7+bBg=")</f>
        <v>#REF!</v>
      </c>
      <c r="Z21" t="e">
        <f>AND('GA55 Entry'!#REF!,"AAAAAD7+bBk=")</f>
        <v>#REF!</v>
      </c>
      <c r="AA21" t="e">
        <f>AND('GA55 Entry'!#REF!,"AAAAAD7+bBo=")</f>
        <v>#REF!</v>
      </c>
      <c r="AB21" t="e">
        <f>AND('GA55 Entry'!#REF!,"AAAAAD7+bBs=")</f>
        <v>#REF!</v>
      </c>
      <c r="AC21" t="e">
        <f>AND('GA55 Entry'!#REF!,"AAAAAD7+bBw=")</f>
        <v>#REF!</v>
      </c>
      <c r="AD21" t="e">
        <f>AND('GA55 Entry'!#REF!,"AAAAAD7+bB0=")</f>
        <v>#REF!</v>
      </c>
      <c r="AE21" t="e">
        <f>AND('GA55 Entry'!#REF!,"AAAAAD7+bB4=")</f>
        <v>#REF!</v>
      </c>
      <c r="AF21" t="e">
        <f>AND('GA55 Entry'!#REF!,"AAAAAD7+bB8=")</f>
        <v>#REF!</v>
      </c>
      <c r="AG21" t="e">
        <f>AND('GA55 Entry'!#REF!,"AAAAAD7+bCA=")</f>
        <v>#REF!</v>
      </c>
      <c r="AH21" t="e">
        <f>AND('GA55 Entry'!#REF!,"AAAAAD7+bCE=")</f>
        <v>#REF!</v>
      </c>
      <c r="AI21" t="e">
        <f>AND('GA55 Entry'!#REF!,"AAAAAD7+bCI=")</f>
        <v>#REF!</v>
      </c>
      <c r="AJ21" t="e">
        <f>AND('GA55 Entry'!#REF!,"AAAAAD7+bCM=")</f>
        <v>#REF!</v>
      </c>
      <c r="AK21" t="e">
        <f>AND('GA55 Entry'!#REF!,"AAAAAD7+bCQ=")</f>
        <v>#REF!</v>
      </c>
      <c r="AL21" t="e">
        <f>AND('GA55 Entry'!#REF!,"AAAAAD7+bCU=")</f>
        <v>#REF!</v>
      </c>
      <c r="AM21" t="e">
        <f>AND('GA55 Entry'!#REF!,"AAAAAD7+bCY=")</f>
        <v>#REF!</v>
      </c>
      <c r="AN21" t="e">
        <f>AND('GA55 Entry'!#REF!,"AAAAAD7+bCc=")</f>
        <v>#REF!</v>
      </c>
      <c r="AO21" t="e">
        <f>AND('GA55 Entry'!#REF!,"AAAAAD7+bCg=")</f>
        <v>#REF!</v>
      </c>
      <c r="AP21" t="e">
        <f>AND('GA55 Entry'!#REF!,"AAAAAD7+bCk=")</f>
        <v>#REF!</v>
      </c>
      <c r="AQ21" t="e">
        <f>AND('GA55 Entry'!#REF!,"AAAAAD7+bCo=")</f>
        <v>#REF!</v>
      </c>
      <c r="AR21" t="e">
        <f>AND('GA55 Entry'!#REF!,"AAAAAD7+bCs=")</f>
        <v>#REF!</v>
      </c>
      <c r="AS21" t="e">
        <f>AND('GA55 Entry'!#REF!,"AAAAAD7+bCw=")</f>
        <v>#REF!</v>
      </c>
      <c r="AT21" t="e">
        <f>AND('GA55 Entry'!#REF!,"AAAAAD7+bC0=")</f>
        <v>#REF!</v>
      </c>
      <c r="AU21" t="e">
        <f>AND('GA55 Entry'!#REF!,"AAAAAD7+bC4=")</f>
        <v>#REF!</v>
      </c>
      <c r="AV21" t="e">
        <f>AND('GA55 Entry'!#REF!,"AAAAAD7+bC8=")</f>
        <v>#REF!</v>
      </c>
      <c r="AW21" t="e">
        <f>AND('GA55 Entry'!#REF!,"AAAAAD7+bDA=")</f>
        <v>#REF!</v>
      </c>
      <c r="AX21" t="e">
        <f>AND('GA55 Entry'!#REF!,"AAAAAD7+bDE=")</f>
        <v>#REF!</v>
      </c>
      <c r="AY21" t="e">
        <f>AND('GA55 Entry'!#REF!,"AAAAAD7+bDI=")</f>
        <v>#REF!</v>
      </c>
      <c r="AZ21" t="e">
        <f>AND('GA55 Entry'!#REF!,"AAAAAD7+bDM=")</f>
        <v>#REF!</v>
      </c>
      <c r="BA21" t="e">
        <f>AND('GA55 Entry'!#REF!,"AAAAAD7+bDQ=")</f>
        <v>#REF!</v>
      </c>
      <c r="BB21" t="e">
        <f>AND('GA55 Entry'!#REF!,"AAAAAD7+bDU=")</f>
        <v>#REF!</v>
      </c>
      <c r="BC21" t="e">
        <f>AND('GA55 Entry'!#REF!,"AAAAAD7+bDY=")</f>
        <v>#REF!</v>
      </c>
      <c r="BD21" t="e">
        <f>AND('GA55 Entry'!#REF!,"AAAAAD7+bDc=")</f>
        <v>#REF!</v>
      </c>
      <c r="BE21" t="e">
        <f>AND('GA55 Entry'!#REF!,"AAAAAD7+bDg=")</f>
        <v>#REF!</v>
      </c>
      <c r="BF21" t="e">
        <f>AND('GA55 Entry'!#REF!,"AAAAAD7+bDk=")</f>
        <v>#REF!</v>
      </c>
      <c r="BG21" t="e">
        <f>AND('GA55 Entry'!#REF!,"AAAAAD7+bDo=")</f>
        <v>#REF!</v>
      </c>
      <c r="BH21" t="e">
        <f>AND('GA55 Entry'!#REF!,"AAAAAD7+bDs=")</f>
        <v>#REF!</v>
      </c>
      <c r="BI21" t="e">
        <f>AND('GA55 Entry'!#REF!,"AAAAAD7+bDw=")</f>
        <v>#REF!</v>
      </c>
      <c r="BJ21" t="e">
        <f>AND('GA55 Entry'!#REF!,"AAAAAD7+bD0=")</f>
        <v>#REF!</v>
      </c>
      <c r="BK21" t="e">
        <f>AND('GA55 Entry'!#REF!,"AAAAAD7+bD4=")</f>
        <v>#REF!</v>
      </c>
      <c r="BL21" t="e">
        <f>AND('GA55 Entry'!#REF!,"AAAAAD7+bD8=")</f>
        <v>#REF!</v>
      </c>
      <c r="BM21" t="e">
        <f>AND('GA55 Entry'!#REF!,"AAAAAD7+bEA=")</f>
        <v>#REF!</v>
      </c>
      <c r="BN21" t="e">
        <f>AND('GA55 Entry'!#REF!,"AAAAAD7+bEE=")</f>
        <v>#REF!</v>
      </c>
      <c r="BO21" t="e">
        <f>AND('GA55 Entry'!#REF!,"AAAAAD7+bEI=")</f>
        <v>#REF!</v>
      </c>
      <c r="BP21" t="e">
        <f>AND('GA55 Entry'!#REF!,"AAAAAD7+bEM=")</f>
        <v>#REF!</v>
      </c>
      <c r="BQ21" t="e">
        <f>AND('GA55 Entry'!#REF!,"AAAAAD7+bEQ=")</f>
        <v>#REF!</v>
      </c>
      <c r="BR21" t="e">
        <f>AND('GA55 Entry'!#REF!,"AAAAAD7+bEU=")</f>
        <v>#REF!</v>
      </c>
      <c r="BS21" t="e">
        <f>IF('GA55 Entry'!#REF!,"AAAAAD7+bEY=",0)</f>
        <v>#REF!</v>
      </c>
      <c r="BT21" t="e">
        <f>AND('GA55 Entry'!#REF!,"AAAAAD7+bEc=")</f>
        <v>#REF!</v>
      </c>
      <c r="BU21" t="e">
        <f>AND('GA55 Entry'!#REF!,"AAAAAD7+bEg=")</f>
        <v>#REF!</v>
      </c>
      <c r="BV21" t="e">
        <f>AND('GA55 Entry'!#REF!,"AAAAAD7+bEk=")</f>
        <v>#REF!</v>
      </c>
      <c r="BW21" t="e">
        <f>AND('GA55 Entry'!#REF!,"AAAAAD7+bEo=")</f>
        <v>#REF!</v>
      </c>
      <c r="BX21" t="e">
        <f>AND('GA55 Entry'!#REF!,"AAAAAD7+bEs=")</f>
        <v>#REF!</v>
      </c>
      <c r="BY21" t="e">
        <f>AND('GA55 Entry'!#REF!,"AAAAAD7+bEw=")</f>
        <v>#REF!</v>
      </c>
      <c r="BZ21" t="e">
        <f>AND('GA55 Entry'!#REF!,"AAAAAD7+bE0=")</f>
        <v>#REF!</v>
      </c>
      <c r="CA21" t="e">
        <f>AND('GA55 Entry'!#REF!,"AAAAAD7+bE4=")</f>
        <v>#REF!</v>
      </c>
      <c r="CB21" t="e">
        <f>AND('GA55 Entry'!#REF!,"AAAAAD7+bE8=")</f>
        <v>#REF!</v>
      </c>
      <c r="CC21" t="e">
        <f>AND('GA55 Entry'!#REF!,"AAAAAD7+bFA=")</f>
        <v>#REF!</v>
      </c>
      <c r="CD21" t="e">
        <f>AND('GA55 Entry'!#REF!,"AAAAAD7+bFE=")</f>
        <v>#REF!</v>
      </c>
      <c r="CE21" t="e">
        <f>AND('GA55 Entry'!#REF!,"AAAAAD7+bFI=")</f>
        <v>#REF!</v>
      </c>
      <c r="CF21" t="e">
        <f>AND('GA55 Entry'!#REF!,"AAAAAD7+bFM=")</f>
        <v>#REF!</v>
      </c>
      <c r="CG21" t="e">
        <f>AND('GA55 Entry'!#REF!,"AAAAAD7+bFQ=")</f>
        <v>#REF!</v>
      </c>
      <c r="CH21" t="e">
        <f>AND('GA55 Entry'!#REF!,"AAAAAD7+bFU=")</f>
        <v>#REF!</v>
      </c>
      <c r="CI21" t="e">
        <f>AND('GA55 Entry'!#REF!,"AAAAAD7+bFY=")</f>
        <v>#REF!</v>
      </c>
      <c r="CJ21" t="e">
        <f>AND('GA55 Entry'!#REF!,"AAAAAD7+bFc=")</f>
        <v>#REF!</v>
      </c>
      <c r="CK21" t="e">
        <f>AND('GA55 Entry'!#REF!,"AAAAAD7+bFg=")</f>
        <v>#REF!</v>
      </c>
      <c r="CL21" t="e">
        <f>AND('GA55 Entry'!#REF!,"AAAAAD7+bFk=")</f>
        <v>#REF!</v>
      </c>
      <c r="CM21" t="e">
        <f>AND('GA55 Entry'!#REF!,"AAAAAD7+bFo=")</f>
        <v>#REF!</v>
      </c>
      <c r="CN21" t="e">
        <f>AND('GA55 Entry'!#REF!,"AAAAAD7+bFs=")</f>
        <v>#REF!</v>
      </c>
      <c r="CO21" t="e">
        <f>AND('GA55 Entry'!#REF!,"AAAAAD7+bFw=")</f>
        <v>#REF!</v>
      </c>
      <c r="CP21" t="e">
        <f>AND('GA55 Entry'!#REF!,"AAAAAD7+bF0=")</f>
        <v>#REF!</v>
      </c>
      <c r="CQ21" t="e">
        <f>AND('GA55 Entry'!#REF!,"AAAAAD7+bF4=")</f>
        <v>#REF!</v>
      </c>
      <c r="CR21" t="e">
        <f>AND('GA55 Entry'!#REF!,"AAAAAD7+bF8=")</f>
        <v>#REF!</v>
      </c>
      <c r="CS21" t="e">
        <f>AND('GA55 Entry'!#REF!,"AAAAAD7+bGA=")</f>
        <v>#REF!</v>
      </c>
      <c r="CT21" t="e">
        <f>AND('GA55 Entry'!#REF!,"AAAAAD7+bGE=")</f>
        <v>#REF!</v>
      </c>
      <c r="CU21" t="e">
        <f>AND('GA55 Entry'!#REF!,"AAAAAD7+bGI=")</f>
        <v>#REF!</v>
      </c>
      <c r="CV21" t="e">
        <f>AND('GA55 Entry'!#REF!,"AAAAAD7+bGM=")</f>
        <v>#REF!</v>
      </c>
      <c r="CW21" t="e">
        <f>AND('GA55 Entry'!#REF!,"AAAAAD7+bGQ=")</f>
        <v>#REF!</v>
      </c>
      <c r="CX21" t="e">
        <f>AND('GA55 Entry'!#REF!,"AAAAAD7+bGU=")</f>
        <v>#REF!</v>
      </c>
      <c r="CY21" t="e">
        <f>AND('GA55 Entry'!#REF!,"AAAAAD7+bGY=")</f>
        <v>#REF!</v>
      </c>
      <c r="CZ21" t="e">
        <f>AND('GA55 Entry'!#REF!,"AAAAAD7+bGc=")</f>
        <v>#REF!</v>
      </c>
      <c r="DA21" t="e">
        <f>AND('GA55 Entry'!#REF!,"AAAAAD7+bGg=")</f>
        <v>#REF!</v>
      </c>
      <c r="DB21" t="e">
        <f>AND('GA55 Entry'!#REF!,"AAAAAD7+bGk=")</f>
        <v>#REF!</v>
      </c>
      <c r="DC21" t="e">
        <f>AND('GA55 Entry'!#REF!,"AAAAAD7+bGo=")</f>
        <v>#REF!</v>
      </c>
      <c r="DD21" t="e">
        <f>AND('GA55 Entry'!#REF!,"AAAAAD7+bGs=")</f>
        <v>#REF!</v>
      </c>
      <c r="DE21" t="e">
        <f>AND('GA55 Entry'!#REF!,"AAAAAD7+bGw=")</f>
        <v>#REF!</v>
      </c>
      <c r="DF21" t="e">
        <f>AND('GA55 Entry'!#REF!,"AAAAAD7+bG0=")</f>
        <v>#REF!</v>
      </c>
      <c r="DG21" t="e">
        <f>AND('GA55 Entry'!#REF!,"AAAAAD7+bG4=")</f>
        <v>#REF!</v>
      </c>
      <c r="DH21" t="e">
        <f>AND('GA55 Entry'!#REF!,"AAAAAD7+bG8=")</f>
        <v>#REF!</v>
      </c>
      <c r="DI21" t="e">
        <f>AND('GA55 Entry'!#REF!,"AAAAAD7+bHA=")</f>
        <v>#REF!</v>
      </c>
      <c r="DJ21" t="e">
        <f>AND('GA55 Entry'!#REF!,"AAAAAD7+bHE=")</f>
        <v>#REF!</v>
      </c>
      <c r="DK21" t="e">
        <f>AND('GA55 Entry'!#REF!,"AAAAAD7+bHI=")</f>
        <v>#REF!</v>
      </c>
      <c r="DL21" t="e">
        <f>AND('GA55 Entry'!#REF!,"AAAAAD7+bHM=")</f>
        <v>#REF!</v>
      </c>
      <c r="DM21" t="e">
        <f>AND('GA55 Entry'!#REF!,"AAAAAD7+bHQ=")</f>
        <v>#REF!</v>
      </c>
      <c r="DN21" t="e">
        <f>AND('GA55 Entry'!#REF!,"AAAAAD7+bHU=")</f>
        <v>#REF!</v>
      </c>
      <c r="DO21" t="e">
        <f>AND('GA55 Entry'!#REF!,"AAAAAD7+bHY=")</f>
        <v>#REF!</v>
      </c>
      <c r="DP21" t="e">
        <f>AND('GA55 Entry'!#REF!,"AAAAAD7+bHc=")</f>
        <v>#REF!</v>
      </c>
      <c r="DQ21" t="e">
        <f>AND('GA55 Entry'!#REF!,"AAAAAD7+bHg=")</f>
        <v>#REF!</v>
      </c>
      <c r="DR21" t="e">
        <f>IF('GA55 Entry'!#REF!,"AAAAAD7+bHk=",0)</f>
        <v>#REF!</v>
      </c>
      <c r="DS21" t="e">
        <f>AND('GA55 Entry'!#REF!,"AAAAAD7+bHo=")</f>
        <v>#REF!</v>
      </c>
      <c r="DT21" t="e">
        <f>AND('GA55 Entry'!#REF!,"AAAAAD7+bHs=")</f>
        <v>#REF!</v>
      </c>
      <c r="DU21" t="e">
        <f>AND('GA55 Entry'!#REF!,"AAAAAD7+bHw=")</f>
        <v>#REF!</v>
      </c>
      <c r="DV21" t="e">
        <f>AND('GA55 Entry'!#REF!,"AAAAAD7+bH0=")</f>
        <v>#REF!</v>
      </c>
      <c r="DW21" t="e">
        <f>AND('GA55 Entry'!#REF!,"AAAAAD7+bH4=")</f>
        <v>#REF!</v>
      </c>
      <c r="DX21" t="e">
        <f>AND('GA55 Entry'!#REF!,"AAAAAD7+bH8=")</f>
        <v>#REF!</v>
      </c>
      <c r="DY21" t="e">
        <f>AND('GA55 Entry'!#REF!,"AAAAAD7+bIA=")</f>
        <v>#REF!</v>
      </c>
      <c r="DZ21" t="e">
        <f>AND('GA55 Entry'!#REF!,"AAAAAD7+bIE=")</f>
        <v>#REF!</v>
      </c>
      <c r="EA21" t="e">
        <f>AND('GA55 Entry'!#REF!,"AAAAAD7+bII=")</f>
        <v>#REF!</v>
      </c>
      <c r="EB21" t="e">
        <f>AND('GA55 Entry'!#REF!,"AAAAAD7+bIM=")</f>
        <v>#REF!</v>
      </c>
      <c r="EC21" t="e">
        <f>AND('GA55 Entry'!#REF!,"AAAAAD7+bIQ=")</f>
        <v>#REF!</v>
      </c>
      <c r="ED21" t="e">
        <f>AND('GA55 Entry'!#REF!,"AAAAAD7+bIU=")</f>
        <v>#REF!</v>
      </c>
      <c r="EE21" t="e">
        <f>AND('GA55 Entry'!#REF!,"AAAAAD7+bIY=")</f>
        <v>#REF!</v>
      </c>
      <c r="EF21" t="e">
        <f>AND('GA55 Entry'!#REF!,"AAAAAD7+bIc=")</f>
        <v>#REF!</v>
      </c>
      <c r="EG21" t="e">
        <f>AND('GA55 Entry'!#REF!,"AAAAAD7+bIg=")</f>
        <v>#REF!</v>
      </c>
      <c r="EH21" t="e">
        <f>AND('GA55 Entry'!#REF!,"AAAAAD7+bIk=")</f>
        <v>#REF!</v>
      </c>
      <c r="EI21" t="e">
        <f>AND('GA55 Entry'!#REF!,"AAAAAD7+bIo=")</f>
        <v>#REF!</v>
      </c>
      <c r="EJ21" t="e">
        <f>AND('GA55 Entry'!#REF!,"AAAAAD7+bIs=")</f>
        <v>#REF!</v>
      </c>
      <c r="EK21" t="e">
        <f>AND('GA55 Entry'!#REF!,"AAAAAD7+bIw=")</f>
        <v>#REF!</v>
      </c>
      <c r="EL21" t="e">
        <f>AND('GA55 Entry'!#REF!,"AAAAAD7+bI0=")</f>
        <v>#REF!</v>
      </c>
      <c r="EM21" t="e">
        <f>AND('GA55 Entry'!#REF!,"AAAAAD7+bI4=")</f>
        <v>#REF!</v>
      </c>
      <c r="EN21" t="e">
        <f>AND('GA55 Entry'!#REF!,"AAAAAD7+bI8=")</f>
        <v>#REF!</v>
      </c>
      <c r="EO21" t="e">
        <f>AND('GA55 Entry'!#REF!,"AAAAAD7+bJA=")</f>
        <v>#REF!</v>
      </c>
      <c r="EP21" t="e">
        <f>AND('GA55 Entry'!#REF!,"AAAAAD7+bJE=")</f>
        <v>#REF!</v>
      </c>
      <c r="EQ21" t="e">
        <f>AND('GA55 Entry'!#REF!,"AAAAAD7+bJI=")</f>
        <v>#REF!</v>
      </c>
      <c r="ER21" t="e">
        <f>AND('GA55 Entry'!#REF!,"AAAAAD7+bJM=")</f>
        <v>#REF!</v>
      </c>
      <c r="ES21" t="e">
        <f>AND('GA55 Entry'!#REF!,"AAAAAD7+bJQ=")</f>
        <v>#REF!</v>
      </c>
      <c r="ET21" t="e">
        <f>AND('GA55 Entry'!#REF!,"AAAAAD7+bJU=")</f>
        <v>#REF!</v>
      </c>
      <c r="EU21" t="e">
        <f>AND('GA55 Entry'!#REF!,"AAAAAD7+bJY=")</f>
        <v>#REF!</v>
      </c>
      <c r="EV21" t="e">
        <f>AND('GA55 Entry'!#REF!,"AAAAAD7+bJc=")</f>
        <v>#REF!</v>
      </c>
      <c r="EW21" t="e">
        <f>AND('GA55 Entry'!#REF!,"AAAAAD7+bJg=")</f>
        <v>#REF!</v>
      </c>
      <c r="EX21" t="e">
        <f>AND('GA55 Entry'!#REF!,"AAAAAD7+bJk=")</f>
        <v>#REF!</v>
      </c>
      <c r="EY21" t="e">
        <f>AND('GA55 Entry'!#REF!,"AAAAAD7+bJo=")</f>
        <v>#REF!</v>
      </c>
      <c r="EZ21" t="e">
        <f>AND('GA55 Entry'!#REF!,"AAAAAD7+bJs=")</f>
        <v>#REF!</v>
      </c>
      <c r="FA21" t="e">
        <f>AND('GA55 Entry'!#REF!,"AAAAAD7+bJw=")</f>
        <v>#REF!</v>
      </c>
      <c r="FB21" t="e">
        <f>AND('GA55 Entry'!#REF!,"AAAAAD7+bJ0=")</f>
        <v>#REF!</v>
      </c>
      <c r="FC21" t="e">
        <f>AND('GA55 Entry'!#REF!,"AAAAAD7+bJ4=")</f>
        <v>#REF!</v>
      </c>
      <c r="FD21" t="e">
        <f>AND('GA55 Entry'!#REF!,"AAAAAD7+bJ8=")</f>
        <v>#REF!</v>
      </c>
      <c r="FE21" t="e">
        <f>AND('GA55 Entry'!#REF!,"AAAAAD7+bKA=")</f>
        <v>#REF!</v>
      </c>
      <c r="FF21" t="e">
        <f>AND('GA55 Entry'!#REF!,"AAAAAD7+bKE=")</f>
        <v>#REF!</v>
      </c>
      <c r="FG21" t="e">
        <f>AND('GA55 Entry'!#REF!,"AAAAAD7+bKI=")</f>
        <v>#REF!</v>
      </c>
      <c r="FH21" t="e">
        <f>AND('GA55 Entry'!#REF!,"AAAAAD7+bKM=")</f>
        <v>#REF!</v>
      </c>
      <c r="FI21" t="e">
        <f>AND('GA55 Entry'!#REF!,"AAAAAD7+bKQ=")</f>
        <v>#REF!</v>
      </c>
      <c r="FJ21" t="e">
        <f>AND('GA55 Entry'!#REF!,"AAAAAD7+bKU=")</f>
        <v>#REF!</v>
      </c>
      <c r="FK21" t="e">
        <f>AND('GA55 Entry'!#REF!,"AAAAAD7+bKY=")</f>
        <v>#REF!</v>
      </c>
      <c r="FL21" t="e">
        <f>AND('GA55 Entry'!#REF!,"AAAAAD7+bKc=")</f>
        <v>#REF!</v>
      </c>
      <c r="FM21" t="e">
        <f>AND('GA55 Entry'!#REF!,"AAAAAD7+bKg=")</f>
        <v>#REF!</v>
      </c>
      <c r="FN21" t="e">
        <f>AND('GA55 Entry'!#REF!,"AAAAAD7+bKk=")</f>
        <v>#REF!</v>
      </c>
      <c r="FO21" t="e">
        <f>AND('GA55 Entry'!#REF!,"AAAAAD7+bKo=")</f>
        <v>#REF!</v>
      </c>
      <c r="FP21" t="e">
        <f>AND('GA55 Entry'!#REF!,"AAAAAD7+bKs=")</f>
        <v>#REF!</v>
      </c>
      <c r="FQ21" t="e">
        <f>IF('GA55 Entry'!#REF!,"AAAAAD7+bKw=",0)</f>
        <v>#REF!</v>
      </c>
      <c r="FR21" t="e">
        <f>AND('GA55 Entry'!#REF!,"AAAAAD7+bK0=")</f>
        <v>#REF!</v>
      </c>
      <c r="FS21" t="e">
        <f>AND('GA55 Entry'!#REF!,"AAAAAD7+bK4=")</f>
        <v>#REF!</v>
      </c>
      <c r="FT21" t="e">
        <f>AND('GA55 Entry'!#REF!,"AAAAAD7+bK8=")</f>
        <v>#REF!</v>
      </c>
      <c r="FU21" t="e">
        <f>AND('GA55 Entry'!#REF!,"AAAAAD7+bLA=")</f>
        <v>#REF!</v>
      </c>
      <c r="FV21" t="e">
        <f>AND('GA55 Entry'!#REF!,"AAAAAD7+bLE=")</f>
        <v>#REF!</v>
      </c>
      <c r="FW21" t="e">
        <f>AND('GA55 Entry'!#REF!,"AAAAAD7+bLI=")</f>
        <v>#REF!</v>
      </c>
      <c r="FX21" t="e">
        <f>AND('GA55 Entry'!#REF!,"AAAAAD7+bLM=")</f>
        <v>#REF!</v>
      </c>
      <c r="FY21" t="e">
        <f>AND('GA55 Entry'!#REF!,"AAAAAD7+bLQ=")</f>
        <v>#REF!</v>
      </c>
      <c r="FZ21" t="e">
        <f>AND('GA55 Entry'!#REF!,"AAAAAD7+bLU=")</f>
        <v>#REF!</v>
      </c>
      <c r="GA21" t="e">
        <f>AND('GA55 Entry'!#REF!,"AAAAAD7+bLY=")</f>
        <v>#REF!</v>
      </c>
      <c r="GB21" t="e">
        <f>AND('GA55 Entry'!#REF!,"AAAAAD7+bLc=")</f>
        <v>#REF!</v>
      </c>
      <c r="GC21" t="e">
        <f>AND('GA55 Entry'!#REF!,"AAAAAD7+bLg=")</f>
        <v>#REF!</v>
      </c>
      <c r="GD21" t="e">
        <f>AND('GA55 Entry'!#REF!,"AAAAAD7+bLk=")</f>
        <v>#REF!</v>
      </c>
      <c r="GE21" t="e">
        <f>AND('GA55 Entry'!#REF!,"AAAAAD7+bLo=")</f>
        <v>#REF!</v>
      </c>
      <c r="GF21" t="e">
        <f>AND('GA55 Entry'!#REF!,"AAAAAD7+bLs=")</f>
        <v>#REF!</v>
      </c>
      <c r="GG21" t="e">
        <f>AND('GA55 Entry'!#REF!,"AAAAAD7+bLw=")</f>
        <v>#REF!</v>
      </c>
      <c r="GH21" t="e">
        <f>AND('GA55 Entry'!#REF!,"AAAAAD7+bL0=")</f>
        <v>#REF!</v>
      </c>
      <c r="GI21" t="e">
        <f>AND('GA55 Entry'!#REF!,"AAAAAD7+bL4=")</f>
        <v>#REF!</v>
      </c>
      <c r="GJ21" t="e">
        <f>AND('GA55 Entry'!#REF!,"AAAAAD7+bL8=")</f>
        <v>#REF!</v>
      </c>
      <c r="GK21" t="e">
        <f>AND('GA55 Entry'!#REF!,"AAAAAD7+bMA=")</f>
        <v>#REF!</v>
      </c>
      <c r="GL21" t="e">
        <f>AND('GA55 Entry'!#REF!,"AAAAAD7+bME=")</f>
        <v>#REF!</v>
      </c>
      <c r="GM21" t="e">
        <f>AND('GA55 Entry'!#REF!,"AAAAAD7+bMI=")</f>
        <v>#REF!</v>
      </c>
      <c r="GN21" t="e">
        <f>AND('GA55 Entry'!#REF!,"AAAAAD7+bMM=")</f>
        <v>#REF!</v>
      </c>
      <c r="GO21" t="e">
        <f>AND('GA55 Entry'!#REF!,"AAAAAD7+bMQ=")</f>
        <v>#REF!</v>
      </c>
      <c r="GP21" t="e">
        <f>AND('GA55 Entry'!#REF!,"AAAAAD7+bMU=")</f>
        <v>#REF!</v>
      </c>
      <c r="GQ21" t="e">
        <f>AND('GA55 Entry'!#REF!,"AAAAAD7+bMY=")</f>
        <v>#REF!</v>
      </c>
      <c r="GR21" t="e">
        <f>AND('GA55 Entry'!#REF!,"AAAAAD7+bMc=")</f>
        <v>#REF!</v>
      </c>
      <c r="GS21" t="e">
        <f>AND('GA55 Entry'!#REF!,"AAAAAD7+bMg=")</f>
        <v>#REF!</v>
      </c>
      <c r="GT21" t="e">
        <f>AND('GA55 Entry'!#REF!,"AAAAAD7+bMk=")</f>
        <v>#REF!</v>
      </c>
      <c r="GU21" t="e">
        <f>AND('GA55 Entry'!#REF!,"AAAAAD7+bMo=")</f>
        <v>#REF!</v>
      </c>
      <c r="GV21" t="e">
        <f>AND('GA55 Entry'!#REF!,"AAAAAD7+bMs=")</f>
        <v>#REF!</v>
      </c>
      <c r="GW21" t="e">
        <f>AND('GA55 Entry'!#REF!,"AAAAAD7+bMw=")</f>
        <v>#REF!</v>
      </c>
      <c r="GX21" t="e">
        <f>AND('GA55 Entry'!#REF!,"AAAAAD7+bM0=")</f>
        <v>#REF!</v>
      </c>
      <c r="GY21" t="e">
        <f>AND('GA55 Entry'!#REF!,"AAAAAD7+bM4=")</f>
        <v>#REF!</v>
      </c>
      <c r="GZ21" t="e">
        <f>AND('GA55 Entry'!#REF!,"AAAAAD7+bM8=")</f>
        <v>#REF!</v>
      </c>
      <c r="HA21" t="e">
        <f>AND('GA55 Entry'!#REF!,"AAAAAD7+bNA=")</f>
        <v>#REF!</v>
      </c>
      <c r="HB21" t="e">
        <f>AND('GA55 Entry'!#REF!,"AAAAAD7+bNE=")</f>
        <v>#REF!</v>
      </c>
      <c r="HC21" t="e">
        <f>AND('GA55 Entry'!#REF!,"AAAAAD7+bNI=")</f>
        <v>#REF!</v>
      </c>
      <c r="HD21" t="e">
        <f>AND('GA55 Entry'!#REF!,"AAAAAD7+bNM=")</f>
        <v>#REF!</v>
      </c>
      <c r="HE21" t="e">
        <f>AND('GA55 Entry'!#REF!,"AAAAAD7+bNQ=")</f>
        <v>#REF!</v>
      </c>
      <c r="HF21" t="e">
        <f>AND('GA55 Entry'!#REF!,"AAAAAD7+bNU=")</f>
        <v>#REF!</v>
      </c>
      <c r="HG21" t="e">
        <f>AND('GA55 Entry'!#REF!,"AAAAAD7+bNY=")</f>
        <v>#REF!</v>
      </c>
      <c r="HH21" t="e">
        <f>AND('GA55 Entry'!#REF!,"AAAAAD7+bNc=")</f>
        <v>#REF!</v>
      </c>
      <c r="HI21" t="e">
        <f>AND('GA55 Entry'!#REF!,"AAAAAD7+bNg=")</f>
        <v>#REF!</v>
      </c>
      <c r="HJ21" t="e">
        <f>AND('GA55 Entry'!#REF!,"AAAAAD7+bNk=")</f>
        <v>#REF!</v>
      </c>
      <c r="HK21" t="e">
        <f>AND('GA55 Entry'!#REF!,"AAAAAD7+bNo=")</f>
        <v>#REF!</v>
      </c>
      <c r="HL21" t="e">
        <f>AND('GA55 Entry'!#REF!,"AAAAAD7+bNs=")</f>
        <v>#REF!</v>
      </c>
      <c r="HM21" t="e">
        <f>AND('GA55 Entry'!#REF!,"AAAAAD7+bNw=")</f>
        <v>#REF!</v>
      </c>
      <c r="HN21" t="e">
        <f>AND('GA55 Entry'!#REF!,"AAAAAD7+bN0=")</f>
        <v>#REF!</v>
      </c>
      <c r="HO21" t="e">
        <f>AND('GA55 Entry'!#REF!,"AAAAAD7+bN4=")</f>
        <v>#REF!</v>
      </c>
      <c r="HP21" t="e">
        <f>IF('GA55 Entry'!#REF!,"AAAAAD7+bN8=",0)</f>
        <v>#REF!</v>
      </c>
      <c r="HQ21" t="e">
        <f>AND('GA55 Entry'!#REF!,"AAAAAD7+bOA=")</f>
        <v>#REF!</v>
      </c>
      <c r="HR21" t="e">
        <f>AND('GA55 Entry'!#REF!,"AAAAAD7+bOE=")</f>
        <v>#REF!</v>
      </c>
      <c r="HS21" t="e">
        <f>AND('GA55 Entry'!#REF!,"AAAAAD7+bOI=")</f>
        <v>#REF!</v>
      </c>
      <c r="HT21" t="e">
        <f>AND('GA55 Entry'!#REF!,"AAAAAD7+bOM=")</f>
        <v>#REF!</v>
      </c>
      <c r="HU21" t="e">
        <f>AND('GA55 Entry'!#REF!,"AAAAAD7+bOQ=")</f>
        <v>#REF!</v>
      </c>
      <c r="HV21" t="e">
        <f>AND('GA55 Entry'!#REF!,"AAAAAD7+bOU=")</f>
        <v>#REF!</v>
      </c>
      <c r="HW21" t="e">
        <f>AND('GA55 Entry'!#REF!,"AAAAAD7+bOY=")</f>
        <v>#REF!</v>
      </c>
      <c r="HX21" t="e">
        <f>AND('GA55 Entry'!#REF!,"AAAAAD7+bOc=")</f>
        <v>#REF!</v>
      </c>
      <c r="HY21" t="e">
        <f>AND('GA55 Entry'!#REF!,"AAAAAD7+bOg=")</f>
        <v>#REF!</v>
      </c>
      <c r="HZ21" t="e">
        <f>AND('GA55 Entry'!#REF!,"AAAAAD7+bOk=")</f>
        <v>#REF!</v>
      </c>
      <c r="IA21" t="e">
        <f>AND('GA55 Entry'!#REF!,"AAAAAD7+bOo=")</f>
        <v>#REF!</v>
      </c>
      <c r="IB21" t="e">
        <f>AND('GA55 Entry'!#REF!,"AAAAAD7+bOs=")</f>
        <v>#REF!</v>
      </c>
      <c r="IC21" t="e">
        <f>AND('GA55 Entry'!#REF!,"AAAAAD7+bOw=")</f>
        <v>#REF!</v>
      </c>
      <c r="ID21" t="e">
        <f>AND('GA55 Entry'!#REF!,"AAAAAD7+bO0=")</f>
        <v>#REF!</v>
      </c>
      <c r="IE21" t="e">
        <f>AND('GA55 Entry'!#REF!,"AAAAAD7+bO4=")</f>
        <v>#REF!</v>
      </c>
      <c r="IF21" t="e">
        <f>AND('GA55 Entry'!#REF!,"AAAAAD7+bO8=")</f>
        <v>#REF!</v>
      </c>
      <c r="IG21" t="e">
        <f>AND('GA55 Entry'!#REF!,"AAAAAD7+bPA=")</f>
        <v>#REF!</v>
      </c>
      <c r="IH21" t="e">
        <f>AND('GA55 Entry'!#REF!,"AAAAAD7+bPE=")</f>
        <v>#REF!</v>
      </c>
      <c r="II21" t="e">
        <f>AND('GA55 Entry'!#REF!,"AAAAAD7+bPI=")</f>
        <v>#REF!</v>
      </c>
      <c r="IJ21" t="e">
        <f>AND('GA55 Entry'!#REF!,"AAAAAD7+bPM=")</f>
        <v>#REF!</v>
      </c>
      <c r="IK21" t="e">
        <f>AND('GA55 Entry'!#REF!,"AAAAAD7+bPQ=")</f>
        <v>#REF!</v>
      </c>
      <c r="IL21" t="e">
        <f>AND('GA55 Entry'!#REF!,"AAAAAD7+bPU=")</f>
        <v>#REF!</v>
      </c>
      <c r="IM21" t="e">
        <f>AND('GA55 Entry'!#REF!,"AAAAAD7+bPY=")</f>
        <v>#REF!</v>
      </c>
      <c r="IN21" t="e">
        <f>AND('GA55 Entry'!#REF!,"AAAAAD7+bPc=")</f>
        <v>#REF!</v>
      </c>
      <c r="IO21" t="e">
        <f>AND('GA55 Entry'!#REF!,"AAAAAD7+bPg=")</f>
        <v>#REF!</v>
      </c>
      <c r="IP21" t="e">
        <f>AND('GA55 Entry'!#REF!,"AAAAAD7+bPk=")</f>
        <v>#REF!</v>
      </c>
      <c r="IQ21" t="e">
        <f>AND('GA55 Entry'!#REF!,"AAAAAD7+bPo=")</f>
        <v>#REF!</v>
      </c>
      <c r="IR21" t="e">
        <f>AND('GA55 Entry'!#REF!,"AAAAAD7+bPs=")</f>
        <v>#REF!</v>
      </c>
      <c r="IS21" t="e">
        <f>AND('GA55 Entry'!#REF!,"AAAAAD7+bPw=")</f>
        <v>#REF!</v>
      </c>
      <c r="IT21" t="e">
        <f>AND('GA55 Entry'!#REF!,"AAAAAD7+bP0=")</f>
        <v>#REF!</v>
      </c>
      <c r="IU21" t="e">
        <f>AND('GA55 Entry'!#REF!,"AAAAAD7+bP4=")</f>
        <v>#REF!</v>
      </c>
      <c r="IV21" t="e">
        <f>AND('GA55 Entry'!#REF!,"AAAAAD7+bP8=")</f>
        <v>#REF!</v>
      </c>
    </row>
    <row r="22" spans="1:256">
      <c r="A22" t="e">
        <f>AND('GA55 Entry'!#REF!,"AAAAAD9VdwA=")</f>
        <v>#REF!</v>
      </c>
      <c r="B22" t="e">
        <f>AND('GA55 Entry'!#REF!,"AAAAAD9VdwE=")</f>
        <v>#REF!</v>
      </c>
      <c r="C22" t="e">
        <f>AND('GA55 Entry'!#REF!,"AAAAAD9VdwI=")</f>
        <v>#REF!</v>
      </c>
      <c r="D22" t="e">
        <f>AND('GA55 Entry'!#REF!,"AAAAAD9VdwM=")</f>
        <v>#REF!</v>
      </c>
      <c r="E22" t="e">
        <f>AND('GA55 Entry'!#REF!,"AAAAAD9VdwQ=")</f>
        <v>#REF!</v>
      </c>
      <c r="F22" t="e">
        <f>AND('GA55 Entry'!#REF!,"AAAAAD9VdwU=")</f>
        <v>#REF!</v>
      </c>
      <c r="G22" t="e">
        <f>AND('GA55 Entry'!#REF!,"AAAAAD9VdwY=")</f>
        <v>#REF!</v>
      </c>
      <c r="H22" t="e">
        <f>AND('GA55 Entry'!#REF!,"AAAAAD9Vdwc=")</f>
        <v>#REF!</v>
      </c>
      <c r="I22" t="e">
        <f>AND('GA55 Entry'!#REF!,"AAAAAD9Vdwg=")</f>
        <v>#REF!</v>
      </c>
      <c r="J22" t="e">
        <f>AND('GA55 Entry'!#REF!,"AAAAAD9Vdwk=")</f>
        <v>#REF!</v>
      </c>
      <c r="K22" t="e">
        <f>AND('GA55 Entry'!#REF!,"AAAAAD9Vdwo=")</f>
        <v>#REF!</v>
      </c>
      <c r="L22" t="e">
        <f>AND('GA55 Entry'!#REF!,"AAAAAD9Vdws=")</f>
        <v>#REF!</v>
      </c>
      <c r="M22" t="e">
        <f>AND('GA55 Entry'!#REF!,"AAAAAD9Vdww=")</f>
        <v>#REF!</v>
      </c>
      <c r="N22" t="e">
        <f>AND('GA55 Entry'!#REF!,"AAAAAD9Vdw0=")</f>
        <v>#REF!</v>
      </c>
      <c r="O22" t="e">
        <f>AND('GA55 Entry'!#REF!,"AAAAAD9Vdw4=")</f>
        <v>#REF!</v>
      </c>
      <c r="P22" t="e">
        <f>AND('GA55 Entry'!#REF!,"AAAAAD9Vdw8=")</f>
        <v>#REF!</v>
      </c>
      <c r="Q22" t="e">
        <f>AND('GA55 Entry'!#REF!,"AAAAAD9VdxA=")</f>
        <v>#REF!</v>
      </c>
      <c r="R22" t="e">
        <f>AND('GA55 Entry'!#REF!,"AAAAAD9VdxE=")</f>
        <v>#REF!</v>
      </c>
      <c r="S22" t="e">
        <f>IF('GA55 Entry'!#REF!,"AAAAAD9VdxI=",0)</f>
        <v>#REF!</v>
      </c>
      <c r="T22" t="e">
        <f>AND('GA55 Entry'!#REF!,"AAAAAD9VdxM=")</f>
        <v>#REF!</v>
      </c>
      <c r="U22" t="e">
        <f>AND('GA55 Entry'!#REF!,"AAAAAD9VdxQ=")</f>
        <v>#REF!</v>
      </c>
      <c r="V22" t="e">
        <f>AND('GA55 Entry'!#REF!,"AAAAAD9VdxU=")</f>
        <v>#REF!</v>
      </c>
      <c r="W22" t="e">
        <f>AND('GA55 Entry'!#REF!,"AAAAAD9VdxY=")</f>
        <v>#REF!</v>
      </c>
      <c r="X22" t="e">
        <f>AND('GA55 Entry'!#REF!,"AAAAAD9Vdxc=")</f>
        <v>#REF!</v>
      </c>
      <c r="Y22" t="e">
        <f>AND('GA55 Entry'!#REF!,"AAAAAD9Vdxg=")</f>
        <v>#REF!</v>
      </c>
      <c r="Z22" t="e">
        <f>AND('GA55 Entry'!#REF!,"AAAAAD9Vdxk=")</f>
        <v>#REF!</v>
      </c>
      <c r="AA22" t="e">
        <f>AND('GA55 Entry'!#REF!,"AAAAAD9Vdxo=")</f>
        <v>#REF!</v>
      </c>
      <c r="AB22" t="e">
        <f>AND('GA55 Entry'!#REF!,"AAAAAD9Vdxs=")</f>
        <v>#REF!</v>
      </c>
      <c r="AC22" t="e">
        <f>AND('GA55 Entry'!#REF!,"AAAAAD9Vdxw=")</f>
        <v>#REF!</v>
      </c>
      <c r="AD22" t="e">
        <f>AND('GA55 Entry'!#REF!,"AAAAAD9Vdx0=")</f>
        <v>#REF!</v>
      </c>
      <c r="AE22" t="e">
        <f>AND('GA55 Entry'!#REF!,"AAAAAD9Vdx4=")</f>
        <v>#REF!</v>
      </c>
      <c r="AF22" t="e">
        <f>AND('GA55 Entry'!#REF!,"AAAAAD9Vdx8=")</f>
        <v>#REF!</v>
      </c>
      <c r="AG22" t="e">
        <f>AND('GA55 Entry'!#REF!,"AAAAAD9VdyA=")</f>
        <v>#REF!</v>
      </c>
      <c r="AH22" t="e">
        <f>AND('GA55 Entry'!#REF!,"AAAAAD9VdyE=")</f>
        <v>#REF!</v>
      </c>
      <c r="AI22" t="e">
        <f>AND('GA55 Entry'!#REF!,"AAAAAD9VdyI=")</f>
        <v>#REF!</v>
      </c>
      <c r="AJ22" t="e">
        <f>AND('GA55 Entry'!#REF!,"AAAAAD9VdyM=")</f>
        <v>#REF!</v>
      </c>
      <c r="AK22" t="e">
        <f>AND('GA55 Entry'!#REF!,"AAAAAD9VdyQ=")</f>
        <v>#REF!</v>
      </c>
      <c r="AL22" t="e">
        <f>AND('GA55 Entry'!#REF!,"AAAAAD9VdyU=")</f>
        <v>#REF!</v>
      </c>
      <c r="AM22" t="e">
        <f>AND('GA55 Entry'!#REF!,"AAAAAD9VdyY=")</f>
        <v>#REF!</v>
      </c>
      <c r="AN22" t="e">
        <f>AND('GA55 Entry'!#REF!,"AAAAAD9Vdyc=")</f>
        <v>#REF!</v>
      </c>
      <c r="AO22" t="e">
        <f>AND('GA55 Entry'!#REF!,"AAAAAD9Vdyg=")</f>
        <v>#REF!</v>
      </c>
      <c r="AP22" t="e">
        <f>AND('GA55 Entry'!#REF!,"AAAAAD9Vdyk=")</f>
        <v>#REF!</v>
      </c>
      <c r="AQ22" t="e">
        <f>AND('GA55 Entry'!#REF!,"AAAAAD9Vdyo=")</f>
        <v>#REF!</v>
      </c>
      <c r="AR22" t="e">
        <f>AND('GA55 Entry'!#REF!,"AAAAAD9Vdys=")</f>
        <v>#REF!</v>
      </c>
      <c r="AS22" t="e">
        <f>AND('GA55 Entry'!#REF!,"AAAAAD9Vdyw=")</f>
        <v>#REF!</v>
      </c>
      <c r="AT22" t="e">
        <f>AND('GA55 Entry'!#REF!,"AAAAAD9Vdy0=")</f>
        <v>#REF!</v>
      </c>
      <c r="AU22" t="e">
        <f>AND('GA55 Entry'!#REF!,"AAAAAD9Vdy4=")</f>
        <v>#REF!</v>
      </c>
      <c r="AV22" t="e">
        <f>AND('GA55 Entry'!#REF!,"AAAAAD9Vdy8=")</f>
        <v>#REF!</v>
      </c>
      <c r="AW22" t="e">
        <f>AND('GA55 Entry'!#REF!,"AAAAAD9VdzA=")</f>
        <v>#REF!</v>
      </c>
      <c r="AX22" t="e">
        <f>AND('GA55 Entry'!#REF!,"AAAAAD9VdzE=")</f>
        <v>#REF!</v>
      </c>
      <c r="AY22" t="e">
        <f>AND('GA55 Entry'!#REF!,"AAAAAD9VdzI=")</f>
        <v>#REF!</v>
      </c>
      <c r="AZ22" t="e">
        <f>AND('GA55 Entry'!#REF!,"AAAAAD9VdzM=")</f>
        <v>#REF!</v>
      </c>
      <c r="BA22" t="e">
        <f>AND('GA55 Entry'!#REF!,"AAAAAD9VdzQ=")</f>
        <v>#REF!</v>
      </c>
      <c r="BB22" t="e">
        <f>AND('GA55 Entry'!#REF!,"AAAAAD9VdzU=")</f>
        <v>#REF!</v>
      </c>
      <c r="BC22" t="e">
        <f>AND('GA55 Entry'!#REF!,"AAAAAD9VdzY=")</f>
        <v>#REF!</v>
      </c>
      <c r="BD22" t="e">
        <f>AND('GA55 Entry'!#REF!,"AAAAAD9Vdzc=")</f>
        <v>#REF!</v>
      </c>
      <c r="BE22" t="e">
        <f>AND('GA55 Entry'!#REF!,"AAAAAD9Vdzg=")</f>
        <v>#REF!</v>
      </c>
      <c r="BF22" t="e">
        <f>AND('GA55 Entry'!#REF!,"AAAAAD9Vdzk=")</f>
        <v>#REF!</v>
      </c>
      <c r="BG22" t="e">
        <f>AND('GA55 Entry'!#REF!,"AAAAAD9Vdzo=")</f>
        <v>#REF!</v>
      </c>
      <c r="BH22" t="e">
        <f>AND('GA55 Entry'!#REF!,"AAAAAD9Vdzs=")</f>
        <v>#REF!</v>
      </c>
      <c r="BI22" t="e">
        <f>AND('GA55 Entry'!#REF!,"AAAAAD9Vdzw=")</f>
        <v>#REF!</v>
      </c>
      <c r="BJ22" t="e">
        <f>AND('GA55 Entry'!#REF!,"AAAAAD9Vdz0=")</f>
        <v>#REF!</v>
      </c>
      <c r="BK22" t="e">
        <f>AND('GA55 Entry'!#REF!,"AAAAAD9Vdz4=")</f>
        <v>#REF!</v>
      </c>
      <c r="BL22" t="e">
        <f>AND('GA55 Entry'!#REF!,"AAAAAD9Vdz8=")</f>
        <v>#REF!</v>
      </c>
      <c r="BM22" t="e">
        <f>AND('GA55 Entry'!#REF!,"AAAAAD9Vd0A=")</f>
        <v>#REF!</v>
      </c>
      <c r="BN22" t="e">
        <f>AND('GA55 Entry'!#REF!,"AAAAAD9Vd0E=")</f>
        <v>#REF!</v>
      </c>
      <c r="BO22" t="e">
        <f>AND('GA55 Entry'!#REF!,"AAAAAD9Vd0I=")</f>
        <v>#REF!</v>
      </c>
      <c r="BP22" t="e">
        <f>AND('GA55 Entry'!#REF!,"AAAAAD9Vd0M=")</f>
        <v>#REF!</v>
      </c>
      <c r="BQ22" t="e">
        <f>AND('GA55 Entry'!#REF!,"AAAAAD9Vd0Q=")</f>
        <v>#REF!</v>
      </c>
      <c r="BR22" t="e">
        <f>IF('GA55 Entry'!#REF!,"AAAAAD9Vd0U=",0)</f>
        <v>#REF!</v>
      </c>
      <c r="BS22" t="e">
        <f>AND('GA55 Entry'!#REF!,"AAAAAD9Vd0Y=")</f>
        <v>#REF!</v>
      </c>
      <c r="BT22" t="e">
        <f>AND('GA55 Entry'!#REF!,"AAAAAD9Vd0c=")</f>
        <v>#REF!</v>
      </c>
      <c r="BU22" t="e">
        <f>AND('GA55 Entry'!#REF!,"AAAAAD9Vd0g=")</f>
        <v>#REF!</v>
      </c>
      <c r="BV22" t="e">
        <f>AND('GA55 Entry'!#REF!,"AAAAAD9Vd0k=")</f>
        <v>#REF!</v>
      </c>
      <c r="BW22" t="e">
        <f>AND('GA55 Entry'!#REF!,"AAAAAD9Vd0o=")</f>
        <v>#REF!</v>
      </c>
      <c r="BX22" t="e">
        <f>AND('GA55 Entry'!#REF!,"AAAAAD9Vd0s=")</f>
        <v>#REF!</v>
      </c>
      <c r="BY22" t="e">
        <f>AND('GA55 Entry'!#REF!,"AAAAAD9Vd0w=")</f>
        <v>#REF!</v>
      </c>
      <c r="BZ22" t="e">
        <f>AND('GA55 Entry'!#REF!,"AAAAAD9Vd00=")</f>
        <v>#REF!</v>
      </c>
      <c r="CA22" t="e">
        <f>AND('GA55 Entry'!#REF!,"AAAAAD9Vd04=")</f>
        <v>#REF!</v>
      </c>
      <c r="CB22" t="e">
        <f>AND('GA55 Entry'!#REF!,"AAAAAD9Vd08=")</f>
        <v>#REF!</v>
      </c>
      <c r="CC22" t="e">
        <f>AND('GA55 Entry'!#REF!,"AAAAAD9Vd1A=")</f>
        <v>#REF!</v>
      </c>
      <c r="CD22" t="e">
        <f>AND('GA55 Entry'!#REF!,"AAAAAD9Vd1E=")</f>
        <v>#REF!</v>
      </c>
      <c r="CE22" t="e">
        <f>AND('GA55 Entry'!#REF!,"AAAAAD9Vd1I=")</f>
        <v>#REF!</v>
      </c>
      <c r="CF22" t="e">
        <f>AND('GA55 Entry'!#REF!,"AAAAAD9Vd1M=")</f>
        <v>#REF!</v>
      </c>
      <c r="CG22" t="e">
        <f>AND('GA55 Entry'!#REF!,"AAAAAD9Vd1Q=")</f>
        <v>#REF!</v>
      </c>
      <c r="CH22" t="e">
        <f>AND('GA55 Entry'!#REF!,"AAAAAD9Vd1U=")</f>
        <v>#REF!</v>
      </c>
      <c r="CI22" t="e">
        <f>AND('GA55 Entry'!#REF!,"AAAAAD9Vd1Y=")</f>
        <v>#REF!</v>
      </c>
      <c r="CJ22" t="e">
        <f>AND('GA55 Entry'!#REF!,"AAAAAD9Vd1c=")</f>
        <v>#REF!</v>
      </c>
      <c r="CK22" t="e">
        <f>AND('GA55 Entry'!#REF!,"AAAAAD9Vd1g=")</f>
        <v>#REF!</v>
      </c>
      <c r="CL22" t="e">
        <f>AND('GA55 Entry'!#REF!,"AAAAAD9Vd1k=")</f>
        <v>#REF!</v>
      </c>
      <c r="CM22" t="e">
        <f>AND('GA55 Entry'!#REF!,"AAAAAD9Vd1o=")</f>
        <v>#REF!</v>
      </c>
      <c r="CN22" t="e">
        <f>AND('GA55 Entry'!#REF!,"AAAAAD9Vd1s=")</f>
        <v>#REF!</v>
      </c>
      <c r="CO22" t="e">
        <f>AND('GA55 Entry'!#REF!,"AAAAAD9Vd1w=")</f>
        <v>#REF!</v>
      </c>
      <c r="CP22" t="e">
        <f>AND('GA55 Entry'!#REF!,"AAAAAD9Vd10=")</f>
        <v>#REF!</v>
      </c>
      <c r="CQ22" t="e">
        <f>AND('GA55 Entry'!#REF!,"AAAAAD9Vd14=")</f>
        <v>#REF!</v>
      </c>
      <c r="CR22" t="e">
        <f>AND('GA55 Entry'!#REF!,"AAAAAD9Vd18=")</f>
        <v>#REF!</v>
      </c>
      <c r="CS22" t="e">
        <f>AND('GA55 Entry'!#REF!,"AAAAAD9Vd2A=")</f>
        <v>#REF!</v>
      </c>
      <c r="CT22" t="e">
        <f>AND('GA55 Entry'!#REF!,"AAAAAD9Vd2E=")</f>
        <v>#REF!</v>
      </c>
      <c r="CU22" t="e">
        <f>AND('GA55 Entry'!#REF!,"AAAAAD9Vd2I=")</f>
        <v>#REF!</v>
      </c>
      <c r="CV22" t="e">
        <f>AND('GA55 Entry'!#REF!,"AAAAAD9Vd2M=")</f>
        <v>#REF!</v>
      </c>
      <c r="CW22" t="e">
        <f>AND('GA55 Entry'!#REF!,"AAAAAD9Vd2Q=")</f>
        <v>#REF!</v>
      </c>
      <c r="CX22" t="e">
        <f>AND('GA55 Entry'!#REF!,"AAAAAD9Vd2U=")</f>
        <v>#REF!</v>
      </c>
      <c r="CY22" t="e">
        <f>AND('GA55 Entry'!#REF!,"AAAAAD9Vd2Y=")</f>
        <v>#REF!</v>
      </c>
      <c r="CZ22" t="e">
        <f>AND('GA55 Entry'!#REF!,"AAAAAD9Vd2c=")</f>
        <v>#REF!</v>
      </c>
      <c r="DA22" t="e">
        <f>AND('GA55 Entry'!#REF!,"AAAAAD9Vd2g=")</f>
        <v>#REF!</v>
      </c>
      <c r="DB22" t="e">
        <f>AND('GA55 Entry'!#REF!,"AAAAAD9Vd2k=")</f>
        <v>#REF!</v>
      </c>
      <c r="DC22" t="e">
        <f>AND('GA55 Entry'!#REF!,"AAAAAD9Vd2o=")</f>
        <v>#REF!</v>
      </c>
      <c r="DD22" t="e">
        <f>AND('GA55 Entry'!#REF!,"AAAAAD9Vd2s=")</f>
        <v>#REF!</v>
      </c>
      <c r="DE22" t="e">
        <f>AND('GA55 Entry'!#REF!,"AAAAAD9Vd2w=")</f>
        <v>#REF!</v>
      </c>
      <c r="DF22" t="e">
        <f>AND('GA55 Entry'!#REF!,"AAAAAD9Vd20=")</f>
        <v>#REF!</v>
      </c>
      <c r="DG22" t="e">
        <f>AND('GA55 Entry'!#REF!,"AAAAAD9Vd24=")</f>
        <v>#REF!</v>
      </c>
      <c r="DH22" t="e">
        <f>AND('GA55 Entry'!#REF!,"AAAAAD9Vd28=")</f>
        <v>#REF!</v>
      </c>
      <c r="DI22" t="e">
        <f>AND('GA55 Entry'!#REF!,"AAAAAD9Vd3A=")</f>
        <v>#REF!</v>
      </c>
      <c r="DJ22" t="e">
        <f>AND('GA55 Entry'!#REF!,"AAAAAD9Vd3E=")</f>
        <v>#REF!</v>
      </c>
      <c r="DK22" t="e">
        <f>AND('GA55 Entry'!#REF!,"AAAAAD9Vd3I=")</f>
        <v>#REF!</v>
      </c>
      <c r="DL22" t="e">
        <f>AND('GA55 Entry'!#REF!,"AAAAAD9Vd3M=")</f>
        <v>#REF!</v>
      </c>
      <c r="DM22" t="e">
        <f>AND('GA55 Entry'!#REF!,"AAAAAD9Vd3Q=")</f>
        <v>#REF!</v>
      </c>
      <c r="DN22" t="e">
        <f>AND('GA55 Entry'!#REF!,"AAAAAD9Vd3U=")</f>
        <v>#REF!</v>
      </c>
      <c r="DO22" t="e">
        <f>AND('GA55 Entry'!#REF!,"AAAAAD9Vd3Y=")</f>
        <v>#REF!</v>
      </c>
      <c r="DP22" t="e">
        <f>AND('GA55 Entry'!#REF!,"AAAAAD9Vd3c=")</f>
        <v>#REF!</v>
      </c>
      <c r="DQ22" t="e">
        <f>IF('GA55 Entry'!#REF!,"AAAAAD9Vd3g=",0)</f>
        <v>#REF!</v>
      </c>
      <c r="DR22" t="e">
        <f>AND('GA55 Entry'!#REF!,"AAAAAD9Vd3k=")</f>
        <v>#REF!</v>
      </c>
      <c r="DS22" t="e">
        <f>AND('GA55 Entry'!#REF!,"AAAAAD9Vd3o=")</f>
        <v>#REF!</v>
      </c>
      <c r="DT22" t="e">
        <f>AND('GA55 Entry'!#REF!,"AAAAAD9Vd3s=")</f>
        <v>#REF!</v>
      </c>
      <c r="DU22" t="e">
        <f>AND('GA55 Entry'!#REF!,"AAAAAD9Vd3w=")</f>
        <v>#REF!</v>
      </c>
      <c r="DV22" t="e">
        <f>AND('GA55 Entry'!#REF!,"AAAAAD9Vd30=")</f>
        <v>#REF!</v>
      </c>
      <c r="DW22" t="e">
        <f>AND('GA55 Entry'!#REF!,"AAAAAD9Vd34=")</f>
        <v>#REF!</v>
      </c>
      <c r="DX22" t="e">
        <f>AND('GA55 Entry'!#REF!,"AAAAAD9Vd38=")</f>
        <v>#REF!</v>
      </c>
      <c r="DY22" t="e">
        <f>AND('GA55 Entry'!#REF!,"AAAAAD9Vd4A=")</f>
        <v>#REF!</v>
      </c>
      <c r="DZ22" t="e">
        <f>AND('GA55 Entry'!#REF!,"AAAAAD9Vd4E=")</f>
        <v>#REF!</v>
      </c>
      <c r="EA22" t="e">
        <f>AND('GA55 Entry'!#REF!,"AAAAAD9Vd4I=")</f>
        <v>#REF!</v>
      </c>
      <c r="EB22" t="e">
        <f>AND('GA55 Entry'!#REF!,"AAAAAD9Vd4M=")</f>
        <v>#REF!</v>
      </c>
      <c r="EC22" t="e">
        <f>AND('GA55 Entry'!#REF!,"AAAAAD9Vd4Q=")</f>
        <v>#REF!</v>
      </c>
      <c r="ED22" t="e">
        <f>AND('GA55 Entry'!#REF!,"AAAAAD9Vd4U=")</f>
        <v>#REF!</v>
      </c>
      <c r="EE22" t="e">
        <f>AND('GA55 Entry'!#REF!,"AAAAAD9Vd4Y=")</f>
        <v>#REF!</v>
      </c>
      <c r="EF22" t="e">
        <f>AND('GA55 Entry'!#REF!,"AAAAAD9Vd4c=")</f>
        <v>#REF!</v>
      </c>
      <c r="EG22" t="e">
        <f>AND('GA55 Entry'!#REF!,"AAAAAD9Vd4g=")</f>
        <v>#REF!</v>
      </c>
      <c r="EH22" t="e">
        <f>AND('GA55 Entry'!#REF!,"AAAAAD9Vd4k=")</f>
        <v>#REF!</v>
      </c>
      <c r="EI22" t="e">
        <f>AND('GA55 Entry'!#REF!,"AAAAAD9Vd4o=")</f>
        <v>#REF!</v>
      </c>
      <c r="EJ22" t="e">
        <f>AND('GA55 Entry'!#REF!,"AAAAAD9Vd4s=")</f>
        <v>#REF!</v>
      </c>
      <c r="EK22" t="e">
        <f>AND('GA55 Entry'!#REF!,"AAAAAD9Vd4w=")</f>
        <v>#REF!</v>
      </c>
      <c r="EL22" t="e">
        <f>AND('GA55 Entry'!#REF!,"AAAAAD9Vd40=")</f>
        <v>#REF!</v>
      </c>
      <c r="EM22" t="e">
        <f>AND('GA55 Entry'!#REF!,"AAAAAD9Vd44=")</f>
        <v>#REF!</v>
      </c>
      <c r="EN22" t="e">
        <f>AND('GA55 Entry'!#REF!,"AAAAAD9Vd48=")</f>
        <v>#REF!</v>
      </c>
      <c r="EO22" t="e">
        <f>AND('GA55 Entry'!#REF!,"AAAAAD9Vd5A=")</f>
        <v>#REF!</v>
      </c>
      <c r="EP22" t="e">
        <f>AND('GA55 Entry'!#REF!,"AAAAAD9Vd5E=")</f>
        <v>#REF!</v>
      </c>
      <c r="EQ22" t="e">
        <f>AND('GA55 Entry'!#REF!,"AAAAAD9Vd5I=")</f>
        <v>#REF!</v>
      </c>
      <c r="ER22" t="e">
        <f>AND('GA55 Entry'!#REF!,"AAAAAD9Vd5M=")</f>
        <v>#REF!</v>
      </c>
      <c r="ES22" t="e">
        <f>AND('GA55 Entry'!#REF!,"AAAAAD9Vd5Q=")</f>
        <v>#REF!</v>
      </c>
      <c r="ET22" t="e">
        <f>AND('GA55 Entry'!#REF!,"AAAAAD9Vd5U=")</f>
        <v>#REF!</v>
      </c>
      <c r="EU22" t="e">
        <f>AND('GA55 Entry'!#REF!,"AAAAAD9Vd5Y=")</f>
        <v>#REF!</v>
      </c>
      <c r="EV22" t="e">
        <f>AND('GA55 Entry'!#REF!,"AAAAAD9Vd5c=")</f>
        <v>#REF!</v>
      </c>
      <c r="EW22" t="e">
        <f>AND('GA55 Entry'!#REF!,"AAAAAD9Vd5g=")</f>
        <v>#REF!</v>
      </c>
      <c r="EX22" t="e">
        <f>AND('GA55 Entry'!#REF!,"AAAAAD9Vd5k=")</f>
        <v>#REF!</v>
      </c>
      <c r="EY22" t="e">
        <f>AND('GA55 Entry'!#REF!,"AAAAAD9Vd5o=")</f>
        <v>#REF!</v>
      </c>
      <c r="EZ22" t="e">
        <f>AND('GA55 Entry'!#REF!,"AAAAAD9Vd5s=")</f>
        <v>#REF!</v>
      </c>
      <c r="FA22" t="e">
        <f>AND('GA55 Entry'!#REF!,"AAAAAD9Vd5w=")</f>
        <v>#REF!</v>
      </c>
      <c r="FB22" t="e">
        <f>AND('GA55 Entry'!#REF!,"AAAAAD9Vd50=")</f>
        <v>#REF!</v>
      </c>
      <c r="FC22" t="e">
        <f>AND('GA55 Entry'!#REF!,"AAAAAD9Vd54=")</f>
        <v>#REF!</v>
      </c>
      <c r="FD22" t="e">
        <f>AND('GA55 Entry'!#REF!,"AAAAAD9Vd58=")</f>
        <v>#REF!</v>
      </c>
      <c r="FE22" t="e">
        <f>AND('GA55 Entry'!#REF!,"AAAAAD9Vd6A=")</f>
        <v>#REF!</v>
      </c>
      <c r="FF22" t="e">
        <f>AND('GA55 Entry'!#REF!,"AAAAAD9Vd6E=")</f>
        <v>#REF!</v>
      </c>
      <c r="FG22" t="e">
        <f>AND('GA55 Entry'!#REF!,"AAAAAD9Vd6I=")</f>
        <v>#REF!</v>
      </c>
      <c r="FH22" t="e">
        <f>AND('GA55 Entry'!#REF!,"AAAAAD9Vd6M=")</f>
        <v>#REF!</v>
      </c>
      <c r="FI22" t="e">
        <f>AND('GA55 Entry'!#REF!,"AAAAAD9Vd6Q=")</f>
        <v>#REF!</v>
      </c>
      <c r="FJ22" t="e">
        <f>AND('GA55 Entry'!#REF!,"AAAAAD9Vd6U=")</f>
        <v>#REF!</v>
      </c>
      <c r="FK22" t="e">
        <f>AND('GA55 Entry'!#REF!,"AAAAAD9Vd6Y=")</f>
        <v>#REF!</v>
      </c>
      <c r="FL22" t="e">
        <f>AND('GA55 Entry'!#REF!,"AAAAAD9Vd6c=")</f>
        <v>#REF!</v>
      </c>
      <c r="FM22" t="e">
        <f>AND('GA55 Entry'!#REF!,"AAAAAD9Vd6g=")</f>
        <v>#REF!</v>
      </c>
      <c r="FN22" t="e">
        <f>AND('GA55 Entry'!#REF!,"AAAAAD9Vd6k=")</f>
        <v>#REF!</v>
      </c>
      <c r="FO22" t="e">
        <f>AND('GA55 Entry'!#REF!,"AAAAAD9Vd6o=")</f>
        <v>#REF!</v>
      </c>
      <c r="FP22">
        <f>IF('GA55 Entry'!12:12,"AAAAAD9Vd6s=",0)</f>
        <v>0</v>
      </c>
      <c r="FQ22" t="e">
        <f>AND('GA55 Entry'!B12,"AAAAAD9Vd6w=")</f>
        <v>#VALUE!</v>
      </c>
      <c r="FR22" t="e">
        <f>AND('GA55 Entry'!#REF!,"AAAAAD9Vd60=")</f>
        <v>#REF!</v>
      </c>
      <c r="FS22" t="e">
        <f>AND('GA55 Entry'!C12,"AAAAAD9Vd64=")</f>
        <v>#VALUE!</v>
      </c>
      <c r="FT22" t="e">
        <f>AND('GA55 Entry'!#REF!,"AAAAAD9Vd68=")</f>
        <v>#REF!</v>
      </c>
      <c r="FU22" t="e">
        <f>AND('GA55 Entry'!#REF!,"AAAAAD9Vd7A=")</f>
        <v>#REF!</v>
      </c>
      <c r="FV22" t="e">
        <f>AND('GA55 Entry'!#REF!,"AAAAAD9Vd7E=")</f>
        <v>#REF!</v>
      </c>
      <c r="FW22" t="e">
        <f>AND('GA55 Entry'!#REF!,"AAAAAD9Vd7I=")</f>
        <v>#REF!</v>
      </c>
      <c r="FX22" t="e">
        <f>AND('GA55 Entry'!#REF!,"AAAAAD9Vd7M=")</f>
        <v>#REF!</v>
      </c>
      <c r="FY22" t="e">
        <f>AND('GA55 Entry'!D12,"AAAAAD9Vd7Q=")</f>
        <v>#VALUE!</v>
      </c>
      <c r="FZ22" t="e">
        <f>AND('GA55 Entry'!#REF!,"AAAAAD9Vd7U=")</f>
        <v>#REF!</v>
      </c>
      <c r="GA22" t="e">
        <f>AND('GA55 Entry'!E12,"AAAAAD9Vd7Y=")</f>
        <v>#VALUE!</v>
      </c>
      <c r="GB22" t="e">
        <f>AND('GA55 Entry'!F12,"AAAAAD9Vd7c=")</f>
        <v>#VALUE!</v>
      </c>
      <c r="GC22" t="e">
        <f>AND('GA55 Entry'!G12,"AAAAAD9Vd7g=")</f>
        <v>#VALUE!</v>
      </c>
      <c r="GD22" t="e">
        <f>AND('GA55 Entry'!H12,"AAAAAD9Vd7k=")</f>
        <v>#VALUE!</v>
      </c>
      <c r="GE22" t="e">
        <f>AND('GA55 Entry'!I12,"AAAAAD9Vd7o=")</f>
        <v>#VALUE!</v>
      </c>
      <c r="GF22" t="e">
        <f>AND('GA55 Entry'!J12,"AAAAAD9Vd7s=")</f>
        <v>#VALUE!</v>
      </c>
      <c r="GG22" t="e">
        <f>AND('GA55 Entry'!#REF!,"AAAAAD9Vd7w=")</f>
        <v>#REF!</v>
      </c>
      <c r="GH22" t="e">
        <f>AND('GA55 Entry'!K12,"AAAAAD9Vd70=")</f>
        <v>#VALUE!</v>
      </c>
      <c r="GI22" t="e">
        <f>AND('GA55 Entry'!L12,"AAAAAD9Vd74=")</f>
        <v>#VALUE!</v>
      </c>
      <c r="GJ22" t="e">
        <f>AND('GA55 Entry'!M12,"AAAAAD9Vd78=")</f>
        <v>#VALUE!</v>
      </c>
      <c r="GK22" t="e">
        <f>AND('GA55 Entry'!N12,"AAAAAD9Vd8A=")</f>
        <v>#VALUE!</v>
      </c>
      <c r="GL22" t="e">
        <f>AND('GA55 Entry'!O12,"AAAAAD9Vd8E=")</f>
        <v>#VALUE!</v>
      </c>
      <c r="GM22" t="e">
        <f>AND('GA55 Entry'!P12,"AAAAAD9Vd8I=")</f>
        <v>#VALUE!</v>
      </c>
      <c r="GN22" t="e">
        <f>AND('GA55 Entry'!Q12,"AAAAAD9Vd8M=")</f>
        <v>#VALUE!</v>
      </c>
      <c r="GO22" t="e">
        <f>AND('GA55 Entry'!S12,"AAAAAD9Vd8Q=")</f>
        <v>#VALUE!</v>
      </c>
      <c r="GP22" t="e">
        <f>AND('GA55 Entry'!#REF!,"AAAAAD9Vd8U=")</f>
        <v>#REF!</v>
      </c>
      <c r="GQ22" t="e">
        <f>AND('GA55 Entry'!T12,"AAAAAD9Vd8Y=")</f>
        <v>#VALUE!</v>
      </c>
      <c r="GR22" t="e">
        <f>AND('GA55 Entry'!U12,"AAAAAD9Vd8c=")</f>
        <v>#VALUE!</v>
      </c>
      <c r="GS22" t="e">
        <f>AND('GA55 Entry'!V12,"AAAAAD9Vd8g=")</f>
        <v>#VALUE!</v>
      </c>
      <c r="GT22" t="e">
        <f>AND('GA55 Entry'!#REF!,"AAAAAD9Vd8k=")</f>
        <v>#REF!</v>
      </c>
      <c r="GU22" t="e">
        <f>AND('GA55 Entry'!#REF!,"AAAAAD9Vd8o=")</f>
        <v>#REF!</v>
      </c>
      <c r="GV22" t="e">
        <f>AND('GA55 Entry'!X12,"AAAAAD9Vd8s=")</f>
        <v>#VALUE!</v>
      </c>
      <c r="GW22" t="e">
        <f>AND('GA55 Entry'!Y12,"AAAAAD9Vd8w=")</f>
        <v>#VALUE!</v>
      </c>
      <c r="GX22" t="e">
        <f>AND('GA55 Entry'!#REF!,"AAAAAD9Vd80=")</f>
        <v>#REF!</v>
      </c>
      <c r="GY22" t="e">
        <f>AND('GA55 Entry'!#REF!,"AAAAAD9Vd84=")</f>
        <v>#REF!</v>
      </c>
      <c r="GZ22" t="e">
        <f>AND('GA55 Entry'!#REF!,"AAAAAD9Vd88=")</f>
        <v>#REF!</v>
      </c>
      <c r="HA22" t="e">
        <f>AND('GA55 Entry'!#REF!,"AAAAAD9Vd9A=")</f>
        <v>#REF!</v>
      </c>
      <c r="HB22" t="e">
        <f>AND('GA55 Entry'!#REF!,"AAAAAD9Vd9E=")</f>
        <v>#REF!</v>
      </c>
      <c r="HC22" t="e">
        <f>AND('GA55 Entry'!#REF!,"AAAAAD9Vd9I=")</f>
        <v>#REF!</v>
      </c>
      <c r="HD22" t="e">
        <f>AND('GA55 Entry'!#REF!,"AAAAAD9Vd9M=")</f>
        <v>#REF!</v>
      </c>
      <c r="HE22" t="e">
        <f>AND('GA55 Entry'!#REF!,"AAAAAD9Vd9Q=")</f>
        <v>#REF!</v>
      </c>
      <c r="HF22" t="e">
        <f>AND('GA55 Entry'!#REF!,"AAAAAD9Vd9U=")</f>
        <v>#REF!</v>
      </c>
      <c r="HG22" t="e">
        <f>AND('GA55 Entry'!Z12,"AAAAAD9Vd9Y=")</f>
        <v>#VALUE!</v>
      </c>
      <c r="HH22" t="e">
        <f>AND('GA55 Entry'!AA12,"AAAAAD9Vd9c=")</f>
        <v>#VALUE!</v>
      </c>
      <c r="HI22" t="e">
        <f>AND('GA55 Entry'!#REF!,"AAAAAD9Vd9g=")</f>
        <v>#REF!</v>
      </c>
      <c r="HJ22" t="e">
        <f>AND('GA55 Entry'!#REF!,"AAAAAD9Vd9k=")</f>
        <v>#REF!</v>
      </c>
      <c r="HK22" t="e">
        <f>AND('GA55 Entry'!#REF!,"AAAAAD9Vd9o=")</f>
        <v>#REF!</v>
      </c>
      <c r="HL22" t="e">
        <f>AND('GA55 Entry'!AB12,"AAAAAD9Vd9s=")</f>
        <v>#VALUE!</v>
      </c>
      <c r="HM22" t="e">
        <f>AND('GA55 Entry'!AC12,"AAAAAD9Vd9w=")</f>
        <v>#VALUE!</v>
      </c>
      <c r="HN22" t="e">
        <f>AND('GA55 Entry'!#REF!,"AAAAAD9Vd90=")</f>
        <v>#REF!</v>
      </c>
      <c r="HO22" t="e">
        <f>IF('GA55 Entry'!#REF!,"AAAAAD9Vd94=",0)</f>
        <v>#REF!</v>
      </c>
      <c r="HP22" t="e">
        <f>AND('GA55 Entry'!#REF!,"AAAAAD9Vd98=")</f>
        <v>#REF!</v>
      </c>
      <c r="HQ22" t="e">
        <f>AND('GA55 Entry'!#REF!,"AAAAAD9Vd+A=")</f>
        <v>#REF!</v>
      </c>
      <c r="HR22" t="e">
        <f>AND('GA55 Entry'!#REF!,"AAAAAD9Vd+E=")</f>
        <v>#REF!</v>
      </c>
      <c r="HS22" t="e">
        <f>AND('GA55 Entry'!#REF!,"AAAAAD9Vd+I=")</f>
        <v>#REF!</v>
      </c>
      <c r="HT22" t="e">
        <f>AND('GA55 Entry'!#REF!,"AAAAAD9Vd+M=")</f>
        <v>#REF!</v>
      </c>
      <c r="HU22" t="e">
        <f>AND('GA55 Entry'!#REF!,"AAAAAD9Vd+Q=")</f>
        <v>#REF!</v>
      </c>
      <c r="HV22" t="e">
        <f>AND('GA55 Entry'!#REF!,"AAAAAD9Vd+U=")</f>
        <v>#REF!</v>
      </c>
      <c r="HW22" t="e">
        <f>AND('GA55 Entry'!#REF!,"AAAAAD9Vd+Y=")</f>
        <v>#REF!</v>
      </c>
      <c r="HX22" t="e">
        <f>AND('GA55 Entry'!#REF!,"AAAAAD9Vd+c=")</f>
        <v>#REF!</v>
      </c>
      <c r="HY22" t="e">
        <f>AND('GA55 Entry'!#REF!,"AAAAAD9Vd+g=")</f>
        <v>#REF!</v>
      </c>
      <c r="HZ22" t="e">
        <f>AND('GA55 Entry'!#REF!,"AAAAAD9Vd+k=")</f>
        <v>#REF!</v>
      </c>
      <c r="IA22" t="e">
        <f>AND('GA55 Entry'!#REF!,"AAAAAD9Vd+o=")</f>
        <v>#REF!</v>
      </c>
      <c r="IB22" t="e">
        <f>AND('GA55 Entry'!#REF!,"AAAAAD9Vd+s=")</f>
        <v>#REF!</v>
      </c>
      <c r="IC22" t="e">
        <f>AND('GA55 Entry'!#REF!,"AAAAAD9Vd+w=")</f>
        <v>#REF!</v>
      </c>
      <c r="ID22" t="e">
        <f>AND('GA55 Entry'!#REF!,"AAAAAD9Vd+0=")</f>
        <v>#REF!</v>
      </c>
      <c r="IE22" t="e">
        <f>AND('GA55 Entry'!#REF!,"AAAAAD9Vd+4=")</f>
        <v>#REF!</v>
      </c>
      <c r="IF22" t="e">
        <f>AND('GA55 Entry'!#REF!,"AAAAAD9Vd+8=")</f>
        <v>#REF!</v>
      </c>
      <c r="IG22" t="e">
        <f>AND('GA55 Entry'!#REF!,"AAAAAD9Vd/A=")</f>
        <v>#REF!</v>
      </c>
      <c r="IH22" t="e">
        <f>AND('GA55 Entry'!#REF!,"AAAAAD9Vd/E=")</f>
        <v>#REF!</v>
      </c>
      <c r="II22" t="e">
        <f>AND('GA55 Entry'!#REF!,"AAAAAD9Vd/I=")</f>
        <v>#REF!</v>
      </c>
      <c r="IJ22" t="e">
        <f>AND('GA55 Entry'!#REF!,"AAAAAD9Vd/M=")</f>
        <v>#REF!</v>
      </c>
      <c r="IK22" t="e">
        <f>AND('GA55 Entry'!#REF!,"AAAAAD9Vd/Q=")</f>
        <v>#REF!</v>
      </c>
      <c r="IL22" t="e">
        <f>AND('GA55 Entry'!#REF!,"AAAAAD9Vd/U=")</f>
        <v>#REF!</v>
      </c>
      <c r="IM22" t="e">
        <f>AND('GA55 Entry'!#REF!,"AAAAAD9Vd/Y=")</f>
        <v>#REF!</v>
      </c>
      <c r="IN22" t="e">
        <f>AND('GA55 Entry'!#REF!,"AAAAAD9Vd/c=")</f>
        <v>#REF!</v>
      </c>
      <c r="IO22" t="e">
        <f>AND('GA55 Entry'!#REF!,"AAAAAD9Vd/g=")</f>
        <v>#REF!</v>
      </c>
      <c r="IP22" t="e">
        <f>AND('GA55 Entry'!#REF!,"AAAAAD9Vd/k=")</f>
        <v>#REF!</v>
      </c>
      <c r="IQ22" t="e">
        <f>AND('GA55 Entry'!#REF!,"AAAAAD9Vd/o=")</f>
        <v>#REF!</v>
      </c>
      <c r="IR22" t="e">
        <f>AND('GA55 Entry'!#REF!,"AAAAAD9Vd/s=")</f>
        <v>#REF!</v>
      </c>
      <c r="IS22" t="e">
        <f>AND('GA55 Entry'!#REF!,"AAAAAD9Vd/w=")</f>
        <v>#REF!</v>
      </c>
      <c r="IT22" t="e">
        <f>AND('GA55 Entry'!#REF!,"AAAAAD9Vd/0=")</f>
        <v>#REF!</v>
      </c>
      <c r="IU22" t="e">
        <f>AND('GA55 Entry'!#REF!,"AAAAAD9Vd/4=")</f>
        <v>#REF!</v>
      </c>
      <c r="IV22" t="e">
        <f>AND('GA55 Entry'!#REF!,"AAAAAD9Vd/8=")</f>
        <v>#REF!</v>
      </c>
    </row>
    <row r="23" spans="1:256">
      <c r="A23" t="e">
        <f>AND('GA55 Entry'!#REF!,"AAAAAH43nwA=")</f>
        <v>#REF!</v>
      </c>
      <c r="B23" t="e">
        <f>AND('GA55 Entry'!#REF!,"AAAAAH43nwE=")</f>
        <v>#REF!</v>
      </c>
      <c r="C23" t="e">
        <f>AND('GA55 Entry'!#REF!,"AAAAAH43nwI=")</f>
        <v>#REF!</v>
      </c>
      <c r="D23" t="e">
        <f>AND('GA55 Entry'!#REF!,"AAAAAH43nwM=")</f>
        <v>#REF!</v>
      </c>
      <c r="E23" t="e">
        <f>AND('GA55 Entry'!#REF!,"AAAAAH43nwQ=")</f>
        <v>#REF!</v>
      </c>
      <c r="F23" t="e">
        <f>AND('GA55 Entry'!#REF!,"AAAAAH43nwU=")</f>
        <v>#REF!</v>
      </c>
      <c r="G23" t="e">
        <f>AND('GA55 Entry'!#REF!,"AAAAAH43nwY=")</f>
        <v>#REF!</v>
      </c>
      <c r="H23" t="e">
        <f>AND('GA55 Entry'!#REF!,"AAAAAH43nwc=")</f>
        <v>#REF!</v>
      </c>
      <c r="I23" t="e">
        <f>AND('GA55 Entry'!#REF!,"AAAAAH43nwg=")</f>
        <v>#REF!</v>
      </c>
      <c r="J23" t="e">
        <f>AND('GA55 Entry'!#REF!,"AAAAAH43nwk=")</f>
        <v>#REF!</v>
      </c>
      <c r="K23" t="e">
        <f>AND('GA55 Entry'!#REF!,"AAAAAH43nwo=")</f>
        <v>#REF!</v>
      </c>
      <c r="L23" t="e">
        <f>AND('GA55 Entry'!#REF!,"AAAAAH43nws=")</f>
        <v>#REF!</v>
      </c>
      <c r="M23" t="e">
        <f>AND('GA55 Entry'!#REF!,"AAAAAH43nww=")</f>
        <v>#REF!</v>
      </c>
      <c r="N23" t="e">
        <f>AND('GA55 Entry'!#REF!,"AAAAAH43nw0=")</f>
        <v>#REF!</v>
      </c>
      <c r="O23" t="e">
        <f>AND('GA55 Entry'!#REF!,"AAAAAH43nw4=")</f>
        <v>#REF!</v>
      </c>
      <c r="P23" t="e">
        <f>AND('GA55 Entry'!#REF!,"AAAAAH43nw8=")</f>
        <v>#REF!</v>
      </c>
      <c r="Q23" t="e">
        <f>AND('GA55 Entry'!#REF!,"AAAAAH43nxA=")</f>
        <v>#REF!</v>
      </c>
      <c r="R23" t="e">
        <f>IF('GA55 Entry'!#REF!,"AAAAAH43nxE=",0)</f>
        <v>#REF!</v>
      </c>
      <c r="S23" t="e">
        <f>AND('GA55 Entry'!#REF!,"AAAAAH43nxI=")</f>
        <v>#REF!</v>
      </c>
      <c r="T23" t="e">
        <f>AND('GA55 Entry'!#REF!,"AAAAAH43nxM=")</f>
        <v>#REF!</v>
      </c>
      <c r="U23" t="e">
        <f>AND('GA55 Entry'!#REF!,"AAAAAH43nxQ=")</f>
        <v>#REF!</v>
      </c>
      <c r="V23" t="e">
        <f>AND('GA55 Entry'!#REF!,"AAAAAH43nxU=")</f>
        <v>#REF!</v>
      </c>
      <c r="W23" t="e">
        <f>AND('GA55 Entry'!#REF!,"AAAAAH43nxY=")</f>
        <v>#REF!</v>
      </c>
      <c r="X23" t="e">
        <f>AND('GA55 Entry'!#REF!,"AAAAAH43nxc=")</f>
        <v>#REF!</v>
      </c>
      <c r="Y23" t="e">
        <f>AND('GA55 Entry'!#REF!,"AAAAAH43nxg=")</f>
        <v>#REF!</v>
      </c>
      <c r="Z23" t="e">
        <f>AND('GA55 Entry'!#REF!,"AAAAAH43nxk=")</f>
        <v>#REF!</v>
      </c>
      <c r="AA23" t="e">
        <f>AND('GA55 Entry'!#REF!,"AAAAAH43nxo=")</f>
        <v>#REF!</v>
      </c>
      <c r="AB23" t="e">
        <f>AND('GA55 Entry'!#REF!,"AAAAAH43nxs=")</f>
        <v>#REF!</v>
      </c>
      <c r="AC23" t="e">
        <f>AND('GA55 Entry'!#REF!,"AAAAAH43nxw=")</f>
        <v>#REF!</v>
      </c>
      <c r="AD23" t="e">
        <f>AND('GA55 Entry'!#REF!,"AAAAAH43nx0=")</f>
        <v>#REF!</v>
      </c>
      <c r="AE23" t="e">
        <f>AND('GA55 Entry'!#REF!,"AAAAAH43nx4=")</f>
        <v>#REF!</v>
      </c>
      <c r="AF23" t="e">
        <f>AND('GA55 Entry'!#REF!,"AAAAAH43nx8=")</f>
        <v>#REF!</v>
      </c>
      <c r="AG23" t="e">
        <f>AND('GA55 Entry'!#REF!,"AAAAAH43nyA=")</f>
        <v>#REF!</v>
      </c>
      <c r="AH23" t="e">
        <f>AND('GA55 Entry'!#REF!,"AAAAAH43nyE=")</f>
        <v>#REF!</v>
      </c>
      <c r="AI23" t="e">
        <f>AND('GA55 Entry'!#REF!,"AAAAAH43nyI=")</f>
        <v>#REF!</v>
      </c>
      <c r="AJ23" t="e">
        <f>AND('GA55 Entry'!#REF!,"AAAAAH43nyM=")</f>
        <v>#REF!</v>
      </c>
      <c r="AK23" t="e">
        <f>AND('GA55 Entry'!#REF!,"AAAAAH43nyQ=")</f>
        <v>#REF!</v>
      </c>
      <c r="AL23" t="e">
        <f>AND('GA55 Entry'!#REF!,"AAAAAH43nyU=")</f>
        <v>#REF!</v>
      </c>
      <c r="AM23" t="e">
        <f>AND('GA55 Entry'!#REF!,"AAAAAH43nyY=")</f>
        <v>#REF!</v>
      </c>
      <c r="AN23" t="e">
        <f>AND('GA55 Entry'!#REF!,"AAAAAH43nyc=")</f>
        <v>#REF!</v>
      </c>
      <c r="AO23" t="e">
        <f>AND('GA55 Entry'!#REF!,"AAAAAH43nyg=")</f>
        <v>#REF!</v>
      </c>
      <c r="AP23" t="e">
        <f>AND('GA55 Entry'!#REF!,"AAAAAH43nyk=")</f>
        <v>#REF!</v>
      </c>
      <c r="AQ23" t="e">
        <f>AND('GA55 Entry'!#REF!,"AAAAAH43nyo=")</f>
        <v>#REF!</v>
      </c>
      <c r="AR23" t="e">
        <f>AND('GA55 Entry'!#REF!,"AAAAAH43nys=")</f>
        <v>#REF!</v>
      </c>
      <c r="AS23" t="e">
        <f>AND('GA55 Entry'!#REF!,"AAAAAH43nyw=")</f>
        <v>#REF!</v>
      </c>
      <c r="AT23" t="e">
        <f>AND('GA55 Entry'!#REF!,"AAAAAH43ny0=")</f>
        <v>#REF!</v>
      </c>
      <c r="AU23" t="e">
        <f>AND('GA55 Entry'!#REF!,"AAAAAH43ny4=")</f>
        <v>#REF!</v>
      </c>
      <c r="AV23" t="e">
        <f>AND('GA55 Entry'!#REF!,"AAAAAH43ny8=")</f>
        <v>#REF!</v>
      </c>
      <c r="AW23" t="e">
        <f>AND('GA55 Entry'!#REF!,"AAAAAH43nzA=")</f>
        <v>#REF!</v>
      </c>
      <c r="AX23" t="e">
        <f>AND('GA55 Entry'!#REF!,"AAAAAH43nzE=")</f>
        <v>#REF!</v>
      </c>
      <c r="AY23" t="e">
        <f>AND('GA55 Entry'!#REF!,"AAAAAH43nzI=")</f>
        <v>#REF!</v>
      </c>
      <c r="AZ23" t="e">
        <f>AND('GA55 Entry'!#REF!,"AAAAAH43nzM=")</f>
        <v>#REF!</v>
      </c>
      <c r="BA23" t="e">
        <f>AND('GA55 Entry'!#REF!,"AAAAAH43nzQ=")</f>
        <v>#REF!</v>
      </c>
      <c r="BB23" t="e">
        <f>AND('GA55 Entry'!#REF!,"AAAAAH43nzU=")</f>
        <v>#REF!</v>
      </c>
      <c r="BC23" t="e">
        <f>AND('GA55 Entry'!#REF!,"AAAAAH43nzY=")</f>
        <v>#REF!</v>
      </c>
      <c r="BD23" t="e">
        <f>AND('GA55 Entry'!#REF!,"AAAAAH43nzc=")</f>
        <v>#REF!</v>
      </c>
      <c r="BE23" t="e">
        <f>AND('GA55 Entry'!#REF!,"AAAAAH43nzg=")</f>
        <v>#REF!</v>
      </c>
      <c r="BF23" t="e">
        <f>AND('GA55 Entry'!#REF!,"AAAAAH43nzk=")</f>
        <v>#REF!</v>
      </c>
      <c r="BG23" t="e">
        <f>AND('GA55 Entry'!#REF!,"AAAAAH43nzo=")</f>
        <v>#REF!</v>
      </c>
      <c r="BH23" t="e">
        <f>AND('GA55 Entry'!#REF!,"AAAAAH43nzs=")</f>
        <v>#REF!</v>
      </c>
      <c r="BI23" t="e">
        <f>AND('GA55 Entry'!#REF!,"AAAAAH43nzw=")</f>
        <v>#REF!</v>
      </c>
      <c r="BJ23" t="e">
        <f>AND('GA55 Entry'!#REF!,"AAAAAH43nz0=")</f>
        <v>#REF!</v>
      </c>
      <c r="BK23" t="e">
        <f>AND('GA55 Entry'!#REF!,"AAAAAH43nz4=")</f>
        <v>#REF!</v>
      </c>
      <c r="BL23" t="e">
        <f>AND('GA55 Entry'!#REF!,"AAAAAH43nz8=")</f>
        <v>#REF!</v>
      </c>
      <c r="BM23" t="e">
        <f>AND('GA55 Entry'!#REF!,"AAAAAH43n0A=")</f>
        <v>#REF!</v>
      </c>
      <c r="BN23" t="e">
        <f>AND('GA55 Entry'!#REF!,"AAAAAH43n0E=")</f>
        <v>#REF!</v>
      </c>
      <c r="BO23" t="e">
        <f>AND('GA55 Entry'!#REF!,"AAAAAH43n0I=")</f>
        <v>#REF!</v>
      </c>
      <c r="BP23" t="e">
        <f>AND('GA55 Entry'!#REF!,"AAAAAH43n0M=")</f>
        <v>#REF!</v>
      </c>
      <c r="BQ23" t="e">
        <f>IF('GA55 Entry'!#REF!,"AAAAAH43n0Q=",0)</f>
        <v>#REF!</v>
      </c>
      <c r="BR23" t="e">
        <f>AND('GA55 Entry'!#REF!,"AAAAAH43n0U=")</f>
        <v>#REF!</v>
      </c>
      <c r="BS23" t="e">
        <f>AND('GA55 Entry'!#REF!,"AAAAAH43n0Y=")</f>
        <v>#REF!</v>
      </c>
      <c r="BT23" t="e">
        <f>AND('GA55 Entry'!#REF!,"AAAAAH43n0c=")</f>
        <v>#REF!</v>
      </c>
      <c r="BU23" t="e">
        <f>AND('GA55 Entry'!#REF!,"AAAAAH43n0g=")</f>
        <v>#REF!</v>
      </c>
      <c r="BV23" t="e">
        <f>AND('GA55 Entry'!#REF!,"AAAAAH43n0k=")</f>
        <v>#REF!</v>
      </c>
      <c r="BW23" t="e">
        <f>AND('GA55 Entry'!#REF!,"AAAAAH43n0o=")</f>
        <v>#REF!</v>
      </c>
      <c r="BX23" t="e">
        <f>AND('GA55 Entry'!#REF!,"AAAAAH43n0s=")</f>
        <v>#REF!</v>
      </c>
      <c r="BY23" t="e">
        <f>AND('GA55 Entry'!#REF!,"AAAAAH43n0w=")</f>
        <v>#REF!</v>
      </c>
      <c r="BZ23" t="e">
        <f>AND('GA55 Entry'!#REF!,"AAAAAH43n00=")</f>
        <v>#REF!</v>
      </c>
      <c r="CA23" t="e">
        <f>AND('GA55 Entry'!#REF!,"AAAAAH43n04=")</f>
        <v>#REF!</v>
      </c>
      <c r="CB23" t="e">
        <f>AND('GA55 Entry'!#REF!,"AAAAAH43n08=")</f>
        <v>#REF!</v>
      </c>
      <c r="CC23" t="e">
        <f>AND('GA55 Entry'!#REF!,"AAAAAH43n1A=")</f>
        <v>#REF!</v>
      </c>
      <c r="CD23" t="e">
        <f>AND('GA55 Entry'!#REF!,"AAAAAH43n1E=")</f>
        <v>#REF!</v>
      </c>
      <c r="CE23" t="e">
        <f>AND('GA55 Entry'!#REF!,"AAAAAH43n1I=")</f>
        <v>#REF!</v>
      </c>
      <c r="CF23" t="e">
        <f>AND('GA55 Entry'!#REF!,"AAAAAH43n1M=")</f>
        <v>#REF!</v>
      </c>
      <c r="CG23" t="e">
        <f>AND('GA55 Entry'!#REF!,"AAAAAH43n1Q=")</f>
        <v>#REF!</v>
      </c>
      <c r="CH23" t="e">
        <f>AND('GA55 Entry'!#REF!,"AAAAAH43n1U=")</f>
        <v>#REF!</v>
      </c>
      <c r="CI23" t="e">
        <f>AND('GA55 Entry'!#REF!,"AAAAAH43n1Y=")</f>
        <v>#REF!</v>
      </c>
      <c r="CJ23" t="e">
        <f>AND('GA55 Entry'!#REF!,"AAAAAH43n1c=")</f>
        <v>#REF!</v>
      </c>
      <c r="CK23" t="e">
        <f>AND('GA55 Entry'!#REF!,"AAAAAH43n1g=")</f>
        <v>#REF!</v>
      </c>
      <c r="CL23" t="e">
        <f>AND('GA55 Entry'!#REF!,"AAAAAH43n1k=")</f>
        <v>#REF!</v>
      </c>
      <c r="CM23" t="e">
        <f>AND('GA55 Entry'!#REF!,"AAAAAH43n1o=")</f>
        <v>#REF!</v>
      </c>
      <c r="CN23" t="e">
        <f>AND('GA55 Entry'!#REF!,"AAAAAH43n1s=")</f>
        <v>#REF!</v>
      </c>
      <c r="CO23" t="e">
        <f>AND('GA55 Entry'!#REF!,"AAAAAH43n1w=")</f>
        <v>#REF!</v>
      </c>
      <c r="CP23" t="e">
        <f>AND('GA55 Entry'!#REF!,"AAAAAH43n10=")</f>
        <v>#REF!</v>
      </c>
      <c r="CQ23" t="e">
        <f>AND('GA55 Entry'!#REF!,"AAAAAH43n14=")</f>
        <v>#REF!</v>
      </c>
      <c r="CR23" t="e">
        <f>AND('GA55 Entry'!#REF!,"AAAAAH43n18=")</f>
        <v>#REF!</v>
      </c>
      <c r="CS23" t="e">
        <f>AND('GA55 Entry'!#REF!,"AAAAAH43n2A=")</f>
        <v>#REF!</v>
      </c>
      <c r="CT23" t="e">
        <f>AND('GA55 Entry'!#REF!,"AAAAAH43n2E=")</f>
        <v>#REF!</v>
      </c>
      <c r="CU23" t="e">
        <f>AND('GA55 Entry'!#REF!,"AAAAAH43n2I=")</f>
        <v>#REF!</v>
      </c>
      <c r="CV23" t="e">
        <f>AND('GA55 Entry'!#REF!,"AAAAAH43n2M=")</f>
        <v>#REF!</v>
      </c>
      <c r="CW23" t="e">
        <f>AND('GA55 Entry'!#REF!,"AAAAAH43n2Q=")</f>
        <v>#REF!</v>
      </c>
      <c r="CX23" t="e">
        <f>AND('GA55 Entry'!#REF!,"AAAAAH43n2U=")</f>
        <v>#REF!</v>
      </c>
      <c r="CY23" t="e">
        <f>AND('GA55 Entry'!#REF!,"AAAAAH43n2Y=")</f>
        <v>#REF!</v>
      </c>
      <c r="CZ23" t="e">
        <f>AND('GA55 Entry'!#REF!,"AAAAAH43n2c=")</f>
        <v>#REF!</v>
      </c>
      <c r="DA23" t="e">
        <f>AND('GA55 Entry'!#REF!,"AAAAAH43n2g=")</f>
        <v>#REF!</v>
      </c>
      <c r="DB23" t="e">
        <f>AND('GA55 Entry'!#REF!,"AAAAAH43n2k=")</f>
        <v>#REF!</v>
      </c>
      <c r="DC23" t="e">
        <f>AND('GA55 Entry'!#REF!,"AAAAAH43n2o=")</f>
        <v>#REF!</v>
      </c>
      <c r="DD23" t="e">
        <f>AND('GA55 Entry'!#REF!,"AAAAAH43n2s=")</f>
        <v>#REF!</v>
      </c>
      <c r="DE23" t="e">
        <f>AND('GA55 Entry'!#REF!,"AAAAAH43n2w=")</f>
        <v>#REF!</v>
      </c>
      <c r="DF23" t="e">
        <f>AND('GA55 Entry'!#REF!,"AAAAAH43n20=")</f>
        <v>#REF!</v>
      </c>
      <c r="DG23" t="e">
        <f>AND('GA55 Entry'!#REF!,"AAAAAH43n24=")</f>
        <v>#REF!</v>
      </c>
      <c r="DH23" t="e">
        <f>AND('GA55 Entry'!#REF!,"AAAAAH43n28=")</f>
        <v>#REF!</v>
      </c>
      <c r="DI23" t="e">
        <f>AND('GA55 Entry'!#REF!,"AAAAAH43n3A=")</f>
        <v>#REF!</v>
      </c>
      <c r="DJ23" t="e">
        <f>AND('GA55 Entry'!#REF!,"AAAAAH43n3E=")</f>
        <v>#REF!</v>
      </c>
      <c r="DK23" t="e">
        <f>AND('GA55 Entry'!#REF!,"AAAAAH43n3I=")</f>
        <v>#REF!</v>
      </c>
      <c r="DL23" t="e">
        <f>AND('GA55 Entry'!#REF!,"AAAAAH43n3M=")</f>
        <v>#REF!</v>
      </c>
      <c r="DM23" t="e">
        <f>AND('GA55 Entry'!#REF!,"AAAAAH43n3Q=")</f>
        <v>#REF!</v>
      </c>
      <c r="DN23" t="e">
        <f>AND('GA55 Entry'!#REF!,"AAAAAH43n3U=")</f>
        <v>#REF!</v>
      </c>
      <c r="DO23" t="e">
        <f>AND('GA55 Entry'!#REF!,"AAAAAH43n3Y=")</f>
        <v>#REF!</v>
      </c>
      <c r="DP23" t="e">
        <f>IF('GA55 Entry'!#REF!,"AAAAAH43n3c=",0)</f>
        <v>#REF!</v>
      </c>
      <c r="DQ23" t="e">
        <f>AND('GA55 Entry'!#REF!,"AAAAAH43n3g=")</f>
        <v>#REF!</v>
      </c>
      <c r="DR23" t="e">
        <f>AND('GA55 Entry'!#REF!,"AAAAAH43n3k=")</f>
        <v>#REF!</v>
      </c>
      <c r="DS23" t="e">
        <f>AND('GA55 Entry'!#REF!,"AAAAAH43n3o=")</f>
        <v>#REF!</v>
      </c>
      <c r="DT23" t="e">
        <f>AND('GA55 Entry'!#REF!,"AAAAAH43n3s=")</f>
        <v>#REF!</v>
      </c>
      <c r="DU23" t="e">
        <f>AND('GA55 Entry'!#REF!,"AAAAAH43n3w=")</f>
        <v>#REF!</v>
      </c>
      <c r="DV23" t="e">
        <f>AND('GA55 Entry'!#REF!,"AAAAAH43n30=")</f>
        <v>#REF!</v>
      </c>
      <c r="DW23" t="e">
        <f>AND('GA55 Entry'!#REF!,"AAAAAH43n34=")</f>
        <v>#REF!</v>
      </c>
      <c r="DX23" t="e">
        <f>AND('GA55 Entry'!#REF!,"AAAAAH43n38=")</f>
        <v>#REF!</v>
      </c>
      <c r="DY23" t="e">
        <f>AND('GA55 Entry'!#REF!,"AAAAAH43n4A=")</f>
        <v>#REF!</v>
      </c>
      <c r="DZ23" t="e">
        <f>AND('GA55 Entry'!#REF!,"AAAAAH43n4E=")</f>
        <v>#REF!</v>
      </c>
      <c r="EA23" t="e">
        <f>AND('GA55 Entry'!#REF!,"AAAAAH43n4I=")</f>
        <v>#REF!</v>
      </c>
      <c r="EB23" t="e">
        <f>AND('GA55 Entry'!#REF!,"AAAAAH43n4M=")</f>
        <v>#REF!</v>
      </c>
      <c r="EC23" t="e">
        <f>AND('GA55 Entry'!#REF!,"AAAAAH43n4Q=")</f>
        <v>#REF!</v>
      </c>
      <c r="ED23" t="e">
        <f>AND('GA55 Entry'!#REF!,"AAAAAH43n4U=")</f>
        <v>#REF!</v>
      </c>
      <c r="EE23" t="e">
        <f>AND('GA55 Entry'!#REF!,"AAAAAH43n4Y=")</f>
        <v>#REF!</v>
      </c>
      <c r="EF23" t="e">
        <f>AND('GA55 Entry'!#REF!,"AAAAAH43n4c=")</f>
        <v>#REF!</v>
      </c>
      <c r="EG23" t="e">
        <f>AND('GA55 Entry'!#REF!,"AAAAAH43n4g=")</f>
        <v>#REF!</v>
      </c>
      <c r="EH23" t="e">
        <f>AND('GA55 Entry'!#REF!,"AAAAAH43n4k=")</f>
        <v>#REF!</v>
      </c>
      <c r="EI23" t="e">
        <f>AND('GA55 Entry'!#REF!,"AAAAAH43n4o=")</f>
        <v>#REF!</v>
      </c>
      <c r="EJ23" t="e">
        <f>AND('GA55 Entry'!#REF!,"AAAAAH43n4s=")</f>
        <v>#REF!</v>
      </c>
      <c r="EK23" t="e">
        <f>AND('GA55 Entry'!#REF!,"AAAAAH43n4w=")</f>
        <v>#REF!</v>
      </c>
      <c r="EL23" t="e">
        <f>AND('GA55 Entry'!#REF!,"AAAAAH43n40=")</f>
        <v>#REF!</v>
      </c>
      <c r="EM23" t="e">
        <f>AND('GA55 Entry'!#REF!,"AAAAAH43n44=")</f>
        <v>#REF!</v>
      </c>
      <c r="EN23" t="e">
        <f>AND('GA55 Entry'!#REF!,"AAAAAH43n48=")</f>
        <v>#REF!</v>
      </c>
      <c r="EO23" t="e">
        <f>AND('GA55 Entry'!#REF!,"AAAAAH43n5A=")</f>
        <v>#REF!</v>
      </c>
      <c r="EP23" t="e">
        <f>AND('GA55 Entry'!#REF!,"AAAAAH43n5E=")</f>
        <v>#REF!</v>
      </c>
      <c r="EQ23" t="e">
        <f>AND('GA55 Entry'!#REF!,"AAAAAH43n5I=")</f>
        <v>#REF!</v>
      </c>
      <c r="ER23" t="e">
        <f>AND('GA55 Entry'!#REF!,"AAAAAH43n5M=")</f>
        <v>#REF!</v>
      </c>
      <c r="ES23" t="e">
        <f>AND('GA55 Entry'!#REF!,"AAAAAH43n5Q=")</f>
        <v>#REF!</v>
      </c>
      <c r="ET23" t="e">
        <f>AND('GA55 Entry'!#REF!,"AAAAAH43n5U=")</f>
        <v>#REF!</v>
      </c>
      <c r="EU23" t="e">
        <f>AND('GA55 Entry'!#REF!,"AAAAAH43n5Y=")</f>
        <v>#REF!</v>
      </c>
      <c r="EV23" t="e">
        <f>AND('GA55 Entry'!#REF!,"AAAAAH43n5c=")</f>
        <v>#REF!</v>
      </c>
      <c r="EW23" t="e">
        <f>AND('GA55 Entry'!#REF!,"AAAAAH43n5g=")</f>
        <v>#REF!</v>
      </c>
      <c r="EX23" t="e">
        <f>AND('GA55 Entry'!#REF!,"AAAAAH43n5k=")</f>
        <v>#REF!</v>
      </c>
      <c r="EY23" t="e">
        <f>AND('GA55 Entry'!#REF!,"AAAAAH43n5o=")</f>
        <v>#REF!</v>
      </c>
      <c r="EZ23" t="e">
        <f>AND('GA55 Entry'!#REF!,"AAAAAH43n5s=")</f>
        <v>#REF!</v>
      </c>
      <c r="FA23" t="e">
        <f>AND('GA55 Entry'!#REF!,"AAAAAH43n5w=")</f>
        <v>#REF!</v>
      </c>
      <c r="FB23" t="e">
        <f>AND('GA55 Entry'!#REF!,"AAAAAH43n50=")</f>
        <v>#REF!</v>
      </c>
      <c r="FC23" t="e">
        <f>AND('GA55 Entry'!#REF!,"AAAAAH43n54=")</f>
        <v>#REF!</v>
      </c>
      <c r="FD23" t="e">
        <f>AND('GA55 Entry'!#REF!,"AAAAAH43n58=")</f>
        <v>#REF!</v>
      </c>
      <c r="FE23" t="e">
        <f>AND('GA55 Entry'!#REF!,"AAAAAH43n6A=")</f>
        <v>#REF!</v>
      </c>
      <c r="FF23" t="e">
        <f>AND('GA55 Entry'!#REF!,"AAAAAH43n6E=")</f>
        <v>#REF!</v>
      </c>
      <c r="FG23" t="e">
        <f>AND('GA55 Entry'!#REF!,"AAAAAH43n6I=")</f>
        <v>#REF!</v>
      </c>
      <c r="FH23" t="e">
        <f>AND('GA55 Entry'!#REF!,"AAAAAH43n6M=")</f>
        <v>#REF!</v>
      </c>
      <c r="FI23" t="e">
        <f>AND('GA55 Entry'!#REF!,"AAAAAH43n6Q=")</f>
        <v>#REF!</v>
      </c>
      <c r="FJ23" t="e">
        <f>AND('GA55 Entry'!#REF!,"AAAAAH43n6U=")</f>
        <v>#REF!</v>
      </c>
      <c r="FK23" t="e">
        <f>AND('GA55 Entry'!#REF!,"AAAAAH43n6Y=")</f>
        <v>#REF!</v>
      </c>
      <c r="FL23" t="e">
        <f>AND('GA55 Entry'!#REF!,"AAAAAH43n6c=")</f>
        <v>#REF!</v>
      </c>
      <c r="FM23" t="e">
        <f>AND('GA55 Entry'!#REF!,"AAAAAH43n6g=")</f>
        <v>#REF!</v>
      </c>
      <c r="FN23" t="e">
        <f>AND('GA55 Entry'!#REF!,"AAAAAH43n6k=")</f>
        <v>#REF!</v>
      </c>
      <c r="FO23" t="e">
        <f>IF('GA55 Entry'!#REF!,"AAAAAH43n6o=",0)</f>
        <v>#REF!</v>
      </c>
      <c r="FP23" t="e">
        <f>AND('GA55 Entry'!#REF!,"AAAAAH43n6s=")</f>
        <v>#REF!</v>
      </c>
      <c r="FQ23" t="e">
        <f>AND('GA55 Entry'!#REF!,"AAAAAH43n6w=")</f>
        <v>#REF!</v>
      </c>
      <c r="FR23" t="e">
        <f>AND('GA55 Entry'!#REF!,"AAAAAH43n60=")</f>
        <v>#REF!</v>
      </c>
      <c r="FS23" t="e">
        <f>AND('GA55 Entry'!#REF!,"AAAAAH43n64=")</f>
        <v>#REF!</v>
      </c>
      <c r="FT23" t="e">
        <f>AND('GA55 Entry'!#REF!,"AAAAAH43n68=")</f>
        <v>#REF!</v>
      </c>
      <c r="FU23" t="e">
        <f>AND('GA55 Entry'!#REF!,"AAAAAH43n7A=")</f>
        <v>#REF!</v>
      </c>
      <c r="FV23" t="e">
        <f>AND('GA55 Entry'!#REF!,"AAAAAH43n7E=")</f>
        <v>#REF!</v>
      </c>
      <c r="FW23" t="e">
        <f>AND('GA55 Entry'!#REF!,"AAAAAH43n7I=")</f>
        <v>#REF!</v>
      </c>
      <c r="FX23" t="e">
        <f>AND('GA55 Entry'!#REF!,"AAAAAH43n7M=")</f>
        <v>#REF!</v>
      </c>
      <c r="FY23" t="e">
        <f>AND('GA55 Entry'!#REF!,"AAAAAH43n7Q=")</f>
        <v>#REF!</v>
      </c>
      <c r="FZ23" t="e">
        <f>AND('GA55 Entry'!#REF!,"AAAAAH43n7U=")</f>
        <v>#REF!</v>
      </c>
      <c r="GA23" t="e">
        <f>AND('GA55 Entry'!#REF!,"AAAAAH43n7Y=")</f>
        <v>#REF!</v>
      </c>
      <c r="GB23" t="e">
        <f>AND('GA55 Entry'!#REF!,"AAAAAH43n7c=")</f>
        <v>#REF!</v>
      </c>
      <c r="GC23" t="e">
        <f>AND('GA55 Entry'!#REF!,"AAAAAH43n7g=")</f>
        <v>#REF!</v>
      </c>
      <c r="GD23" t="e">
        <f>AND('GA55 Entry'!#REF!,"AAAAAH43n7k=")</f>
        <v>#REF!</v>
      </c>
      <c r="GE23" t="e">
        <f>AND('GA55 Entry'!#REF!,"AAAAAH43n7o=")</f>
        <v>#REF!</v>
      </c>
      <c r="GF23" t="e">
        <f>AND('GA55 Entry'!#REF!,"AAAAAH43n7s=")</f>
        <v>#REF!</v>
      </c>
      <c r="GG23" t="e">
        <f>AND('GA55 Entry'!#REF!,"AAAAAH43n7w=")</f>
        <v>#REF!</v>
      </c>
      <c r="GH23" t="e">
        <f>AND('GA55 Entry'!#REF!,"AAAAAH43n70=")</f>
        <v>#REF!</v>
      </c>
      <c r="GI23" t="e">
        <f>AND('GA55 Entry'!#REF!,"AAAAAH43n74=")</f>
        <v>#REF!</v>
      </c>
      <c r="GJ23" t="e">
        <f>AND('GA55 Entry'!#REF!,"AAAAAH43n78=")</f>
        <v>#REF!</v>
      </c>
      <c r="GK23" t="e">
        <f>AND('GA55 Entry'!#REF!,"AAAAAH43n8A=")</f>
        <v>#REF!</v>
      </c>
      <c r="GL23" t="e">
        <f>AND('GA55 Entry'!#REF!,"AAAAAH43n8E=")</f>
        <v>#REF!</v>
      </c>
      <c r="GM23" t="e">
        <f>AND('GA55 Entry'!#REF!,"AAAAAH43n8I=")</f>
        <v>#REF!</v>
      </c>
      <c r="GN23" t="e">
        <f>AND('GA55 Entry'!#REF!,"AAAAAH43n8M=")</f>
        <v>#REF!</v>
      </c>
      <c r="GO23" t="e">
        <f>AND('GA55 Entry'!#REF!,"AAAAAH43n8Q=")</f>
        <v>#REF!</v>
      </c>
      <c r="GP23" t="e">
        <f>AND('GA55 Entry'!#REF!,"AAAAAH43n8U=")</f>
        <v>#REF!</v>
      </c>
      <c r="GQ23" t="e">
        <f>AND('GA55 Entry'!#REF!,"AAAAAH43n8Y=")</f>
        <v>#REF!</v>
      </c>
      <c r="GR23" t="e">
        <f>AND('GA55 Entry'!#REF!,"AAAAAH43n8c=")</f>
        <v>#REF!</v>
      </c>
      <c r="GS23" t="e">
        <f>AND('GA55 Entry'!#REF!,"AAAAAH43n8g=")</f>
        <v>#REF!</v>
      </c>
      <c r="GT23" t="e">
        <f>AND('GA55 Entry'!#REF!,"AAAAAH43n8k=")</f>
        <v>#REF!</v>
      </c>
      <c r="GU23" t="e">
        <f>AND('GA55 Entry'!#REF!,"AAAAAH43n8o=")</f>
        <v>#REF!</v>
      </c>
      <c r="GV23" t="e">
        <f>AND('GA55 Entry'!#REF!,"AAAAAH43n8s=")</f>
        <v>#REF!</v>
      </c>
      <c r="GW23" t="e">
        <f>AND('GA55 Entry'!#REF!,"AAAAAH43n8w=")</f>
        <v>#REF!</v>
      </c>
      <c r="GX23" t="e">
        <f>AND('GA55 Entry'!#REF!,"AAAAAH43n80=")</f>
        <v>#REF!</v>
      </c>
      <c r="GY23" t="e">
        <f>AND('GA55 Entry'!#REF!,"AAAAAH43n84=")</f>
        <v>#REF!</v>
      </c>
      <c r="GZ23" t="e">
        <f>AND('GA55 Entry'!#REF!,"AAAAAH43n88=")</f>
        <v>#REF!</v>
      </c>
      <c r="HA23" t="e">
        <f>AND('GA55 Entry'!#REF!,"AAAAAH43n9A=")</f>
        <v>#REF!</v>
      </c>
      <c r="HB23" t="e">
        <f>AND('GA55 Entry'!#REF!,"AAAAAH43n9E=")</f>
        <v>#REF!</v>
      </c>
      <c r="HC23" t="e">
        <f>AND('GA55 Entry'!#REF!,"AAAAAH43n9I=")</f>
        <v>#REF!</v>
      </c>
      <c r="HD23" t="e">
        <f>AND('GA55 Entry'!#REF!,"AAAAAH43n9M=")</f>
        <v>#REF!</v>
      </c>
      <c r="HE23" t="e">
        <f>AND('GA55 Entry'!#REF!,"AAAAAH43n9Q=")</f>
        <v>#REF!</v>
      </c>
      <c r="HF23" t="e">
        <f>AND('GA55 Entry'!#REF!,"AAAAAH43n9U=")</f>
        <v>#REF!</v>
      </c>
      <c r="HG23" t="e">
        <f>AND('GA55 Entry'!#REF!,"AAAAAH43n9Y=")</f>
        <v>#REF!</v>
      </c>
      <c r="HH23" t="e">
        <f>AND('GA55 Entry'!#REF!,"AAAAAH43n9c=")</f>
        <v>#REF!</v>
      </c>
      <c r="HI23" t="e">
        <f>AND('GA55 Entry'!#REF!,"AAAAAH43n9g=")</f>
        <v>#REF!</v>
      </c>
      <c r="HJ23" t="e">
        <f>AND('GA55 Entry'!#REF!,"AAAAAH43n9k=")</f>
        <v>#REF!</v>
      </c>
      <c r="HK23" t="e">
        <f>AND('GA55 Entry'!#REF!,"AAAAAH43n9o=")</f>
        <v>#REF!</v>
      </c>
      <c r="HL23" t="e">
        <f>AND('GA55 Entry'!#REF!,"AAAAAH43n9s=")</f>
        <v>#REF!</v>
      </c>
      <c r="HM23" t="e">
        <f>AND('GA55 Entry'!#REF!,"AAAAAH43n9w=")</f>
        <v>#REF!</v>
      </c>
      <c r="HN23">
        <f>IF('GA55 Entry'!13:13,"AAAAAH43n90=",0)</f>
        <v>0</v>
      </c>
      <c r="HO23" t="e">
        <f>AND('GA55 Entry'!B13,"AAAAAH43n94=")</f>
        <v>#VALUE!</v>
      </c>
      <c r="HP23" t="e">
        <f>AND('GA55 Entry'!#REF!,"AAAAAH43n98=")</f>
        <v>#REF!</v>
      </c>
      <c r="HQ23" t="e">
        <f>AND('GA55 Entry'!C13,"AAAAAH43n+A=")</f>
        <v>#VALUE!</v>
      </c>
      <c r="HR23" t="e">
        <f>AND('GA55 Entry'!#REF!,"AAAAAH43n+E=")</f>
        <v>#REF!</v>
      </c>
      <c r="HS23" t="e">
        <f>AND('GA55 Entry'!#REF!,"AAAAAH43n+I=")</f>
        <v>#REF!</v>
      </c>
      <c r="HT23" t="e">
        <f>AND('GA55 Entry'!#REF!,"AAAAAH43n+M=")</f>
        <v>#REF!</v>
      </c>
      <c r="HU23" t="e">
        <f>AND('GA55 Entry'!#REF!,"AAAAAH43n+Q=")</f>
        <v>#REF!</v>
      </c>
      <c r="HV23" t="e">
        <f>AND('GA55 Entry'!#REF!,"AAAAAH43n+U=")</f>
        <v>#REF!</v>
      </c>
      <c r="HW23" t="e">
        <f>AND('GA55 Entry'!D13,"AAAAAH43n+Y=")</f>
        <v>#VALUE!</v>
      </c>
      <c r="HX23" t="e">
        <f>AND('GA55 Entry'!#REF!,"AAAAAH43n+c=")</f>
        <v>#REF!</v>
      </c>
      <c r="HY23" t="e">
        <f>AND('GA55 Entry'!E13,"AAAAAH43n+g=")</f>
        <v>#VALUE!</v>
      </c>
      <c r="HZ23" t="e">
        <f>AND('GA55 Entry'!F13,"AAAAAH43n+k=")</f>
        <v>#VALUE!</v>
      </c>
      <c r="IA23" t="e">
        <f>AND('GA55 Entry'!G13,"AAAAAH43n+o=")</f>
        <v>#VALUE!</v>
      </c>
      <c r="IB23" t="e">
        <f>AND('GA55 Entry'!H13,"AAAAAH43n+s=")</f>
        <v>#VALUE!</v>
      </c>
      <c r="IC23" t="e">
        <f>AND('GA55 Entry'!I13,"AAAAAH43n+w=")</f>
        <v>#VALUE!</v>
      </c>
      <c r="ID23" t="e">
        <f>AND('GA55 Entry'!J13,"AAAAAH43n+0=")</f>
        <v>#VALUE!</v>
      </c>
      <c r="IE23" t="e">
        <f>AND('GA55 Entry'!#REF!,"AAAAAH43n+4=")</f>
        <v>#REF!</v>
      </c>
      <c r="IF23" t="e">
        <f>AND('GA55 Entry'!K13,"AAAAAH43n+8=")</f>
        <v>#VALUE!</v>
      </c>
      <c r="IG23" t="e">
        <f>AND('GA55 Entry'!L13,"AAAAAH43n/A=")</f>
        <v>#VALUE!</v>
      </c>
      <c r="IH23" t="e">
        <f>AND('GA55 Entry'!M13,"AAAAAH43n/E=")</f>
        <v>#VALUE!</v>
      </c>
      <c r="II23" t="e">
        <f>AND('GA55 Entry'!N13,"AAAAAH43n/I=")</f>
        <v>#VALUE!</v>
      </c>
      <c r="IJ23" t="e">
        <f>AND('GA55 Entry'!O13,"AAAAAH43n/M=")</f>
        <v>#VALUE!</v>
      </c>
      <c r="IK23" t="e">
        <f>AND('GA55 Entry'!P13,"AAAAAH43n/Q=")</f>
        <v>#VALUE!</v>
      </c>
      <c r="IL23" t="e">
        <f>AND('GA55 Entry'!Q13,"AAAAAH43n/U=")</f>
        <v>#VALUE!</v>
      </c>
      <c r="IM23" t="e">
        <f>AND('GA55 Entry'!S13,"AAAAAH43n/Y=")</f>
        <v>#VALUE!</v>
      </c>
      <c r="IN23" t="e">
        <f>AND('GA55 Entry'!#REF!,"AAAAAH43n/c=")</f>
        <v>#REF!</v>
      </c>
      <c r="IO23" t="e">
        <f>AND('GA55 Entry'!T13,"AAAAAH43n/g=")</f>
        <v>#VALUE!</v>
      </c>
      <c r="IP23" t="e">
        <f>AND('GA55 Entry'!U13,"AAAAAH43n/k=")</f>
        <v>#VALUE!</v>
      </c>
      <c r="IQ23" t="e">
        <f>AND('GA55 Entry'!V13,"AAAAAH43n/o=")</f>
        <v>#VALUE!</v>
      </c>
      <c r="IR23" t="e">
        <f>AND('GA55 Entry'!#REF!,"AAAAAH43n/s=")</f>
        <v>#REF!</v>
      </c>
      <c r="IS23" t="e">
        <f>AND('GA55 Entry'!#REF!,"AAAAAH43n/w=")</f>
        <v>#REF!</v>
      </c>
      <c r="IT23" t="e">
        <f>AND('GA55 Entry'!X13,"AAAAAH43n/0=")</f>
        <v>#VALUE!</v>
      </c>
      <c r="IU23" t="e">
        <f>AND('GA55 Entry'!Y13,"AAAAAH43n/4=")</f>
        <v>#VALUE!</v>
      </c>
      <c r="IV23" t="e">
        <f>AND('GA55 Entry'!#REF!,"AAAAAH43n/8=")</f>
        <v>#REF!</v>
      </c>
    </row>
    <row r="24" spans="1:256">
      <c r="A24" t="e">
        <f>AND('GA55 Entry'!#REF!,"AAAAAHX58wA=")</f>
        <v>#REF!</v>
      </c>
      <c r="B24" t="e">
        <f>AND('GA55 Entry'!#REF!,"AAAAAHX58wE=")</f>
        <v>#REF!</v>
      </c>
      <c r="C24" t="e">
        <f>AND('GA55 Entry'!#REF!,"AAAAAHX58wI=")</f>
        <v>#REF!</v>
      </c>
      <c r="D24" t="e">
        <f>AND('GA55 Entry'!#REF!,"AAAAAHX58wM=")</f>
        <v>#REF!</v>
      </c>
      <c r="E24" t="e">
        <f>AND('GA55 Entry'!#REF!,"AAAAAHX58wQ=")</f>
        <v>#REF!</v>
      </c>
      <c r="F24" t="e">
        <f>AND('GA55 Entry'!#REF!,"AAAAAHX58wU=")</f>
        <v>#REF!</v>
      </c>
      <c r="G24" t="e">
        <f>AND('GA55 Entry'!#REF!,"AAAAAHX58wY=")</f>
        <v>#REF!</v>
      </c>
      <c r="H24" t="e">
        <f>AND('GA55 Entry'!#REF!,"AAAAAHX58wc=")</f>
        <v>#REF!</v>
      </c>
      <c r="I24" t="e">
        <f>AND('GA55 Entry'!Z13,"AAAAAHX58wg=")</f>
        <v>#VALUE!</v>
      </c>
      <c r="J24" t="e">
        <f>AND('GA55 Entry'!AA13,"AAAAAHX58wk=")</f>
        <v>#VALUE!</v>
      </c>
      <c r="K24" t="e">
        <f>AND('GA55 Entry'!#REF!,"AAAAAHX58wo=")</f>
        <v>#REF!</v>
      </c>
      <c r="L24" t="e">
        <f>AND('GA55 Entry'!#REF!,"AAAAAHX58ws=")</f>
        <v>#REF!</v>
      </c>
      <c r="M24" t="e">
        <f>AND('GA55 Entry'!#REF!,"AAAAAHX58ww=")</f>
        <v>#REF!</v>
      </c>
      <c r="N24" t="e">
        <f>AND('GA55 Entry'!AB13,"AAAAAHX58w0=")</f>
        <v>#VALUE!</v>
      </c>
      <c r="O24" t="e">
        <f>AND('GA55 Entry'!AC13,"AAAAAHX58w4=")</f>
        <v>#VALUE!</v>
      </c>
      <c r="P24" t="e">
        <f>AND('GA55 Entry'!#REF!,"AAAAAHX58w8=")</f>
        <v>#REF!</v>
      </c>
      <c r="Q24" t="e">
        <f>IF('GA55 Entry'!#REF!,"AAAAAHX58xA=",0)</f>
        <v>#REF!</v>
      </c>
      <c r="R24" t="e">
        <f>AND('GA55 Entry'!#REF!,"AAAAAHX58xE=")</f>
        <v>#REF!</v>
      </c>
      <c r="S24" t="e">
        <f>AND('GA55 Entry'!#REF!,"AAAAAHX58xI=")</f>
        <v>#REF!</v>
      </c>
      <c r="T24" t="e">
        <f>AND('GA55 Entry'!#REF!,"AAAAAHX58xM=")</f>
        <v>#REF!</v>
      </c>
      <c r="U24" t="e">
        <f>AND('GA55 Entry'!#REF!,"AAAAAHX58xQ=")</f>
        <v>#REF!</v>
      </c>
      <c r="V24" t="e">
        <f>AND('GA55 Entry'!#REF!,"AAAAAHX58xU=")</f>
        <v>#REF!</v>
      </c>
      <c r="W24" t="e">
        <f>AND('GA55 Entry'!#REF!,"AAAAAHX58xY=")</f>
        <v>#REF!</v>
      </c>
      <c r="X24" t="e">
        <f>AND('GA55 Entry'!#REF!,"AAAAAHX58xc=")</f>
        <v>#REF!</v>
      </c>
      <c r="Y24" t="e">
        <f>AND('GA55 Entry'!#REF!,"AAAAAHX58xg=")</f>
        <v>#REF!</v>
      </c>
      <c r="Z24" t="e">
        <f>AND('GA55 Entry'!#REF!,"AAAAAHX58xk=")</f>
        <v>#REF!</v>
      </c>
      <c r="AA24" t="e">
        <f>AND('GA55 Entry'!#REF!,"AAAAAHX58xo=")</f>
        <v>#REF!</v>
      </c>
      <c r="AB24" t="e">
        <f>AND('GA55 Entry'!#REF!,"AAAAAHX58xs=")</f>
        <v>#REF!</v>
      </c>
      <c r="AC24" t="e">
        <f>AND('GA55 Entry'!#REF!,"AAAAAHX58xw=")</f>
        <v>#REF!</v>
      </c>
      <c r="AD24" t="e">
        <f>AND('GA55 Entry'!#REF!,"AAAAAHX58x0=")</f>
        <v>#REF!</v>
      </c>
      <c r="AE24" t="e">
        <f>AND('GA55 Entry'!#REF!,"AAAAAHX58x4=")</f>
        <v>#REF!</v>
      </c>
      <c r="AF24" t="e">
        <f>AND('GA55 Entry'!#REF!,"AAAAAHX58x8=")</f>
        <v>#REF!</v>
      </c>
      <c r="AG24" t="e">
        <f>AND('GA55 Entry'!#REF!,"AAAAAHX58yA=")</f>
        <v>#REF!</v>
      </c>
      <c r="AH24" t="e">
        <f>AND('GA55 Entry'!#REF!,"AAAAAHX58yE=")</f>
        <v>#REF!</v>
      </c>
      <c r="AI24" t="e">
        <f>AND('GA55 Entry'!#REF!,"AAAAAHX58yI=")</f>
        <v>#REF!</v>
      </c>
      <c r="AJ24" t="e">
        <f>AND('GA55 Entry'!#REF!,"AAAAAHX58yM=")</f>
        <v>#REF!</v>
      </c>
      <c r="AK24" t="e">
        <f>AND('GA55 Entry'!#REF!,"AAAAAHX58yQ=")</f>
        <v>#REF!</v>
      </c>
      <c r="AL24" t="e">
        <f>AND('GA55 Entry'!#REF!,"AAAAAHX58yU=")</f>
        <v>#REF!</v>
      </c>
      <c r="AM24" t="e">
        <f>AND('GA55 Entry'!#REF!,"AAAAAHX58yY=")</f>
        <v>#REF!</v>
      </c>
      <c r="AN24" t="e">
        <f>AND('GA55 Entry'!#REF!,"AAAAAHX58yc=")</f>
        <v>#REF!</v>
      </c>
      <c r="AO24" t="e">
        <f>AND('GA55 Entry'!#REF!,"AAAAAHX58yg=")</f>
        <v>#REF!</v>
      </c>
      <c r="AP24" t="e">
        <f>AND('GA55 Entry'!#REF!,"AAAAAHX58yk=")</f>
        <v>#REF!</v>
      </c>
      <c r="AQ24" t="e">
        <f>AND('GA55 Entry'!#REF!,"AAAAAHX58yo=")</f>
        <v>#REF!</v>
      </c>
      <c r="AR24" t="e">
        <f>AND('GA55 Entry'!#REF!,"AAAAAHX58ys=")</f>
        <v>#REF!</v>
      </c>
      <c r="AS24" t="e">
        <f>AND('GA55 Entry'!#REF!,"AAAAAHX58yw=")</f>
        <v>#REF!</v>
      </c>
      <c r="AT24" t="e">
        <f>AND('GA55 Entry'!#REF!,"AAAAAHX58y0=")</f>
        <v>#REF!</v>
      </c>
      <c r="AU24" t="e">
        <f>AND('GA55 Entry'!#REF!,"AAAAAHX58y4=")</f>
        <v>#REF!</v>
      </c>
      <c r="AV24" t="e">
        <f>AND('GA55 Entry'!#REF!,"AAAAAHX58y8=")</f>
        <v>#REF!</v>
      </c>
      <c r="AW24" t="e">
        <f>AND('GA55 Entry'!#REF!,"AAAAAHX58zA=")</f>
        <v>#REF!</v>
      </c>
      <c r="AX24" t="e">
        <f>AND('GA55 Entry'!#REF!,"AAAAAHX58zE=")</f>
        <v>#REF!</v>
      </c>
      <c r="AY24" t="e">
        <f>AND('GA55 Entry'!#REF!,"AAAAAHX58zI=")</f>
        <v>#REF!</v>
      </c>
      <c r="AZ24" t="e">
        <f>AND('GA55 Entry'!#REF!,"AAAAAHX58zM=")</f>
        <v>#REF!</v>
      </c>
      <c r="BA24" t="e">
        <f>AND('GA55 Entry'!#REF!,"AAAAAHX58zQ=")</f>
        <v>#REF!</v>
      </c>
      <c r="BB24" t="e">
        <f>AND('GA55 Entry'!#REF!,"AAAAAHX58zU=")</f>
        <v>#REF!</v>
      </c>
      <c r="BC24" t="e">
        <f>AND('GA55 Entry'!#REF!,"AAAAAHX58zY=")</f>
        <v>#REF!</v>
      </c>
      <c r="BD24" t="e">
        <f>AND('GA55 Entry'!#REF!,"AAAAAHX58zc=")</f>
        <v>#REF!</v>
      </c>
      <c r="BE24" t="e">
        <f>AND('GA55 Entry'!#REF!,"AAAAAHX58zg=")</f>
        <v>#REF!</v>
      </c>
      <c r="BF24" t="e">
        <f>AND('GA55 Entry'!#REF!,"AAAAAHX58zk=")</f>
        <v>#REF!</v>
      </c>
      <c r="BG24" t="e">
        <f>AND('GA55 Entry'!#REF!,"AAAAAHX58zo=")</f>
        <v>#REF!</v>
      </c>
      <c r="BH24" t="e">
        <f>AND('GA55 Entry'!#REF!,"AAAAAHX58zs=")</f>
        <v>#REF!</v>
      </c>
      <c r="BI24" t="e">
        <f>AND('GA55 Entry'!#REF!,"AAAAAHX58zw=")</f>
        <v>#REF!</v>
      </c>
      <c r="BJ24" t="e">
        <f>AND('GA55 Entry'!#REF!,"AAAAAHX58z0=")</f>
        <v>#REF!</v>
      </c>
      <c r="BK24" t="e">
        <f>AND('GA55 Entry'!#REF!,"AAAAAHX58z4=")</f>
        <v>#REF!</v>
      </c>
      <c r="BL24" t="e">
        <f>AND('GA55 Entry'!#REF!,"AAAAAHX58z8=")</f>
        <v>#REF!</v>
      </c>
      <c r="BM24" t="e">
        <f>AND('GA55 Entry'!#REF!,"AAAAAHX580A=")</f>
        <v>#REF!</v>
      </c>
      <c r="BN24" t="e">
        <f>AND('GA55 Entry'!#REF!,"AAAAAHX580E=")</f>
        <v>#REF!</v>
      </c>
      <c r="BO24" t="e">
        <f>AND('GA55 Entry'!#REF!,"AAAAAHX580I=")</f>
        <v>#REF!</v>
      </c>
      <c r="BP24" t="e">
        <f>IF('GA55 Entry'!#REF!,"AAAAAHX580M=",0)</f>
        <v>#REF!</v>
      </c>
      <c r="BQ24" t="e">
        <f>AND('GA55 Entry'!#REF!,"AAAAAHX580Q=")</f>
        <v>#REF!</v>
      </c>
      <c r="BR24" t="e">
        <f>AND('GA55 Entry'!#REF!,"AAAAAHX580U=")</f>
        <v>#REF!</v>
      </c>
      <c r="BS24" t="e">
        <f>AND('GA55 Entry'!#REF!,"AAAAAHX580Y=")</f>
        <v>#REF!</v>
      </c>
      <c r="BT24" t="e">
        <f>AND('GA55 Entry'!#REF!,"AAAAAHX580c=")</f>
        <v>#REF!</v>
      </c>
      <c r="BU24" t="e">
        <f>AND('GA55 Entry'!#REF!,"AAAAAHX580g=")</f>
        <v>#REF!</v>
      </c>
      <c r="BV24" t="e">
        <f>AND('GA55 Entry'!#REF!,"AAAAAHX580k=")</f>
        <v>#REF!</v>
      </c>
      <c r="BW24" t="e">
        <f>AND('GA55 Entry'!#REF!,"AAAAAHX580o=")</f>
        <v>#REF!</v>
      </c>
      <c r="BX24" t="e">
        <f>AND('GA55 Entry'!#REF!,"AAAAAHX580s=")</f>
        <v>#REF!</v>
      </c>
      <c r="BY24" t="e">
        <f>AND('GA55 Entry'!#REF!,"AAAAAHX580w=")</f>
        <v>#REF!</v>
      </c>
      <c r="BZ24" t="e">
        <f>AND('GA55 Entry'!#REF!,"AAAAAHX5800=")</f>
        <v>#REF!</v>
      </c>
      <c r="CA24" t="e">
        <f>AND('GA55 Entry'!#REF!,"AAAAAHX5804=")</f>
        <v>#REF!</v>
      </c>
      <c r="CB24" t="e">
        <f>AND('GA55 Entry'!#REF!,"AAAAAHX5808=")</f>
        <v>#REF!</v>
      </c>
      <c r="CC24" t="e">
        <f>AND('GA55 Entry'!#REF!,"AAAAAHX581A=")</f>
        <v>#REF!</v>
      </c>
      <c r="CD24" t="e">
        <f>AND('GA55 Entry'!#REF!,"AAAAAHX581E=")</f>
        <v>#REF!</v>
      </c>
      <c r="CE24" t="e">
        <f>AND('GA55 Entry'!#REF!,"AAAAAHX581I=")</f>
        <v>#REF!</v>
      </c>
      <c r="CF24" t="e">
        <f>AND('GA55 Entry'!#REF!,"AAAAAHX581M=")</f>
        <v>#REF!</v>
      </c>
      <c r="CG24" t="e">
        <f>AND('GA55 Entry'!#REF!,"AAAAAHX581Q=")</f>
        <v>#REF!</v>
      </c>
      <c r="CH24" t="e">
        <f>AND('GA55 Entry'!#REF!,"AAAAAHX581U=")</f>
        <v>#REF!</v>
      </c>
      <c r="CI24" t="e">
        <f>AND('GA55 Entry'!#REF!,"AAAAAHX581Y=")</f>
        <v>#REF!</v>
      </c>
      <c r="CJ24" t="e">
        <f>AND('GA55 Entry'!#REF!,"AAAAAHX581c=")</f>
        <v>#REF!</v>
      </c>
      <c r="CK24" t="e">
        <f>AND('GA55 Entry'!#REF!,"AAAAAHX581g=")</f>
        <v>#REF!</v>
      </c>
      <c r="CL24" t="e">
        <f>AND('GA55 Entry'!#REF!,"AAAAAHX581k=")</f>
        <v>#REF!</v>
      </c>
      <c r="CM24" t="e">
        <f>AND('GA55 Entry'!#REF!,"AAAAAHX581o=")</f>
        <v>#REF!</v>
      </c>
      <c r="CN24" t="e">
        <f>AND('GA55 Entry'!#REF!,"AAAAAHX581s=")</f>
        <v>#REF!</v>
      </c>
      <c r="CO24" t="e">
        <f>AND('GA55 Entry'!#REF!,"AAAAAHX581w=")</f>
        <v>#REF!</v>
      </c>
      <c r="CP24" t="e">
        <f>AND('GA55 Entry'!#REF!,"AAAAAHX5810=")</f>
        <v>#REF!</v>
      </c>
      <c r="CQ24" t="e">
        <f>AND('GA55 Entry'!#REF!,"AAAAAHX5814=")</f>
        <v>#REF!</v>
      </c>
      <c r="CR24" t="e">
        <f>AND('GA55 Entry'!#REF!,"AAAAAHX5818=")</f>
        <v>#REF!</v>
      </c>
      <c r="CS24" t="e">
        <f>AND('GA55 Entry'!#REF!,"AAAAAHX582A=")</f>
        <v>#REF!</v>
      </c>
      <c r="CT24" t="e">
        <f>AND('GA55 Entry'!#REF!,"AAAAAHX582E=")</f>
        <v>#REF!</v>
      </c>
      <c r="CU24" t="e">
        <f>AND('GA55 Entry'!#REF!,"AAAAAHX582I=")</f>
        <v>#REF!</v>
      </c>
      <c r="CV24" t="e">
        <f>AND('GA55 Entry'!#REF!,"AAAAAHX582M=")</f>
        <v>#REF!</v>
      </c>
      <c r="CW24" t="e">
        <f>AND('GA55 Entry'!#REF!,"AAAAAHX582Q=")</f>
        <v>#REF!</v>
      </c>
      <c r="CX24" t="e">
        <f>AND('GA55 Entry'!#REF!,"AAAAAHX582U=")</f>
        <v>#REF!</v>
      </c>
      <c r="CY24" t="e">
        <f>AND('GA55 Entry'!#REF!,"AAAAAHX582Y=")</f>
        <v>#REF!</v>
      </c>
      <c r="CZ24" t="e">
        <f>AND('GA55 Entry'!#REF!,"AAAAAHX582c=")</f>
        <v>#REF!</v>
      </c>
      <c r="DA24" t="e">
        <f>AND('GA55 Entry'!#REF!,"AAAAAHX582g=")</f>
        <v>#REF!</v>
      </c>
      <c r="DB24" t="e">
        <f>AND('GA55 Entry'!#REF!,"AAAAAHX582k=")</f>
        <v>#REF!</v>
      </c>
      <c r="DC24" t="e">
        <f>AND('GA55 Entry'!#REF!,"AAAAAHX582o=")</f>
        <v>#REF!</v>
      </c>
      <c r="DD24" t="e">
        <f>AND('GA55 Entry'!#REF!,"AAAAAHX582s=")</f>
        <v>#REF!</v>
      </c>
      <c r="DE24" t="e">
        <f>AND('GA55 Entry'!#REF!,"AAAAAHX582w=")</f>
        <v>#REF!</v>
      </c>
      <c r="DF24" t="e">
        <f>AND('GA55 Entry'!#REF!,"AAAAAHX5820=")</f>
        <v>#REF!</v>
      </c>
      <c r="DG24" t="e">
        <f>AND('GA55 Entry'!#REF!,"AAAAAHX5824=")</f>
        <v>#REF!</v>
      </c>
      <c r="DH24" t="e">
        <f>AND('GA55 Entry'!#REF!,"AAAAAHX5828=")</f>
        <v>#REF!</v>
      </c>
      <c r="DI24" t="e">
        <f>AND('GA55 Entry'!#REF!,"AAAAAHX583A=")</f>
        <v>#REF!</v>
      </c>
      <c r="DJ24" t="e">
        <f>AND('GA55 Entry'!#REF!,"AAAAAHX583E=")</f>
        <v>#REF!</v>
      </c>
      <c r="DK24" t="e">
        <f>AND('GA55 Entry'!#REF!,"AAAAAHX583I=")</f>
        <v>#REF!</v>
      </c>
      <c r="DL24" t="e">
        <f>AND('GA55 Entry'!#REF!,"AAAAAHX583M=")</f>
        <v>#REF!</v>
      </c>
      <c r="DM24" t="e">
        <f>AND('GA55 Entry'!#REF!,"AAAAAHX583Q=")</f>
        <v>#REF!</v>
      </c>
      <c r="DN24" t="e">
        <f>AND('GA55 Entry'!#REF!,"AAAAAHX583U=")</f>
        <v>#REF!</v>
      </c>
      <c r="DO24" t="e">
        <f>IF('GA55 Entry'!#REF!,"AAAAAHX583Y=",0)</f>
        <v>#REF!</v>
      </c>
      <c r="DP24" t="e">
        <f>AND('GA55 Entry'!#REF!,"AAAAAHX583c=")</f>
        <v>#REF!</v>
      </c>
      <c r="DQ24" t="e">
        <f>AND('GA55 Entry'!#REF!,"AAAAAHX583g=")</f>
        <v>#REF!</v>
      </c>
      <c r="DR24" t="e">
        <f>AND('GA55 Entry'!#REF!,"AAAAAHX583k=")</f>
        <v>#REF!</v>
      </c>
      <c r="DS24" t="e">
        <f>AND('GA55 Entry'!#REF!,"AAAAAHX583o=")</f>
        <v>#REF!</v>
      </c>
      <c r="DT24" t="e">
        <f>AND('GA55 Entry'!#REF!,"AAAAAHX583s=")</f>
        <v>#REF!</v>
      </c>
      <c r="DU24" t="e">
        <f>AND('GA55 Entry'!#REF!,"AAAAAHX583w=")</f>
        <v>#REF!</v>
      </c>
      <c r="DV24" t="e">
        <f>AND('GA55 Entry'!#REF!,"AAAAAHX5830=")</f>
        <v>#REF!</v>
      </c>
      <c r="DW24" t="e">
        <f>AND('GA55 Entry'!#REF!,"AAAAAHX5834=")</f>
        <v>#REF!</v>
      </c>
      <c r="DX24" t="e">
        <f>AND('GA55 Entry'!#REF!,"AAAAAHX5838=")</f>
        <v>#REF!</v>
      </c>
      <c r="DY24" t="e">
        <f>AND('GA55 Entry'!#REF!,"AAAAAHX584A=")</f>
        <v>#REF!</v>
      </c>
      <c r="DZ24" t="e">
        <f>AND('GA55 Entry'!#REF!,"AAAAAHX584E=")</f>
        <v>#REF!</v>
      </c>
      <c r="EA24" t="e">
        <f>AND('GA55 Entry'!#REF!,"AAAAAHX584I=")</f>
        <v>#REF!</v>
      </c>
      <c r="EB24" t="e">
        <f>AND('GA55 Entry'!#REF!,"AAAAAHX584M=")</f>
        <v>#REF!</v>
      </c>
      <c r="EC24" t="e">
        <f>AND('GA55 Entry'!#REF!,"AAAAAHX584Q=")</f>
        <v>#REF!</v>
      </c>
      <c r="ED24" t="e">
        <f>AND('GA55 Entry'!#REF!,"AAAAAHX584U=")</f>
        <v>#REF!</v>
      </c>
      <c r="EE24" t="e">
        <f>AND('GA55 Entry'!#REF!,"AAAAAHX584Y=")</f>
        <v>#REF!</v>
      </c>
      <c r="EF24" t="e">
        <f>AND('GA55 Entry'!#REF!,"AAAAAHX584c=")</f>
        <v>#REF!</v>
      </c>
      <c r="EG24" t="e">
        <f>AND('GA55 Entry'!#REF!,"AAAAAHX584g=")</f>
        <v>#REF!</v>
      </c>
      <c r="EH24" t="e">
        <f>AND('GA55 Entry'!#REF!,"AAAAAHX584k=")</f>
        <v>#REF!</v>
      </c>
      <c r="EI24" t="e">
        <f>AND('GA55 Entry'!#REF!,"AAAAAHX584o=")</f>
        <v>#REF!</v>
      </c>
      <c r="EJ24" t="e">
        <f>AND('GA55 Entry'!#REF!,"AAAAAHX584s=")</f>
        <v>#REF!</v>
      </c>
      <c r="EK24" t="e">
        <f>AND('GA55 Entry'!#REF!,"AAAAAHX584w=")</f>
        <v>#REF!</v>
      </c>
      <c r="EL24" t="e">
        <f>AND('GA55 Entry'!#REF!,"AAAAAHX5840=")</f>
        <v>#REF!</v>
      </c>
      <c r="EM24" t="e">
        <f>AND('GA55 Entry'!#REF!,"AAAAAHX5844=")</f>
        <v>#REF!</v>
      </c>
      <c r="EN24" t="e">
        <f>AND('GA55 Entry'!#REF!,"AAAAAHX5848=")</f>
        <v>#REF!</v>
      </c>
      <c r="EO24" t="e">
        <f>AND('GA55 Entry'!#REF!,"AAAAAHX585A=")</f>
        <v>#REF!</v>
      </c>
      <c r="EP24" t="e">
        <f>AND('GA55 Entry'!#REF!,"AAAAAHX585E=")</f>
        <v>#REF!</v>
      </c>
      <c r="EQ24" t="e">
        <f>AND('GA55 Entry'!#REF!,"AAAAAHX585I=")</f>
        <v>#REF!</v>
      </c>
      <c r="ER24" t="e">
        <f>AND('GA55 Entry'!#REF!,"AAAAAHX585M=")</f>
        <v>#REF!</v>
      </c>
      <c r="ES24" t="e">
        <f>AND('GA55 Entry'!#REF!,"AAAAAHX585Q=")</f>
        <v>#REF!</v>
      </c>
      <c r="ET24" t="e">
        <f>AND('GA55 Entry'!#REF!,"AAAAAHX585U=")</f>
        <v>#REF!</v>
      </c>
      <c r="EU24" t="e">
        <f>AND('GA55 Entry'!#REF!,"AAAAAHX585Y=")</f>
        <v>#REF!</v>
      </c>
      <c r="EV24" t="e">
        <f>AND('GA55 Entry'!#REF!,"AAAAAHX585c=")</f>
        <v>#REF!</v>
      </c>
      <c r="EW24" t="e">
        <f>AND('GA55 Entry'!#REF!,"AAAAAHX585g=")</f>
        <v>#REF!</v>
      </c>
      <c r="EX24" t="e">
        <f>AND('GA55 Entry'!#REF!,"AAAAAHX585k=")</f>
        <v>#REF!</v>
      </c>
      <c r="EY24" t="e">
        <f>AND('GA55 Entry'!#REF!,"AAAAAHX585o=")</f>
        <v>#REF!</v>
      </c>
      <c r="EZ24" t="e">
        <f>AND('GA55 Entry'!#REF!,"AAAAAHX585s=")</f>
        <v>#REF!</v>
      </c>
      <c r="FA24" t="e">
        <f>AND('GA55 Entry'!#REF!,"AAAAAHX585w=")</f>
        <v>#REF!</v>
      </c>
      <c r="FB24" t="e">
        <f>AND('GA55 Entry'!#REF!,"AAAAAHX5850=")</f>
        <v>#REF!</v>
      </c>
      <c r="FC24" t="e">
        <f>AND('GA55 Entry'!#REF!,"AAAAAHX5854=")</f>
        <v>#REF!</v>
      </c>
      <c r="FD24" t="e">
        <f>AND('GA55 Entry'!#REF!,"AAAAAHX5858=")</f>
        <v>#REF!</v>
      </c>
      <c r="FE24" t="e">
        <f>AND('GA55 Entry'!#REF!,"AAAAAHX586A=")</f>
        <v>#REF!</v>
      </c>
      <c r="FF24" t="e">
        <f>AND('GA55 Entry'!#REF!,"AAAAAHX586E=")</f>
        <v>#REF!</v>
      </c>
      <c r="FG24" t="e">
        <f>AND('GA55 Entry'!#REF!,"AAAAAHX586I=")</f>
        <v>#REF!</v>
      </c>
      <c r="FH24" t="e">
        <f>AND('GA55 Entry'!#REF!,"AAAAAHX586M=")</f>
        <v>#REF!</v>
      </c>
      <c r="FI24" t="e">
        <f>AND('GA55 Entry'!#REF!,"AAAAAHX586Q=")</f>
        <v>#REF!</v>
      </c>
      <c r="FJ24" t="e">
        <f>AND('GA55 Entry'!#REF!,"AAAAAHX586U=")</f>
        <v>#REF!</v>
      </c>
      <c r="FK24" t="e">
        <f>AND('GA55 Entry'!#REF!,"AAAAAHX586Y=")</f>
        <v>#REF!</v>
      </c>
      <c r="FL24" t="e">
        <f>AND('GA55 Entry'!#REF!,"AAAAAHX586c=")</f>
        <v>#REF!</v>
      </c>
      <c r="FM24" t="e">
        <f>AND('GA55 Entry'!#REF!,"AAAAAHX586g=")</f>
        <v>#REF!</v>
      </c>
      <c r="FN24" t="e">
        <f>IF('GA55 Entry'!#REF!,"AAAAAHX586k=",0)</f>
        <v>#REF!</v>
      </c>
      <c r="FO24" t="e">
        <f>AND('GA55 Entry'!#REF!,"AAAAAHX586o=")</f>
        <v>#REF!</v>
      </c>
      <c r="FP24" t="e">
        <f>AND('GA55 Entry'!#REF!,"AAAAAHX586s=")</f>
        <v>#REF!</v>
      </c>
      <c r="FQ24" t="e">
        <f>AND('GA55 Entry'!#REF!,"AAAAAHX586w=")</f>
        <v>#REF!</v>
      </c>
      <c r="FR24" t="e">
        <f>AND('GA55 Entry'!#REF!,"AAAAAHX5860=")</f>
        <v>#REF!</v>
      </c>
      <c r="FS24" t="e">
        <f>AND('GA55 Entry'!#REF!,"AAAAAHX5864=")</f>
        <v>#REF!</v>
      </c>
      <c r="FT24" t="e">
        <f>AND('GA55 Entry'!#REF!,"AAAAAHX5868=")</f>
        <v>#REF!</v>
      </c>
      <c r="FU24" t="e">
        <f>AND('GA55 Entry'!#REF!,"AAAAAHX587A=")</f>
        <v>#REF!</v>
      </c>
      <c r="FV24" t="e">
        <f>AND('GA55 Entry'!#REF!,"AAAAAHX587E=")</f>
        <v>#REF!</v>
      </c>
      <c r="FW24" t="e">
        <f>AND('GA55 Entry'!#REF!,"AAAAAHX587I=")</f>
        <v>#REF!</v>
      </c>
      <c r="FX24" t="e">
        <f>AND('GA55 Entry'!#REF!,"AAAAAHX587M=")</f>
        <v>#REF!</v>
      </c>
      <c r="FY24" t="e">
        <f>AND('GA55 Entry'!#REF!,"AAAAAHX587Q=")</f>
        <v>#REF!</v>
      </c>
      <c r="FZ24" t="e">
        <f>AND('GA55 Entry'!#REF!,"AAAAAHX587U=")</f>
        <v>#REF!</v>
      </c>
      <c r="GA24" t="e">
        <f>AND('GA55 Entry'!#REF!,"AAAAAHX587Y=")</f>
        <v>#REF!</v>
      </c>
      <c r="GB24" t="e">
        <f>AND('GA55 Entry'!#REF!,"AAAAAHX587c=")</f>
        <v>#REF!</v>
      </c>
      <c r="GC24" t="e">
        <f>AND('GA55 Entry'!#REF!,"AAAAAHX587g=")</f>
        <v>#REF!</v>
      </c>
      <c r="GD24" t="e">
        <f>AND('GA55 Entry'!#REF!,"AAAAAHX587k=")</f>
        <v>#REF!</v>
      </c>
      <c r="GE24" t="e">
        <f>AND('GA55 Entry'!#REF!,"AAAAAHX587o=")</f>
        <v>#REF!</v>
      </c>
      <c r="GF24" t="e">
        <f>AND('GA55 Entry'!#REF!,"AAAAAHX587s=")</f>
        <v>#REF!</v>
      </c>
      <c r="GG24" t="e">
        <f>AND('GA55 Entry'!#REF!,"AAAAAHX587w=")</f>
        <v>#REF!</v>
      </c>
      <c r="GH24" t="e">
        <f>AND('GA55 Entry'!#REF!,"AAAAAHX5870=")</f>
        <v>#REF!</v>
      </c>
      <c r="GI24" t="e">
        <f>AND('GA55 Entry'!#REF!,"AAAAAHX5874=")</f>
        <v>#REF!</v>
      </c>
      <c r="GJ24" t="e">
        <f>AND('GA55 Entry'!#REF!,"AAAAAHX5878=")</f>
        <v>#REF!</v>
      </c>
      <c r="GK24" t="e">
        <f>AND('GA55 Entry'!#REF!,"AAAAAHX588A=")</f>
        <v>#REF!</v>
      </c>
      <c r="GL24" t="e">
        <f>AND('GA55 Entry'!#REF!,"AAAAAHX588E=")</f>
        <v>#REF!</v>
      </c>
      <c r="GM24" t="e">
        <f>AND('GA55 Entry'!#REF!,"AAAAAHX588I=")</f>
        <v>#REF!</v>
      </c>
      <c r="GN24" t="e">
        <f>AND('GA55 Entry'!#REF!,"AAAAAHX588M=")</f>
        <v>#REF!</v>
      </c>
      <c r="GO24" t="e">
        <f>AND('GA55 Entry'!#REF!,"AAAAAHX588Q=")</f>
        <v>#REF!</v>
      </c>
      <c r="GP24" t="e">
        <f>AND('GA55 Entry'!#REF!,"AAAAAHX588U=")</f>
        <v>#REF!</v>
      </c>
      <c r="GQ24" t="e">
        <f>AND('GA55 Entry'!#REF!,"AAAAAHX588Y=")</f>
        <v>#REF!</v>
      </c>
      <c r="GR24" t="e">
        <f>AND('GA55 Entry'!#REF!,"AAAAAHX588c=")</f>
        <v>#REF!</v>
      </c>
      <c r="GS24" t="e">
        <f>AND('GA55 Entry'!#REF!,"AAAAAHX588g=")</f>
        <v>#REF!</v>
      </c>
      <c r="GT24" t="e">
        <f>AND('GA55 Entry'!#REF!,"AAAAAHX588k=")</f>
        <v>#REF!</v>
      </c>
      <c r="GU24" t="e">
        <f>AND('GA55 Entry'!#REF!,"AAAAAHX588o=")</f>
        <v>#REF!</v>
      </c>
      <c r="GV24" t="e">
        <f>AND('GA55 Entry'!#REF!,"AAAAAHX588s=")</f>
        <v>#REF!</v>
      </c>
      <c r="GW24" t="e">
        <f>AND('GA55 Entry'!#REF!,"AAAAAHX588w=")</f>
        <v>#REF!</v>
      </c>
      <c r="GX24" t="e">
        <f>AND('GA55 Entry'!#REF!,"AAAAAHX5880=")</f>
        <v>#REF!</v>
      </c>
      <c r="GY24" t="e">
        <f>AND('GA55 Entry'!#REF!,"AAAAAHX5884=")</f>
        <v>#REF!</v>
      </c>
      <c r="GZ24" t="e">
        <f>AND('GA55 Entry'!#REF!,"AAAAAHX5888=")</f>
        <v>#REF!</v>
      </c>
      <c r="HA24" t="e">
        <f>AND('GA55 Entry'!#REF!,"AAAAAHX589A=")</f>
        <v>#REF!</v>
      </c>
      <c r="HB24" t="e">
        <f>AND('GA55 Entry'!#REF!,"AAAAAHX589E=")</f>
        <v>#REF!</v>
      </c>
      <c r="HC24" t="e">
        <f>AND('GA55 Entry'!#REF!,"AAAAAHX589I=")</f>
        <v>#REF!</v>
      </c>
      <c r="HD24" t="e">
        <f>AND('GA55 Entry'!#REF!,"AAAAAHX589M=")</f>
        <v>#REF!</v>
      </c>
      <c r="HE24" t="e">
        <f>AND('GA55 Entry'!#REF!,"AAAAAHX589Q=")</f>
        <v>#REF!</v>
      </c>
      <c r="HF24" t="e">
        <f>AND('GA55 Entry'!#REF!,"AAAAAHX589U=")</f>
        <v>#REF!</v>
      </c>
      <c r="HG24" t="e">
        <f>AND('GA55 Entry'!#REF!,"AAAAAHX589Y=")</f>
        <v>#REF!</v>
      </c>
      <c r="HH24" t="e">
        <f>AND('GA55 Entry'!#REF!,"AAAAAHX589c=")</f>
        <v>#REF!</v>
      </c>
      <c r="HI24" t="e">
        <f>AND('GA55 Entry'!#REF!,"AAAAAHX589g=")</f>
        <v>#REF!</v>
      </c>
      <c r="HJ24" t="e">
        <f>AND('GA55 Entry'!#REF!,"AAAAAHX589k=")</f>
        <v>#REF!</v>
      </c>
      <c r="HK24" t="e">
        <f>AND('GA55 Entry'!#REF!,"AAAAAHX589o=")</f>
        <v>#REF!</v>
      </c>
      <c r="HL24" t="e">
        <f>AND('GA55 Entry'!#REF!,"AAAAAHX589s=")</f>
        <v>#REF!</v>
      </c>
      <c r="HM24" t="e">
        <f>IF('GA55 Entry'!#REF!,"AAAAAHX589w=",0)</f>
        <v>#REF!</v>
      </c>
      <c r="HN24" t="e">
        <f>AND('GA55 Entry'!#REF!,"AAAAAHX5890=")</f>
        <v>#REF!</v>
      </c>
      <c r="HO24" t="e">
        <f>AND('GA55 Entry'!#REF!,"AAAAAHX5894=")</f>
        <v>#REF!</v>
      </c>
      <c r="HP24" t="e">
        <f>AND('GA55 Entry'!#REF!,"AAAAAHX5898=")</f>
        <v>#REF!</v>
      </c>
      <c r="HQ24" t="e">
        <f>AND('GA55 Entry'!#REF!,"AAAAAHX58+A=")</f>
        <v>#REF!</v>
      </c>
      <c r="HR24" t="e">
        <f>AND('GA55 Entry'!#REF!,"AAAAAHX58+E=")</f>
        <v>#REF!</v>
      </c>
      <c r="HS24" t="e">
        <f>AND('GA55 Entry'!#REF!,"AAAAAHX58+I=")</f>
        <v>#REF!</v>
      </c>
      <c r="HT24" t="e">
        <f>AND('GA55 Entry'!#REF!,"AAAAAHX58+M=")</f>
        <v>#REF!</v>
      </c>
      <c r="HU24" t="e">
        <f>AND('GA55 Entry'!#REF!,"AAAAAHX58+Q=")</f>
        <v>#REF!</v>
      </c>
      <c r="HV24" t="e">
        <f>AND('GA55 Entry'!#REF!,"AAAAAHX58+U=")</f>
        <v>#REF!</v>
      </c>
      <c r="HW24" t="e">
        <f>AND('GA55 Entry'!#REF!,"AAAAAHX58+Y=")</f>
        <v>#REF!</v>
      </c>
      <c r="HX24" t="e">
        <f>AND('GA55 Entry'!#REF!,"AAAAAHX58+c=")</f>
        <v>#REF!</v>
      </c>
      <c r="HY24" t="e">
        <f>AND('GA55 Entry'!#REF!,"AAAAAHX58+g=")</f>
        <v>#REF!</v>
      </c>
      <c r="HZ24" t="e">
        <f>AND('GA55 Entry'!#REF!,"AAAAAHX58+k=")</f>
        <v>#REF!</v>
      </c>
      <c r="IA24" t="e">
        <f>AND('GA55 Entry'!#REF!,"AAAAAHX58+o=")</f>
        <v>#REF!</v>
      </c>
      <c r="IB24" t="e">
        <f>AND('GA55 Entry'!#REF!,"AAAAAHX58+s=")</f>
        <v>#REF!</v>
      </c>
      <c r="IC24" t="e">
        <f>AND('GA55 Entry'!#REF!,"AAAAAHX58+w=")</f>
        <v>#REF!</v>
      </c>
      <c r="ID24" t="e">
        <f>AND('GA55 Entry'!#REF!,"AAAAAHX58+0=")</f>
        <v>#REF!</v>
      </c>
      <c r="IE24" t="e">
        <f>AND('GA55 Entry'!#REF!,"AAAAAHX58+4=")</f>
        <v>#REF!</v>
      </c>
      <c r="IF24" t="e">
        <f>AND('GA55 Entry'!#REF!,"AAAAAHX58+8=")</f>
        <v>#REF!</v>
      </c>
      <c r="IG24" t="e">
        <f>AND('GA55 Entry'!#REF!,"AAAAAHX58/A=")</f>
        <v>#REF!</v>
      </c>
      <c r="IH24" t="e">
        <f>AND('GA55 Entry'!#REF!,"AAAAAHX58/E=")</f>
        <v>#REF!</v>
      </c>
      <c r="II24" t="e">
        <f>AND('GA55 Entry'!#REF!,"AAAAAHX58/I=")</f>
        <v>#REF!</v>
      </c>
      <c r="IJ24" t="e">
        <f>AND('GA55 Entry'!#REF!,"AAAAAHX58/M=")</f>
        <v>#REF!</v>
      </c>
      <c r="IK24" t="e">
        <f>AND('GA55 Entry'!#REF!,"AAAAAHX58/Q=")</f>
        <v>#REF!</v>
      </c>
      <c r="IL24" t="e">
        <f>AND('GA55 Entry'!#REF!,"AAAAAHX58/U=")</f>
        <v>#REF!</v>
      </c>
      <c r="IM24" t="e">
        <f>AND('GA55 Entry'!#REF!,"AAAAAHX58/Y=")</f>
        <v>#REF!</v>
      </c>
      <c r="IN24" t="e">
        <f>AND('GA55 Entry'!#REF!,"AAAAAHX58/c=")</f>
        <v>#REF!</v>
      </c>
      <c r="IO24" t="e">
        <f>AND('GA55 Entry'!#REF!,"AAAAAHX58/g=")</f>
        <v>#REF!</v>
      </c>
      <c r="IP24" t="e">
        <f>AND('GA55 Entry'!#REF!,"AAAAAHX58/k=")</f>
        <v>#REF!</v>
      </c>
      <c r="IQ24" t="e">
        <f>AND('GA55 Entry'!#REF!,"AAAAAHX58/o=")</f>
        <v>#REF!</v>
      </c>
      <c r="IR24" t="e">
        <f>AND('GA55 Entry'!#REF!,"AAAAAHX58/s=")</f>
        <v>#REF!</v>
      </c>
      <c r="IS24" t="e">
        <f>AND('GA55 Entry'!#REF!,"AAAAAHX58/w=")</f>
        <v>#REF!</v>
      </c>
      <c r="IT24" t="e">
        <f>AND('GA55 Entry'!#REF!,"AAAAAHX58/0=")</f>
        <v>#REF!</v>
      </c>
      <c r="IU24" t="e">
        <f>AND('GA55 Entry'!#REF!,"AAAAAHX58/4=")</f>
        <v>#REF!</v>
      </c>
      <c r="IV24" t="e">
        <f>AND('GA55 Entry'!#REF!,"AAAAAHX58/8=")</f>
        <v>#REF!</v>
      </c>
    </row>
    <row r="25" spans="1:256">
      <c r="A25" t="e">
        <f>AND('GA55 Entry'!#REF!,"AAAAAG+7bgA=")</f>
        <v>#REF!</v>
      </c>
      <c r="B25" t="e">
        <f>AND('GA55 Entry'!#REF!,"AAAAAG+7bgE=")</f>
        <v>#REF!</v>
      </c>
      <c r="C25" t="e">
        <f>AND('GA55 Entry'!#REF!,"AAAAAG+7bgI=")</f>
        <v>#REF!</v>
      </c>
      <c r="D25" t="e">
        <f>AND('GA55 Entry'!#REF!,"AAAAAG+7bgM=")</f>
        <v>#REF!</v>
      </c>
      <c r="E25" t="e">
        <f>AND('GA55 Entry'!#REF!,"AAAAAG+7bgQ=")</f>
        <v>#REF!</v>
      </c>
      <c r="F25" t="e">
        <f>AND('GA55 Entry'!#REF!,"AAAAAG+7bgU=")</f>
        <v>#REF!</v>
      </c>
      <c r="G25" t="e">
        <f>AND('GA55 Entry'!#REF!,"AAAAAG+7bgY=")</f>
        <v>#REF!</v>
      </c>
      <c r="H25" t="e">
        <f>AND('GA55 Entry'!#REF!,"AAAAAG+7bgc=")</f>
        <v>#REF!</v>
      </c>
      <c r="I25" t="e">
        <f>AND('GA55 Entry'!#REF!,"AAAAAG+7bgg=")</f>
        <v>#REF!</v>
      </c>
      <c r="J25" t="e">
        <f>AND('GA55 Entry'!#REF!,"AAAAAG+7bgk=")</f>
        <v>#REF!</v>
      </c>
      <c r="K25" t="e">
        <f>AND('GA55 Entry'!#REF!,"AAAAAG+7bgo=")</f>
        <v>#REF!</v>
      </c>
      <c r="L25" t="e">
        <f>AND('GA55 Entry'!#REF!,"AAAAAG+7bgs=")</f>
        <v>#REF!</v>
      </c>
      <c r="M25" t="e">
        <f>AND('GA55 Entry'!#REF!,"AAAAAG+7bgw=")</f>
        <v>#REF!</v>
      </c>
      <c r="N25" t="e">
        <f>AND('GA55 Entry'!#REF!,"AAAAAG+7bg0=")</f>
        <v>#REF!</v>
      </c>
      <c r="O25" t="e">
        <f>AND('GA55 Entry'!#REF!,"AAAAAG+7bg4=")</f>
        <v>#REF!</v>
      </c>
      <c r="P25" t="e">
        <f>IF('GA55 Entry'!14:14,"AAAAAG+7bg8=",0)</f>
        <v>#VALUE!</v>
      </c>
      <c r="Q25" t="e">
        <f>AND('GA55 Entry'!B14,"AAAAAG+7bhA=")</f>
        <v>#VALUE!</v>
      </c>
      <c r="R25" t="e">
        <f>AND('GA55 Entry'!#REF!,"AAAAAG+7bhE=")</f>
        <v>#REF!</v>
      </c>
      <c r="S25" t="e">
        <f>AND('GA55 Entry'!C14,"AAAAAG+7bhI=")</f>
        <v>#VALUE!</v>
      </c>
      <c r="T25" t="e">
        <f>AND('GA55 Entry'!#REF!,"AAAAAG+7bhM=")</f>
        <v>#REF!</v>
      </c>
      <c r="U25" t="e">
        <f>AND('GA55 Entry'!#REF!,"AAAAAG+7bhQ=")</f>
        <v>#REF!</v>
      </c>
      <c r="V25" t="e">
        <f>AND('GA55 Entry'!#REF!,"AAAAAG+7bhU=")</f>
        <v>#REF!</v>
      </c>
      <c r="W25" t="e">
        <f>AND('GA55 Entry'!#REF!,"AAAAAG+7bhY=")</f>
        <v>#REF!</v>
      </c>
      <c r="X25" t="e">
        <f>AND('GA55 Entry'!#REF!,"AAAAAG+7bhc=")</f>
        <v>#REF!</v>
      </c>
      <c r="Y25" t="e">
        <f>AND('GA55 Entry'!D14,"AAAAAG+7bhg=")</f>
        <v>#VALUE!</v>
      </c>
      <c r="Z25" t="e">
        <f>AND('GA55 Entry'!#REF!,"AAAAAG+7bhk=")</f>
        <v>#REF!</v>
      </c>
      <c r="AA25" t="e">
        <f>AND('GA55 Entry'!E14,"AAAAAG+7bho=")</f>
        <v>#VALUE!</v>
      </c>
      <c r="AB25" t="e">
        <f>AND('GA55 Entry'!F14,"AAAAAG+7bhs=")</f>
        <v>#VALUE!</v>
      </c>
      <c r="AC25" t="e">
        <f>AND('GA55 Entry'!G14,"AAAAAG+7bhw=")</f>
        <v>#VALUE!</v>
      </c>
      <c r="AD25" t="e">
        <f>AND('GA55 Entry'!H14,"AAAAAG+7bh0=")</f>
        <v>#VALUE!</v>
      </c>
      <c r="AE25" t="e">
        <f>AND('GA55 Entry'!I14,"AAAAAG+7bh4=")</f>
        <v>#VALUE!</v>
      </c>
      <c r="AF25" t="e">
        <f>AND('GA55 Entry'!J14,"AAAAAG+7bh8=")</f>
        <v>#VALUE!</v>
      </c>
      <c r="AG25" t="e">
        <f>AND('GA55 Entry'!#REF!,"AAAAAG+7biA=")</f>
        <v>#REF!</v>
      </c>
      <c r="AH25" t="e">
        <f>AND('GA55 Entry'!K14,"AAAAAG+7biE=")</f>
        <v>#VALUE!</v>
      </c>
      <c r="AI25" t="e">
        <f>AND('GA55 Entry'!L14,"AAAAAG+7biI=")</f>
        <v>#VALUE!</v>
      </c>
      <c r="AJ25" t="e">
        <f>AND('GA55 Entry'!M14,"AAAAAG+7biM=")</f>
        <v>#VALUE!</v>
      </c>
      <c r="AK25" t="e">
        <f>AND('GA55 Entry'!N14,"AAAAAG+7biQ=")</f>
        <v>#VALUE!</v>
      </c>
      <c r="AL25" t="e">
        <f>AND('GA55 Entry'!O14,"AAAAAG+7biU=")</f>
        <v>#VALUE!</v>
      </c>
      <c r="AM25" t="e">
        <f>AND('GA55 Entry'!P14,"AAAAAG+7biY=")</f>
        <v>#VALUE!</v>
      </c>
      <c r="AN25" t="e">
        <f>AND('GA55 Entry'!Q14,"AAAAAG+7bic=")</f>
        <v>#VALUE!</v>
      </c>
      <c r="AO25" t="e">
        <f>AND('GA55 Entry'!S14,"AAAAAG+7big=")</f>
        <v>#VALUE!</v>
      </c>
      <c r="AP25" t="e">
        <f>AND('GA55 Entry'!#REF!,"AAAAAG+7bik=")</f>
        <v>#REF!</v>
      </c>
      <c r="AQ25" t="e">
        <f>AND('GA55 Entry'!T14,"AAAAAG+7bio=")</f>
        <v>#VALUE!</v>
      </c>
      <c r="AR25" t="e">
        <f>AND('GA55 Entry'!U14,"AAAAAG+7bis=")</f>
        <v>#VALUE!</v>
      </c>
      <c r="AS25" t="e">
        <f>AND('GA55 Entry'!V14,"AAAAAG+7biw=")</f>
        <v>#VALUE!</v>
      </c>
      <c r="AT25" t="e">
        <f>AND('GA55 Entry'!#REF!,"AAAAAG+7bi0=")</f>
        <v>#REF!</v>
      </c>
      <c r="AU25" t="e">
        <f>AND('GA55 Entry'!#REF!,"AAAAAG+7bi4=")</f>
        <v>#REF!</v>
      </c>
      <c r="AV25" t="e">
        <f>AND('GA55 Entry'!X14,"AAAAAG+7bi8=")</f>
        <v>#VALUE!</v>
      </c>
      <c r="AW25" t="e">
        <f>AND('GA55 Entry'!Y14,"AAAAAG+7bjA=")</f>
        <v>#VALUE!</v>
      </c>
      <c r="AX25" t="e">
        <f>AND('GA55 Entry'!#REF!,"AAAAAG+7bjE=")</f>
        <v>#REF!</v>
      </c>
      <c r="AY25" t="e">
        <f>AND('GA55 Entry'!#REF!,"AAAAAG+7bjI=")</f>
        <v>#REF!</v>
      </c>
      <c r="AZ25" t="e">
        <f>AND('GA55 Entry'!#REF!,"AAAAAG+7bjM=")</f>
        <v>#REF!</v>
      </c>
      <c r="BA25" t="e">
        <f>AND('GA55 Entry'!#REF!,"AAAAAG+7bjQ=")</f>
        <v>#REF!</v>
      </c>
      <c r="BB25" t="e">
        <f>AND('GA55 Entry'!#REF!,"AAAAAG+7bjU=")</f>
        <v>#REF!</v>
      </c>
      <c r="BC25" t="e">
        <f>AND('GA55 Entry'!#REF!,"AAAAAG+7bjY=")</f>
        <v>#REF!</v>
      </c>
      <c r="BD25" t="e">
        <f>AND('GA55 Entry'!#REF!,"AAAAAG+7bjc=")</f>
        <v>#REF!</v>
      </c>
      <c r="BE25" t="e">
        <f>AND('GA55 Entry'!#REF!,"AAAAAG+7bjg=")</f>
        <v>#REF!</v>
      </c>
      <c r="BF25" t="e">
        <f>AND('GA55 Entry'!#REF!,"AAAAAG+7bjk=")</f>
        <v>#REF!</v>
      </c>
      <c r="BG25" t="e">
        <f>AND('GA55 Entry'!Z14,"AAAAAG+7bjo=")</f>
        <v>#VALUE!</v>
      </c>
      <c r="BH25" t="e">
        <f>AND('GA55 Entry'!AA14,"AAAAAG+7bjs=")</f>
        <v>#VALUE!</v>
      </c>
      <c r="BI25" t="e">
        <f>AND('GA55 Entry'!#REF!,"AAAAAG+7bjw=")</f>
        <v>#REF!</v>
      </c>
      <c r="BJ25" t="e">
        <f>AND('GA55 Entry'!#REF!,"AAAAAG+7bj0=")</f>
        <v>#REF!</v>
      </c>
      <c r="BK25" t="e">
        <f>AND('GA55 Entry'!#REF!,"AAAAAG+7bj4=")</f>
        <v>#REF!</v>
      </c>
      <c r="BL25" t="e">
        <f>AND('GA55 Entry'!AB14,"AAAAAG+7bj8=")</f>
        <v>#VALUE!</v>
      </c>
      <c r="BM25" t="e">
        <f>AND('GA55 Entry'!AC14,"AAAAAG+7bkA=")</f>
        <v>#VALUE!</v>
      </c>
      <c r="BN25" t="e">
        <f>AND('GA55 Entry'!#REF!,"AAAAAG+7bkE=")</f>
        <v>#REF!</v>
      </c>
      <c r="BO25" t="e">
        <f>IF('GA55 Entry'!#REF!,"AAAAAG+7bkI=",0)</f>
        <v>#REF!</v>
      </c>
      <c r="BP25" t="e">
        <f>AND('GA55 Entry'!#REF!,"AAAAAG+7bkM=")</f>
        <v>#REF!</v>
      </c>
      <c r="BQ25" t="e">
        <f>AND('GA55 Entry'!#REF!,"AAAAAG+7bkQ=")</f>
        <v>#REF!</v>
      </c>
      <c r="BR25" t="e">
        <f>AND('GA55 Entry'!#REF!,"AAAAAG+7bkU=")</f>
        <v>#REF!</v>
      </c>
      <c r="BS25" t="e">
        <f>AND('GA55 Entry'!#REF!,"AAAAAG+7bkY=")</f>
        <v>#REF!</v>
      </c>
      <c r="BT25" t="e">
        <f>AND('GA55 Entry'!#REF!,"AAAAAG+7bkc=")</f>
        <v>#REF!</v>
      </c>
      <c r="BU25" t="e">
        <f>AND('GA55 Entry'!#REF!,"AAAAAG+7bkg=")</f>
        <v>#REF!</v>
      </c>
      <c r="BV25" t="e">
        <f>AND('GA55 Entry'!#REF!,"AAAAAG+7bkk=")</f>
        <v>#REF!</v>
      </c>
      <c r="BW25" t="e">
        <f>AND('GA55 Entry'!#REF!,"AAAAAG+7bko=")</f>
        <v>#REF!</v>
      </c>
      <c r="BX25" t="e">
        <f>AND('GA55 Entry'!#REF!,"AAAAAG+7bks=")</f>
        <v>#REF!</v>
      </c>
      <c r="BY25" t="e">
        <f>AND('GA55 Entry'!#REF!,"AAAAAG+7bkw=")</f>
        <v>#REF!</v>
      </c>
      <c r="BZ25" t="e">
        <f>AND('GA55 Entry'!#REF!,"AAAAAG+7bk0=")</f>
        <v>#REF!</v>
      </c>
      <c r="CA25" t="e">
        <f>AND('GA55 Entry'!#REF!,"AAAAAG+7bk4=")</f>
        <v>#REF!</v>
      </c>
      <c r="CB25" t="e">
        <f>AND('GA55 Entry'!#REF!,"AAAAAG+7bk8=")</f>
        <v>#REF!</v>
      </c>
      <c r="CC25" t="e">
        <f>AND('GA55 Entry'!#REF!,"AAAAAG+7blA=")</f>
        <v>#REF!</v>
      </c>
      <c r="CD25" t="e">
        <f>AND('GA55 Entry'!#REF!,"AAAAAG+7blE=")</f>
        <v>#REF!</v>
      </c>
      <c r="CE25" t="e">
        <f>AND('GA55 Entry'!#REF!,"AAAAAG+7blI=")</f>
        <v>#REF!</v>
      </c>
      <c r="CF25" t="e">
        <f>AND('GA55 Entry'!#REF!,"AAAAAG+7blM=")</f>
        <v>#REF!</v>
      </c>
      <c r="CG25" t="e">
        <f>AND('GA55 Entry'!#REF!,"AAAAAG+7blQ=")</f>
        <v>#REF!</v>
      </c>
      <c r="CH25" t="e">
        <f>AND('GA55 Entry'!#REF!,"AAAAAG+7blU=")</f>
        <v>#REF!</v>
      </c>
      <c r="CI25" t="e">
        <f>AND('GA55 Entry'!#REF!,"AAAAAG+7blY=")</f>
        <v>#REF!</v>
      </c>
      <c r="CJ25" t="e">
        <f>AND('GA55 Entry'!#REF!,"AAAAAG+7blc=")</f>
        <v>#REF!</v>
      </c>
      <c r="CK25" t="e">
        <f>AND('GA55 Entry'!#REF!,"AAAAAG+7blg=")</f>
        <v>#REF!</v>
      </c>
      <c r="CL25" t="e">
        <f>AND('GA55 Entry'!#REF!,"AAAAAG+7blk=")</f>
        <v>#REF!</v>
      </c>
      <c r="CM25" t="e">
        <f>AND('GA55 Entry'!#REF!,"AAAAAG+7blo=")</f>
        <v>#REF!</v>
      </c>
      <c r="CN25" t="e">
        <f>AND('GA55 Entry'!#REF!,"AAAAAG+7bls=")</f>
        <v>#REF!</v>
      </c>
      <c r="CO25" t="e">
        <f>AND('GA55 Entry'!#REF!,"AAAAAG+7blw=")</f>
        <v>#REF!</v>
      </c>
      <c r="CP25" t="e">
        <f>AND('GA55 Entry'!#REF!,"AAAAAG+7bl0=")</f>
        <v>#REF!</v>
      </c>
      <c r="CQ25" t="e">
        <f>AND('GA55 Entry'!#REF!,"AAAAAG+7bl4=")</f>
        <v>#REF!</v>
      </c>
      <c r="CR25" t="e">
        <f>AND('GA55 Entry'!#REF!,"AAAAAG+7bl8=")</f>
        <v>#REF!</v>
      </c>
      <c r="CS25" t="e">
        <f>AND('GA55 Entry'!#REF!,"AAAAAG+7bmA=")</f>
        <v>#REF!</v>
      </c>
      <c r="CT25" t="e">
        <f>AND('GA55 Entry'!#REF!,"AAAAAG+7bmE=")</f>
        <v>#REF!</v>
      </c>
      <c r="CU25" t="e">
        <f>AND('GA55 Entry'!#REF!,"AAAAAG+7bmI=")</f>
        <v>#REF!</v>
      </c>
      <c r="CV25" t="e">
        <f>AND('GA55 Entry'!#REF!,"AAAAAG+7bmM=")</f>
        <v>#REF!</v>
      </c>
      <c r="CW25" t="e">
        <f>AND('GA55 Entry'!#REF!,"AAAAAG+7bmQ=")</f>
        <v>#REF!</v>
      </c>
      <c r="CX25" t="e">
        <f>AND('GA55 Entry'!#REF!,"AAAAAG+7bmU=")</f>
        <v>#REF!</v>
      </c>
      <c r="CY25" t="e">
        <f>AND('GA55 Entry'!#REF!,"AAAAAG+7bmY=")</f>
        <v>#REF!</v>
      </c>
      <c r="CZ25" t="e">
        <f>AND('GA55 Entry'!#REF!,"AAAAAG+7bmc=")</f>
        <v>#REF!</v>
      </c>
      <c r="DA25" t="e">
        <f>AND('GA55 Entry'!#REF!,"AAAAAG+7bmg=")</f>
        <v>#REF!</v>
      </c>
      <c r="DB25" t="e">
        <f>AND('GA55 Entry'!#REF!,"AAAAAG+7bmk=")</f>
        <v>#REF!</v>
      </c>
      <c r="DC25" t="e">
        <f>AND('GA55 Entry'!#REF!,"AAAAAG+7bmo=")</f>
        <v>#REF!</v>
      </c>
      <c r="DD25" t="e">
        <f>AND('GA55 Entry'!#REF!,"AAAAAG+7bms=")</f>
        <v>#REF!</v>
      </c>
      <c r="DE25" t="e">
        <f>AND('GA55 Entry'!#REF!,"AAAAAG+7bmw=")</f>
        <v>#REF!</v>
      </c>
      <c r="DF25" t="e">
        <f>AND('GA55 Entry'!#REF!,"AAAAAG+7bm0=")</f>
        <v>#REF!</v>
      </c>
      <c r="DG25" t="e">
        <f>AND('GA55 Entry'!#REF!,"AAAAAG+7bm4=")</f>
        <v>#REF!</v>
      </c>
      <c r="DH25" t="e">
        <f>AND('GA55 Entry'!#REF!,"AAAAAG+7bm8=")</f>
        <v>#REF!</v>
      </c>
      <c r="DI25" t="e">
        <f>AND('GA55 Entry'!#REF!,"AAAAAG+7bnA=")</f>
        <v>#REF!</v>
      </c>
      <c r="DJ25" t="e">
        <f>AND('GA55 Entry'!#REF!,"AAAAAG+7bnE=")</f>
        <v>#REF!</v>
      </c>
      <c r="DK25" t="e">
        <f>AND('GA55 Entry'!#REF!,"AAAAAG+7bnI=")</f>
        <v>#REF!</v>
      </c>
      <c r="DL25" t="e">
        <f>AND('GA55 Entry'!#REF!,"AAAAAG+7bnM=")</f>
        <v>#REF!</v>
      </c>
      <c r="DM25" t="e">
        <f>AND('GA55 Entry'!#REF!,"AAAAAG+7bnQ=")</f>
        <v>#REF!</v>
      </c>
      <c r="DN25" t="e">
        <f>IF('GA55 Entry'!#REF!,"AAAAAG+7bnU=",0)</f>
        <v>#REF!</v>
      </c>
      <c r="DO25" t="e">
        <f>AND('GA55 Entry'!#REF!,"AAAAAG+7bnY=")</f>
        <v>#REF!</v>
      </c>
      <c r="DP25" t="e">
        <f>AND('GA55 Entry'!#REF!,"AAAAAG+7bnc=")</f>
        <v>#REF!</v>
      </c>
      <c r="DQ25" t="e">
        <f>AND('GA55 Entry'!#REF!,"AAAAAG+7bng=")</f>
        <v>#REF!</v>
      </c>
      <c r="DR25" t="e">
        <f>AND('GA55 Entry'!#REF!,"AAAAAG+7bnk=")</f>
        <v>#REF!</v>
      </c>
      <c r="DS25" t="e">
        <f>AND('GA55 Entry'!#REF!,"AAAAAG+7bno=")</f>
        <v>#REF!</v>
      </c>
      <c r="DT25" t="e">
        <f>AND('GA55 Entry'!#REF!,"AAAAAG+7bns=")</f>
        <v>#REF!</v>
      </c>
      <c r="DU25" t="e">
        <f>AND('GA55 Entry'!#REF!,"AAAAAG+7bnw=")</f>
        <v>#REF!</v>
      </c>
      <c r="DV25" t="e">
        <f>AND('GA55 Entry'!#REF!,"AAAAAG+7bn0=")</f>
        <v>#REF!</v>
      </c>
      <c r="DW25" t="e">
        <f>AND('GA55 Entry'!#REF!,"AAAAAG+7bn4=")</f>
        <v>#REF!</v>
      </c>
      <c r="DX25" t="e">
        <f>AND('GA55 Entry'!#REF!,"AAAAAG+7bn8=")</f>
        <v>#REF!</v>
      </c>
      <c r="DY25" t="e">
        <f>AND('GA55 Entry'!#REF!,"AAAAAG+7boA=")</f>
        <v>#REF!</v>
      </c>
      <c r="DZ25" t="e">
        <f>AND('GA55 Entry'!#REF!,"AAAAAG+7boE=")</f>
        <v>#REF!</v>
      </c>
      <c r="EA25" t="e">
        <f>AND('GA55 Entry'!#REF!,"AAAAAG+7boI=")</f>
        <v>#REF!</v>
      </c>
      <c r="EB25" t="e">
        <f>AND('GA55 Entry'!#REF!,"AAAAAG+7boM=")</f>
        <v>#REF!</v>
      </c>
      <c r="EC25" t="e">
        <f>AND('GA55 Entry'!#REF!,"AAAAAG+7boQ=")</f>
        <v>#REF!</v>
      </c>
      <c r="ED25" t="e">
        <f>AND('GA55 Entry'!#REF!,"AAAAAG+7boU=")</f>
        <v>#REF!</v>
      </c>
      <c r="EE25" t="e">
        <f>AND('GA55 Entry'!#REF!,"AAAAAG+7boY=")</f>
        <v>#REF!</v>
      </c>
      <c r="EF25" t="e">
        <f>AND('GA55 Entry'!#REF!,"AAAAAG+7boc=")</f>
        <v>#REF!</v>
      </c>
      <c r="EG25" t="e">
        <f>AND('GA55 Entry'!#REF!,"AAAAAG+7bog=")</f>
        <v>#REF!</v>
      </c>
      <c r="EH25" t="e">
        <f>AND('GA55 Entry'!#REF!,"AAAAAG+7bok=")</f>
        <v>#REF!</v>
      </c>
      <c r="EI25" t="e">
        <f>AND('GA55 Entry'!#REF!,"AAAAAG+7boo=")</f>
        <v>#REF!</v>
      </c>
      <c r="EJ25" t="e">
        <f>AND('GA55 Entry'!#REF!,"AAAAAG+7bos=")</f>
        <v>#REF!</v>
      </c>
      <c r="EK25" t="e">
        <f>AND('GA55 Entry'!#REF!,"AAAAAG+7bow=")</f>
        <v>#REF!</v>
      </c>
      <c r="EL25" t="e">
        <f>AND('GA55 Entry'!#REF!,"AAAAAG+7bo0=")</f>
        <v>#REF!</v>
      </c>
      <c r="EM25" t="e">
        <f>AND('GA55 Entry'!#REF!,"AAAAAG+7bo4=")</f>
        <v>#REF!</v>
      </c>
      <c r="EN25" t="e">
        <f>AND('GA55 Entry'!#REF!,"AAAAAG+7bo8=")</f>
        <v>#REF!</v>
      </c>
      <c r="EO25" t="e">
        <f>AND('GA55 Entry'!#REF!,"AAAAAG+7bpA=")</f>
        <v>#REF!</v>
      </c>
      <c r="EP25" t="e">
        <f>AND('GA55 Entry'!#REF!,"AAAAAG+7bpE=")</f>
        <v>#REF!</v>
      </c>
      <c r="EQ25" t="e">
        <f>AND('GA55 Entry'!#REF!,"AAAAAG+7bpI=")</f>
        <v>#REF!</v>
      </c>
      <c r="ER25" t="e">
        <f>AND('GA55 Entry'!#REF!,"AAAAAG+7bpM=")</f>
        <v>#REF!</v>
      </c>
      <c r="ES25" t="e">
        <f>AND('GA55 Entry'!#REF!,"AAAAAG+7bpQ=")</f>
        <v>#REF!</v>
      </c>
      <c r="ET25" t="e">
        <f>AND('GA55 Entry'!#REF!,"AAAAAG+7bpU=")</f>
        <v>#REF!</v>
      </c>
      <c r="EU25" t="e">
        <f>AND('GA55 Entry'!#REF!,"AAAAAG+7bpY=")</f>
        <v>#REF!</v>
      </c>
      <c r="EV25" t="e">
        <f>AND('GA55 Entry'!#REF!,"AAAAAG+7bpc=")</f>
        <v>#REF!</v>
      </c>
      <c r="EW25" t="e">
        <f>AND('GA55 Entry'!#REF!,"AAAAAG+7bpg=")</f>
        <v>#REF!</v>
      </c>
      <c r="EX25" t="e">
        <f>AND('GA55 Entry'!#REF!,"AAAAAG+7bpk=")</f>
        <v>#REF!</v>
      </c>
      <c r="EY25" t="e">
        <f>AND('GA55 Entry'!#REF!,"AAAAAG+7bpo=")</f>
        <v>#REF!</v>
      </c>
      <c r="EZ25" t="e">
        <f>AND('GA55 Entry'!#REF!,"AAAAAG+7bps=")</f>
        <v>#REF!</v>
      </c>
      <c r="FA25" t="e">
        <f>AND('GA55 Entry'!#REF!,"AAAAAG+7bpw=")</f>
        <v>#REF!</v>
      </c>
      <c r="FB25" t="e">
        <f>AND('GA55 Entry'!#REF!,"AAAAAG+7bp0=")</f>
        <v>#REF!</v>
      </c>
      <c r="FC25" t="e">
        <f>AND('GA55 Entry'!#REF!,"AAAAAG+7bp4=")</f>
        <v>#REF!</v>
      </c>
      <c r="FD25" t="e">
        <f>AND('GA55 Entry'!#REF!,"AAAAAG+7bp8=")</f>
        <v>#REF!</v>
      </c>
      <c r="FE25" t="e">
        <f>AND('GA55 Entry'!#REF!,"AAAAAG+7bqA=")</f>
        <v>#REF!</v>
      </c>
      <c r="FF25" t="e">
        <f>AND('GA55 Entry'!#REF!,"AAAAAG+7bqE=")</f>
        <v>#REF!</v>
      </c>
      <c r="FG25" t="e">
        <f>AND('GA55 Entry'!#REF!,"AAAAAG+7bqI=")</f>
        <v>#REF!</v>
      </c>
      <c r="FH25" t="e">
        <f>AND('GA55 Entry'!#REF!,"AAAAAG+7bqM=")</f>
        <v>#REF!</v>
      </c>
      <c r="FI25" t="e">
        <f>AND('GA55 Entry'!#REF!,"AAAAAG+7bqQ=")</f>
        <v>#REF!</v>
      </c>
      <c r="FJ25" t="e">
        <f>AND('GA55 Entry'!#REF!,"AAAAAG+7bqU=")</f>
        <v>#REF!</v>
      </c>
      <c r="FK25" t="e">
        <f>AND('GA55 Entry'!#REF!,"AAAAAG+7bqY=")</f>
        <v>#REF!</v>
      </c>
      <c r="FL25" t="e">
        <f>AND('GA55 Entry'!#REF!,"AAAAAG+7bqc=")</f>
        <v>#REF!</v>
      </c>
      <c r="FM25" t="e">
        <f>IF('GA55 Entry'!#REF!,"AAAAAG+7bqg=",0)</f>
        <v>#REF!</v>
      </c>
      <c r="FN25" t="e">
        <f>AND('GA55 Entry'!#REF!,"AAAAAG+7bqk=")</f>
        <v>#REF!</v>
      </c>
      <c r="FO25" t="e">
        <f>AND('GA55 Entry'!#REF!,"AAAAAG+7bqo=")</f>
        <v>#REF!</v>
      </c>
      <c r="FP25" t="e">
        <f>AND('GA55 Entry'!#REF!,"AAAAAG+7bqs=")</f>
        <v>#REF!</v>
      </c>
      <c r="FQ25" t="e">
        <f>AND('GA55 Entry'!#REF!,"AAAAAG+7bqw=")</f>
        <v>#REF!</v>
      </c>
      <c r="FR25" t="e">
        <f>AND('GA55 Entry'!#REF!,"AAAAAG+7bq0=")</f>
        <v>#REF!</v>
      </c>
      <c r="FS25" t="e">
        <f>AND('GA55 Entry'!#REF!,"AAAAAG+7bq4=")</f>
        <v>#REF!</v>
      </c>
      <c r="FT25" t="e">
        <f>AND('GA55 Entry'!#REF!,"AAAAAG+7bq8=")</f>
        <v>#REF!</v>
      </c>
      <c r="FU25" t="e">
        <f>AND('GA55 Entry'!#REF!,"AAAAAG+7brA=")</f>
        <v>#REF!</v>
      </c>
      <c r="FV25" t="e">
        <f>AND('GA55 Entry'!#REF!,"AAAAAG+7brE=")</f>
        <v>#REF!</v>
      </c>
      <c r="FW25" t="e">
        <f>AND('GA55 Entry'!#REF!,"AAAAAG+7brI=")</f>
        <v>#REF!</v>
      </c>
      <c r="FX25" t="e">
        <f>AND('GA55 Entry'!#REF!,"AAAAAG+7brM=")</f>
        <v>#REF!</v>
      </c>
      <c r="FY25" t="e">
        <f>AND('GA55 Entry'!#REF!,"AAAAAG+7brQ=")</f>
        <v>#REF!</v>
      </c>
      <c r="FZ25" t="e">
        <f>AND('GA55 Entry'!#REF!,"AAAAAG+7brU=")</f>
        <v>#REF!</v>
      </c>
      <c r="GA25" t="e">
        <f>AND('GA55 Entry'!#REF!,"AAAAAG+7brY=")</f>
        <v>#REF!</v>
      </c>
      <c r="GB25" t="e">
        <f>AND('GA55 Entry'!#REF!,"AAAAAG+7brc=")</f>
        <v>#REF!</v>
      </c>
      <c r="GC25" t="e">
        <f>AND('GA55 Entry'!#REF!,"AAAAAG+7brg=")</f>
        <v>#REF!</v>
      </c>
      <c r="GD25" t="e">
        <f>AND('GA55 Entry'!#REF!,"AAAAAG+7brk=")</f>
        <v>#REF!</v>
      </c>
      <c r="GE25" t="e">
        <f>AND('GA55 Entry'!#REF!,"AAAAAG+7bro=")</f>
        <v>#REF!</v>
      </c>
      <c r="GF25" t="e">
        <f>AND('GA55 Entry'!#REF!,"AAAAAG+7brs=")</f>
        <v>#REF!</v>
      </c>
      <c r="GG25" t="e">
        <f>AND('GA55 Entry'!#REF!,"AAAAAG+7brw=")</f>
        <v>#REF!</v>
      </c>
      <c r="GH25" t="e">
        <f>AND('GA55 Entry'!#REF!,"AAAAAG+7br0=")</f>
        <v>#REF!</v>
      </c>
      <c r="GI25" t="e">
        <f>AND('GA55 Entry'!#REF!,"AAAAAG+7br4=")</f>
        <v>#REF!</v>
      </c>
      <c r="GJ25" t="e">
        <f>AND('GA55 Entry'!#REF!,"AAAAAG+7br8=")</f>
        <v>#REF!</v>
      </c>
      <c r="GK25" t="e">
        <f>AND('GA55 Entry'!#REF!,"AAAAAG+7bsA=")</f>
        <v>#REF!</v>
      </c>
      <c r="GL25" t="e">
        <f>AND('GA55 Entry'!#REF!,"AAAAAG+7bsE=")</f>
        <v>#REF!</v>
      </c>
      <c r="GM25" t="e">
        <f>AND('GA55 Entry'!#REF!,"AAAAAG+7bsI=")</f>
        <v>#REF!</v>
      </c>
      <c r="GN25" t="e">
        <f>AND('GA55 Entry'!#REF!,"AAAAAG+7bsM=")</f>
        <v>#REF!</v>
      </c>
      <c r="GO25" t="e">
        <f>AND('GA55 Entry'!#REF!,"AAAAAG+7bsQ=")</f>
        <v>#REF!</v>
      </c>
      <c r="GP25" t="e">
        <f>AND('GA55 Entry'!#REF!,"AAAAAG+7bsU=")</f>
        <v>#REF!</v>
      </c>
      <c r="GQ25" t="e">
        <f>AND('GA55 Entry'!#REF!,"AAAAAG+7bsY=")</f>
        <v>#REF!</v>
      </c>
      <c r="GR25" t="e">
        <f>AND('GA55 Entry'!#REF!,"AAAAAG+7bsc=")</f>
        <v>#REF!</v>
      </c>
      <c r="GS25" t="e">
        <f>AND('GA55 Entry'!#REF!,"AAAAAG+7bsg=")</f>
        <v>#REF!</v>
      </c>
      <c r="GT25" t="e">
        <f>AND('GA55 Entry'!#REF!,"AAAAAG+7bsk=")</f>
        <v>#REF!</v>
      </c>
      <c r="GU25" t="e">
        <f>AND('GA55 Entry'!#REF!,"AAAAAG+7bso=")</f>
        <v>#REF!</v>
      </c>
      <c r="GV25" t="e">
        <f>AND('GA55 Entry'!#REF!,"AAAAAG+7bss=")</f>
        <v>#REF!</v>
      </c>
      <c r="GW25" t="e">
        <f>AND('GA55 Entry'!#REF!,"AAAAAG+7bsw=")</f>
        <v>#REF!</v>
      </c>
      <c r="GX25" t="e">
        <f>AND('GA55 Entry'!#REF!,"AAAAAG+7bs0=")</f>
        <v>#REF!</v>
      </c>
      <c r="GY25" t="e">
        <f>AND('GA55 Entry'!#REF!,"AAAAAG+7bs4=")</f>
        <v>#REF!</v>
      </c>
      <c r="GZ25" t="e">
        <f>AND('GA55 Entry'!#REF!,"AAAAAG+7bs8=")</f>
        <v>#REF!</v>
      </c>
      <c r="HA25" t="e">
        <f>AND('GA55 Entry'!#REF!,"AAAAAG+7btA=")</f>
        <v>#REF!</v>
      </c>
      <c r="HB25" t="e">
        <f>AND('GA55 Entry'!#REF!,"AAAAAG+7btE=")</f>
        <v>#REF!</v>
      </c>
      <c r="HC25" t="e">
        <f>AND('GA55 Entry'!#REF!,"AAAAAG+7btI=")</f>
        <v>#REF!</v>
      </c>
      <c r="HD25" t="e">
        <f>AND('GA55 Entry'!#REF!,"AAAAAG+7btM=")</f>
        <v>#REF!</v>
      </c>
      <c r="HE25" t="e">
        <f>AND('GA55 Entry'!#REF!,"AAAAAG+7btQ=")</f>
        <v>#REF!</v>
      </c>
      <c r="HF25" t="e">
        <f>AND('GA55 Entry'!#REF!,"AAAAAG+7btU=")</f>
        <v>#REF!</v>
      </c>
      <c r="HG25" t="e">
        <f>AND('GA55 Entry'!#REF!,"AAAAAG+7btY=")</f>
        <v>#REF!</v>
      </c>
      <c r="HH25" t="e">
        <f>AND('GA55 Entry'!#REF!,"AAAAAG+7btc=")</f>
        <v>#REF!</v>
      </c>
      <c r="HI25" t="e">
        <f>AND('GA55 Entry'!#REF!,"AAAAAG+7btg=")</f>
        <v>#REF!</v>
      </c>
      <c r="HJ25" t="e">
        <f>AND('GA55 Entry'!#REF!,"AAAAAG+7btk=")</f>
        <v>#REF!</v>
      </c>
      <c r="HK25" t="e">
        <f>AND('GA55 Entry'!#REF!,"AAAAAG+7bto=")</f>
        <v>#REF!</v>
      </c>
      <c r="HL25" t="e">
        <f>IF('GA55 Entry'!#REF!,"AAAAAG+7bts=",0)</f>
        <v>#REF!</v>
      </c>
      <c r="HM25" t="e">
        <f>AND('GA55 Entry'!#REF!,"AAAAAG+7btw=")</f>
        <v>#REF!</v>
      </c>
      <c r="HN25" t="e">
        <f>AND('GA55 Entry'!#REF!,"AAAAAG+7bt0=")</f>
        <v>#REF!</v>
      </c>
      <c r="HO25" t="e">
        <f>AND('GA55 Entry'!#REF!,"AAAAAG+7bt4=")</f>
        <v>#REF!</v>
      </c>
      <c r="HP25" t="e">
        <f>AND('GA55 Entry'!#REF!,"AAAAAG+7bt8=")</f>
        <v>#REF!</v>
      </c>
      <c r="HQ25" t="e">
        <f>AND('GA55 Entry'!#REF!,"AAAAAG+7buA=")</f>
        <v>#REF!</v>
      </c>
      <c r="HR25" t="e">
        <f>AND('GA55 Entry'!#REF!,"AAAAAG+7buE=")</f>
        <v>#REF!</v>
      </c>
      <c r="HS25" t="e">
        <f>AND('GA55 Entry'!#REF!,"AAAAAG+7buI=")</f>
        <v>#REF!</v>
      </c>
      <c r="HT25" t="e">
        <f>AND('GA55 Entry'!#REF!,"AAAAAG+7buM=")</f>
        <v>#REF!</v>
      </c>
      <c r="HU25" t="e">
        <f>AND('GA55 Entry'!#REF!,"AAAAAG+7buQ=")</f>
        <v>#REF!</v>
      </c>
      <c r="HV25" t="e">
        <f>AND('GA55 Entry'!#REF!,"AAAAAG+7buU=")</f>
        <v>#REF!</v>
      </c>
      <c r="HW25" t="e">
        <f>AND('GA55 Entry'!#REF!,"AAAAAG+7buY=")</f>
        <v>#REF!</v>
      </c>
      <c r="HX25" t="e">
        <f>AND('GA55 Entry'!#REF!,"AAAAAG+7buc=")</f>
        <v>#REF!</v>
      </c>
      <c r="HY25" t="e">
        <f>AND('GA55 Entry'!#REF!,"AAAAAG+7bug=")</f>
        <v>#REF!</v>
      </c>
      <c r="HZ25" t="e">
        <f>AND('GA55 Entry'!#REF!,"AAAAAG+7buk=")</f>
        <v>#REF!</v>
      </c>
      <c r="IA25" t="e">
        <f>AND('GA55 Entry'!#REF!,"AAAAAG+7buo=")</f>
        <v>#REF!</v>
      </c>
      <c r="IB25" t="e">
        <f>AND('GA55 Entry'!#REF!,"AAAAAG+7bus=")</f>
        <v>#REF!</v>
      </c>
      <c r="IC25" t="e">
        <f>AND('GA55 Entry'!#REF!,"AAAAAG+7buw=")</f>
        <v>#REF!</v>
      </c>
      <c r="ID25" t="e">
        <f>AND('GA55 Entry'!#REF!,"AAAAAG+7bu0=")</f>
        <v>#REF!</v>
      </c>
      <c r="IE25" t="e">
        <f>AND('GA55 Entry'!#REF!,"AAAAAG+7bu4=")</f>
        <v>#REF!</v>
      </c>
      <c r="IF25" t="e">
        <f>AND('GA55 Entry'!#REF!,"AAAAAG+7bu8=")</f>
        <v>#REF!</v>
      </c>
      <c r="IG25" t="e">
        <f>AND('GA55 Entry'!#REF!,"AAAAAG+7bvA=")</f>
        <v>#REF!</v>
      </c>
      <c r="IH25" t="e">
        <f>AND('GA55 Entry'!#REF!,"AAAAAG+7bvE=")</f>
        <v>#REF!</v>
      </c>
      <c r="II25" t="e">
        <f>AND('GA55 Entry'!#REF!,"AAAAAG+7bvI=")</f>
        <v>#REF!</v>
      </c>
      <c r="IJ25" t="e">
        <f>AND('GA55 Entry'!#REF!,"AAAAAG+7bvM=")</f>
        <v>#REF!</v>
      </c>
      <c r="IK25" t="e">
        <f>AND('GA55 Entry'!#REF!,"AAAAAG+7bvQ=")</f>
        <v>#REF!</v>
      </c>
      <c r="IL25" t="e">
        <f>AND('GA55 Entry'!#REF!,"AAAAAG+7bvU=")</f>
        <v>#REF!</v>
      </c>
      <c r="IM25" t="e">
        <f>AND('GA55 Entry'!#REF!,"AAAAAG+7bvY=")</f>
        <v>#REF!</v>
      </c>
      <c r="IN25" t="e">
        <f>AND('GA55 Entry'!#REF!,"AAAAAG+7bvc=")</f>
        <v>#REF!</v>
      </c>
      <c r="IO25" t="e">
        <f>AND('GA55 Entry'!#REF!,"AAAAAG+7bvg=")</f>
        <v>#REF!</v>
      </c>
      <c r="IP25" t="e">
        <f>AND('GA55 Entry'!#REF!,"AAAAAG+7bvk=")</f>
        <v>#REF!</v>
      </c>
      <c r="IQ25" t="e">
        <f>AND('GA55 Entry'!#REF!,"AAAAAG+7bvo=")</f>
        <v>#REF!</v>
      </c>
      <c r="IR25" t="e">
        <f>AND('GA55 Entry'!#REF!,"AAAAAG+7bvs=")</f>
        <v>#REF!</v>
      </c>
      <c r="IS25" t="e">
        <f>AND('GA55 Entry'!#REF!,"AAAAAG+7bvw=")</f>
        <v>#REF!</v>
      </c>
      <c r="IT25" t="e">
        <f>AND('GA55 Entry'!#REF!,"AAAAAG+7bv0=")</f>
        <v>#REF!</v>
      </c>
      <c r="IU25" t="e">
        <f>AND('GA55 Entry'!#REF!,"AAAAAG+7bv4=")</f>
        <v>#REF!</v>
      </c>
      <c r="IV25" t="e">
        <f>AND('GA55 Entry'!#REF!,"AAAAAG+7bv8=")</f>
        <v>#REF!</v>
      </c>
    </row>
    <row r="26" spans="1:256">
      <c r="A26" t="e">
        <f>AND('GA55 Entry'!#REF!,"AAAAAF9/1AA=")</f>
        <v>#REF!</v>
      </c>
      <c r="B26" t="e">
        <f>AND('GA55 Entry'!#REF!,"AAAAAF9/1AE=")</f>
        <v>#REF!</v>
      </c>
      <c r="C26" t="e">
        <f>AND('GA55 Entry'!#REF!,"AAAAAF9/1AI=")</f>
        <v>#REF!</v>
      </c>
      <c r="D26" t="e">
        <f>AND('GA55 Entry'!#REF!,"AAAAAF9/1AM=")</f>
        <v>#REF!</v>
      </c>
      <c r="E26" t="e">
        <f>AND('GA55 Entry'!#REF!,"AAAAAF9/1AQ=")</f>
        <v>#REF!</v>
      </c>
      <c r="F26" t="e">
        <f>AND('GA55 Entry'!#REF!,"AAAAAF9/1AU=")</f>
        <v>#REF!</v>
      </c>
      <c r="G26" t="e">
        <f>AND('GA55 Entry'!#REF!,"AAAAAF9/1AY=")</f>
        <v>#REF!</v>
      </c>
      <c r="H26" t="e">
        <f>AND('GA55 Entry'!#REF!,"AAAAAF9/1Ac=")</f>
        <v>#REF!</v>
      </c>
      <c r="I26" t="e">
        <f>AND('GA55 Entry'!#REF!,"AAAAAF9/1Ag=")</f>
        <v>#REF!</v>
      </c>
      <c r="J26" t="e">
        <f>AND('GA55 Entry'!#REF!,"AAAAAF9/1Ak=")</f>
        <v>#REF!</v>
      </c>
      <c r="K26" t="e">
        <f>AND('GA55 Entry'!#REF!,"AAAAAF9/1Ao=")</f>
        <v>#REF!</v>
      </c>
      <c r="L26" t="e">
        <f>AND('GA55 Entry'!#REF!,"AAAAAF9/1As=")</f>
        <v>#REF!</v>
      </c>
      <c r="M26" t="e">
        <f>AND('GA55 Entry'!#REF!,"AAAAAF9/1Aw=")</f>
        <v>#REF!</v>
      </c>
      <c r="N26" t="e">
        <f>AND('GA55 Entry'!#REF!,"AAAAAF9/1A0=")</f>
        <v>#REF!</v>
      </c>
      <c r="O26" t="e">
        <f>IF('GA55 Entry'!#REF!,"AAAAAF9/1A4=",0)</f>
        <v>#REF!</v>
      </c>
      <c r="P26" t="e">
        <f>AND('GA55 Entry'!#REF!,"AAAAAF9/1A8=")</f>
        <v>#REF!</v>
      </c>
      <c r="Q26" t="e">
        <f>AND('GA55 Entry'!#REF!,"AAAAAF9/1BA=")</f>
        <v>#REF!</v>
      </c>
      <c r="R26" t="e">
        <f>AND('GA55 Entry'!#REF!,"AAAAAF9/1BE=")</f>
        <v>#REF!</v>
      </c>
      <c r="S26" t="e">
        <f>AND('GA55 Entry'!#REF!,"AAAAAF9/1BI=")</f>
        <v>#REF!</v>
      </c>
      <c r="T26" t="e">
        <f>AND('GA55 Entry'!#REF!,"AAAAAF9/1BM=")</f>
        <v>#REF!</v>
      </c>
      <c r="U26" t="e">
        <f>AND('GA55 Entry'!#REF!,"AAAAAF9/1BQ=")</f>
        <v>#REF!</v>
      </c>
      <c r="V26" t="e">
        <f>AND('GA55 Entry'!#REF!,"AAAAAF9/1BU=")</f>
        <v>#REF!</v>
      </c>
      <c r="W26" t="e">
        <f>AND('GA55 Entry'!#REF!,"AAAAAF9/1BY=")</f>
        <v>#REF!</v>
      </c>
      <c r="X26" t="e">
        <f>AND('GA55 Entry'!#REF!,"AAAAAF9/1Bc=")</f>
        <v>#REF!</v>
      </c>
      <c r="Y26" t="e">
        <f>AND('GA55 Entry'!#REF!,"AAAAAF9/1Bg=")</f>
        <v>#REF!</v>
      </c>
      <c r="Z26" t="e">
        <f>AND('GA55 Entry'!#REF!,"AAAAAF9/1Bk=")</f>
        <v>#REF!</v>
      </c>
      <c r="AA26" t="e">
        <f>AND('GA55 Entry'!#REF!,"AAAAAF9/1Bo=")</f>
        <v>#REF!</v>
      </c>
      <c r="AB26" t="e">
        <f>AND('GA55 Entry'!#REF!,"AAAAAF9/1Bs=")</f>
        <v>#REF!</v>
      </c>
      <c r="AC26" t="e">
        <f>AND('GA55 Entry'!#REF!,"AAAAAF9/1Bw=")</f>
        <v>#REF!</v>
      </c>
      <c r="AD26" t="e">
        <f>AND('GA55 Entry'!#REF!,"AAAAAF9/1B0=")</f>
        <v>#REF!</v>
      </c>
      <c r="AE26" t="e">
        <f>AND('GA55 Entry'!#REF!,"AAAAAF9/1B4=")</f>
        <v>#REF!</v>
      </c>
      <c r="AF26" t="e">
        <f>AND('GA55 Entry'!#REF!,"AAAAAF9/1B8=")</f>
        <v>#REF!</v>
      </c>
      <c r="AG26" t="e">
        <f>AND('GA55 Entry'!#REF!,"AAAAAF9/1CA=")</f>
        <v>#REF!</v>
      </c>
      <c r="AH26" t="e">
        <f>AND('GA55 Entry'!#REF!,"AAAAAF9/1CE=")</f>
        <v>#REF!</v>
      </c>
      <c r="AI26" t="e">
        <f>AND('GA55 Entry'!#REF!,"AAAAAF9/1CI=")</f>
        <v>#REF!</v>
      </c>
      <c r="AJ26" t="e">
        <f>AND('GA55 Entry'!#REF!,"AAAAAF9/1CM=")</f>
        <v>#REF!</v>
      </c>
      <c r="AK26" t="e">
        <f>AND('GA55 Entry'!#REF!,"AAAAAF9/1CQ=")</f>
        <v>#REF!</v>
      </c>
      <c r="AL26" t="e">
        <f>AND('GA55 Entry'!#REF!,"AAAAAF9/1CU=")</f>
        <v>#REF!</v>
      </c>
      <c r="AM26" t="e">
        <f>AND('GA55 Entry'!#REF!,"AAAAAF9/1CY=")</f>
        <v>#REF!</v>
      </c>
      <c r="AN26" t="e">
        <f>AND('GA55 Entry'!#REF!,"AAAAAF9/1Cc=")</f>
        <v>#REF!</v>
      </c>
      <c r="AO26" t="e">
        <f>AND('GA55 Entry'!#REF!,"AAAAAF9/1Cg=")</f>
        <v>#REF!</v>
      </c>
      <c r="AP26" t="e">
        <f>AND('GA55 Entry'!#REF!,"AAAAAF9/1Ck=")</f>
        <v>#REF!</v>
      </c>
      <c r="AQ26" t="e">
        <f>AND('GA55 Entry'!#REF!,"AAAAAF9/1Co=")</f>
        <v>#REF!</v>
      </c>
      <c r="AR26" t="e">
        <f>AND('GA55 Entry'!#REF!,"AAAAAF9/1Cs=")</f>
        <v>#REF!</v>
      </c>
      <c r="AS26" t="e">
        <f>AND('GA55 Entry'!#REF!,"AAAAAF9/1Cw=")</f>
        <v>#REF!</v>
      </c>
      <c r="AT26" t="e">
        <f>AND('GA55 Entry'!#REF!,"AAAAAF9/1C0=")</f>
        <v>#REF!</v>
      </c>
      <c r="AU26" t="e">
        <f>AND('GA55 Entry'!#REF!,"AAAAAF9/1C4=")</f>
        <v>#REF!</v>
      </c>
      <c r="AV26" t="e">
        <f>AND('GA55 Entry'!#REF!,"AAAAAF9/1C8=")</f>
        <v>#REF!</v>
      </c>
      <c r="AW26" t="e">
        <f>AND('GA55 Entry'!#REF!,"AAAAAF9/1DA=")</f>
        <v>#REF!</v>
      </c>
      <c r="AX26" t="e">
        <f>AND('GA55 Entry'!#REF!,"AAAAAF9/1DE=")</f>
        <v>#REF!</v>
      </c>
      <c r="AY26" t="e">
        <f>AND('GA55 Entry'!#REF!,"AAAAAF9/1DI=")</f>
        <v>#REF!</v>
      </c>
      <c r="AZ26" t="e">
        <f>AND('GA55 Entry'!#REF!,"AAAAAF9/1DM=")</f>
        <v>#REF!</v>
      </c>
      <c r="BA26" t="e">
        <f>AND('GA55 Entry'!#REF!,"AAAAAF9/1DQ=")</f>
        <v>#REF!</v>
      </c>
      <c r="BB26" t="e">
        <f>AND('GA55 Entry'!#REF!,"AAAAAF9/1DU=")</f>
        <v>#REF!</v>
      </c>
      <c r="BC26" t="e">
        <f>AND('GA55 Entry'!#REF!,"AAAAAF9/1DY=")</f>
        <v>#REF!</v>
      </c>
      <c r="BD26" t="e">
        <f>AND('GA55 Entry'!#REF!,"AAAAAF9/1Dc=")</f>
        <v>#REF!</v>
      </c>
      <c r="BE26" t="e">
        <f>AND('GA55 Entry'!#REF!,"AAAAAF9/1Dg=")</f>
        <v>#REF!</v>
      </c>
      <c r="BF26" t="e">
        <f>AND('GA55 Entry'!#REF!,"AAAAAF9/1Dk=")</f>
        <v>#REF!</v>
      </c>
      <c r="BG26" t="e">
        <f>AND('GA55 Entry'!#REF!,"AAAAAF9/1Do=")</f>
        <v>#REF!</v>
      </c>
      <c r="BH26" t="e">
        <f>AND('GA55 Entry'!#REF!,"AAAAAF9/1Ds=")</f>
        <v>#REF!</v>
      </c>
      <c r="BI26" t="e">
        <f>AND('GA55 Entry'!#REF!,"AAAAAF9/1Dw=")</f>
        <v>#REF!</v>
      </c>
      <c r="BJ26" t="e">
        <f>AND('GA55 Entry'!#REF!,"AAAAAF9/1D0=")</f>
        <v>#REF!</v>
      </c>
      <c r="BK26" t="e">
        <f>AND('GA55 Entry'!#REF!,"AAAAAF9/1D4=")</f>
        <v>#REF!</v>
      </c>
      <c r="BL26" t="e">
        <f>AND('GA55 Entry'!#REF!,"AAAAAF9/1D8=")</f>
        <v>#REF!</v>
      </c>
      <c r="BM26" t="e">
        <f>AND('GA55 Entry'!#REF!,"AAAAAF9/1EA=")</f>
        <v>#REF!</v>
      </c>
      <c r="BN26">
        <f>IF('GA55 Entry'!15:15,"AAAAAF9/1EE=",0)</f>
        <v>0</v>
      </c>
      <c r="BO26" t="e">
        <f>AND('GA55 Entry'!B15,"AAAAAF9/1EI=")</f>
        <v>#VALUE!</v>
      </c>
      <c r="BP26" t="e">
        <f>AND('GA55 Entry'!#REF!,"AAAAAF9/1EM=")</f>
        <v>#REF!</v>
      </c>
      <c r="BQ26" t="e">
        <f>AND('GA55 Entry'!C15,"AAAAAF9/1EQ=")</f>
        <v>#VALUE!</v>
      </c>
      <c r="BR26" t="e">
        <f>AND('GA55 Entry'!#REF!,"AAAAAF9/1EU=")</f>
        <v>#REF!</v>
      </c>
      <c r="BS26" t="e">
        <f>AND('GA55 Entry'!#REF!,"AAAAAF9/1EY=")</f>
        <v>#REF!</v>
      </c>
      <c r="BT26" t="e">
        <f>AND('GA55 Entry'!#REF!,"AAAAAF9/1Ec=")</f>
        <v>#REF!</v>
      </c>
      <c r="BU26" t="e">
        <f>AND('GA55 Entry'!#REF!,"AAAAAF9/1Eg=")</f>
        <v>#REF!</v>
      </c>
      <c r="BV26" t="e">
        <f>AND('GA55 Entry'!#REF!,"AAAAAF9/1Ek=")</f>
        <v>#REF!</v>
      </c>
      <c r="BW26" t="e">
        <f>AND('GA55 Entry'!D15,"AAAAAF9/1Eo=")</f>
        <v>#VALUE!</v>
      </c>
      <c r="BX26" t="e">
        <f>AND('GA55 Entry'!#REF!,"AAAAAF9/1Es=")</f>
        <v>#REF!</v>
      </c>
      <c r="BY26" t="e">
        <f>AND('GA55 Entry'!E15,"AAAAAF9/1Ew=")</f>
        <v>#VALUE!</v>
      </c>
      <c r="BZ26" t="e">
        <f>AND('GA55 Entry'!F15,"AAAAAF9/1E0=")</f>
        <v>#VALUE!</v>
      </c>
      <c r="CA26" t="e">
        <f>AND('GA55 Entry'!G15,"AAAAAF9/1E4=")</f>
        <v>#VALUE!</v>
      </c>
      <c r="CB26" t="e">
        <f>AND('GA55 Entry'!H15,"AAAAAF9/1E8=")</f>
        <v>#VALUE!</v>
      </c>
      <c r="CC26" t="e">
        <f>AND('GA55 Entry'!I15,"AAAAAF9/1FA=")</f>
        <v>#VALUE!</v>
      </c>
      <c r="CD26" t="e">
        <f>AND('GA55 Entry'!J15,"AAAAAF9/1FE=")</f>
        <v>#VALUE!</v>
      </c>
      <c r="CE26" t="e">
        <f>AND('GA55 Entry'!#REF!,"AAAAAF9/1FI=")</f>
        <v>#REF!</v>
      </c>
      <c r="CF26" t="e">
        <f>AND('GA55 Entry'!K15,"AAAAAF9/1FM=")</f>
        <v>#VALUE!</v>
      </c>
      <c r="CG26" t="e">
        <f>AND('GA55 Entry'!L15,"AAAAAF9/1FQ=")</f>
        <v>#VALUE!</v>
      </c>
      <c r="CH26" t="e">
        <f>AND('GA55 Entry'!M15,"AAAAAF9/1FU=")</f>
        <v>#VALUE!</v>
      </c>
      <c r="CI26" t="e">
        <f>AND('GA55 Entry'!N15,"AAAAAF9/1FY=")</f>
        <v>#VALUE!</v>
      </c>
      <c r="CJ26" t="e">
        <f>AND('GA55 Entry'!O15,"AAAAAF9/1Fc=")</f>
        <v>#VALUE!</v>
      </c>
      <c r="CK26" t="e">
        <f>AND('GA55 Entry'!P15,"AAAAAF9/1Fg=")</f>
        <v>#VALUE!</v>
      </c>
      <c r="CL26" t="e">
        <f>AND('GA55 Entry'!Q15,"AAAAAF9/1Fk=")</f>
        <v>#VALUE!</v>
      </c>
      <c r="CM26" t="e">
        <f>AND('GA55 Entry'!S15,"AAAAAF9/1Fo=")</f>
        <v>#VALUE!</v>
      </c>
      <c r="CN26" t="e">
        <f>AND('GA55 Entry'!#REF!,"AAAAAF9/1Fs=")</f>
        <v>#REF!</v>
      </c>
      <c r="CO26" t="e">
        <f>AND('GA55 Entry'!T15,"AAAAAF9/1Fw=")</f>
        <v>#VALUE!</v>
      </c>
      <c r="CP26" t="e">
        <f>AND('GA55 Entry'!U15,"AAAAAF9/1F0=")</f>
        <v>#VALUE!</v>
      </c>
      <c r="CQ26" t="e">
        <f>AND('GA55 Entry'!V15,"AAAAAF9/1F4=")</f>
        <v>#VALUE!</v>
      </c>
      <c r="CR26" t="e">
        <f>AND('GA55 Entry'!#REF!,"AAAAAF9/1F8=")</f>
        <v>#REF!</v>
      </c>
      <c r="CS26" t="e">
        <f>AND('GA55 Entry'!#REF!,"AAAAAF9/1GA=")</f>
        <v>#REF!</v>
      </c>
      <c r="CT26" t="e">
        <f>AND('GA55 Entry'!X15,"AAAAAF9/1GE=")</f>
        <v>#VALUE!</v>
      </c>
      <c r="CU26" t="e">
        <f>AND('GA55 Entry'!Y15,"AAAAAF9/1GI=")</f>
        <v>#VALUE!</v>
      </c>
      <c r="CV26" t="e">
        <f>AND('GA55 Entry'!#REF!,"AAAAAF9/1GM=")</f>
        <v>#REF!</v>
      </c>
      <c r="CW26" t="e">
        <f>AND('GA55 Entry'!#REF!,"AAAAAF9/1GQ=")</f>
        <v>#REF!</v>
      </c>
      <c r="CX26" t="e">
        <f>AND('GA55 Entry'!#REF!,"AAAAAF9/1GU=")</f>
        <v>#REF!</v>
      </c>
      <c r="CY26" t="e">
        <f>AND('GA55 Entry'!#REF!,"AAAAAF9/1GY=")</f>
        <v>#REF!</v>
      </c>
      <c r="CZ26" t="e">
        <f>AND('GA55 Entry'!#REF!,"AAAAAF9/1Gc=")</f>
        <v>#REF!</v>
      </c>
      <c r="DA26" t="e">
        <f>AND('GA55 Entry'!#REF!,"AAAAAF9/1Gg=")</f>
        <v>#REF!</v>
      </c>
      <c r="DB26" t="e">
        <f>AND('GA55 Entry'!#REF!,"AAAAAF9/1Gk=")</f>
        <v>#REF!</v>
      </c>
      <c r="DC26" t="e">
        <f>AND('GA55 Entry'!#REF!,"AAAAAF9/1Go=")</f>
        <v>#REF!</v>
      </c>
      <c r="DD26" t="e">
        <f>AND('GA55 Entry'!#REF!,"AAAAAF9/1Gs=")</f>
        <v>#REF!</v>
      </c>
      <c r="DE26" t="e">
        <f>AND('GA55 Entry'!Z15,"AAAAAF9/1Gw=")</f>
        <v>#VALUE!</v>
      </c>
      <c r="DF26" t="e">
        <f>AND('GA55 Entry'!AA15,"AAAAAF9/1G0=")</f>
        <v>#VALUE!</v>
      </c>
      <c r="DG26" t="e">
        <f>AND('GA55 Entry'!#REF!,"AAAAAF9/1G4=")</f>
        <v>#REF!</v>
      </c>
      <c r="DH26" t="e">
        <f>AND('GA55 Entry'!#REF!,"AAAAAF9/1G8=")</f>
        <v>#REF!</v>
      </c>
      <c r="DI26" t="e">
        <f>AND('GA55 Entry'!#REF!,"AAAAAF9/1HA=")</f>
        <v>#REF!</v>
      </c>
      <c r="DJ26" t="e">
        <f>AND('GA55 Entry'!AB15,"AAAAAF9/1HE=")</f>
        <v>#VALUE!</v>
      </c>
      <c r="DK26" t="e">
        <f>AND('GA55 Entry'!AC15,"AAAAAF9/1HI=")</f>
        <v>#VALUE!</v>
      </c>
      <c r="DL26" t="e">
        <f>AND('GA55 Entry'!#REF!,"AAAAAF9/1HM=")</f>
        <v>#REF!</v>
      </c>
      <c r="DM26" t="e">
        <f>IF('GA55 Entry'!#REF!,"AAAAAF9/1HQ=",0)</f>
        <v>#REF!</v>
      </c>
      <c r="DN26" t="e">
        <f>AND('GA55 Entry'!#REF!,"AAAAAF9/1HU=")</f>
        <v>#REF!</v>
      </c>
      <c r="DO26" t="e">
        <f>AND('GA55 Entry'!#REF!,"AAAAAF9/1HY=")</f>
        <v>#REF!</v>
      </c>
      <c r="DP26" t="e">
        <f>AND('GA55 Entry'!#REF!,"AAAAAF9/1Hc=")</f>
        <v>#REF!</v>
      </c>
      <c r="DQ26" t="e">
        <f>AND('GA55 Entry'!#REF!,"AAAAAF9/1Hg=")</f>
        <v>#REF!</v>
      </c>
      <c r="DR26" t="e">
        <f>AND('GA55 Entry'!#REF!,"AAAAAF9/1Hk=")</f>
        <v>#REF!</v>
      </c>
      <c r="DS26" t="e">
        <f>AND('GA55 Entry'!#REF!,"AAAAAF9/1Ho=")</f>
        <v>#REF!</v>
      </c>
      <c r="DT26" t="e">
        <f>AND('GA55 Entry'!#REF!,"AAAAAF9/1Hs=")</f>
        <v>#REF!</v>
      </c>
      <c r="DU26" t="e">
        <f>AND('GA55 Entry'!#REF!,"AAAAAF9/1Hw=")</f>
        <v>#REF!</v>
      </c>
      <c r="DV26" t="e">
        <f>AND('GA55 Entry'!#REF!,"AAAAAF9/1H0=")</f>
        <v>#REF!</v>
      </c>
      <c r="DW26" t="e">
        <f>AND('GA55 Entry'!#REF!,"AAAAAF9/1H4=")</f>
        <v>#REF!</v>
      </c>
      <c r="DX26" t="e">
        <f>AND('GA55 Entry'!#REF!,"AAAAAF9/1H8=")</f>
        <v>#REF!</v>
      </c>
      <c r="DY26" t="e">
        <f>AND('GA55 Entry'!#REF!,"AAAAAF9/1IA=")</f>
        <v>#REF!</v>
      </c>
      <c r="DZ26" t="e">
        <f>AND('GA55 Entry'!#REF!,"AAAAAF9/1IE=")</f>
        <v>#REF!</v>
      </c>
      <c r="EA26" t="e">
        <f>AND('GA55 Entry'!#REF!,"AAAAAF9/1II=")</f>
        <v>#REF!</v>
      </c>
      <c r="EB26" t="e">
        <f>AND('GA55 Entry'!#REF!,"AAAAAF9/1IM=")</f>
        <v>#REF!</v>
      </c>
      <c r="EC26" t="e">
        <f>AND('GA55 Entry'!#REF!,"AAAAAF9/1IQ=")</f>
        <v>#REF!</v>
      </c>
      <c r="ED26" t="e">
        <f>AND('GA55 Entry'!#REF!,"AAAAAF9/1IU=")</f>
        <v>#REF!</v>
      </c>
      <c r="EE26" t="e">
        <f>AND('GA55 Entry'!#REF!,"AAAAAF9/1IY=")</f>
        <v>#REF!</v>
      </c>
      <c r="EF26" t="e">
        <f>AND('GA55 Entry'!#REF!,"AAAAAF9/1Ic=")</f>
        <v>#REF!</v>
      </c>
      <c r="EG26" t="e">
        <f>AND('GA55 Entry'!#REF!,"AAAAAF9/1Ig=")</f>
        <v>#REF!</v>
      </c>
      <c r="EH26" t="e">
        <f>AND('GA55 Entry'!#REF!,"AAAAAF9/1Ik=")</f>
        <v>#REF!</v>
      </c>
      <c r="EI26" t="e">
        <f>AND('GA55 Entry'!#REF!,"AAAAAF9/1Io=")</f>
        <v>#REF!</v>
      </c>
      <c r="EJ26" t="e">
        <f>AND('GA55 Entry'!#REF!,"AAAAAF9/1Is=")</f>
        <v>#REF!</v>
      </c>
      <c r="EK26" t="e">
        <f>AND('GA55 Entry'!#REF!,"AAAAAF9/1Iw=")</f>
        <v>#REF!</v>
      </c>
      <c r="EL26" t="e">
        <f>AND('GA55 Entry'!#REF!,"AAAAAF9/1I0=")</f>
        <v>#REF!</v>
      </c>
      <c r="EM26" t="e">
        <f>AND('GA55 Entry'!#REF!,"AAAAAF9/1I4=")</f>
        <v>#REF!</v>
      </c>
      <c r="EN26" t="e">
        <f>AND('GA55 Entry'!#REF!,"AAAAAF9/1I8=")</f>
        <v>#REF!</v>
      </c>
      <c r="EO26" t="e">
        <f>AND('GA55 Entry'!#REF!,"AAAAAF9/1JA=")</f>
        <v>#REF!</v>
      </c>
      <c r="EP26" t="e">
        <f>AND('GA55 Entry'!#REF!,"AAAAAF9/1JE=")</f>
        <v>#REF!</v>
      </c>
      <c r="EQ26" t="e">
        <f>AND('GA55 Entry'!#REF!,"AAAAAF9/1JI=")</f>
        <v>#REF!</v>
      </c>
      <c r="ER26" t="e">
        <f>AND('GA55 Entry'!#REF!,"AAAAAF9/1JM=")</f>
        <v>#REF!</v>
      </c>
      <c r="ES26" t="e">
        <f>AND('GA55 Entry'!#REF!,"AAAAAF9/1JQ=")</f>
        <v>#REF!</v>
      </c>
      <c r="ET26" t="e">
        <f>AND('GA55 Entry'!#REF!,"AAAAAF9/1JU=")</f>
        <v>#REF!</v>
      </c>
      <c r="EU26" t="e">
        <f>AND('GA55 Entry'!#REF!,"AAAAAF9/1JY=")</f>
        <v>#REF!</v>
      </c>
      <c r="EV26" t="e">
        <f>AND('GA55 Entry'!#REF!,"AAAAAF9/1Jc=")</f>
        <v>#REF!</v>
      </c>
      <c r="EW26" t="e">
        <f>AND('GA55 Entry'!#REF!,"AAAAAF9/1Jg=")</f>
        <v>#REF!</v>
      </c>
      <c r="EX26" t="e">
        <f>AND('GA55 Entry'!#REF!,"AAAAAF9/1Jk=")</f>
        <v>#REF!</v>
      </c>
      <c r="EY26" t="e">
        <f>AND('GA55 Entry'!#REF!,"AAAAAF9/1Jo=")</f>
        <v>#REF!</v>
      </c>
      <c r="EZ26" t="e">
        <f>AND('GA55 Entry'!#REF!,"AAAAAF9/1Js=")</f>
        <v>#REF!</v>
      </c>
      <c r="FA26" t="e">
        <f>AND('GA55 Entry'!#REF!,"AAAAAF9/1Jw=")</f>
        <v>#REF!</v>
      </c>
      <c r="FB26" t="e">
        <f>AND('GA55 Entry'!#REF!,"AAAAAF9/1J0=")</f>
        <v>#REF!</v>
      </c>
      <c r="FC26" t="e">
        <f>AND('GA55 Entry'!#REF!,"AAAAAF9/1J4=")</f>
        <v>#REF!</v>
      </c>
      <c r="FD26" t="e">
        <f>AND('GA55 Entry'!#REF!,"AAAAAF9/1J8=")</f>
        <v>#REF!</v>
      </c>
      <c r="FE26" t="e">
        <f>AND('GA55 Entry'!#REF!,"AAAAAF9/1KA=")</f>
        <v>#REF!</v>
      </c>
      <c r="FF26" t="e">
        <f>AND('GA55 Entry'!#REF!,"AAAAAF9/1KE=")</f>
        <v>#REF!</v>
      </c>
      <c r="FG26" t="e">
        <f>AND('GA55 Entry'!#REF!,"AAAAAF9/1KI=")</f>
        <v>#REF!</v>
      </c>
      <c r="FH26" t="e">
        <f>AND('GA55 Entry'!#REF!,"AAAAAF9/1KM=")</f>
        <v>#REF!</v>
      </c>
      <c r="FI26" t="e">
        <f>AND('GA55 Entry'!#REF!,"AAAAAF9/1KQ=")</f>
        <v>#REF!</v>
      </c>
      <c r="FJ26" t="e">
        <f>AND('GA55 Entry'!#REF!,"AAAAAF9/1KU=")</f>
        <v>#REF!</v>
      </c>
      <c r="FK26" t="e">
        <f>AND('GA55 Entry'!#REF!,"AAAAAF9/1KY=")</f>
        <v>#REF!</v>
      </c>
      <c r="FL26" t="e">
        <f>IF('GA55 Entry'!#REF!,"AAAAAF9/1Kc=",0)</f>
        <v>#REF!</v>
      </c>
      <c r="FM26" t="e">
        <f>AND('GA55 Entry'!#REF!,"AAAAAF9/1Kg=")</f>
        <v>#REF!</v>
      </c>
      <c r="FN26" t="e">
        <f>AND('GA55 Entry'!#REF!,"AAAAAF9/1Kk=")</f>
        <v>#REF!</v>
      </c>
      <c r="FO26" t="e">
        <f>AND('GA55 Entry'!#REF!,"AAAAAF9/1Ko=")</f>
        <v>#REF!</v>
      </c>
      <c r="FP26" t="e">
        <f>AND('GA55 Entry'!#REF!,"AAAAAF9/1Ks=")</f>
        <v>#REF!</v>
      </c>
      <c r="FQ26" t="e">
        <f>AND('GA55 Entry'!#REF!,"AAAAAF9/1Kw=")</f>
        <v>#REF!</v>
      </c>
      <c r="FR26" t="e">
        <f>AND('GA55 Entry'!#REF!,"AAAAAF9/1K0=")</f>
        <v>#REF!</v>
      </c>
      <c r="FS26" t="e">
        <f>AND('GA55 Entry'!#REF!,"AAAAAF9/1K4=")</f>
        <v>#REF!</v>
      </c>
      <c r="FT26" t="e">
        <f>AND('GA55 Entry'!#REF!,"AAAAAF9/1K8=")</f>
        <v>#REF!</v>
      </c>
      <c r="FU26" t="e">
        <f>AND('GA55 Entry'!#REF!,"AAAAAF9/1LA=")</f>
        <v>#REF!</v>
      </c>
      <c r="FV26" t="e">
        <f>AND('GA55 Entry'!#REF!,"AAAAAF9/1LE=")</f>
        <v>#REF!</v>
      </c>
      <c r="FW26" t="e">
        <f>AND('GA55 Entry'!#REF!,"AAAAAF9/1LI=")</f>
        <v>#REF!</v>
      </c>
      <c r="FX26" t="e">
        <f>AND('GA55 Entry'!#REF!,"AAAAAF9/1LM=")</f>
        <v>#REF!</v>
      </c>
      <c r="FY26" t="e">
        <f>AND('GA55 Entry'!#REF!,"AAAAAF9/1LQ=")</f>
        <v>#REF!</v>
      </c>
      <c r="FZ26" t="e">
        <f>AND('GA55 Entry'!#REF!,"AAAAAF9/1LU=")</f>
        <v>#REF!</v>
      </c>
      <c r="GA26" t="e">
        <f>AND('GA55 Entry'!#REF!,"AAAAAF9/1LY=")</f>
        <v>#REF!</v>
      </c>
      <c r="GB26" t="e">
        <f>AND('GA55 Entry'!#REF!,"AAAAAF9/1Lc=")</f>
        <v>#REF!</v>
      </c>
      <c r="GC26" t="e">
        <f>AND('GA55 Entry'!#REF!,"AAAAAF9/1Lg=")</f>
        <v>#REF!</v>
      </c>
      <c r="GD26" t="e">
        <f>AND('GA55 Entry'!#REF!,"AAAAAF9/1Lk=")</f>
        <v>#REF!</v>
      </c>
      <c r="GE26" t="e">
        <f>AND('GA55 Entry'!#REF!,"AAAAAF9/1Lo=")</f>
        <v>#REF!</v>
      </c>
      <c r="GF26" t="e">
        <f>AND('GA55 Entry'!#REF!,"AAAAAF9/1Ls=")</f>
        <v>#REF!</v>
      </c>
      <c r="GG26" t="e">
        <f>AND('GA55 Entry'!#REF!,"AAAAAF9/1Lw=")</f>
        <v>#REF!</v>
      </c>
      <c r="GH26" t="e">
        <f>AND('GA55 Entry'!#REF!,"AAAAAF9/1L0=")</f>
        <v>#REF!</v>
      </c>
      <c r="GI26" t="e">
        <f>AND('GA55 Entry'!#REF!,"AAAAAF9/1L4=")</f>
        <v>#REF!</v>
      </c>
      <c r="GJ26" t="e">
        <f>AND('GA55 Entry'!#REF!,"AAAAAF9/1L8=")</f>
        <v>#REF!</v>
      </c>
      <c r="GK26" t="e">
        <f>AND('GA55 Entry'!#REF!,"AAAAAF9/1MA=")</f>
        <v>#REF!</v>
      </c>
      <c r="GL26" t="e">
        <f>AND('GA55 Entry'!#REF!,"AAAAAF9/1ME=")</f>
        <v>#REF!</v>
      </c>
      <c r="GM26" t="e">
        <f>AND('GA55 Entry'!#REF!,"AAAAAF9/1MI=")</f>
        <v>#REF!</v>
      </c>
      <c r="GN26" t="e">
        <f>AND('GA55 Entry'!#REF!,"AAAAAF9/1MM=")</f>
        <v>#REF!</v>
      </c>
      <c r="GO26" t="e">
        <f>AND('GA55 Entry'!#REF!,"AAAAAF9/1MQ=")</f>
        <v>#REF!</v>
      </c>
      <c r="GP26" t="e">
        <f>AND('GA55 Entry'!#REF!,"AAAAAF9/1MU=")</f>
        <v>#REF!</v>
      </c>
      <c r="GQ26" t="e">
        <f>AND('GA55 Entry'!#REF!,"AAAAAF9/1MY=")</f>
        <v>#REF!</v>
      </c>
      <c r="GR26" t="e">
        <f>AND('GA55 Entry'!#REF!,"AAAAAF9/1Mc=")</f>
        <v>#REF!</v>
      </c>
      <c r="GS26" t="e">
        <f>AND('GA55 Entry'!#REF!,"AAAAAF9/1Mg=")</f>
        <v>#REF!</v>
      </c>
      <c r="GT26" t="e">
        <f>AND('GA55 Entry'!#REF!,"AAAAAF9/1Mk=")</f>
        <v>#REF!</v>
      </c>
      <c r="GU26" t="e">
        <f>AND('GA55 Entry'!#REF!,"AAAAAF9/1Mo=")</f>
        <v>#REF!</v>
      </c>
      <c r="GV26" t="e">
        <f>AND('GA55 Entry'!#REF!,"AAAAAF9/1Ms=")</f>
        <v>#REF!</v>
      </c>
      <c r="GW26" t="e">
        <f>AND('GA55 Entry'!#REF!,"AAAAAF9/1Mw=")</f>
        <v>#REF!</v>
      </c>
      <c r="GX26" t="e">
        <f>AND('GA55 Entry'!#REF!,"AAAAAF9/1M0=")</f>
        <v>#REF!</v>
      </c>
      <c r="GY26" t="e">
        <f>AND('GA55 Entry'!#REF!,"AAAAAF9/1M4=")</f>
        <v>#REF!</v>
      </c>
      <c r="GZ26" t="e">
        <f>AND('GA55 Entry'!#REF!,"AAAAAF9/1M8=")</f>
        <v>#REF!</v>
      </c>
      <c r="HA26" t="e">
        <f>AND('GA55 Entry'!#REF!,"AAAAAF9/1NA=")</f>
        <v>#REF!</v>
      </c>
      <c r="HB26" t="e">
        <f>AND('GA55 Entry'!#REF!,"AAAAAF9/1NE=")</f>
        <v>#REF!</v>
      </c>
      <c r="HC26" t="e">
        <f>AND('GA55 Entry'!#REF!,"AAAAAF9/1NI=")</f>
        <v>#REF!</v>
      </c>
      <c r="HD26" t="e">
        <f>AND('GA55 Entry'!#REF!,"AAAAAF9/1NM=")</f>
        <v>#REF!</v>
      </c>
      <c r="HE26" t="e">
        <f>AND('GA55 Entry'!#REF!,"AAAAAF9/1NQ=")</f>
        <v>#REF!</v>
      </c>
      <c r="HF26" t="e">
        <f>AND('GA55 Entry'!#REF!,"AAAAAF9/1NU=")</f>
        <v>#REF!</v>
      </c>
      <c r="HG26" t="e">
        <f>AND('GA55 Entry'!#REF!,"AAAAAF9/1NY=")</f>
        <v>#REF!</v>
      </c>
      <c r="HH26" t="e">
        <f>AND('GA55 Entry'!#REF!,"AAAAAF9/1Nc=")</f>
        <v>#REF!</v>
      </c>
      <c r="HI26" t="e">
        <f>AND('GA55 Entry'!#REF!,"AAAAAF9/1Ng=")</f>
        <v>#REF!</v>
      </c>
      <c r="HJ26" t="e">
        <f>AND('GA55 Entry'!#REF!,"AAAAAF9/1Nk=")</f>
        <v>#REF!</v>
      </c>
      <c r="HK26" t="e">
        <f>IF('GA55 Entry'!#REF!,"AAAAAF9/1No=",0)</f>
        <v>#REF!</v>
      </c>
      <c r="HL26" t="e">
        <f>AND('GA55 Entry'!#REF!,"AAAAAF9/1Ns=")</f>
        <v>#REF!</v>
      </c>
      <c r="HM26" t="e">
        <f>AND('GA55 Entry'!#REF!,"AAAAAF9/1Nw=")</f>
        <v>#REF!</v>
      </c>
      <c r="HN26" t="e">
        <f>AND('GA55 Entry'!#REF!,"AAAAAF9/1N0=")</f>
        <v>#REF!</v>
      </c>
      <c r="HO26" t="e">
        <f>AND('GA55 Entry'!#REF!,"AAAAAF9/1N4=")</f>
        <v>#REF!</v>
      </c>
      <c r="HP26" t="e">
        <f>AND('GA55 Entry'!#REF!,"AAAAAF9/1N8=")</f>
        <v>#REF!</v>
      </c>
      <c r="HQ26" t="e">
        <f>AND('GA55 Entry'!#REF!,"AAAAAF9/1OA=")</f>
        <v>#REF!</v>
      </c>
      <c r="HR26" t="e">
        <f>AND('GA55 Entry'!#REF!,"AAAAAF9/1OE=")</f>
        <v>#REF!</v>
      </c>
      <c r="HS26" t="e">
        <f>AND('GA55 Entry'!#REF!,"AAAAAF9/1OI=")</f>
        <v>#REF!</v>
      </c>
      <c r="HT26" t="e">
        <f>AND('GA55 Entry'!#REF!,"AAAAAF9/1OM=")</f>
        <v>#REF!</v>
      </c>
      <c r="HU26" t="e">
        <f>AND('GA55 Entry'!#REF!,"AAAAAF9/1OQ=")</f>
        <v>#REF!</v>
      </c>
      <c r="HV26" t="e">
        <f>AND('GA55 Entry'!#REF!,"AAAAAF9/1OU=")</f>
        <v>#REF!</v>
      </c>
      <c r="HW26" t="e">
        <f>AND('GA55 Entry'!#REF!,"AAAAAF9/1OY=")</f>
        <v>#REF!</v>
      </c>
      <c r="HX26" t="e">
        <f>AND('GA55 Entry'!#REF!,"AAAAAF9/1Oc=")</f>
        <v>#REF!</v>
      </c>
      <c r="HY26" t="e">
        <f>AND('GA55 Entry'!#REF!,"AAAAAF9/1Og=")</f>
        <v>#REF!</v>
      </c>
      <c r="HZ26" t="e">
        <f>AND('GA55 Entry'!#REF!,"AAAAAF9/1Ok=")</f>
        <v>#REF!</v>
      </c>
      <c r="IA26" t="e">
        <f>AND('GA55 Entry'!#REF!,"AAAAAF9/1Oo=")</f>
        <v>#REF!</v>
      </c>
      <c r="IB26" t="e">
        <f>AND('GA55 Entry'!#REF!,"AAAAAF9/1Os=")</f>
        <v>#REF!</v>
      </c>
      <c r="IC26" t="e">
        <f>AND('GA55 Entry'!#REF!,"AAAAAF9/1Ow=")</f>
        <v>#REF!</v>
      </c>
      <c r="ID26" t="e">
        <f>AND('GA55 Entry'!#REF!,"AAAAAF9/1O0=")</f>
        <v>#REF!</v>
      </c>
      <c r="IE26" t="e">
        <f>AND('GA55 Entry'!#REF!,"AAAAAF9/1O4=")</f>
        <v>#REF!</v>
      </c>
      <c r="IF26" t="e">
        <f>AND('GA55 Entry'!#REF!,"AAAAAF9/1O8=")</f>
        <v>#REF!</v>
      </c>
      <c r="IG26" t="e">
        <f>AND('GA55 Entry'!#REF!,"AAAAAF9/1PA=")</f>
        <v>#REF!</v>
      </c>
      <c r="IH26" t="e">
        <f>AND('GA55 Entry'!#REF!,"AAAAAF9/1PE=")</f>
        <v>#REF!</v>
      </c>
      <c r="II26" t="e">
        <f>AND('GA55 Entry'!#REF!,"AAAAAF9/1PI=")</f>
        <v>#REF!</v>
      </c>
      <c r="IJ26" t="e">
        <f>AND('GA55 Entry'!#REF!,"AAAAAF9/1PM=")</f>
        <v>#REF!</v>
      </c>
      <c r="IK26" t="e">
        <f>AND('GA55 Entry'!#REF!,"AAAAAF9/1PQ=")</f>
        <v>#REF!</v>
      </c>
      <c r="IL26" t="e">
        <f>AND('GA55 Entry'!#REF!,"AAAAAF9/1PU=")</f>
        <v>#REF!</v>
      </c>
      <c r="IM26" t="e">
        <f>AND('GA55 Entry'!#REF!,"AAAAAF9/1PY=")</f>
        <v>#REF!</v>
      </c>
      <c r="IN26" t="e">
        <f>AND('GA55 Entry'!#REF!,"AAAAAF9/1Pc=")</f>
        <v>#REF!</v>
      </c>
      <c r="IO26" t="e">
        <f>AND('GA55 Entry'!#REF!,"AAAAAF9/1Pg=")</f>
        <v>#REF!</v>
      </c>
      <c r="IP26" t="e">
        <f>AND('GA55 Entry'!#REF!,"AAAAAF9/1Pk=")</f>
        <v>#REF!</v>
      </c>
      <c r="IQ26" t="e">
        <f>AND('GA55 Entry'!#REF!,"AAAAAF9/1Po=")</f>
        <v>#REF!</v>
      </c>
      <c r="IR26" t="e">
        <f>AND('GA55 Entry'!#REF!,"AAAAAF9/1Ps=")</f>
        <v>#REF!</v>
      </c>
      <c r="IS26" t="e">
        <f>AND('GA55 Entry'!#REF!,"AAAAAF9/1Pw=")</f>
        <v>#REF!</v>
      </c>
      <c r="IT26" t="e">
        <f>AND('GA55 Entry'!#REF!,"AAAAAF9/1P0=")</f>
        <v>#REF!</v>
      </c>
      <c r="IU26" t="e">
        <f>AND('GA55 Entry'!#REF!,"AAAAAF9/1P4=")</f>
        <v>#REF!</v>
      </c>
      <c r="IV26" t="e">
        <f>AND('GA55 Entry'!#REF!,"AAAAAF9/1P8=")</f>
        <v>#REF!</v>
      </c>
    </row>
    <row r="27" spans="1:256">
      <c r="A27" t="e">
        <f>AND('GA55 Entry'!#REF!,"AAAAAFFf1wA=")</f>
        <v>#REF!</v>
      </c>
      <c r="B27" t="e">
        <f>AND('GA55 Entry'!#REF!,"AAAAAFFf1wE=")</f>
        <v>#REF!</v>
      </c>
      <c r="C27" t="e">
        <f>AND('GA55 Entry'!#REF!,"AAAAAFFf1wI=")</f>
        <v>#REF!</v>
      </c>
      <c r="D27" t="e">
        <f>AND('GA55 Entry'!#REF!,"AAAAAFFf1wM=")</f>
        <v>#REF!</v>
      </c>
      <c r="E27" t="e">
        <f>AND('GA55 Entry'!#REF!,"AAAAAFFf1wQ=")</f>
        <v>#REF!</v>
      </c>
      <c r="F27" t="e">
        <f>AND('GA55 Entry'!#REF!,"AAAAAFFf1wU=")</f>
        <v>#REF!</v>
      </c>
      <c r="G27" t="e">
        <f>AND('GA55 Entry'!#REF!,"AAAAAFFf1wY=")</f>
        <v>#REF!</v>
      </c>
      <c r="H27" t="e">
        <f>AND('GA55 Entry'!#REF!,"AAAAAFFf1wc=")</f>
        <v>#REF!</v>
      </c>
      <c r="I27" t="e">
        <f>AND('GA55 Entry'!#REF!,"AAAAAFFf1wg=")</f>
        <v>#REF!</v>
      </c>
      <c r="J27" t="e">
        <f>AND('GA55 Entry'!#REF!,"AAAAAFFf1wk=")</f>
        <v>#REF!</v>
      </c>
      <c r="K27" t="e">
        <f>AND('GA55 Entry'!#REF!,"AAAAAFFf1wo=")</f>
        <v>#REF!</v>
      </c>
      <c r="L27" t="e">
        <f>AND('GA55 Entry'!#REF!,"AAAAAFFf1ws=")</f>
        <v>#REF!</v>
      </c>
      <c r="M27" t="e">
        <f>AND('GA55 Entry'!#REF!,"AAAAAFFf1ww=")</f>
        <v>#REF!</v>
      </c>
      <c r="N27" t="e">
        <f>IF('GA55 Entry'!#REF!,"AAAAAFFf1w0=",0)</f>
        <v>#REF!</v>
      </c>
      <c r="O27" t="e">
        <f>AND('GA55 Entry'!#REF!,"AAAAAFFf1w4=")</f>
        <v>#REF!</v>
      </c>
      <c r="P27" t="e">
        <f>AND('GA55 Entry'!#REF!,"AAAAAFFf1w8=")</f>
        <v>#REF!</v>
      </c>
      <c r="Q27" t="e">
        <f>AND('GA55 Entry'!#REF!,"AAAAAFFf1xA=")</f>
        <v>#REF!</v>
      </c>
      <c r="R27" t="e">
        <f>AND('GA55 Entry'!#REF!,"AAAAAFFf1xE=")</f>
        <v>#REF!</v>
      </c>
      <c r="S27" t="e">
        <f>AND('GA55 Entry'!#REF!,"AAAAAFFf1xI=")</f>
        <v>#REF!</v>
      </c>
      <c r="T27" t="e">
        <f>AND('GA55 Entry'!#REF!,"AAAAAFFf1xM=")</f>
        <v>#REF!</v>
      </c>
      <c r="U27" t="e">
        <f>AND('GA55 Entry'!#REF!,"AAAAAFFf1xQ=")</f>
        <v>#REF!</v>
      </c>
      <c r="V27" t="e">
        <f>AND('GA55 Entry'!#REF!,"AAAAAFFf1xU=")</f>
        <v>#REF!</v>
      </c>
      <c r="W27" t="e">
        <f>AND('GA55 Entry'!#REF!,"AAAAAFFf1xY=")</f>
        <v>#REF!</v>
      </c>
      <c r="X27" t="e">
        <f>AND('GA55 Entry'!#REF!,"AAAAAFFf1xc=")</f>
        <v>#REF!</v>
      </c>
      <c r="Y27" t="e">
        <f>AND('GA55 Entry'!#REF!,"AAAAAFFf1xg=")</f>
        <v>#REF!</v>
      </c>
      <c r="Z27" t="e">
        <f>AND('GA55 Entry'!#REF!,"AAAAAFFf1xk=")</f>
        <v>#REF!</v>
      </c>
      <c r="AA27" t="e">
        <f>AND('GA55 Entry'!#REF!,"AAAAAFFf1xo=")</f>
        <v>#REF!</v>
      </c>
      <c r="AB27" t="e">
        <f>AND('GA55 Entry'!#REF!,"AAAAAFFf1xs=")</f>
        <v>#REF!</v>
      </c>
      <c r="AC27" t="e">
        <f>AND('GA55 Entry'!#REF!,"AAAAAFFf1xw=")</f>
        <v>#REF!</v>
      </c>
      <c r="AD27" t="e">
        <f>AND('GA55 Entry'!#REF!,"AAAAAFFf1x0=")</f>
        <v>#REF!</v>
      </c>
      <c r="AE27" t="e">
        <f>AND('GA55 Entry'!#REF!,"AAAAAFFf1x4=")</f>
        <v>#REF!</v>
      </c>
      <c r="AF27" t="e">
        <f>AND('GA55 Entry'!#REF!,"AAAAAFFf1x8=")</f>
        <v>#REF!</v>
      </c>
      <c r="AG27" t="e">
        <f>AND('GA55 Entry'!#REF!,"AAAAAFFf1yA=")</f>
        <v>#REF!</v>
      </c>
      <c r="AH27" t="e">
        <f>AND('GA55 Entry'!#REF!,"AAAAAFFf1yE=")</f>
        <v>#REF!</v>
      </c>
      <c r="AI27" t="e">
        <f>AND('GA55 Entry'!#REF!,"AAAAAFFf1yI=")</f>
        <v>#REF!</v>
      </c>
      <c r="AJ27" t="e">
        <f>AND('GA55 Entry'!#REF!,"AAAAAFFf1yM=")</f>
        <v>#REF!</v>
      </c>
      <c r="AK27" t="e">
        <f>AND('GA55 Entry'!#REF!,"AAAAAFFf1yQ=")</f>
        <v>#REF!</v>
      </c>
      <c r="AL27" t="e">
        <f>AND('GA55 Entry'!#REF!,"AAAAAFFf1yU=")</f>
        <v>#REF!</v>
      </c>
      <c r="AM27" t="e">
        <f>AND('GA55 Entry'!#REF!,"AAAAAFFf1yY=")</f>
        <v>#REF!</v>
      </c>
      <c r="AN27" t="e">
        <f>AND('GA55 Entry'!#REF!,"AAAAAFFf1yc=")</f>
        <v>#REF!</v>
      </c>
      <c r="AO27" t="e">
        <f>AND('GA55 Entry'!#REF!,"AAAAAFFf1yg=")</f>
        <v>#REF!</v>
      </c>
      <c r="AP27" t="e">
        <f>AND('GA55 Entry'!#REF!,"AAAAAFFf1yk=")</f>
        <v>#REF!</v>
      </c>
      <c r="AQ27" t="e">
        <f>AND('GA55 Entry'!#REF!,"AAAAAFFf1yo=")</f>
        <v>#REF!</v>
      </c>
      <c r="AR27" t="e">
        <f>AND('GA55 Entry'!#REF!,"AAAAAFFf1ys=")</f>
        <v>#REF!</v>
      </c>
      <c r="AS27" t="e">
        <f>AND('GA55 Entry'!#REF!,"AAAAAFFf1yw=")</f>
        <v>#REF!</v>
      </c>
      <c r="AT27" t="e">
        <f>AND('GA55 Entry'!#REF!,"AAAAAFFf1y0=")</f>
        <v>#REF!</v>
      </c>
      <c r="AU27" t="e">
        <f>AND('GA55 Entry'!#REF!,"AAAAAFFf1y4=")</f>
        <v>#REF!</v>
      </c>
      <c r="AV27" t="e">
        <f>AND('GA55 Entry'!#REF!,"AAAAAFFf1y8=")</f>
        <v>#REF!</v>
      </c>
      <c r="AW27" t="e">
        <f>AND('GA55 Entry'!#REF!,"AAAAAFFf1zA=")</f>
        <v>#REF!</v>
      </c>
      <c r="AX27" t="e">
        <f>AND('GA55 Entry'!#REF!,"AAAAAFFf1zE=")</f>
        <v>#REF!</v>
      </c>
      <c r="AY27" t="e">
        <f>AND('GA55 Entry'!#REF!,"AAAAAFFf1zI=")</f>
        <v>#REF!</v>
      </c>
      <c r="AZ27" t="e">
        <f>AND('GA55 Entry'!#REF!,"AAAAAFFf1zM=")</f>
        <v>#REF!</v>
      </c>
      <c r="BA27" t="e">
        <f>AND('GA55 Entry'!#REF!,"AAAAAFFf1zQ=")</f>
        <v>#REF!</v>
      </c>
      <c r="BB27" t="e">
        <f>AND('GA55 Entry'!#REF!,"AAAAAFFf1zU=")</f>
        <v>#REF!</v>
      </c>
      <c r="BC27" t="e">
        <f>AND('GA55 Entry'!#REF!,"AAAAAFFf1zY=")</f>
        <v>#REF!</v>
      </c>
      <c r="BD27" t="e">
        <f>AND('GA55 Entry'!#REF!,"AAAAAFFf1zc=")</f>
        <v>#REF!</v>
      </c>
      <c r="BE27" t="e">
        <f>AND('GA55 Entry'!#REF!,"AAAAAFFf1zg=")</f>
        <v>#REF!</v>
      </c>
      <c r="BF27" t="e">
        <f>AND('GA55 Entry'!#REF!,"AAAAAFFf1zk=")</f>
        <v>#REF!</v>
      </c>
      <c r="BG27" t="e">
        <f>AND('GA55 Entry'!#REF!,"AAAAAFFf1zo=")</f>
        <v>#REF!</v>
      </c>
      <c r="BH27" t="e">
        <f>AND('GA55 Entry'!#REF!,"AAAAAFFf1zs=")</f>
        <v>#REF!</v>
      </c>
      <c r="BI27" t="e">
        <f>AND('GA55 Entry'!#REF!,"AAAAAFFf1zw=")</f>
        <v>#REF!</v>
      </c>
      <c r="BJ27" t="e">
        <f>AND('GA55 Entry'!#REF!,"AAAAAFFf1z0=")</f>
        <v>#REF!</v>
      </c>
      <c r="BK27" t="e">
        <f>AND('GA55 Entry'!#REF!,"AAAAAFFf1z4=")</f>
        <v>#REF!</v>
      </c>
      <c r="BL27" t="e">
        <f>AND('GA55 Entry'!#REF!,"AAAAAFFf1z8=")</f>
        <v>#REF!</v>
      </c>
      <c r="BM27" t="e">
        <f>IF('GA55 Entry'!#REF!,"AAAAAFFf10A=",0)</f>
        <v>#REF!</v>
      </c>
      <c r="BN27" t="e">
        <f>AND('GA55 Entry'!#REF!,"AAAAAFFf10E=")</f>
        <v>#REF!</v>
      </c>
      <c r="BO27" t="e">
        <f>AND('GA55 Entry'!#REF!,"AAAAAFFf10I=")</f>
        <v>#REF!</v>
      </c>
      <c r="BP27" t="e">
        <f>AND('GA55 Entry'!#REF!,"AAAAAFFf10M=")</f>
        <v>#REF!</v>
      </c>
      <c r="BQ27" t="e">
        <f>AND('GA55 Entry'!#REF!,"AAAAAFFf10Q=")</f>
        <v>#REF!</v>
      </c>
      <c r="BR27" t="e">
        <f>AND('GA55 Entry'!#REF!,"AAAAAFFf10U=")</f>
        <v>#REF!</v>
      </c>
      <c r="BS27" t="e">
        <f>AND('GA55 Entry'!#REF!,"AAAAAFFf10Y=")</f>
        <v>#REF!</v>
      </c>
      <c r="BT27" t="e">
        <f>AND('GA55 Entry'!#REF!,"AAAAAFFf10c=")</f>
        <v>#REF!</v>
      </c>
      <c r="BU27" t="e">
        <f>AND('GA55 Entry'!#REF!,"AAAAAFFf10g=")</f>
        <v>#REF!</v>
      </c>
      <c r="BV27" t="e">
        <f>AND('GA55 Entry'!#REF!,"AAAAAFFf10k=")</f>
        <v>#REF!</v>
      </c>
      <c r="BW27" t="e">
        <f>AND('GA55 Entry'!#REF!,"AAAAAFFf10o=")</f>
        <v>#REF!</v>
      </c>
      <c r="BX27" t="e">
        <f>AND('GA55 Entry'!#REF!,"AAAAAFFf10s=")</f>
        <v>#REF!</v>
      </c>
      <c r="BY27" t="e">
        <f>AND('GA55 Entry'!#REF!,"AAAAAFFf10w=")</f>
        <v>#REF!</v>
      </c>
      <c r="BZ27" t="e">
        <f>AND('GA55 Entry'!#REF!,"AAAAAFFf100=")</f>
        <v>#REF!</v>
      </c>
      <c r="CA27" t="e">
        <f>AND('GA55 Entry'!#REF!,"AAAAAFFf104=")</f>
        <v>#REF!</v>
      </c>
      <c r="CB27" t="e">
        <f>AND('GA55 Entry'!#REF!,"AAAAAFFf108=")</f>
        <v>#REF!</v>
      </c>
      <c r="CC27" t="e">
        <f>AND('GA55 Entry'!#REF!,"AAAAAFFf11A=")</f>
        <v>#REF!</v>
      </c>
      <c r="CD27" t="e">
        <f>AND('GA55 Entry'!#REF!,"AAAAAFFf11E=")</f>
        <v>#REF!</v>
      </c>
      <c r="CE27" t="e">
        <f>AND('GA55 Entry'!#REF!,"AAAAAFFf11I=")</f>
        <v>#REF!</v>
      </c>
      <c r="CF27" t="e">
        <f>AND('GA55 Entry'!#REF!,"AAAAAFFf11M=")</f>
        <v>#REF!</v>
      </c>
      <c r="CG27" t="e">
        <f>AND('GA55 Entry'!#REF!,"AAAAAFFf11Q=")</f>
        <v>#REF!</v>
      </c>
      <c r="CH27" t="e">
        <f>AND('GA55 Entry'!#REF!,"AAAAAFFf11U=")</f>
        <v>#REF!</v>
      </c>
      <c r="CI27" t="e">
        <f>AND('GA55 Entry'!#REF!,"AAAAAFFf11Y=")</f>
        <v>#REF!</v>
      </c>
      <c r="CJ27" t="e">
        <f>AND('GA55 Entry'!#REF!,"AAAAAFFf11c=")</f>
        <v>#REF!</v>
      </c>
      <c r="CK27" t="e">
        <f>AND('GA55 Entry'!#REF!,"AAAAAFFf11g=")</f>
        <v>#REF!</v>
      </c>
      <c r="CL27" t="e">
        <f>AND('GA55 Entry'!#REF!,"AAAAAFFf11k=")</f>
        <v>#REF!</v>
      </c>
      <c r="CM27" t="e">
        <f>AND('GA55 Entry'!#REF!,"AAAAAFFf11o=")</f>
        <v>#REF!</v>
      </c>
      <c r="CN27" t="e">
        <f>AND('GA55 Entry'!#REF!,"AAAAAFFf11s=")</f>
        <v>#REF!</v>
      </c>
      <c r="CO27" t="e">
        <f>AND('GA55 Entry'!#REF!,"AAAAAFFf11w=")</f>
        <v>#REF!</v>
      </c>
      <c r="CP27" t="e">
        <f>AND('GA55 Entry'!#REF!,"AAAAAFFf110=")</f>
        <v>#REF!</v>
      </c>
      <c r="CQ27" t="e">
        <f>AND('GA55 Entry'!#REF!,"AAAAAFFf114=")</f>
        <v>#REF!</v>
      </c>
      <c r="CR27" t="e">
        <f>AND('GA55 Entry'!#REF!,"AAAAAFFf118=")</f>
        <v>#REF!</v>
      </c>
      <c r="CS27" t="e">
        <f>AND('GA55 Entry'!#REF!,"AAAAAFFf12A=")</f>
        <v>#REF!</v>
      </c>
      <c r="CT27" t="e">
        <f>AND('GA55 Entry'!#REF!,"AAAAAFFf12E=")</f>
        <v>#REF!</v>
      </c>
      <c r="CU27" t="e">
        <f>AND('GA55 Entry'!#REF!,"AAAAAFFf12I=")</f>
        <v>#REF!</v>
      </c>
      <c r="CV27" t="e">
        <f>AND('GA55 Entry'!#REF!,"AAAAAFFf12M=")</f>
        <v>#REF!</v>
      </c>
      <c r="CW27" t="e">
        <f>AND('GA55 Entry'!#REF!,"AAAAAFFf12Q=")</f>
        <v>#REF!</v>
      </c>
      <c r="CX27" t="e">
        <f>AND('GA55 Entry'!#REF!,"AAAAAFFf12U=")</f>
        <v>#REF!</v>
      </c>
      <c r="CY27" t="e">
        <f>AND('GA55 Entry'!#REF!,"AAAAAFFf12Y=")</f>
        <v>#REF!</v>
      </c>
      <c r="CZ27" t="e">
        <f>AND('GA55 Entry'!#REF!,"AAAAAFFf12c=")</f>
        <v>#REF!</v>
      </c>
      <c r="DA27" t="e">
        <f>AND('GA55 Entry'!#REF!,"AAAAAFFf12g=")</f>
        <v>#REF!</v>
      </c>
      <c r="DB27" t="e">
        <f>AND('GA55 Entry'!#REF!,"AAAAAFFf12k=")</f>
        <v>#REF!</v>
      </c>
      <c r="DC27" t="e">
        <f>AND('GA55 Entry'!#REF!,"AAAAAFFf12o=")</f>
        <v>#REF!</v>
      </c>
      <c r="DD27" t="e">
        <f>AND('GA55 Entry'!#REF!,"AAAAAFFf12s=")</f>
        <v>#REF!</v>
      </c>
      <c r="DE27" t="e">
        <f>AND('GA55 Entry'!#REF!,"AAAAAFFf12w=")</f>
        <v>#REF!</v>
      </c>
      <c r="DF27" t="e">
        <f>AND('GA55 Entry'!#REF!,"AAAAAFFf120=")</f>
        <v>#REF!</v>
      </c>
      <c r="DG27" t="e">
        <f>AND('GA55 Entry'!#REF!,"AAAAAFFf124=")</f>
        <v>#REF!</v>
      </c>
      <c r="DH27" t="e">
        <f>AND('GA55 Entry'!#REF!,"AAAAAFFf128=")</f>
        <v>#REF!</v>
      </c>
      <c r="DI27" t="e">
        <f>AND('GA55 Entry'!#REF!,"AAAAAFFf13A=")</f>
        <v>#REF!</v>
      </c>
      <c r="DJ27" t="e">
        <f>AND('GA55 Entry'!#REF!,"AAAAAFFf13E=")</f>
        <v>#REF!</v>
      </c>
      <c r="DK27" t="e">
        <f>AND('GA55 Entry'!#REF!,"AAAAAFFf13I=")</f>
        <v>#REF!</v>
      </c>
      <c r="DL27">
        <f>IF('GA55 Entry'!16:16,"AAAAAFFf13M=",0)</f>
        <v>0</v>
      </c>
      <c r="DM27" t="e">
        <f>AND('GA55 Entry'!B16,"AAAAAFFf13Q=")</f>
        <v>#VALUE!</v>
      </c>
      <c r="DN27" t="e">
        <f>AND('GA55 Entry'!#REF!,"AAAAAFFf13U=")</f>
        <v>#REF!</v>
      </c>
      <c r="DO27" t="e">
        <f>AND('GA55 Entry'!C16,"AAAAAFFf13Y=")</f>
        <v>#VALUE!</v>
      </c>
      <c r="DP27" t="e">
        <f>AND('GA55 Entry'!#REF!,"AAAAAFFf13c=")</f>
        <v>#REF!</v>
      </c>
      <c r="DQ27" t="e">
        <f>AND('GA55 Entry'!#REF!,"AAAAAFFf13g=")</f>
        <v>#REF!</v>
      </c>
      <c r="DR27" t="e">
        <f>AND('GA55 Entry'!#REF!,"AAAAAFFf13k=")</f>
        <v>#REF!</v>
      </c>
      <c r="DS27" t="e">
        <f>AND('GA55 Entry'!#REF!,"AAAAAFFf13o=")</f>
        <v>#REF!</v>
      </c>
      <c r="DT27" t="e">
        <f>AND('GA55 Entry'!#REF!,"AAAAAFFf13s=")</f>
        <v>#REF!</v>
      </c>
      <c r="DU27" t="e">
        <f>AND('GA55 Entry'!D16,"AAAAAFFf13w=")</f>
        <v>#VALUE!</v>
      </c>
      <c r="DV27" t="e">
        <f>AND('GA55 Entry'!#REF!,"AAAAAFFf130=")</f>
        <v>#REF!</v>
      </c>
      <c r="DW27" t="e">
        <f>AND('GA55 Entry'!E16,"AAAAAFFf134=")</f>
        <v>#VALUE!</v>
      </c>
      <c r="DX27" t="e">
        <f>AND('GA55 Entry'!F16,"AAAAAFFf138=")</f>
        <v>#VALUE!</v>
      </c>
      <c r="DY27" t="e">
        <f>AND('GA55 Entry'!G16,"AAAAAFFf14A=")</f>
        <v>#VALUE!</v>
      </c>
      <c r="DZ27" t="e">
        <f>AND('GA55 Entry'!H16,"AAAAAFFf14E=")</f>
        <v>#VALUE!</v>
      </c>
      <c r="EA27" t="e">
        <f>AND('GA55 Entry'!I16,"AAAAAFFf14I=")</f>
        <v>#VALUE!</v>
      </c>
      <c r="EB27" t="e">
        <f>AND('GA55 Entry'!J16,"AAAAAFFf14M=")</f>
        <v>#VALUE!</v>
      </c>
      <c r="EC27" t="e">
        <f>AND('GA55 Entry'!#REF!,"AAAAAFFf14Q=")</f>
        <v>#REF!</v>
      </c>
      <c r="ED27" t="e">
        <f>AND('GA55 Entry'!K16,"AAAAAFFf14U=")</f>
        <v>#VALUE!</v>
      </c>
      <c r="EE27" t="e">
        <f>AND('GA55 Entry'!L16,"AAAAAFFf14Y=")</f>
        <v>#VALUE!</v>
      </c>
      <c r="EF27" t="e">
        <f>AND('GA55 Entry'!M16,"AAAAAFFf14c=")</f>
        <v>#VALUE!</v>
      </c>
      <c r="EG27" t="e">
        <f>AND('GA55 Entry'!N16,"AAAAAFFf14g=")</f>
        <v>#VALUE!</v>
      </c>
      <c r="EH27" t="e">
        <f>AND('GA55 Entry'!O16,"AAAAAFFf14k=")</f>
        <v>#VALUE!</v>
      </c>
      <c r="EI27" t="e">
        <f>AND('GA55 Entry'!P16,"AAAAAFFf14o=")</f>
        <v>#VALUE!</v>
      </c>
      <c r="EJ27" t="e">
        <f>AND('GA55 Entry'!Q16,"AAAAAFFf14s=")</f>
        <v>#VALUE!</v>
      </c>
      <c r="EK27" t="e">
        <f>AND('GA55 Entry'!S16,"AAAAAFFf14w=")</f>
        <v>#VALUE!</v>
      </c>
      <c r="EL27" t="e">
        <f>AND('GA55 Entry'!#REF!,"AAAAAFFf140=")</f>
        <v>#REF!</v>
      </c>
      <c r="EM27" t="e">
        <f>AND('GA55 Entry'!T16,"AAAAAFFf144=")</f>
        <v>#VALUE!</v>
      </c>
      <c r="EN27" t="e">
        <f>AND('GA55 Entry'!U16,"AAAAAFFf148=")</f>
        <v>#VALUE!</v>
      </c>
      <c r="EO27" t="e">
        <f>AND('GA55 Entry'!V16,"AAAAAFFf15A=")</f>
        <v>#VALUE!</v>
      </c>
      <c r="EP27" t="e">
        <f>AND('GA55 Entry'!#REF!,"AAAAAFFf15E=")</f>
        <v>#REF!</v>
      </c>
      <c r="EQ27" t="e">
        <f>AND('GA55 Entry'!#REF!,"AAAAAFFf15I=")</f>
        <v>#REF!</v>
      </c>
      <c r="ER27" t="e">
        <f>AND('GA55 Entry'!X16,"AAAAAFFf15M=")</f>
        <v>#VALUE!</v>
      </c>
      <c r="ES27" t="e">
        <f>AND('GA55 Entry'!Y16,"AAAAAFFf15Q=")</f>
        <v>#VALUE!</v>
      </c>
      <c r="ET27" t="e">
        <f>AND('GA55 Entry'!#REF!,"AAAAAFFf15U=")</f>
        <v>#REF!</v>
      </c>
      <c r="EU27" t="e">
        <f>AND('GA55 Entry'!#REF!,"AAAAAFFf15Y=")</f>
        <v>#REF!</v>
      </c>
      <c r="EV27" t="e">
        <f>AND('GA55 Entry'!#REF!,"AAAAAFFf15c=")</f>
        <v>#REF!</v>
      </c>
      <c r="EW27" t="e">
        <f>AND('GA55 Entry'!#REF!,"AAAAAFFf15g=")</f>
        <v>#REF!</v>
      </c>
      <c r="EX27" t="e">
        <f>AND('GA55 Entry'!#REF!,"AAAAAFFf15k=")</f>
        <v>#REF!</v>
      </c>
      <c r="EY27" t="e">
        <f>AND('GA55 Entry'!#REF!,"AAAAAFFf15o=")</f>
        <v>#REF!</v>
      </c>
      <c r="EZ27" t="e">
        <f>AND('GA55 Entry'!#REF!,"AAAAAFFf15s=")</f>
        <v>#REF!</v>
      </c>
      <c r="FA27" t="e">
        <f>AND('GA55 Entry'!#REF!,"AAAAAFFf15w=")</f>
        <v>#REF!</v>
      </c>
      <c r="FB27" t="e">
        <f>AND('GA55 Entry'!#REF!,"AAAAAFFf150=")</f>
        <v>#REF!</v>
      </c>
      <c r="FC27" t="e">
        <f>AND('GA55 Entry'!Z16,"AAAAAFFf154=")</f>
        <v>#VALUE!</v>
      </c>
      <c r="FD27" t="e">
        <f>AND('GA55 Entry'!AA16,"AAAAAFFf158=")</f>
        <v>#VALUE!</v>
      </c>
      <c r="FE27" t="e">
        <f>AND('GA55 Entry'!#REF!,"AAAAAFFf16A=")</f>
        <v>#REF!</v>
      </c>
      <c r="FF27" t="e">
        <f>AND('GA55 Entry'!#REF!,"AAAAAFFf16E=")</f>
        <v>#REF!</v>
      </c>
      <c r="FG27" t="e">
        <f>AND('GA55 Entry'!#REF!,"AAAAAFFf16I=")</f>
        <v>#REF!</v>
      </c>
      <c r="FH27" t="e">
        <f>AND('GA55 Entry'!AB16,"AAAAAFFf16M=")</f>
        <v>#VALUE!</v>
      </c>
      <c r="FI27" t="e">
        <f>AND('GA55 Entry'!AC16,"AAAAAFFf16Q=")</f>
        <v>#VALUE!</v>
      </c>
      <c r="FJ27" t="e">
        <f>AND('GA55 Entry'!#REF!,"AAAAAFFf16U=")</f>
        <v>#REF!</v>
      </c>
      <c r="FK27" t="e">
        <f>IF('GA55 Entry'!#REF!,"AAAAAFFf16Y=",0)</f>
        <v>#REF!</v>
      </c>
      <c r="FL27" t="e">
        <f>AND('GA55 Entry'!#REF!,"AAAAAFFf16c=")</f>
        <v>#REF!</v>
      </c>
      <c r="FM27" t="e">
        <f>AND('GA55 Entry'!#REF!,"AAAAAFFf16g=")</f>
        <v>#REF!</v>
      </c>
      <c r="FN27" t="e">
        <f>AND('GA55 Entry'!#REF!,"AAAAAFFf16k=")</f>
        <v>#REF!</v>
      </c>
      <c r="FO27" t="e">
        <f>AND('GA55 Entry'!#REF!,"AAAAAFFf16o=")</f>
        <v>#REF!</v>
      </c>
      <c r="FP27" t="e">
        <f>AND('GA55 Entry'!#REF!,"AAAAAFFf16s=")</f>
        <v>#REF!</v>
      </c>
      <c r="FQ27" t="e">
        <f>AND('GA55 Entry'!#REF!,"AAAAAFFf16w=")</f>
        <v>#REF!</v>
      </c>
      <c r="FR27" t="e">
        <f>AND('GA55 Entry'!#REF!,"AAAAAFFf160=")</f>
        <v>#REF!</v>
      </c>
      <c r="FS27" t="e">
        <f>AND('GA55 Entry'!#REF!,"AAAAAFFf164=")</f>
        <v>#REF!</v>
      </c>
      <c r="FT27" t="e">
        <f>AND('GA55 Entry'!#REF!,"AAAAAFFf168=")</f>
        <v>#REF!</v>
      </c>
      <c r="FU27" t="e">
        <f>AND('GA55 Entry'!#REF!,"AAAAAFFf17A=")</f>
        <v>#REF!</v>
      </c>
      <c r="FV27" t="e">
        <f>AND('GA55 Entry'!#REF!,"AAAAAFFf17E=")</f>
        <v>#REF!</v>
      </c>
      <c r="FW27" t="e">
        <f>AND('GA55 Entry'!#REF!,"AAAAAFFf17I=")</f>
        <v>#REF!</v>
      </c>
      <c r="FX27" t="e">
        <f>AND('GA55 Entry'!#REF!,"AAAAAFFf17M=")</f>
        <v>#REF!</v>
      </c>
      <c r="FY27" t="e">
        <f>AND('GA55 Entry'!#REF!,"AAAAAFFf17Q=")</f>
        <v>#REF!</v>
      </c>
      <c r="FZ27" t="e">
        <f>AND('GA55 Entry'!#REF!,"AAAAAFFf17U=")</f>
        <v>#REF!</v>
      </c>
      <c r="GA27" t="e">
        <f>AND('GA55 Entry'!#REF!,"AAAAAFFf17Y=")</f>
        <v>#REF!</v>
      </c>
      <c r="GB27" t="e">
        <f>AND('GA55 Entry'!#REF!,"AAAAAFFf17c=")</f>
        <v>#REF!</v>
      </c>
      <c r="GC27" t="e">
        <f>AND('GA55 Entry'!#REF!,"AAAAAFFf17g=")</f>
        <v>#REF!</v>
      </c>
      <c r="GD27" t="e">
        <f>AND('GA55 Entry'!#REF!,"AAAAAFFf17k=")</f>
        <v>#REF!</v>
      </c>
      <c r="GE27" t="e">
        <f>AND('GA55 Entry'!#REF!,"AAAAAFFf17o=")</f>
        <v>#REF!</v>
      </c>
      <c r="GF27" t="e">
        <f>AND('GA55 Entry'!#REF!,"AAAAAFFf17s=")</f>
        <v>#REF!</v>
      </c>
      <c r="GG27" t="e">
        <f>AND('GA55 Entry'!#REF!,"AAAAAFFf17w=")</f>
        <v>#REF!</v>
      </c>
      <c r="GH27" t="e">
        <f>AND('GA55 Entry'!#REF!,"AAAAAFFf170=")</f>
        <v>#REF!</v>
      </c>
      <c r="GI27" t="e">
        <f>AND('GA55 Entry'!#REF!,"AAAAAFFf174=")</f>
        <v>#REF!</v>
      </c>
      <c r="GJ27" t="e">
        <f>AND('GA55 Entry'!#REF!,"AAAAAFFf178=")</f>
        <v>#REF!</v>
      </c>
      <c r="GK27" t="e">
        <f>AND('GA55 Entry'!#REF!,"AAAAAFFf18A=")</f>
        <v>#REF!</v>
      </c>
      <c r="GL27" t="e">
        <f>AND('GA55 Entry'!#REF!,"AAAAAFFf18E=")</f>
        <v>#REF!</v>
      </c>
      <c r="GM27" t="e">
        <f>AND('GA55 Entry'!#REF!,"AAAAAFFf18I=")</f>
        <v>#REF!</v>
      </c>
      <c r="GN27" t="e">
        <f>AND('GA55 Entry'!#REF!,"AAAAAFFf18M=")</f>
        <v>#REF!</v>
      </c>
      <c r="GO27" t="e">
        <f>AND('GA55 Entry'!#REF!,"AAAAAFFf18Q=")</f>
        <v>#REF!</v>
      </c>
      <c r="GP27" t="e">
        <f>AND('GA55 Entry'!#REF!,"AAAAAFFf18U=")</f>
        <v>#REF!</v>
      </c>
      <c r="GQ27" t="e">
        <f>AND('GA55 Entry'!#REF!,"AAAAAFFf18Y=")</f>
        <v>#REF!</v>
      </c>
      <c r="GR27" t="e">
        <f>AND('GA55 Entry'!#REF!,"AAAAAFFf18c=")</f>
        <v>#REF!</v>
      </c>
      <c r="GS27" t="e">
        <f>AND('GA55 Entry'!#REF!,"AAAAAFFf18g=")</f>
        <v>#REF!</v>
      </c>
      <c r="GT27" t="e">
        <f>AND('GA55 Entry'!#REF!,"AAAAAFFf18k=")</f>
        <v>#REF!</v>
      </c>
      <c r="GU27" t="e">
        <f>AND('GA55 Entry'!#REF!,"AAAAAFFf18o=")</f>
        <v>#REF!</v>
      </c>
      <c r="GV27" t="e">
        <f>AND('GA55 Entry'!#REF!,"AAAAAFFf18s=")</f>
        <v>#REF!</v>
      </c>
      <c r="GW27" t="e">
        <f>AND('GA55 Entry'!#REF!,"AAAAAFFf18w=")</f>
        <v>#REF!</v>
      </c>
      <c r="GX27" t="e">
        <f>AND('GA55 Entry'!#REF!,"AAAAAFFf180=")</f>
        <v>#REF!</v>
      </c>
      <c r="GY27" t="e">
        <f>AND('GA55 Entry'!#REF!,"AAAAAFFf184=")</f>
        <v>#REF!</v>
      </c>
      <c r="GZ27" t="e">
        <f>AND('GA55 Entry'!#REF!,"AAAAAFFf188=")</f>
        <v>#REF!</v>
      </c>
      <c r="HA27" t="e">
        <f>AND('GA55 Entry'!#REF!,"AAAAAFFf19A=")</f>
        <v>#REF!</v>
      </c>
      <c r="HB27" t="e">
        <f>AND('GA55 Entry'!#REF!,"AAAAAFFf19E=")</f>
        <v>#REF!</v>
      </c>
      <c r="HC27" t="e">
        <f>AND('GA55 Entry'!#REF!,"AAAAAFFf19I=")</f>
        <v>#REF!</v>
      </c>
      <c r="HD27" t="e">
        <f>AND('GA55 Entry'!#REF!,"AAAAAFFf19M=")</f>
        <v>#REF!</v>
      </c>
      <c r="HE27" t="e">
        <f>AND('GA55 Entry'!#REF!,"AAAAAFFf19Q=")</f>
        <v>#REF!</v>
      </c>
      <c r="HF27" t="e">
        <f>AND('GA55 Entry'!#REF!,"AAAAAFFf19U=")</f>
        <v>#REF!</v>
      </c>
      <c r="HG27" t="e">
        <f>AND('GA55 Entry'!#REF!,"AAAAAFFf19Y=")</f>
        <v>#REF!</v>
      </c>
      <c r="HH27" t="e">
        <f>AND('GA55 Entry'!#REF!,"AAAAAFFf19c=")</f>
        <v>#REF!</v>
      </c>
      <c r="HI27" t="e">
        <f>AND('GA55 Entry'!#REF!,"AAAAAFFf19g=")</f>
        <v>#REF!</v>
      </c>
      <c r="HJ27" t="e">
        <f>IF('GA55 Entry'!#REF!,"AAAAAFFf19k=",0)</f>
        <v>#REF!</v>
      </c>
      <c r="HK27" t="e">
        <f>AND('GA55 Entry'!#REF!,"AAAAAFFf19o=")</f>
        <v>#REF!</v>
      </c>
      <c r="HL27" t="e">
        <f>AND('GA55 Entry'!#REF!,"AAAAAFFf19s=")</f>
        <v>#REF!</v>
      </c>
      <c r="HM27" t="e">
        <f>AND('GA55 Entry'!#REF!,"AAAAAFFf19w=")</f>
        <v>#REF!</v>
      </c>
      <c r="HN27" t="e">
        <f>AND('GA55 Entry'!#REF!,"AAAAAFFf190=")</f>
        <v>#REF!</v>
      </c>
      <c r="HO27" t="e">
        <f>AND('GA55 Entry'!#REF!,"AAAAAFFf194=")</f>
        <v>#REF!</v>
      </c>
      <c r="HP27" t="e">
        <f>AND('GA55 Entry'!#REF!,"AAAAAFFf198=")</f>
        <v>#REF!</v>
      </c>
      <c r="HQ27" t="e">
        <f>AND('GA55 Entry'!#REF!,"AAAAAFFf1+A=")</f>
        <v>#REF!</v>
      </c>
      <c r="HR27" t="e">
        <f>AND('GA55 Entry'!#REF!,"AAAAAFFf1+E=")</f>
        <v>#REF!</v>
      </c>
      <c r="HS27" t="e">
        <f>AND('GA55 Entry'!#REF!,"AAAAAFFf1+I=")</f>
        <v>#REF!</v>
      </c>
      <c r="HT27" t="e">
        <f>AND('GA55 Entry'!#REF!,"AAAAAFFf1+M=")</f>
        <v>#REF!</v>
      </c>
      <c r="HU27" t="e">
        <f>AND('GA55 Entry'!#REF!,"AAAAAFFf1+Q=")</f>
        <v>#REF!</v>
      </c>
      <c r="HV27" t="e">
        <f>AND('GA55 Entry'!#REF!,"AAAAAFFf1+U=")</f>
        <v>#REF!</v>
      </c>
      <c r="HW27" t="e">
        <f>AND('GA55 Entry'!#REF!,"AAAAAFFf1+Y=")</f>
        <v>#REF!</v>
      </c>
      <c r="HX27" t="e">
        <f>AND('GA55 Entry'!#REF!,"AAAAAFFf1+c=")</f>
        <v>#REF!</v>
      </c>
      <c r="HY27" t="e">
        <f>AND('GA55 Entry'!#REF!,"AAAAAFFf1+g=")</f>
        <v>#REF!</v>
      </c>
      <c r="HZ27" t="e">
        <f>AND('GA55 Entry'!#REF!,"AAAAAFFf1+k=")</f>
        <v>#REF!</v>
      </c>
      <c r="IA27" t="e">
        <f>AND('GA55 Entry'!#REF!,"AAAAAFFf1+o=")</f>
        <v>#REF!</v>
      </c>
      <c r="IB27" t="e">
        <f>AND('GA55 Entry'!#REF!,"AAAAAFFf1+s=")</f>
        <v>#REF!</v>
      </c>
      <c r="IC27" t="e">
        <f>AND('GA55 Entry'!#REF!,"AAAAAFFf1+w=")</f>
        <v>#REF!</v>
      </c>
      <c r="ID27" t="e">
        <f>AND('GA55 Entry'!#REF!,"AAAAAFFf1+0=")</f>
        <v>#REF!</v>
      </c>
      <c r="IE27" t="e">
        <f>AND('GA55 Entry'!#REF!,"AAAAAFFf1+4=")</f>
        <v>#REF!</v>
      </c>
      <c r="IF27" t="e">
        <f>AND('GA55 Entry'!#REF!,"AAAAAFFf1+8=")</f>
        <v>#REF!</v>
      </c>
      <c r="IG27" t="e">
        <f>AND('GA55 Entry'!#REF!,"AAAAAFFf1/A=")</f>
        <v>#REF!</v>
      </c>
      <c r="IH27" t="e">
        <f>AND('GA55 Entry'!#REF!,"AAAAAFFf1/E=")</f>
        <v>#REF!</v>
      </c>
      <c r="II27" t="e">
        <f>AND('GA55 Entry'!#REF!,"AAAAAFFf1/I=")</f>
        <v>#REF!</v>
      </c>
      <c r="IJ27" t="e">
        <f>AND('GA55 Entry'!#REF!,"AAAAAFFf1/M=")</f>
        <v>#REF!</v>
      </c>
      <c r="IK27" t="e">
        <f>AND('GA55 Entry'!#REF!,"AAAAAFFf1/Q=")</f>
        <v>#REF!</v>
      </c>
      <c r="IL27" t="e">
        <f>AND('GA55 Entry'!#REF!,"AAAAAFFf1/U=")</f>
        <v>#REF!</v>
      </c>
      <c r="IM27" t="e">
        <f>AND('GA55 Entry'!#REF!,"AAAAAFFf1/Y=")</f>
        <v>#REF!</v>
      </c>
      <c r="IN27" t="e">
        <f>AND('GA55 Entry'!#REF!,"AAAAAFFf1/c=")</f>
        <v>#REF!</v>
      </c>
      <c r="IO27" t="e">
        <f>AND('GA55 Entry'!#REF!,"AAAAAFFf1/g=")</f>
        <v>#REF!</v>
      </c>
      <c r="IP27" t="e">
        <f>AND('GA55 Entry'!#REF!,"AAAAAFFf1/k=")</f>
        <v>#REF!</v>
      </c>
      <c r="IQ27" t="e">
        <f>AND('GA55 Entry'!#REF!,"AAAAAFFf1/o=")</f>
        <v>#REF!</v>
      </c>
      <c r="IR27" t="e">
        <f>AND('GA55 Entry'!#REF!,"AAAAAFFf1/s=")</f>
        <v>#REF!</v>
      </c>
      <c r="IS27" t="e">
        <f>AND('GA55 Entry'!#REF!,"AAAAAFFf1/w=")</f>
        <v>#REF!</v>
      </c>
      <c r="IT27" t="e">
        <f>AND('GA55 Entry'!#REF!,"AAAAAFFf1/0=")</f>
        <v>#REF!</v>
      </c>
      <c r="IU27" t="e">
        <f>AND('GA55 Entry'!#REF!,"AAAAAFFf1/4=")</f>
        <v>#REF!</v>
      </c>
      <c r="IV27" t="e">
        <f>AND('GA55 Entry'!#REF!,"AAAAAFFf1/8=")</f>
        <v>#REF!</v>
      </c>
    </row>
    <row r="28" spans="1:256">
      <c r="A28" t="e">
        <f>AND('GA55 Entry'!#REF!,"AAAAAGf/fwA=")</f>
        <v>#REF!</v>
      </c>
      <c r="B28" t="e">
        <f>AND('GA55 Entry'!#REF!,"AAAAAGf/fwE=")</f>
        <v>#REF!</v>
      </c>
      <c r="C28" t="e">
        <f>AND('GA55 Entry'!#REF!,"AAAAAGf/fwI=")</f>
        <v>#REF!</v>
      </c>
      <c r="D28" t="e">
        <f>AND('GA55 Entry'!#REF!,"AAAAAGf/fwM=")</f>
        <v>#REF!</v>
      </c>
      <c r="E28" t="e">
        <f>AND('GA55 Entry'!#REF!,"AAAAAGf/fwQ=")</f>
        <v>#REF!</v>
      </c>
      <c r="F28" t="e">
        <f>AND('GA55 Entry'!#REF!,"AAAAAGf/fwU=")</f>
        <v>#REF!</v>
      </c>
      <c r="G28" t="e">
        <f>AND('GA55 Entry'!#REF!,"AAAAAGf/fwY=")</f>
        <v>#REF!</v>
      </c>
      <c r="H28" t="e">
        <f>AND('GA55 Entry'!#REF!,"AAAAAGf/fwc=")</f>
        <v>#REF!</v>
      </c>
      <c r="I28" t="e">
        <f>AND('GA55 Entry'!#REF!,"AAAAAGf/fwg=")</f>
        <v>#REF!</v>
      </c>
      <c r="J28" t="e">
        <f>AND('GA55 Entry'!#REF!,"AAAAAGf/fwk=")</f>
        <v>#REF!</v>
      </c>
      <c r="K28" t="e">
        <f>AND('GA55 Entry'!#REF!,"AAAAAGf/fwo=")</f>
        <v>#REF!</v>
      </c>
      <c r="L28" t="e">
        <f>AND('GA55 Entry'!#REF!,"AAAAAGf/fws=")</f>
        <v>#REF!</v>
      </c>
      <c r="M28" t="e">
        <f>IF('GA55 Entry'!#REF!,"AAAAAGf/fww=",0)</f>
        <v>#REF!</v>
      </c>
      <c r="N28" t="e">
        <f>AND('GA55 Entry'!#REF!,"AAAAAGf/fw0=")</f>
        <v>#REF!</v>
      </c>
      <c r="O28" t="e">
        <f>AND('GA55 Entry'!#REF!,"AAAAAGf/fw4=")</f>
        <v>#REF!</v>
      </c>
      <c r="P28" t="e">
        <f>AND('GA55 Entry'!#REF!,"AAAAAGf/fw8=")</f>
        <v>#REF!</v>
      </c>
      <c r="Q28" t="e">
        <f>AND('GA55 Entry'!#REF!,"AAAAAGf/fxA=")</f>
        <v>#REF!</v>
      </c>
      <c r="R28" t="e">
        <f>AND('GA55 Entry'!#REF!,"AAAAAGf/fxE=")</f>
        <v>#REF!</v>
      </c>
      <c r="S28" t="e">
        <f>AND('GA55 Entry'!#REF!,"AAAAAGf/fxI=")</f>
        <v>#REF!</v>
      </c>
      <c r="T28" t="e">
        <f>AND('GA55 Entry'!#REF!,"AAAAAGf/fxM=")</f>
        <v>#REF!</v>
      </c>
      <c r="U28" t="e">
        <f>AND('GA55 Entry'!#REF!,"AAAAAGf/fxQ=")</f>
        <v>#REF!</v>
      </c>
      <c r="V28" t="e">
        <f>AND('GA55 Entry'!#REF!,"AAAAAGf/fxU=")</f>
        <v>#REF!</v>
      </c>
      <c r="W28" t="e">
        <f>AND('GA55 Entry'!#REF!,"AAAAAGf/fxY=")</f>
        <v>#REF!</v>
      </c>
      <c r="X28" t="e">
        <f>AND('GA55 Entry'!#REF!,"AAAAAGf/fxc=")</f>
        <v>#REF!</v>
      </c>
      <c r="Y28" t="e">
        <f>AND('GA55 Entry'!#REF!,"AAAAAGf/fxg=")</f>
        <v>#REF!</v>
      </c>
      <c r="Z28" t="e">
        <f>AND('GA55 Entry'!#REF!,"AAAAAGf/fxk=")</f>
        <v>#REF!</v>
      </c>
      <c r="AA28" t="e">
        <f>AND('GA55 Entry'!#REF!,"AAAAAGf/fxo=")</f>
        <v>#REF!</v>
      </c>
      <c r="AB28" t="e">
        <f>AND('GA55 Entry'!#REF!,"AAAAAGf/fxs=")</f>
        <v>#REF!</v>
      </c>
      <c r="AC28" t="e">
        <f>AND('GA55 Entry'!#REF!,"AAAAAGf/fxw=")</f>
        <v>#REF!</v>
      </c>
      <c r="AD28" t="e">
        <f>AND('GA55 Entry'!#REF!,"AAAAAGf/fx0=")</f>
        <v>#REF!</v>
      </c>
      <c r="AE28" t="e">
        <f>AND('GA55 Entry'!#REF!,"AAAAAGf/fx4=")</f>
        <v>#REF!</v>
      </c>
      <c r="AF28" t="e">
        <f>AND('GA55 Entry'!#REF!,"AAAAAGf/fx8=")</f>
        <v>#REF!</v>
      </c>
      <c r="AG28" t="e">
        <f>AND('GA55 Entry'!#REF!,"AAAAAGf/fyA=")</f>
        <v>#REF!</v>
      </c>
      <c r="AH28" t="e">
        <f>AND('GA55 Entry'!#REF!,"AAAAAGf/fyE=")</f>
        <v>#REF!</v>
      </c>
      <c r="AI28" t="e">
        <f>AND('GA55 Entry'!#REF!,"AAAAAGf/fyI=")</f>
        <v>#REF!</v>
      </c>
      <c r="AJ28" t="e">
        <f>AND('GA55 Entry'!#REF!,"AAAAAGf/fyM=")</f>
        <v>#REF!</v>
      </c>
      <c r="AK28" t="e">
        <f>AND('GA55 Entry'!#REF!,"AAAAAGf/fyQ=")</f>
        <v>#REF!</v>
      </c>
      <c r="AL28" t="e">
        <f>AND('GA55 Entry'!#REF!,"AAAAAGf/fyU=")</f>
        <v>#REF!</v>
      </c>
      <c r="AM28" t="e">
        <f>AND('GA55 Entry'!#REF!,"AAAAAGf/fyY=")</f>
        <v>#REF!</v>
      </c>
      <c r="AN28" t="e">
        <f>AND('GA55 Entry'!#REF!,"AAAAAGf/fyc=")</f>
        <v>#REF!</v>
      </c>
      <c r="AO28" t="e">
        <f>AND('GA55 Entry'!#REF!,"AAAAAGf/fyg=")</f>
        <v>#REF!</v>
      </c>
      <c r="AP28" t="e">
        <f>AND('GA55 Entry'!#REF!,"AAAAAGf/fyk=")</f>
        <v>#REF!</v>
      </c>
      <c r="AQ28" t="e">
        <f>AND('GA55 Entry'!#REF!,"AAAAAGf/fyo=")</f>
        <v>#REF!</v>
      </c>
      <c r="AR28" t="e">
        <f>AND('GA55 Entry'!#REF!,"AAAAAGf/fys=")</f>
        <v>#REF!</v>
      </c>
      <c r="AS28" t="e">
        <f>AND('GA55 Entry'!#REF!,"AAAAAGf/fyw=")</f>
        <v>#REF!</v>
      </c>
      <c r="AT28" t="e">
        <f>AND('GA55 Entry'!#REF!,"AAAAAGf/fy0=")</f>
        <v>#REF!</v>
      </c>
      <c r="AU28" t="e">
        <f>AND('GA55 Entry'!#REF!,"AAAAAGf/fy4=")</f>
        <v>#REF!</v>
      </c>
      <c r="AV28" t="e">
        <f>AND('GA55 Entry'!#REF!,"AAAAAGf/fy8=")</f>
        <v>#REF!</v>
      </c>
      <c r="AW28" t="e">
        <f>AND('GA55 Entry'!#REF!,"AAAAAGf/fzA=")</f>
        <v>#REF!</v>
      </c>
      <c r="AX28" t="e">
        <f>AND('GA55 Entry'!#REF!,"AAAAAGf/fzE=")</f>
        <v>#REF!</v>
      </c>
      <c r="AY28" t="e">
        <f>AND('GA55 Entry'!#REF!,"AAAAAGf/fzI=")</f>
        <v>#REF!</v>
      </c>
      <c r="AZ28" t="e">
        <f>AND('GA55 Entry'!#REF!,"AAAAAGf/fzM=")</f>
        <v>#REF!</v>
      </c>
      <c r="BA28" t="e">
        <f>AND('GA55 Entry'!#REF!,"AAAAAGf/fzQ=")</f>
        <v>#REF!</v>
      </c>
      <c r="BB28" t="e">
        <f>AND('GA55 Entry'!#REF!,"AAAAAGf/fzU=")</f>
        <v>#REF!</v>
      </c>
      <c r="BC28" t="e">
        <f>AND('GA55 Entry'!#REF!,"AAAAAGf/fzY=")</f>
        <v>#REF!</v>
      </c>
      <c r="BD28" t="e">
        <f>AND('GA55 Entry'!#REF!,"AAAAAGf/fzc=")</f>
        <v>#REF!</v>
      </c>
      <c r="BE28" t="e">
        <f>AND('GA55 Entry'!#REF!,"AAAAAGf/fzg=")</f>
        <v>#REF!</v>
      </c>
      <c r="BF28" t="e">
        <f>AND('GA55 Entry'!#REF!,"AAAAAGf/fzk=")</f>
        <v>#REF!</v>
      </c>
      <c r="BG28" t="e">
        <f>AND('GA55 Entry'!#REF!,"AAAAAGf/fzo=")</f>
        <v>#REF!</v>
      </c>
      <c r="BH28" t="e">
        <f>AND('GA55 Entry'!#REF!,"AAAAAGf/fzs=")</f>
        <v>#REF!</v>
      </c>
      <c r="BI28" t="e">
        <f>AND('GA55 Entry'!#REF!,"AAAAAGf/fzw=")</f>
        <v>#REF!</v>
      </c>
      <c r="BJ28" t="e">
        <f>AND('GA55 Entry'!#REF!,"AAAAAGf/fz0=")</f>
        <v>#REF!</v>
      </c>
      <c r="BK28" t="e">
        <f>AND('GA55 Entry'!#REF!,"AAAAAGf/fz4=")</f>
        <v>#REF!</v>
      </c>
      <c r="BL28" t="e">
        <f>IF('GA55 Entry'!#REF!,"AAAAAGf/fz8=",0)</f>
        <v>#REF!</v>
      </c>
      <c r="BM28" t="e">
        <f>AND('GA55 Entry'!#REF!,"AAAAAGf/f0A=")</f>
        <v>#REF!</v>
      </c>
      <c r="BN28" t="e">
        <f>AND('GA55 Entry'!#REF!,"AAAAAGf/f0E=")</f>
        <v>#REF!</v>
      </c>
      <c r="BO28" t="e">
        <f>AND('GA55 Entry'!#REF!,"AAAAAGf/f0I=")</f>
        <v>#REF!</v>
      </c>
      <c r="BP28" t="e">
        <f>AND('GA55 Entry'!#REF!,"AAAAAGf/f0M=")</f>
        <v>#REF!</v>
      </c>
      <c r="BQ28" t="e">
        <f>AND('GA55 Entry'!#REF!,"AAAAAGf/f0Q=")</f>
        <v>#REF!</v>
      </c>
      <c r="BR28" t="e">
        <f>AND('GA55 Entry'!#REF!,"AAAAAGf/f0U=")</f>
        <v>#REF!</v>
      </c>
      <c r="BS28" t="e">
        <f>AND('GA55 Entry'!#REF!,"AAAAAGf/f0Y=")</f>
        <v>#REF!</v>
      </c>
      <c r="BT28" t="e">
        <f>AND('GA55 Entry'!#REF!,"AAAAAGf/f0c=")</f>
        <v>#REF!</v>
      </c>
      <c r="BU28" t="e">
        <f>AND('GA55 Entry'!#REF!,"AAAAAGf/f0g=")</f>
        <v>#REF!</v>
      </c>
      <c r="BV28" t="e">
        <f>AND('GA55 Entry'!#REF!,"AAAAAGf/f0k=")</f>
        <v>#REF!</v>
      </c>
      <c r="BW28" t="e">
        <f>AND('GA55 Entry'!#REF!,"AAAAAGf/f0o=")</f>
        <v>#REF!</v>
      </c>
      <c r="BX28" t="e">
        <f>AND('GA55 Entry'!#REF!,"AAAAAGf/f0s=")</f>
        <v>#REF!</v>
      </c>
      <c r="BY28" t="e">
        <f>AND('GA55 Entry'!#REF!,"AAAAAGf/f0w=")</f>
        <v>#REF!</v>
      </c>
      <c r="BZ28" t="e">
        <f>AND('GA55 Entry'!#REF!,"AAAAAGf/f00=")</f>
        <v>#REF!</v>
      </c>
      <c r="CA28" t="e">
        <f>AND('GA55 Entry'!#REF!,"AAAAAGf/f04=")</f>
        <v>#REF!</v>
      </c>
      <c r="CB28" t="e">
        <f>AND('GA55 Entry'!#REF!,"AAAAAGf/f08=")</f>
        <v>#REF!</v>
      </c>
      <c r="CC28" t="e">
        <f>AND('GA55 Entry'!#REF!,"AAAAAGf/f1A=")</f>
        <v>#REF!</v>
      </c>
      <c r="CD28" t="e">
        <f>AND('GA55 Entry'!#REF!,"AAAAAGf/f1E=")</f>
        <v>#REF!</v>
      </c>
      <c r="CE28" t="e">
        <f>AND('GA55 Entry'!#REF!,"AAAAAGf/f1I=")</f>
        <v>#REF!</v>
      </c>
      <c r="CF28" t="e">
        <f>AND('GA55 Entry'!#REF!,"AAAAAGf/f1M=")</f>
        <v>#REF!</v>
      </c>
      <c r="CG28" t="e">
        <f>AND('GA55 Entry'!#REF!,"AAAAAGf/f1Q=")</f>
        <v>#REF!</v>
      </c>
      <c r="CH28" t="e">
        <f>AND('GA55 Entry'!#REF!,"AAAAAGf/f1U=")</f>
        <v>#REF!</v>
      </c>
      <c r="CI28" t="e">
        <f>AND('GA55 Entry'!#REF!,"AAAAAGf/f1Y=")</f>
        <v>#REF!</v>
      </c>
      <c r="CJ28" t="e">
        <f>AND('GA55 Entry'!#REF!,"AAAAAGf/f1c=")</f>
        <v>#REF!</v>
      </c>
      <c r="CK28" t="e">
        <f>AND('GA55 Entry'!#REF!,"AAAAAGf/f1g=")</f>
        <v>#REF!</v>
      </c>
      <c r="CL28" t="e">
        <f>AND('GA55 Entry'!#REF!,"AAAAAGf/f1k=")</f>
        <v>#REF!</v>
      </c>
      <c r="CM28" t="e">
        <f>AND('GA55 Entry'!#REF!,"AAAAAGf/f1o=")</f>
        <v>#REF!</v>
      </c>
      <c r="CN28" t="e">
        <f>AND('GA55 Entry'!#REF!,"AAAAAGf/f1s=")</f>
        <v>#REF!</v>
      </c>
      <c r="CO28" t="e">
        <f>AND('GA55 Entry'!#REF!,"AAAAAGf/f1w=")</f>
        <v>#REF!</v>
      </c>
      <c r="CP28" t="e">
        <f>AND('GA55 Entry'!#REF!,"AAAAAGf/f10=")</f>
        <v>#REF!</v>
      </c>
      <c r="CQ28" t="e">
        <f>AND('GA55 Entry'!#REF!,"AAAAAGf/f14=")</f>
        <v>#REF!</v>
      </c>
      <c r="CR28" t="e">
        <f>AND('GA55 Entry'!#REF!,"AAAAAGf/f18=")</f>
        <v>#REF!</v>
      </c>
      <c r="CS28" t="e">
        <f>AND('GA55 Entry'!#REF!,"AAAAAGf/f2A=")</f>
        <v>#REF!</v>
      </c>
      <c r="CT28" t="e">
        <f>AND('GA55 Entry'!#REF!,"AAAAAGf/f2E=")</f>
        <v>#REF!</v>
      </c>
      <c r="CU28" t="e">
        <f>AND('GA55 Entry'!#REF!,"AAAAAGf/f2I=")</f>
        <v>#REF!</v>
      </c>
      <c r="CV28" t="e">
        <f>AND('GA55 Entry'!#REF!,"AAAAAGf/f2M=")</f>
        <v>#REF!</v>
      </c>
      <c r="CW28" t="e">
        <f>AND('GA55 Entry'!#REF!,"AAAAAGf/f2Q=")</f>
        <v>#REF!</v>
      </c>
      <c r="CX28" t="e">
        <f>AND('GA55 Entry'!#REF!,"AAAAAGf/f2U=")</f>
        <v>#REF!</v>
      </c>
      <c r="CY28" t="e">
        <f>AND('GA55 Entry'!#REF!,"AAAAAGf/f2Y=")</f>
        <v>#REF!</v>
      </c>
      <c r="CZ28" t="e">
        <f>AND('GA55 Entry'!#REF!,"AAAAAGf/f2c=")</f>
        <v>#REF!</v>
      </c>
      <c r="DA28" t="e">
        <f>AND('GA55 Entry'!#REF!,"AAAAAGf/f2g=")</f>
        <v>#REF!</v>
      </c>
      <c r="DB28" t="e">
        <f>AND('GA55 Entry'!#REF!,"AAAAAGf/f2k=")</f>
        <v>#REF!</v>
      </c>
      <c r="DC28" t="e">
        <f>AND('GA55 Entry'!#REF!,"AAAAAGf/f2o=")</f>
        <v>#REF!</v>
      </c>
      <c r="DD28" t="e">
        <f>AND('GA55 Entry'!#REF!,"AAAAAGf/f2s=")</f>
        <v>#REF!</v>
      </c>
      <c r="DE28" t="e">
        <f>AND('GA55 Entry'!#REF!,"AAAAAGf/f2w=")</f>
        <v>#REF!</v>
      </c>
      <c r="DF28" t="e">
        <f>AND('GA55 Entry'!#REF!,"AAAAAGf/f20=")</f>
        <v>#REF!</v>
      </c>
      <c r="DG28" t="e">
        <f>AND('GA55 Entry'!#REF!,"AAAAAGf/f24=")</f>
        <v>#REF!</v>
      </c>
      <c r="DH28" t="e">
        <f>AND('GA55 Entry'!#REF!,"AAAAAGf/f28=")</f>
        <v>#REF!</v>
      </c>
      <c r="DI28" t="e">
        <f>AND('GA55 Entry'!#REF!,"AAAAAGf/f3A=")</f>
        <v>#REF!</v>
      </c>
      <c r="DJ28" t="e">
        <f>AND('GA55 Entry'!#REF!,"AAAAAGf/f3E=")</f>
        <v>#REF!</v>
      </c>
      <c r="DK28" t="e">
        <f>IF('GA55 Entry'!#REF!,"AAAAAGf/f3I=",0)</f>
        <v>#REF!</v>
      </c>
      <c r="DL28" t="e">
        <f>AND('GA55 Entry'!#REF!,"AAAAAGf/f3M=")</f>
        <v>#REF!</v>
      </c>
      <c r="DM28" t="e">
        <f>AND('GA55 Entry'!#REF!,"AAAAAGf/f3Q=")</f>
        <v>#REF!</v>
      </c>
      <c r="DN28" t="e">
        <f>AND('GA55 Entry'!#REF!,"AAAAAGf/f3U=")</f>
        <v>#REF!</v>
      </c>
      <c r="DO28" t="e">
        <f>AND('GA55 Entry'!#REF!,"AAAAAGf/f3Y=")</f>
        <v>#REF!</v>
      </c>
      <c r="DP28" t="e">
        <f>AND('GA55 Entry'!#REF!,"AAAAAGf/f3c=")</f>
        <v>#REF!</v>
      </c>
      <c r="DQ28" t="e">
        <f>AND('GA55 Entry'!#REF!,"AAAAAGf/f3g=")</f>
        <v>#REF!</v>
      </c>
      <c r="DR28" t="e">
        <f>AND('GA55 Entry'!#REF!,"AAAAAGf/f3k=")</f>
        <v>#REF!</v>
      </c>
      <c r="DS28" t="e">
        <f>AND('GA55 Entry'!#REF!,"AAAAAGf/f3o=")</f>
        <v>#REF!</v>
      </c>
      <c r="DT28" t="e">
        <f>AND('GA55 Entry'!#REF!,"AAAAAGf/f3s=")</f>
        <v>#REF!</v>
      </c>
      <c r="DU28" t="e">
        <f>AND('GA55 Entry'!#REF!,"AAAAAGf/f3w=")</f>
        <v>#REF!</v>
      </c>
      <c r="DV28" t="e">
        <f>AND('GA55 Entry'!#REF!,"AAAAAGf/f30=")</f>
        <v>#REF!</v>
      </c>
      <c r="DW28" t="e">
        <f>AND('GA55 Entry'!#REF!,"AAAAAGf/f34=")</f>
        <v>#REF!</v>
      </c>
      <c r="DX28" t="e">
        <f>AND('GA55 Entry'!#REF!,"AAAAAGf/f38=")</f>
        <v>#REF!</v>
      </c>
      <c r="DY28" t="e">
        <f>AND('GA55 Entry'!#REF!,"AAAAAGf/f4A=")</f>
        <v>#REF!</v>
      </c>
      <c r="DZ28" t="e">
        <f>AND('GA55 Entry'!#REF!,"AAAAAGf/f4E=")</f>
        <v>#REF!</v>
      </c>
      <c r="EA28" t="e">
        <f>AND('GA55 Entry'!#REF!,"AAAAAGf/f4I=")</f>
        <v>#REF!</v>
      </c>
      <c r="EB28" t="e">
        <f>AND('GA55 Entry'!#REF!,"AAAAAGf/f4M=")</f>
        <v>#REF!</v>
      </c>
      <c r="EC28" t="e">
        <f>AND('GA55 Entry'!#REF!,"AAAAAGf/f4Q=")</f>
        <v>#REF!</v>
      </c>
      <c r="ED28" t="e">
        <f>AND('GA55 Entry'!#REF!,"AAAAAGf/f4U=")</f>
        <v>#REF!</v>
      </c>
      <c r="EE28" t="e">
        <f>AND('GA55 Entry'!#REF!,"AAAAAGf/f4Y=")</f>
        <v>#REF!</v>
      </c>
      <c r="EF28" t="e">
        <f>AND('GA55 Entry'!#REF!,"AAAAAGf/f4c=")</f>
        <v>#REF!</v>
      </c>
      <c r="EG28" t="e">
        <f>AND('GA55 Entry'!#REF!,"AAAAAGf/f4g=")</f>
        <v>#REF!</v>
      </c>
      <c r="EH28" t="e">
        <f>AND('GA55 Entry'!#REF!,"AAAAAGf/f4k=")</f>
        <v>#REF!</v>
      </c>
      <c r="EI28" t="e">
        <f>AND('GA55 Entry'!#REF!,"AAAAAGf/f4o=")</f>
        <v>#REF!</v>
      </c>
      <c r="EJ28" t="e">
        <f>AND('GA55 Entry'!#REF!,"AAAAAGf/f4s=")</f>
        <v>#REF!</v>
      </c>
      <c r="EK28" t="e">
        <f>AND('GA55 Entry'!#REF!,"AAAAAGf/f4w=")</f>
        <v>#REF!</v>
      </c>
      <c r="EL28" t="e">
        <f>AND('GA55 Entry'!#REF!,"AAAAAGf/f40=")</f>
        <v>#REF!</v>
      </c>
      <c r="EM28" t="e">
        <f>AND('GA55 Entry'!#REF!,"AAAAAGf/f44=")</f>
        <v>#REF!</v>
      </c>
      <c r="EN28" t="e">
        <f>AND('GA55 Entry'!#REF!,"AAAAAGf/f48=")</f>
        <v>#REF!</v>
      </c>
      <c r="EO28" t="e">
        <f>AND('GA55 Entry'!#REF!,"AAAAAGf/f5A=")</f>
        <v>#REF!</v>
      </c>
      <c r="EP28" t="e">
        <f>AND('GA55 Entry'!#REF!,"AAAAAGf/f5E=")</f>
        <v>#REF!</v>
      </c>
      <c r="EQ28" t="e">
        <f>AND('GA55 Entry'!#REF!,"AAAAAGf/f5I=")</f>
        <v>#REF!</v>
      </c>
      <c r="ER28" t="e">
        <f>AND('GA55 Entry'!#REF!,"AAAAAGf/f5M=")</f>
        <v>#REF!</v>
      </c>
      <c r="ES28" t="e">
        <f>AND('GA55 Entry'!#REF!,"AAAAAGf/f5Q=")</f>
        <v>#REF!</v>
      </c>
      <c r="ET28" t="e">
        <f>AND('GA55 Entry'!#REF!,"AAAAAGf/f5U=")</f>
        <v>#REF!</v>
      </c>
      <c r="EU28" t="e">
        <f>AND('GA55 Entry'!#REF!,"AAAAAGf/f5Y=")</f>
        <v>#REF!</v>
      </c>
      <c r="EV28" t="e">
        <f>AND('GA55 Entry'!#REF!,"AAAAAGf/f5c=")</f>
        <v>#REF!</v>
      </c>
      <c r="EW28" t="e">
        <f>AND('GA55 Entry'!#REF!,"AAAAAGf/f5g=")</f>
        <v>#REF!</v>
      </c>
      <c r="EX28" t="e">
        <f>AND('GA55 Entry'!#REF!,"AAAAAGf/f5k=")</f>
        <v>#REF!</v>
      </c>
      <c r="EY28" t="e">
        <f>AND('GA55 Entry'!#REF!,"AAAAAGf/f5o=")</f>
        <v>#REF!</v>
      </c>
      <c r="EZ28" t="e">
        <f>AND('GA55 Entry'!#REF!,"AAAAAGf/f5s=")</f>
        <v>#REF!</v>
      </c>
      <c r="FA28" t="e">
        <f>AND('GA55 Entry'!#REF!,"AAAAAGf/f5w=")</f>
        <v>#REF!</v>
      </c>
      <c r="FB28" t="e">
        <f>AND('GA55 Entry'!#REF!,"AAAAAGf/f50=")</f>
        <v>#REF!</v>
      </c>
      <c r="FC28" t="e">
        <f>AND('GA55 Entry'!#REF!,"AAAAAGf/f54=")</f>
        <v>#REF!</v>
      </c>
      <c r="FD28" t="e">
        <f>AND('GA55 Entry'!#REF!,"AAAAAGf/f58=")</f>
        <v>#REF!</v>
      </c>
      <c r="FE28" t="e">
        <f>AND('GA55 Entry'!#REF!,"AAAAAGf/f6A=")</f>
        <v>#REF!</v>
      </c>
      <c r="FF28" t="e">
        <f>AND('GA55 Entry'!#REF!,"AAAAAGf/f6E=")</f>
        <v>#REF!</v>
      </c>
      <c r="FG28" t="e">
        <f>AND('GA55 Entry'!#REF!,"AAAAAGf/f6I=")</f>
        <v>#REF!</v>
      </c>
      <c r="FH28" t="e">
        <f>AND('GA55 Entry'!#REF!,"AAAAAGf/f6M=")</f>
        <v>#REF!</v>
      </c>
      <c r="FI28" t="e">
        <f>AND('GA55 Entry'!#REF!,"AAAAAGf/f6Q=")</f>
        <v>#REF!</v>
      </c>
      <c r="FJ28">
        <f>IF('GA55 Entry'!17:17,"AAAAAGf/f6U=",0)</f>
        <v>0</v>
      </c>
      <c r="FK28" t="e">
        <f>AND('GA55 Entry'!B17,"AAAAAGf/f6Y=")</f>
        <v>#VALUE!</v>
      </c>
      <c r="FL28" t="e">
        <f>AND('GA55 Entry'!#REF!,"AAAAAGf/f6c=")</f>
        <v>#REF!</v>
      </c>
      <c r="FM28" t="e">
        <f>AND('GA55 Entry'!C17,"AAAAAGf/f6g=")</f>
        <v>#VALUE!</v>
      </c>
      <c r="FN28" t="e">
        <f>AND('GA55 Entry'!#REF!,"AAAAAGf/f6k=")</f>
        <v>#REF!</v>
      </c>
      <c r="FO28" t="e">
        <f>AND('GA55 Entry'!#REF!,"AAAAAGf/f6o=")</f>
        <v>#REF!</v>
      </c>
      <c r="FP28" t="e">
        <f>AND('GA55 Entry'!#REF!,"AAAAAGf/f6s=")</f>
        <v>#REF!</v>
      </c>
      <c r="FQ28" t="e">
        <f>AND('GA55 Entry'!#REF!,"AAAAAGf/f6w=")</f>
        <v>#REF!</v>
      </c>
      <c r="FR28" t="e">
        <f>AND('GA55 Entry'!#REF!,"AAAAAGf/f60=")</f>
        <v>#REF!</v>
      </c>
      <c r="FS28" t="e">
        <f>AND('GA55 Entry'!D17,"AAAAAGf/f64=")</f>
        <v>#VALUE!</v>
      </c>
      <c r="FT28" t="e">
        <f>AND('GA55 Entry'!#REF!,"AAAAAGf/f68=")</f>
        <v>#REF!</v>
      </c>
      <c r="FU28" t="e">
        <f>AND('GA55 Entry'!E17,"AAAAAGf/f7A=")</f>
        <v>#VALUE!</v>
      </c>
      <c r="FV28" t="e">
        <f>AND('GA55 Entry'!F17,"AAAAAGf/f7E=")</f>
        <v>#VALUE!</v>
      </c>
      <c r="FW28" t="e">
        <f>AND('GA55 Entry'!G17,"AAAAAGf/f7I=")</f>
        <v>#VALUE!</v>
      </c>
      <c r="FX28" t="e">
        <f>AND('GA55 Entry'!H17,"AAAAAGf/f7M=")</f>
        <v>#VALUE!</v>
      </c>
      <c r="FY28" t="e">
        <f>AND('GA55 Entry'!I17,"AAAAAGf/f7Q=")</f>
        <v>#VALUE!</v>
      </c>
      <c r="FZ28" t="e">
        <f>AND('GA55 Entry'!J17,"AAAAAGf/f7U=")</f>
        <v>#VALUE!</v>
      </c>
      <c r="GA28" t="e">
        <f>AND('GA55 Entry'!#REF!,"AAAAAGf/f7Y=")</f>
        <v>#REF!</v>
      </c>
      <c r="GB28" t="e">
        <f>AND('GA55 Entry'!K17,"AAAAAGf/f7c=")</f>
        <v>#VALUE!</v>
      </c>
      <c r="GC28" t="e">
        <f>AND('GA55 Entry'!L17,"AAAAAGf/f7g=")</f>
        <v>#VALUE!</v>
      </c>
      <c r="GD28" t="e">
        <f>AND('GA55 Entry'!M17,"AAAAAGf/f7k=")</f>
        <v>#VALUE!</v>
      </c>
      <c r="GE28" t="e">
        <f>AND('GA55 Entry'!N17,"AAAAAGf/f7o=")</f>
        <v>#VALUE!</v>
      </c>
      <c r="GF28" t="e">
        <f>AND('GA55 Entry'!O17,"AAAAAGf/f7s=")</f>
        <v>#VALUE!</v>
      </c>
      <c r="GG28" t="e">
        <f>AND('GA55 Entry'!P17,"AAAAAGf/f7w=")</f>
        <v>#VALUE!</v>
      </c>
      <c r="GH28" t="e">
        <f>AND('GA55 Entry'!Q17,"AAAAAGf/f70=")</f>
        <v>#VALUE!</v>
      </c>
      <c r="GI28" t="e">
        <f>AND('GA55 Entry'!S17,"AAAAAGf/f74=")</f>
        <v>#VALUE!</v>
      </c>
      <c r="GJ28" t="e">
        <f>AND('GA55 Entry'!#REF!,"AAAAAGf/f78=")</f>
        <v>#REF!</v>
      </c>
      <c r="GK28" t="e">
        <f>AND('GA55 Entry'!T17,"AAAAAGf/f8A=")</f>
        <v>#VALUE!</v>
      </c>
      <c r="GL28" t="e">
        <f>AND('GA55 Entry'!U17,"AAAAAGf/f8E=")</f>
        <v>#VALUE!</v>
      </c>
      <c r="GM28" t="e">
        <f>AND('GA55 Entry'!V17,"AAAAAGf/f8I=")</f>
        <v>#VALUE!</v>
      </c>
      <c r="GN28" t="e">
        <f>AND('GA55 Entry'!#REF!,"AAAAAGf/f8M=")</f>
        <v>#REF!</v>
      </c>
      <c r="GO28" t="e">
        <f>AND('GA55 Entry'!#REF!,"AAAAAGf/f8Q=")</f>
        <v>#REF!</v>
      </c>
      <c r="GP28" t="e">
        <f>AND('GA55 Entry'!X17,"AAAAAGf/f8U=")</f>
        <v>#VALUE!</v>
      </c>
      <c r="GQ28" t="e">
        <f>AND('GA55 Entry'!Y17,"AAAAAGf/f8Y=")</f>
        <v>#VALUE!</v>
      </c>
      <c r="GR28" t="e">
        <f>AND('GA55 Entry'!#REF!,"AAAAAGf/f8c=")</f>
        <v>#REF!</v>
      </c>
      <c r="GS28" t="e">
        <f>AND('GA55 Entry'!#REF!,"AAAAAGf/f8g=")</f>
        <v>#REF!</v>
      </c>
      <c r="GT28" t="e">
        <f>AND('GA55 Entry'!#REF!,"AAAAAGf/f8k=")</f>
        <v>#REF!</v>
      </c>
      <c r="GU28" t="e">
        <f>AND('GA55 Entry'!#REF!,"AAAAAGf/f8o=")</f>
        <v>#REF!</v>
      </c>
      <c r="GV28" t="e">
        <f>AND('GA55 Entry'!#REF!,"AAAAAGf/f8s=")</f>
        <v>#REF!</v>
      </c>
      <c r="GW28" t="e">
        <f>AND('GA55 Entry'!#REF!,"AAAAAGf/f8w=")</f>
        <v>#REF!</v>
      </c>
      <c r="GX28" t="e">
        <f>AND('GA55 Entry'!#REF!,"AAAAAGf/f80=")</f>
        <v>#REF!</v>
      </c>
      <c r="GY28" t="e">
        <f>AND('GA55 Entry'!#REF!,"AAAAAGf/f84=")</f>
        <v>#REF!</v>
      </c>
      <c r="GZ28" t="e">
        <f>AND('GA55 Entry'!#REF!,"AAAAAGf/f88=")</f>
        <v>#REF!</v>
      </c>
      <c r="HA28" t="e">
        <f>AND('GA55 Entry'!Z17,"AAAAAGf/f9A=")</f>
        <v>#VALUE!</v>
      </c>
      <c r="HB28" t="e">
        <f>AND('GA55 Entry'!AA17,"AAAAAGf/f9E=")</f>
        <v>#VALUE!</v>
      </c>
      <c r="HC28" t="e">
        <f>AND('GA55 Entry'!#REF!,"AAAAAGf/f9I=")</f>
        <v>#REF!</v>
      </c>
      <c r="HD28" t="e">
        <f>AND('GA55 Entry'!#REF!,"AAAAAGf/f9M=")</f>
        <v>#REF!</v>
      </c>
      <c r="HE28" t="e">
        <f>AND('GA55 Entry'!#REF!,"AAAAAGf/f9Q=")</f>
        <v>#REF!</v>
      </c>
      <c r="HF28" t="e">
        <f>AND('GA55 Entry'!AB17,"AAAAAGf/f9U=")</f>
        <v>#VALUE!</v>
      </c>
      <c r="HG28" t="e">
        <f>AND('GA55 Entry'!AC17,"AAAAAGf/f9Y=")</f>
        <v>#VALUE!</v>
      </c>
      <c r="HH28" t="e">
        <f>AND('GA55 Entry'!#REF!,"AAAAAGf/f9c=")</f>
        <v>#REF!</v>
      </c>
      <c r="HI28" t="e">
        <f>IF('GA55 Entry'!#REF!,"AAAAAGf/f9g=",0)</f>
        <v>#REF!</v>
      </c>
      <c r="HJ28" t="e">
        <f>AND('GA55 Entry'!#REF!,"AAAAAGf/f9k=")</f>
        <v>#REF!</v>
      </c>
      <c r="HK28" t="e">
        <f>AND('GA55 Entry'!#REF!,"AAAAAGf/f9o=")</f>
        <v>#REF!</v>
      </c>
      <c r="HL28" t="e">
        <f>AND('GA55 Entry'!#REF!,"AAAAAGf/f9s=")</f>
        <v>#REF!</v>
      </c>
      <c r="HM28" t="e">
        <f>AND('GA55 Entry'!#REF!,"AAAAAGf/f9w=")</f>
        <v>#REF!</v>
      </c>
      <c r="HN28" t="e">
        <f>AND('GA55 Entry'!#REF!,"AAAAAGf/f90=")</f>
        <v>#REF!</v>
      </c>
      <c r="HO28" t="e">
        <f>AND('GA55 Entry'!#REF!,"AAAAAGf/f94=")</f>
        <v>#REF!</v>
      </c>
      <c r="HP28" t="e">
        <f>AND('GA55 Entry'!#REF!,"AAAAAGf/f98=")</f>
        <v>#REF!</v>
      </c>
      <c r="HQ28" t="e">
        <f>AND('GA55 Entry'!#REF!,"AAAAAGf/f+A=")</f>
        <v>#REF!</v>
      </c>
      <c r="HR28" t="e">
        <f>AND('GA55 Entry'!#REF!,"AAAAAGf/f+E=")</f>
        <v>#REF!</v>
      </c>
      <c r="HS28" t="e">
        <f>AND('GA55 Entry'!#REF!,"AAAAAGf/f+I=")</f>
        <v>#REF!</v>
      </c>
      <c r="HT28" t="e">
        <f>AND('GA55 Entry'!#REF!,"AAAAAGf/f+M=")</f>
        <v>#REF!</v>
      </c>
      <c r="HU28" t="e">
        <f>AND('GA55 Entry'!#REF!,"AAAAAGf/f+Q=")</f>
        <v>#REF!</v>
      </c>
      <c r="HV28" t="e">
        <f>AND('GA55 Entry'!#REF!,"AAAAAGf/f+U=")</f>
        <v>#REF!</v>
      </c>
      <c r="HW28" t="e">
        <f>AND('GA55 Entry'!#REF!,"AAAAAGf/f+Y=")</f>
        <v>#REF!</v>
      </c>
      <c r="HX28" t="e">
        <f>AND('GA55 Entry'!#REF!,"AAAAAGf/f+c=")</f>
        <v>#REF!</v>
      </c>
      <c r="HY28" t="e">
        <f>AND('GA55 Entry'!#REF!,"AAAAAGf/f+g=")</f>
        <v>#REF!</v>
      </c>
      <c r="HZ28" t="e">
        <f>AND('GA55 Entry'!#REF!,"AAAAAGf/f+k=")</f>
        <v>#REF!</v>
      </c>
      <c r="IA28" t="e">
        <f>AND('GA55 Entry'!#REF!,"AAAAAGf/f+o=")</f>
        <v>#REF!</v>
      </c>
      <c r="IB28" t="e">
        <f>AND('GA55 Entry'!#REF!,"AAAAAGf/f+s=")</f>
        <v>#REF!</v>
      </c>
      <c r="IC28" t="e">
        <f>AND('GA55 Entry'!#REF!,"AAAAAGf/f+w=")</f>
        <v>#REF!</v>
      </c>
      <c r="ID28" t="e">
        <f>AND('GA55 Entry'!#REF!,"AAAAAGf/f+0=")</f>
        <v>#REF!</v>
      </c>
      <c r="IE28" t="e">
        <f>AND('GA55 Entry'!#REF!,"AAAAAGf/f+4=")</f>
        <v>#REF!</v>
      </c>
      <c r="IF28" t="e">
        <f>AND('GA55 Entry'!#REF!,"AAAAAGf/f+8=")</f>
        <v>#REF!</v>
      </c>
      <c r="IG28" t="e">
        <f>AND('GA55 Entry'!#REF!,"AAAAAGf/f/A=")</f>
        <v>#REF!</v>
      </c>
      <c r="IH28" t="e">
        <f>AND('GA55 Entry'!#REF!,"AAAAAGf/f/E=")</f>
        <v>#REF!</v>
      </c>
      <c r="II28" t="e">
        <f>AND('GA55 Entry'!#REF!,"AAAAAGf/f/I=")</f>
        <v>#REF!</v>
      </c>
      <c r="IJ28" t="e">
        <f>AND('GA55 Entry'!#REF!,"AAAAAGf/f/M=")</f>
        <v>#REF!</v>
      </c>
      <c r="IK28" t="e">
        <f>AND('GA55 Entry'!#REF!,"AAAAAGf/f/Q=")</f>
        <v>#REF!</v>
      </c>
      <c r="IL28" t="e">
        <f>AND('GA55 Entry'!#REF!,"AAAAAGf/f/U=")</f>
        <v>#REF!</v>
      </c>
      <c r="IM28" t="e">
        <f>AND('GA55 Entry'!#REF!,"AAAAAGf/f/Y=")</f>
        <v>#REF!</v>
      </c>
      <c r="IN28" t="e">
        <f>AND('GA55 Entry'!#REF!,"AAAAAGf/f/c=")</f>
        <v>#REF!</v>
      </c>
      <c r="IO28" t="e">
        <f>AND('GA55 Entry'!#REF!,"AAAAAGf/f/g=")</f>
        <v>#REF!</v>
      </c>
      <c r="IP28" t="e">
        <f>AND('GA55 Entry'!#REF!,"AAAAAGf/f/k=")</f>
        <v>#REF!</v>
      </c>
      <c r="IQ28" t="e">
        <f>AND('GA55 Entry'!#REF!,"AAAAAGf/f/o=")</f>
        <v>#REF!</v>
      </c>
      <c r="IR28" t="e">
        <f>AND('GA55 Entry'!#REF!,"AAAAAGf/f/s=")</f>
        <v>#REF!</v>
      </c>
      <c r="IS28" t="e">
        <f>AND('GA55 Entry'!#REF!,"AAAAAGf/f/w=")</f>
        <v>#REF!</v>
      </c>
      <c r="IT28" t="e">
        <f>AND('GA55 Entry'!#REF!,"AAAAAGf/f/0=")</f>
        <v>#REF!</v>
      </c>
      <c r="IU28" t="e">
        <f>AND('GA55 Entry'!#REF!,"AAAAAGf/f/4=")</f>
        <v>#REF!</v>
      </c>
      <c r="IV28" t="e">
        <f>AND('GA55 Entry'!#REF!,"AAAAAGf/f/8=")</f>
        <v>#REF!</v>
      </c>
    </row>
    <row r="29" spans="1:256">
      <c r="A29" t="e">
        <f>AND('GA55 Entry'!#REF!,"AAAAAC1nzQA=")</f>
        <v>#REF!</v>
      </c>
      <c r="B29" t="e">
        <f>AND('GA55 Entry'!#REF!,"AAAAAC1nzQE=")</f>
        <v>#REF!</v>
      </c>
      <c r="C29" t="e">
        <f>AND('GA55 Entry'!#REF!,"AAAAAC1nzQI=")</f>
        <v>#REF!</v>
      </c>
      <c r="D29" t="e">
        <f>AND('GA55 Entry'!#REF!,"AAAAAC1nzQM=")</f>
        <v>#REF!</v>
      </c>
      <c r="E29" t="e">
        <f>AND('GA55 Entry'!#REF!,"AAAAAC1nzQQ=")</f>
        <v>#REF!</v>
      </c>
      <c r="F29" t="e">
        <f>AND('GA55 Entry'!#REF!,"AAAAAC1nzQU=")</f>
        <v>#REF!</v>
      </c>
      <c r="G29" t="e">
        <f>AND('GA55 Entry'!#REF!,"AAAAAC1nzQY=")</f>
        <v>#REF!</v>
      </c>
      <c r="H29" t="e">
        <f>AND('GA55 Entry'!#REF!,"AAAAAC1nzQc=")</f>
        <v>#REF!</v>
      </c>
      <c r="I29" t="e">
        <f>AND('GA55 Entry'!#REF!,"AAAAAC1nzQg=")</f>
        <v>#REF!</v>
      </c>
      <c r="J29" t="e">
        <f>AND('GA55 Entry'!#REF!,"AAAAAC1nzQk=")</f>
        <v>#REF!</v>
      </c>
      <c r="K29" t="e">
        <f>AND('GA55 Entry'!#REF!,"AAAAAC1nzQo=")</f>
        <v>#REF!</v>
      </c>
      <c r="L29" t="e">
        <f>IF('GA55 Entry'!#REF!,"AAAAAC1nzQs=",0)</f>
        <v>#REF!</v>
      </c>
      <c r="M29" t="e">
        <f>AND('GA55 Entry'!#REF!,"AAAAAC1nzQw=")</f>
        <v>#REF!</v>
      </c>
      <c r="N29" t="e">
        <f>AND('GA55 Entry'!#REF!,"AAAAAC1nzQ0=")</f>
        <v>#REF!</v>
      </c>
      <c r="O29" t="e">
        <f>AND('GA55 Entry'!#REF!,"AAAAAC1nzQ4=")</f>
        <v>#REF!</v>
      </c>
      <c r="P29" t="e">
        <f>AND('GA55 Entry'!#REF!,"AAAAAC1nzQ8=")</f>
        <v>#REF!</v>
      </c>
      <c r="Q29" t="e">
        <f>AND('GA55 Entry'!#REF!,"AAAAAC1nzRA=")</f>
        <v>#REF!</v>
      </c>
      <c r="R29" t="e">
        <f>AND('GA55 Entry'!#REF!,"AAAAAC1nzRE=")</f>
        <v>#REF!</v>
      </c>
      <c r="S29" t="e">
        <f>AND('GA55 Entry'!#REF!,"AAAAAC1nzRI=")</f>
        <v>#REF!</v>
      </c>
      <c r="T29" t="e">
        <f>AND('GA55 Entry'!#REF!,"AAAAAC1nzRM=")</f>
        <v>#REF!</v>
      </c>
      <c r="U29" t="e">
        <f>AND('GA55 Entry'!#REF!,"AAAAAC1nzRQ=")</f>
        <v>#REF!</v>
      </c>
      <c r="V29" t="e">
        <f>AND('GA55 Entry'!#REF!,"AAAAAC1nzRU=")</f>
        <v>#REF!</v>
      </c>
      <c r="W29" t="e">
        <f>AND('GA55 Entry'!#REF!,"AAAAAC1nzRY=")</f>
        <v>#REF!</v>
      </c>
      <c r="X29" t="e">
        <f>AND('GA55 Entry'!#REF!,"AAAAAC1nzRc=")</f>
        <v>#REF!</v>
      </c>
      <c r="Y29" t="e">
        <f>AND('GA55 Entry'!#REF!,"AAAAAC1nzRg=")</f>
        <v>#REF!</v>
      </c>
      <c r="Z29" t="e">
        <f>AND('GA55 Entry'!#REF!,"AAAAAC1nzRk=")</f>
        <v>#REF!</v>
      </c>
      <c r="AA29" t="e">
        <f>AND('GA55 Entry'!#REF!,"AAAAAC1nzRo=")</f>
        <v>#REF!</v>
      </c>
      <c r="AB29" t="e">
        <f>AND('GA55 Entry'!#REF!,"AAAAAC1nzRs=")</f>
        <v>#REF!</v>
      </c>
      <c r="AC29" t="e">
        <f>AND('GA55 Entry'!#REF!,"AAAAAC1nzRw=")</f>
        <v>#REF!</v>
      </c>
      <c r="AD29" t="e">
        <f>AND('GA55 Entry'!#REF!,"AAAAAC1nzR0=")</f>
        <v>#REF!</v>
      </c>
      <c r="AE29" t="e">
        <f>AND('GA55 Entry'!#REF!,"AAAAAC1nzR4=")</f>
        <v>#REF!</v>
      </c>
      <c r="AF29" t="e">
        <f>AND('GA55 Entry'!#REF!,"AAAAAC1nzR8=")</f>
        <v>#REF!</v>
      </c>
      <c r="AG29" t="e">
        <f>AND('GA55 Entry'!#REF!,"AAAAAC1nzSA=")</f>
        <v>#REF!</v>
      </c>
      <c r="AH29" t="e">
        <f>AND('GA55 Entry'!#REF!,"AAAAAC1nzSE=")</f>
        <v>#REF!</v>
      </c>
      <c r="AI29" t="e">
        <f>AND('GA55 Entry'!#REF!,"AAAAAC1nzSI=")</f>
        <v>#REF!</v>
      </c>
      <c r="AJ29" t="e">
        <f>AND('GA55 Entry'!#REF!,"AAAAAC1nzSM=")</f>
        <v>#REF!</v>
      </c>
      <c r="AK29" t="e">
        <f>AND('GA55 Entry'!#REF!,"AAAAAC1nzSQ=")</f>
        <v>#REF!</v>
      </c>
      <c r="AL29" t="e">
        <f>AND('GA55 Entry'!#REF!,"AAAAAC1nzSU=")</f>
        <v>#REF!</v>
      </c>
      <c r="AM29" t="e">
        <f>AND('GA55 Entry'!#REF!,"AAAAAC1nzSY=")</f>
        <v>#REF!</v>
      </c>
      <c r="AN29" t="e">
        <f>AND('GA55 Entry'!#REF!,"AAAAAC1nzSc=")</f>
        <v>#REF!</v>
      </c>
      <c r="AO29" t="e">
        <f>AND('GA55 Entry'!#REF!,"AAAAAC1nzSg=")</f>
        <v>#REF!</v>
      </c>
      <c r="AP29" t="e">
        <f>AND('GA55 Entry'!#REF!,"AAAAAC1nzSk=")</f>
        <v>#REF!</v>
      </c>
      <c r="AQ29" t="e">
        <f>AND('GA55 Entry'!#REF!,"AAAAAC1nzSo=")</f>
        <v>#REF!</v>
      </c>
      <c r="AR29" t="e">
        <f>AND('GA55 Entry'!#REF!,"AAAAAC1nzSs=")</f>
        <v>#REF!</v>
      </c>
      <c r="AS29" t="e">
        <f>AND('GA55 Entry'!#REF!,"AAAAAC1nzSw=")</f>
        <v>#REF!</v>
      </c>
      <c r="AT29" t="e">
        <f>AND('GA55 Entry'!#REF!,"AAAAAC1nzS0=")</f>
        <v>#REF!</v>
      </c>
      <c r="AU29" t="e">
        <f>AND('GA55 Entry'!#REF!,"AAAAAC1nzS4=")</f>
        <v>#REF!</v>
      </c>
      <c r="AV29" t="e">
        <f>AND('GA55 Entry'!#REF!,"AAAAAC1nzS8=")</f>
        <v>#REF!</v>
      </c>
      <c r="AW29" t="e">
        <f>AND('GA55 Entry'!#REF!,"AAAAAC1nzTA=")</f>
        <v>#REF!</v>
      </c>
      <c r="AX29" t="e">
        <f>AND('GA55 Entry'!#REF!,"AAAAAC1nzTE=")</f>
        <v>#REF!</v>
      </c>
      <c r="AY29" t="e">
        <f>AND('GA55 Entry'!#REF!,"AAAAAC1nzTI=")</f>
        <v>#REF!</v>
      </c>
      <c r="AZ29" t="e">
        <f>AND('GA55 Entry'!#REF!,"AAAAAC1nzTM=")</f>
        <v>#REF!</v>
      </c>
      <c r="BA29" t="e">
        <f>AND('GA55 Entry'!#REF!,"AAAAAC1nzTQ=")</f>
        <v>#REF!</v>
      </c>
      <c r="BB29" t="e">
        <f>AND('GA55 Entry'!#REF!,"AAAAAC1nzTU=")</f>
        <v>#REF!</v>
      </c>
      <c r="BC29" t="e">
        <f>AND('GA55 Entry'!#REF!,"AAAAAC1nzTY=")</f>
        <v>#REF!</v>
      </c>
      <c r="BD29" t="e">
        <f>AND('GA55 Entry'!#REF!,"AAAAAC1nzTc=")</f>
        <v>#REF!</v>
      </c>
      <c r="BE29" t="e">
        <f>AND('GA55 Entry'!#REF!,"AAAAAC1nzTg=")</f>
        <v>#REF!</v>
      </c>
      <c r="BF29" t="e">
        <f>AND('GA55 Entry'!#REF!,"AAAAAC1nzTk=")</f>
        <v>#REF!</v>
      </c>
      <c r="BG29" t="e">
        <f>AND('GA55 Entry'!#REF!,"AAAAAC1nzTo=")</f>
        <v>#REF!</v>
      </c>
      <c r="BH29" t="e">
        <f>AND('GA55 Entry'!#REF!,"AAAAAC1nzTs=")</f>
        <v>#REF!</v>
      </c>
      <c r="BI29" t="e">
        <f>AND('GA55 Entry'!#REF!,"AAAAAC1nzTw=")</f>
        <v>#REF!</v>
      </c>
      <c r="BJ29" t="e">
        <f>AND('GA55 Entry'!#REF!,"AAAAAC1nzT0=")</f>
        <v>#REF!</v>
      </c>
      <c r="BK29" t="e">
        <f>IF('GA55 Entry'!#REF!,"AAAAAC1nzT4=",0)</f>
        <v>#REF!</v>
      </c>
      <c r="BL29" t="e">
        <f>AND('GA55 Entry'!#REF!,"AAAAAC1nzT8=")</f>
        <v>#REF!</v>
      </c>
      <c r="BM29" t="e">
        <f>AND('GA55 Entry'!#REF!,"AAAAAC1nzUA=")</f>
        <v>#REF!</v>
      </c>
      <c r="BN29" t="e">
        <f>AND('GA55 Entry'!#REF!,"AAAAAC1nzUE=")</f>
        <v>#REF!</v>
      </c>
      <c r="BO29" t="e">
        <f>AND('GA55 Entry'!#REF!,"AAAAAC1nzUI=")</f>
        <v>#REF!</v>
      </c>
      <c r="BP29" t="e">
        <f>AND('GA55 Entry'!#REF!,"AAAAAC1nzUM=")</f>
        <v>#REF!</v>
      </c>
      <c r="BQ29" t="e">
        <f>AND('GA55 Entry'!#REF!,"AAAAAC1nzUQ=")</f>
        <v>#REF!</v>
      </c>
      <c r="BR29" t="e">
        <f>AND('GA55 Entry'!#REF!,"AAAAAC1nzUU=")</f>
        <v>#REF!</v>
      </c>
      <c r="BS29" t="e">
        <f>AND('GA55 Entry'!#REF!,"AAAAAC1nzUY=")</f>
        <v>#REF!</v>
      </c>
      <c r="BT29" t="e">
        <f>AND('GA55 Entry'!#REF!,"AAAAAC1nzUc=")</f>
        <v>#REF!</v>
      </c>
      <c r="BU29" t="e">
        <f>AND('GA55 Entry'!#REF!,"AAAAAC1nzUg=")</f>
        <v>#REF!</v>
      </c>
      <c r="BV29" t="e">
        <f>AND('GA55 Entry'!#REF!,"AAAAAC1nzUk=")</f>
        <v>#REF!</v>
      </c>
      <c r="BW29" t="e">
        <f>AND('GA55 Entry'!#REF!,"AAAAAC1nzUo=")</f>
        <v>#REF!</v>
      </c>
      <c r="BX29" t="e">
        <f>AND('GA55 Entry'!#REF!,"AAAAAC1nzUs=")</f>
        <v>#REF!</v>
      </c>
      <c r="BY29" t="e">
        <f>AND('GA55 Entry'!#REF!,"AAAAAC1nzUw=")</f>
        <v>#REF!</v>
      </c>
      <c r="BZ29" t="e">
        <f>AND('GA55 Entry'!#REF!,"AAAAAC1nzU0=")</f>
        <v>#REF!</v>
      </c>
      <c r="CA29" t="e">
        <f>AND('GA55 Entry'!#REF!,"AAAAAC1nzU4=")</f>
        <v>#REF!</v>
      </c>
      <c r="CB29" t="e">
        <f>AND('GA55 Entry'!#REF!,"AAAAAC1nzU8=")</f>
        <v>#REF!</v>
      </c>
      <c r="CC29" t="e">
        <f>AND('GA55 Entry'!#REF!,"AAAAAC1nzVA=")</f>
        <v>#REF!</v>
      </c>
      <c r="CD29" t="e">
        <f>AND('GA55 Entry'!#REF!,"AAAAAC1nzVE=")</f>
        <v>#REF!</v>
      </c>
      <c r="CE29" t="e">
        <f>AND('GA55 Entry'!#REF!,"AAAAAC1nzVI=")</f>
        <v>#REF!</v>
      </c>
      <c r="CF29" t="e">
        <f>AND('GA55 Entry'!#REF!,"AAAAAC1nzVM=")</f>
        <v>#REF!</v>
      </c>
      <c r="CG29" t="e">
        <f>AND('GA55 Entry'!#REF!,"AAAAAC1nzVQ=")</f>
        <v>#REF!</v>
      </c>
      <c r="CH29" t="e">
        <f>AND('GA55 Entry'!#REF!,"AAAAAC1nzVU=")</f>
        <v>#REF!</v>
      </c>
      <c r="CI29" t="e">
        <f>AND('GA55 Entry'!#REF!,"AAAAAC1nzVY=")</f>
        <v>#REF!</v>
      </c>
      <c r="CJ29" t="e">
        <f>AND('GA55 Entry'!#REF!,"AAAAAC1nzVc=")</f>
        <v>#REF!</v>
      </c>
      <c r="CK29" t="e">
        <f>AND('GA55 Entry'!#REF!,"AAAAAC1nzVg=")</f>
        <v>#REF!</v>
      </c>
      <c r="CL29" t="e">
        <f>AND('GA55 Entry'!#REF!,"AAAAAC1nzVk=")</f>
        <v>#REF!</v>
      </c>
      <c r="CM29" t="e">
        <f>AND('GA55 Entry'!#REF!,"AAAAAC1nzVo=")</f>
        <v>#REF!</v>
      </c>
      <c r="CN29" t="e">
        <f>AND('GA55 Entry'!#REF!,"AAAAAC1nzVs=")</f>
        <v>#REF!</v>
      </c>
      <c r="CO29" t="e">
        <f>AND('GA55 Entry'!#REF!,"AAAAAC1nzVw=")</f>
        <v>#REF!</v>
      </c>
      <c r="CP29" t="e">
        <f>AND('GA55 Entry'!#REF!,"AAAAAC1nzV0=")</f>
        <v>#REF!</v>
      </c>
      <c r="CQ29" t="e">
        <f>AND('GA55 Entry'!#REF!,"AAAAAC1nzV4=")</f>
        <v>#REF!</v>
      </c>
      <c r="CR29" t="e">
        <f>AND('GA55 Entry'!#REF!,"AAAAAC1nzV8=")</f>
        <v>#REF!</v>
      </c>
      <c r="CS29" t="e">
        <f>AND('GA55 Entry'!#REF!,"AAAAAC1nzWA=")</f>
        <v>#REF!</v>
      </c>
      <c r="CT29" t="e">
        <f>AND('GA55 Entry'!#REF!,"AAAAAC1nzWE=")</f>
        <v>#REF!</v>
      </c>
      <c r="CU29" t="e">
        <f>AND('GA55 Entry'!#REF!,"AAAAAC1nzWI=")</f>
        <v>#REF!</v>
      </c>
      <c r="CV29" t="e">
        <f>AND('GA55 Entry'!#REF!,"AAAAAC1nzWM=")</f>
        <v>#REF!</v>
      </c>
      <c r="CW29" t="e">
        <f>AND('GA55 Entry'!#REF!,"AAAAAC1nzWQ=")</f>
        <v>#REF!</v>
      </c>
      <c r="CX29" t="e">
        <f>AND('GA55 Entry'!#REF!,"AAAAAC1nzWU=")</f>
        <v>#REF!</v>
      </c>
      <c r="CY29" t="e">
        <f>AND('GA55 Entry'!#REF!,"AAAAAC1nzWY=")</f>
        <v>#REF!</v>
      </c>
      <c r="CZ29" t="e">
        <f>AND('GA55 Entry'!#REF!,"AAAAAC1nzWc=")</f>
        <v>#REF!</v>
      </c>
      <c r="DA29" t="e">
        <f>AND('GA55 Entry'!#REF!,"AAAAAC1nzWg=")</f>
        <v>#REF!</v>
      </c>
      <c r="DB29" t="e">
        <f>AND('GA55 Entry'!#REF!,"AAAAAC1nzWk=")</f>
        <v>#REF!</v>
      </c>
      <c r="DC29" t="e">
        <f>AND('GA55 Entry'!#REF!,"AAAAAC1nzWo=")</f>
        <v>#REF!</v>
      </c>
      <c r="DD29" t="e">
        <f>AND('GA55 Entry'!#REF!,"AAAAAC1nzWs=")</f>
        <v>#REF!</v>
      </c>
      <c r="DE29" t="e">
        <f>AND('GA55 Entry'!#REF!,"AAAAAC1nzWw=")</f>
        <v>#REF!</v>
      </c>
      <c r="DF29" t="e">
        <f>AND('GA55 Entry'!#REF!,"AAAAAC1nzW0=")</f>
        <v>#REF!</v>
      </c>
      <c r="DG29" t="e">
        <f>AND('GA55 Entry'!#REF!,"AAAAAC1nzW4=")</f>
        <v>#REF!</v>
      </c>
      <c r="DH29" t="e">
        <f>AND('GA55 Entry'!#REF!,"AAAAAC1nzW8=")</f>
        <v>#REF!</v>
      </c>
      <c r="DI29" t="e">
        <f>AND('GA55 Entry'!#REF!,"AAAAAC1nzXA=")</f>
        <v>#REF!</v>
      </c>
      <c r="DJ29" t="e">
        <f>IF('GA55 Entry'!#REF!,"AAAAAC1nzXE=",0)</f>
        <v>#REF!</v>
      </c>
      <c r="DK29" t="e">
        <f>AND('GA55 Entry'!#REF!,"AAAAAC1nzXI=")</f>
        <v>#REF!</v>
      </c>
      <c r="DL29" t="e">
        <f>AND('GA55 Entry'!#REF!,"AAAAAC1nzXM=")</f>
        <v>#REF!</v>
      </c>
      <c r="DM29" t="e">
        <f>AND('GA55 Entry'!#REF!,"AAAAAC1nzXQ=")</f>
        <v>#REF!</v>
      </c>
      <c r="DN29" t="e">
        <f>AND('GA55 Entry'!#REF!,"AAAAAC1nzXU=")</f>
        <v>#REF!</v>
      </c>
      <c r="DO29" t="e">
        <f>AND('GA55 Entry'!#REF!,"AAAAAC1nzXY=")</f>
        <v>#REF!</v>
      </c>
      <c r="DP29" t="e">
        <f>AND('GA55 Entry'!#REF!,"AAAAAC1nzXc=")</f>
        <v>#REF!</v>
      </c>
      <c r="DQ29" t="e">
        <f>AND('GA55 Entry'!#REF!,"AAAAAC1nzXg=")</f>
        <v>#REF!</v>
      </c>
      <c r="DR29" t="e">
        <f>AND('GA55 Entry'!#REF!,"AAAAAC1nzXk=")</f>
        <v>#REF!</v>
      </c>
      <c r="DS29" t="e">
        <f>AND('GA55 Entry'!#REF!,"AAAAAC1nzXo=")</f>
        <v>#REF!</v>
      </c>
      <c r="DT29" t="e">
        <f>AND('GA55 Entry'!#REF!,"AAAAAC1nzXs=")</f>
        <v>#REF!</v>
      </c>
      <c r="DU29" t="e">
        <f>AND('GA55 Entry'!#REF!,"AAAAAC1nzXw=")</f>
        <v>#REF!</v>
      </c>
      <c r="DV29" t="e">
        <f>AND('GA55 Entry'!#REF!,"AAAAAC1nzX0=")</f>
        <v>#REF!</v>
      </c>
      <c r="DW29" t="e">
        <f>AND('GA55 Entry'!#REF!,"AAAAAC1nzX4=")</f>
        <v>#REF!</v>
      </c>
      <c r="DX29" t="e">
        <f>AND('GA55 Entry'!#REF!,"AAAAAC1nzX8=")</f>
        <v>#REF!</v>
      </c>
      <c r="DY29" t="e">
        <f>AND('GA55 Entry'!#REF!,"AAAAAC1nzYA=")</f>
        <v>#REF!</v>
      </c>
      <c r="DZ29" t="e">
        <f>AND('GA55 Entry'!#REF!,"AAAAAC1nzYE=")</f>
        <v>#REF!</v>
      </c>
      <c r="EA29" t="e">
        <f>AND('GA55 Entry'!#REF!,"AAAAAC1nzYI=")</f>
        <v>#REF!</v>
      </c>
      <c r="EB29" t="e">
        <f>AND('GA55 Entry'!#REF!,"AAAAAC1nzYM=")</f>
        <v>#REF!</v>
      </c>
      <c r="EC29" t="e">
        <f>AND('GA55 Entry'!#REF!,"AAAAAC1nzYQ=")</f>
        <v>#REF!</v>
      </c>
      <c r="ED29" t="e">
        <f>AND('GA55 Entry'!#REF!,"AAAAAC1nzYU=")</f>
        <v>#REF!</v>
      </c>
      <c r="EE29" t="e">
        <f>AND('GA55 Entry'!#REF!,"AAAAAC1nzYY=")</f>
        <v>#REF!</v>
      </c>
      <c r="EF29" t="e">
        <f>AND('GA55 Entry'!#REF!,"AAAAAC1nzYc=")</f>
        <v>#REF!</v>
      </c>
      <c r="EG29" t="e">
        <f>AND('GA55 Entry'!#REF!,"AAAAAC1nzYg=")</f>
        <v>#REF!</v>
      </c>
      <c r="EH29" t="e">
        <f>AND('GA55 Entry'!#REF!,"AAAAAC1nzYk=")</f>
        <v>#REF!</v>
      </c>
      <c r="EI29" t="e">
        <f>AND('GA55 Entry'!#REF!,"AAAAAC1nzYo=")</f>
        <v>#REF!</v>
      </c>
      <c r="EJ29" t="e">
        <f>AND('GA55 Entry'!#REF!,"AAAAAC1nzYs=")</f>
        <v>#REF!</v>
      </c>
      <c r="EK29" t="e">
        <f>AND('GA55 Entry'!#REF!,"AAAAAC1nzYw=")</f>
        <v>#REF!</v>
      </c>
      <c r="EL29" t="e">
        <f>AND('GA55 Entry'!#REF!,"AAAAAC1nzY0=")</f>
        <v>#REF!</v>
      </c>
      <c r="EM29" t="e">
        <f>AND('GA55 Entry'!#REF!,"AAAAAC1nzY4=")</f>
        <v>#REF!</v>
      </c>
      <c r="EN29" t="e">
        <f>AND('GA55 Entry'!#REF!,"AAAAAC1nzY8=")</f>
        <v>#REF!</v>
      </c>
      <c r="EO29" t="e">
        <f>AND('GA55 Entry'!#REF!,"AAAAAC1nzZA=")</f>
        <v>#REF!</v>
      </c>
      <c r="EP29" t="e">
        <f>AND('GA55 Entry'!#REF!,"AAAAAC1nzZE=")</f>
        <v>#REF!</v>
      </c>
      <c r="EQ29" t="e">
        <f>AND('GA55 Entry'!#REF!,"AAAAAC1nzZI=")</f>
        <v>#REF!</v>
      </c>
      <c r="ER29" t="e">
        <f>AND('GA55 Entry'!#REF!,"AAAAAC1nzZM=")</f>
        <v>#REF!</v>
      </c>
      <c r="ES29" t="e">
        <f>AND('GA55 Entry'!#REF!,"AAAAAC1nzZQ=")</f>
        <v>#REF!</v>
      </c>
      <c r="ET29" t="e">
        <f>AND('GA55 Entry'!#REF!,"AAAAAC1nzZU=")</f>
        <v>#REF!</v>
      </c>
      <c r="EU29" t="e">
        <f>AND('GA55 Entry'!#REF!,"AAAAAC1nzZY=")</f>
        <v>#REF!</v>
      </c>
      <c r="EV29" t="e">
        <f>AND('GA55 Entry'!#REF!,"AAAAAC1nzZc=")</f>
        <v>#REF!</v>
      </c>
      <c r="EW29" t="e">
        <f>AND('GA55 Entry'!#REF!,"AAAAAC1nzZg=")</f>
        <v>#REF!</v>
      </c>
      <c r="EX29" t="e">
        <f>AND('GA55 Entry'!#REF!,"AAAAAC1nzZk=")</f>
        <v>#REF!</v>
      </c>
      <c r="EY29" t="e">
        <f>AND('GA55 Entry'!#REF!,"AAAAAC1nzZo=")</f>
        <v>#REF!</v>
      </c>
      <c r="EZ29" t="e">
        <f>AND('GA55 Entry'!#REF!,"AAAAAC1nzZs=")</f>
        <v>#REF!</v>
      </c>
      <c r="FA29" t="e">
        <f>AND('GA55 Entry'!#REF!,"AAAAAC1nzZw=")</f>
        <v>#REF!</v>
      </c>
      <c r="FB29" t="e">
        <f>AND('GA55 Entry'!#REF!,"AAAAAC1nzZ0=")</f>
        <v>#REF!</v>
      </c>
      <c r="FC29" t="e">
        <f>AND('GA55 Entry'!#REF!,"AAAAAC1nzZ4=")</f>
        <v>#REF!</v>
      </c>
      <c r="FD29" t="e">
        <f>AND('GA55 Entry'!#REF!,"AAAAAC1nzZ8=")</f>
        <v>#REF!</v>
      </c>
      <c r="FE29" t="e">
        <f>AND('GA55 Entry'!#REF!,"AAAAAC1nzaA=")</f>
        <v>#REF!</v>
      </c>
      <c r="FF29" t="e">
        <f>AND('GA55 Entry'!#REF!,"AAAAAC1nzaE=")</f>
        <v>#REF!</v>
      </c>
      <c r="FG29" t="e">
        <f>AND('GA55 Entry'!#REF!,"AAAAAC1nzaI=")</f>
        <v>#REF!</v>
      </c>
      <c r="FH29" t="e">
        <f>AND('GA55 Entry'!#REF!,"AAAAAC1nzaM=")</f>
        <v>#REF!</v>
      </c>
      <c r="FI29" t="e">
        <f>IF('GA55 Entry'!#REF!,"AAAAAC1nzaQ=",0)</f>
        <v>#REF!</v>
      </c>
      <c r="FJ29" t="e">
        <f>AND('GA55 Entry'!#REF!,"AAAAAC1nzaU=")</f>
        <v>#REF!</v>
      </c>
      <c r="FK29" t="e">
        <f>AND('GA55 Entry'!#REF!,"AAAAAC1nzaY=")</f>
        <v>#REF!</v>
      </c>
      <c r="FL29" t="e">
        <f>AND('GA55 Entry'!#REF!,"AAAAAC1nzac=")</f>
        <v>#REF!</v>
      </c>
      <c r="FM29" t="e">
        <f>AND('GA55 Entry'!#REF!,"AAAAAC1nzag=")</f>
        <v>#REF!</v>
      </c>
      <c r="FN29" t="e">
        <f>AND('GA55 Entry'!#REF!,"AAAAAC1nzak=")</f>
        <v>#REF!</v>
      </c>
      <c r="FO29" t="e">
        <f>AND('GA55 Entry'!#REF!,"AAAAAC1nzao=")</f>
        <v>#REF!</v>
      </c>
      <c r="FP29" t="e">
        <f>AND('GA55 Entry'!#REF!,"AAAAAC1nzas=")</f>
        <v>#REF!</v>
      </c>
      <c r="FQ29" t="e">
        <f>AND('GA55 Entry'!#REF!,"AAAAAC1nzaw=")</f>
        <v>#REF!</v>
      </c>
      <c r="FR29" t="e">
        <f>AND('GA55 Entry'!#REF!,"AAAAAC1nza0=")</f>
        <v>#REF!</v>
      </c>
      <c r="FS29" t="e">
        <f>AND('GA55 Entry'!#REF!,"AAAAAC1nza4=")</f>
        <v>#REF!</v>
      </c>
      <c r="FT29" t="e">
        <f>AND('GA55 Entry'!#REF!,"AAAAAC1nza8=")</f>
        <v>#REF!</v>
      </c>
      <c r="FU29" t="e">
        <f>AND('GA55 Entry'!#REF!,"AAAAAC1nzbA=")</f>
        <v>#REF!</v>
      </c>
      <c r="FV29" t="e">
        <f>AND('GA55 Entry'!#REF!,"AAAAAC1nzbE=")</f>
        <v>#REF!</v>
      </c>
      <c r="FW29" t="e">
        <f>AND('GA55 Entry'!#REF!,"AAAAAC1nzbI=")</f>
        <v>#REF!</v>
      </c>
      <c r="FX29" t="e">
        <f>AND('GA55 Entry'!#REF!,"AAAAAC1nzbM=")</f>
        <v>#REF!</v>
      </c>
      <c r="FY29" t="e">
        <f>AND('GA55 Entry'!#REF!,"AAAAAC1nzbQ=")</f>
        <v>#REF!</v>
      </c>
      <c r="FZ29" t="e">
        <f>AND('GA55 Entry'!#REF!,"AAAAAC1nzbU=")</f>
        <v>#REF!</v>
      </c>
      <c r="GA29" t="e">
        <f>AND('GA55 Entry'!#REF!,"AAAAAC1nzbY=")</f>
        <v>#REF!</v>
      </c>
      <c r="GB29" t="e">
        <f>AND('GA55 Entry'!#REF!,"AAAAAC1nzbc=")</f>
        <v>#REF!</v>
      </c>
      <c r="GC29" t="e">
        <f>AND('GA55 Entry'!#REF!,"AAAAAC1nzbg=")</f>
        <v>#REF!</v>
      </c>
      <c r="GD29" t="e">
        <f>AND('GA55 Entry'!#REF!,"AAAAAC1nzbk=")</f>
        <v>#REF!</v>
      </c>
      <c r="GE29" t="e">
        <f>AND('GA55 Entry'!#REF!,"AAAAAC1nzbo=")</f>
        <v>#REF!</v>
      </c>
      <c r="GF29" t="e">
        <f>AND('GA55 Entry'!#REF!,"AAAAAC1nzbs=")</f>
        <v>#REF!</v>
      </c>
      <c r="GG29" t="e">
        <f>AND('GA55 Entry'!#REF!,"AAAAAC1nzbw=")</f>
        <v>#REF!</v>
      </c>
      <c r="GH29" t="e">
        <f>AND('GA55 Entry'!#REF!,"AAAAAC1nzb0=")</f>
        <v>#REF!</v>
      </c>
      <c r="GI29" t="e">
        <f>AND('GA55 Entry'!#REF!,"AAAAAC1nzb4=")</f>
        <v>#REF!</v>
      </c>
      <c r="GJ29" t="e">
        <f>AND('GA55 Entry'!#REF!,"AAAAAC1nzb8=")</f>
        <v>#REF!</v>
      </c>
      <c r="GK29" t="e">
        <f>AND('GA55 Entry'!#REF!,"AAAAAC1nzcA=")</f>
        <v>#REF!</v>
      </c>
      <c r="GL29" t="e">
        <f>AND('GA55 Entry'!#REF!,"AAAAAC1nzcE=")</f>
        <v>#REF!</v>
      </c>
      <c r="GM29" t="e">
        <f>AND('GA55 Entry'!#REF!,"AAAAAC1nzcI=")</f>
        <v>#REF!</v>
      </c>
      <c r="GN29" t="e">
        <f>AND('GA55 Entry'!#REF!,"AAAAAC1nzcM=")</f>
        <v>#REF!</v>
      </c>
      <c r="GO29" t="e">
        <f>AND('GA55 Entry'!#REF!,"AAAAAC1nzcQ=")</f>
        <v>#REF!</v>
      </c>
      <c r="GP29" t="e">
        <f>AND('GA55 Entry'!#REF!,"AAAAAC1nzcU=")</f>
        <v>#REF!</v>
      </c>
      <c r="GQ29" t="e">
        <f>AND('GA55 Entry'!#REF!,"AAAAAC1nzcY=")</f>
        <v>#REF!</v>
      </c>
      <c r="GR29" t="e">
        <f>AND('GA55 Entry'!#REF!,"AAAAAC1nzcc=")</f>
        <v>#REF!</v>
      </c>
      <c r="GS29" t="e">
        <f>AND('GA55 Entry'!#REF!,"AAAAAC1nzcg=")</f>
        <v>#REF!</v>
      </c>
      <c r="GT29" t="e">
        <f>AND('GA55 Entry'!#REF!,"AAAAAC1nzck=")</f>
        <v>#REF!</v>
      </c>
      <c r="GU29" t="e">
        <f>AND('GA55 Entry'!#REF!,"AAAAAC1nzco=")</f>
        <v>#REF!</v>
      </c>
      <c r="GV29" t="e">
        <f>AND('GA55 Entry'!#REF!,"AAAAAC1nzcs=")</f>
        <v>#REF!</v>
      </c>
      <c r="GW29" t="e">
        <f>AND('GA55 Entry'!#REF!,"AAAAAC1nzcw=")</f>
        <v>#REF!</v>
      </c>
      <c r="GX29" t="e">
        <f>AND('GA55 Entry'!#REF!,"AAAAAC1nzc0=")</f>
        <v>#REF!</v>
      </c>
      <c r="GY29" t="e">
        <f>AND('GA55 Entry'!#REF!,"AAAAAC1nzc4=")</f>
        <v>#REF!</v>
      </c>
      <c r="GZ29" t="e">
        <f>AND('GA55 Entry'!#REF!,"AAAAAC1nzc8=")</f>
        <v>#REF!</v>
      </c>
      <c r="HA29" t="e">
        <f>AND('GA55 Entry'!#REF!,"AAAAAC1nzdA=")</f>
        <v>#REF!</v>
      </c>
      <c r="HB29" t="e">
        <f>AND('GA55 Entry'!#REF!,"AAAAAC1nzdE=")</f>
        <v>#REF!</v>
      </c>
      <c r="HC29" t="e">
        <f>AND('GA55 Entry'!#REF!,"AAAAAC1nzdI=")</f>
        <v>#REF!</v>
      </c>
      <c r="HD29" t="e">
        <f>AND('GA55 Entry'!#REF!,"AAAAAC1nzdM=")</f>
        <v>#REF!</v>
      </c>
      <c r="HE29" t="e">
        <f>AND('GA55 Entry'!#REF!,"AAAAAC1nzdQ=")</f>
        <v>#REF!</v>
      </c>
      <c r="HF29" t="e">
        <f>AND('GA55 Entry'!#REF!,"AAAAAC1nzdU=")</f>
        <v>#REF!</v>
      </c>
      <c r="HG29" t="e">
        <f>AND('GA55 Entry'!#REF!,"AAAAAC1nzdY=")</f>
        <v>#REF!</v>
      </c>
      <c r="HH29">
        <f>IF('GA55 Entry'!18:18,"AAAAAC1nzdc=",0)</f>
        <v>0</v>
      </c>
      <c r="HI29" t="e">
        <f>AND('GA55 Entry'!B18,"AAAAAC1nzdg=")</f>
        <v>#VALUE!</v>
      </c>
      <c r="HJ29" t="e">
        <f>AND('GA55 Entry'!#REF!,"AAAAAC1nzdk=")</f>
        <v>#REF!</v>
      </c>
      <c r="HK29" t="e">
        <f>AND('GA55 Entry'!C18,"AAAAAC1nzdo=")</f>
        <v>#VALUE!</v>
      </c>
      <c r="HL29" t="e">
        <f>AND('GA55 Entry'!#REF!,"AAAAAC1nzds=")</f>
        <v>#REF!</v>
      </c>
      <c r="HM29" t="e">
        <f>AND('GA55 Entry'!#REF!,"AAAAAC1nzdw=")</f>
        <v>#REF!</v>
      </c>
      <c r="HN29" t="e">
        <f>AND('GA55 Entry'!#REF!,"AAAAAC1nzd0=")</f>
        <v>#REF!</v>
      </c>
      <c r="HO29" t="e">
        <f>AND('GA55 Entry'!#REF!,"AAAAAC1nzd4=")</f>
        <v>#REF!</v>
      </c>
      <c r="HP29" t="e">
        <f>AND('GA55 Entry'!#REF!,"AAAAAC1nzd8=")</f>
        <v>#REF!</v>
      </c>
      <c r="HQ29" t="e">
        <f>AND('GA55 Entry'!D18,"AAAAAC1nzeA=")</f>
        <v>#VALUE!</v>
      </c>
      <c r="HR29" t="e">
        <f>AND('GA55 Entry'!#REF!,"AAAAAC1nzeE=")</f>
        <v>#REF!</v>
      </c>
      <c r="HS29" t="e">
        <f>AND('GA55 Entry'!E18,"AAAAAC1nzeI=")</f>
        <v>#VALUE!</v>
      </c>
      <c r="HT29" t="e">
        <f>AND('GA55 Entry'!F18,"AAAAAC1nzeM=")</f>
        <v>#VALUE!</v>
      </c>
      <c r="HU29" t="e">
        <f>AND('GA55 Entry'!G18,"AAAAAC1nzeQ=")</f>
        <v>#VALUE!</v>
      </c>
      <c r="HV29" t="e">
        <f>AND('GA55 Entry'!H18,"AAAAAC1nzeU=")</f>
        <v>#VALUE!</v>
      </c>
      <c r="HW29" t="e">
        <f>AND('GA55 Entry'!I18,"AAAAAC1nzeY=")</f>
        <v>#VALUE!</v>
      </c>
      <c r="HX29" t="e">
        <f>AND('GA55 Entry'!J18,"AAAAAC1nzec=")</f>
        <v>#VALUE!</v>
      </c>
      <c r="HY29" t="e">
        <f>AND('GA55 Entry'!#REF!,"AAAAAC1nzeg=")</f>
        <v>#REF!</v>
      </c>
      <c r="HZ29" t="e">
        <f>AND('GA55 Entry'!K18,"AAAAAC1nzek=")</f>
        <v>#VALUE!</v>
      </c>
      <c r="IA29" t="e">
        <f>AND('GA55 Entry'!L18,"AAAAAC1nzeo=")</f>
        <v>#VALUE!</v>
      </c>
      <c r="IB29" t="e">
        <f>AND('GA55 Entry'!M18,"AAAAAC1nzes=")</f>
        <v>#VALUE!</v>
      </c>
      <c r="IC29" t="e">
        <f>AND('GA55 Entry'!N18,"AAAAAC1nzew=")</f>
        <v>#VALUE!</v>
      </c>
      <c r="ID29" t="e">
        <f>AND('GA55 Entry'!O18,"AAAAAC1nze0=")</f>
        <v>#VALUE!</v>
      </c>
      <c r="IE29" t="e">
        <f>AND('GA55 Entry'!P18,"AAAAAC1nze4=")</f>
        <v>#VALUE!</v>
      </c>
      <c r="IF29" t="e">
        <f>AND('GA55 Entry'!Q18,"AAAAAC1nze8=")</f>
        <v>#VALUE!</v>
      </c>
      <c r="IG29" t="e">
        <f>AND('GA55 Entry'!S18,"AAAAAC1nzfA=")</f>
        <v>#VALUE!</v>
      </c>
      <c r="IH29" t="e">
        <f>AND('GA55 Entry'!#REF!,"AAAAAC1nzfE=")</f>
        <v>#REF!</v>
      </c>
      <c r="II29" t="e">
        <f>AND('GA55 Entry'!T18,"AAAAAC1nzfI=")</f>
        <v>#VALUE!</v>
      </c>
      <c r="IJ29" t="e">
        <f>AND('GA55 Entry'!U18,"AAAAAC1nzfM=")</f>
        <v>#VALUE!</v>
      </c>
      <c r="IK29" t="e">
        <f>AND('GA55 Entry'!V18,"AAAAAC1nzfQ=")</f>
        <v>#VALUE!</v>
      </c>
      <c r="IL29" t="e">
        <f>AND('GA55 Entry'!#REF!,"AAAAAC1nzfU=")</f>
        <v>#REF!</v>
      </c>
      <c r="IM29" t="e">
        <f>AND('GA55 Entry'!#REF!,"AAAAAC1nzfY=")</f>
        <v>#REF!</v>
      </c>
      <c r="IN29" t="e">
        <f>AND('GA55 Entry'!X18,"AAAAAC1nzfc=")</f>
        <v>#VALUE!</v>
      </c>
      <c r="IO29" t="e">
        <f>AND('GA55 Entry'!Y18,"AAAAAC1nzfg=")</f>
        <v>#VALUE!</v>
      </c>
      <c r="IP29" t="e">
        <f>AND('GA55 Entry'!#REF!,"AAAAAC1nzfk=")</f>
        <v>#REF!</v>
      </c>
      <c r="IQ29" t="e">
        <f>AND('GA55 Entry'!#REF!,"AAAAAC1nzfo=")</f>
        <v>#REF!</v>
      </c>
      <c r="IR29" t="e">
        <f>AND('GA55 Entry'!#REF!,"AAAAAC1nzfs=")</f>
        <v>#REF!</v>
      </c>
      <c r="IS29" t="e">
        <f>AND('GA55 Entry'!#REF!,"AAAAAC1nzfw=")</f>
        <v>#REF!</v>
      </c>
      <c r="IT29" t="e">
        <f>AND('GA55 Entry'!#REF!,"AAAAAC1nzf0=")</f>
        <v>#REF!</v>
      </c>
      <c r="IU29" t="e">
        <f>AND('GA55 Entry'!#REF!,"AAAAAC1nzf4=")</f>
        <v>#REF!</v>
      </c>
      <c r="IV29" t="e">
        <f>AND('GA55 Entry'!#REF!,"AAAAAC1nzf8=")</f>
        <v>#REF!</v>
      </c>
    </row>
    <row r="30" spans="1:256">
      <c r="A30" t="e">
        <f>AND('GA55 Entry'!#REF!,"AAAAAFeNngA=")</f>
        <v>#REF!</v>
      </c>
      <c r="B30" t="e">
        <f>AND('GA55 Entry'!#REF!,"AAAAAFeNngE=")</f>
        <v>#REF!</v>
      </c>
      <c r="C30" t="e">
        <f>AND('GA55 Entry'!Z18,"AAAAAFeNngI=")</f>
        <v>#VALUE!</v>
      </c>
      <c r="D30" t="e">
        <f>AND('GA55 Entry'!AA18,"AAAAAFeNngM=")</f>
        <v>#VALUE!</v>
      </c>
      <c r="E30" t="e">
        <f>AND('GA55 Entry'!#REF!,"AAAAAFeNngQ=")</f>
        <v>#REF!</v>
      </c>
      <c r="F30" t="e">
        <f>AND('GA55 Entry'!#REF!,"AAAAAFeNngU=")</f>
        <v>#REF!</v>
      </c>
      <c r="G30" t="e">
        <f>AND('GA55 Entry'!#REF!,"AAAAAFeNngY=")</f>
        <v>#REF!</v>
      </c>
      <c r="H30" t="e">
        <f>AND('GA55 Entry'!AB18,"AAAAAFeNngc=")</f>
        <v>#VALUE!</v>
      </c>
      <c r="I30" t="e">
        <f>AND('GA55 Entry'!AC18,"AAAAAFeNngg=")</f>
        <v>#VALUE!</v>
      </c>
      <c r="J30" t="e">
        <f>AND('GA55 Entry'!#REF!,"AAAAAFeNngk=")</f>
        <v>#REF!</v>
      </c>
      <c r="K30" t="e">
        <f>IF('GA55 Entry'!#REF!,"AAAAAFeNngo=",0)</f>
        <v>#REF!</v>
      </c>
      <c r="L30" t="e">
        <f>AND('GA55 Entry'!#REF!,"AAAAAFeNngs=")</f>
        <v>#REF!</v>
      </c>
      <c r="M30" t="e">
        <f>AND('GA55 Entry'!#REF!,"AAAAAFeNngw=")</f>
        <v>#REF!</v>
      </c>
      <c r="N30" t="e">
        <f>AND('GA55 Entry'!#REF!,"AAAAAFeNng0=")</f>
        <v>#REF!</v>
      </c>
      <c r="O30" t="e">
        <f>AND('GA55 Entry'!#REF!,"AAAAAFeNng4=")</f>
        <v>#REF!</v>
      </c>
      <c r="P30" t="e">
        <f>AND('GA55 Entry'!#REF!,"AAAAAFeNng8=")</f>
        <v>#REF!</v>
      </c>
      <c r="Q30" t="e">
        <f>AND('GA55 Entry'!#REF!,"AAAAAFeNnhA=")</f>
        <v>#REF!</v>
      </c>
      <c r="R30" t="e">
        <f>AND('GA55 Entry'!#REF!,"AAAAAFeNnhE=")</f>
        <v>#REF!</v>
      </c>
      <c r="S30" t="e">
        <f>AND('GA55 Entry'!#REF!,"AAAAAFeNnhI=")</f>
        <v>#REF!</v>
      </c>
      <c r="T30" t="e">
        <f>AND('GA55 Entry'!#REF!,"AAAAAFeNnhM=")</f>
        <v>#REF!</v>
      </c>
      <c r="U30" t="e">
        <f>AND('GA55 Entry'!#REF!,"AAAAAFeNnhQ=")</f>
        <v>#REF!</v>
      </c>
      <c r="V30" t="e">
        <f>AND('GA55 Entry'!#REF!,"AAAAAFeNnhU=")</f>
        <v>#REF!</v>
      </c>
      <c r="W30" t="e">
        <f>AND('GA55 Entry'!#REF!,"AAAAAFeNnhY=")</f>
        <v>#REF!</v>
      </c>
      <c r="X30" t="e">
        <f>AND('GA55 Entry'!#REF!,"AAAAAFeNnhc=")</f>
        <v>#REF!</v>
      </c>
      <c r="Y30" t="e">
        <f>AND('GA55 Entry'!#REF!,"AAAAAFeNnhg=")</f>
        <v>#REF!</v>
      </c>
      <c r="Z30" t="e">
        <f>AND('GA55 Entry'!#REF!,"AAAAAFeNnhk=")</f>
        <v>#REF!</v>
      </c>
      <c r="AA30" t="e">
        <f>AND('GA55 Entry'!#REF!,"AAAAAFeNnho=")</f>
        <v>#REF!</v>
      </c>
      <c r="AB30" t="e">
        <f>AND('GA55 Entry'!#REF!,"AAAAAFeNnhs=")</f>
        <v>#REF!</v>
      </c>
      <c r="AC30" t="e">
        <f>AND('GA55 Entry'!#REF!,"AAAAAFeNnhw=")</f>
        <v>#REF!</v>
      </c>
      <c r="AD30" t="e">
        <f>AND('GA55 Entry'!#REF!,"AAAAAFeNnh0=")</f>
        <v>#REF!</v>
      </c>
      <c r="AE30" t="e">
        <f>AND('GA55 Entry'!#REF!,"AAAAAFeNnh4=")</f>
        <v>#REF!</v>
      </c>
      <c r="AF30" t="e">
        <f>AND('GA55 Entry'!#REF!,"AAAAAFeNnh8=")</f>
        <v>#REF!</v>
      </c>
      <c r="AG30" t="e">
        <f>AND('GA55 Entry'!#REF!,"AAAAAFeNniA=")</f>
        <v>#REF!</v>
      </c>
      <c r="AH30" t="e">
        <f>AND('GA55 Entry'!#REF!,"AAAAAFeNniE=")</f>
        <v>#REF!</v>
      </c>
      <c r="AI30" t="e">
        <f>AND('GA55 Entry'!#REF!,"AAAAAFeNniI=")</f>
        <v>#REF!</v>
      </c>
      <c r="AJ30" t="e">
        <f>AND('GA55 Entry'!#REF!,"AAAAAFeNniM=")</f>
        <v>#REF!</v>
      </c>
      <c r="AK30" t="e">
        <f>AND('GA55 Entry'!#REF!,"AAAAAFeNniQ=")</f>
        <v>#REF!</v>
      </c>
      <c r="AL30" t="e">
        <f>AND('GA55 Entry'!#REF!,"AAAAAFeNniU=")</f>
        <v>#REF!</v>
      </c>
      <c r="AM30" t="e">
        <f>AND('GA55 Entry'!#REF!,"AAAAAFeNniY=")</f>
        <v>#REF!</v>
      </c>
      <c r="AN30" t="e">
        <f>AND('GA55 Entry'!#REF!,"AAAAAFeNnic=")</f>
        <v>#REF!</v>
      </c>
      <c r="AO30" t="e">
        <f>AND('GA55 Entry'!#REF!,"AAAAAFeNnig=")</f>
        <v>#REF!</v>
      </c>
      <c r="AP30" t="e">
        <f>AND('GA55 Entry'!#REF!,"AAAAAFeNnik=")</f>
        <v>#REF!</v>
      </c>
      <c r="AQ30" t="e">
        <f>AND('GA55 Entry'!#REF!,"AAAAAFeNnio=")</f>
        <v>#REF!</v>
      </c>
      <c r="AR30" t="e">
        <f>AND('GA55 Entry'!#REF!,"AAAAAFeNnis=")</f>
        <v>#REF!</v>
      </c>
      <c r="AS30" t="e">
        <f>AND('GA55 Entry'!#REF!,"AAAAAFeNniw=")</f>
        <v>#REF!</v>
      </c>
      <c r="AT30" t="e">
        <f>AND('GA55 Entry'!#REF!,"AAAAAFeNni0=")</f>
        <v>#REF!</v>
      </c>
      <c r="AU30" t="e">
        <f>AND('GA55 Entry'!#REF!,"AAAAAFeNni4=")</f>
        <v>#REF!</v>
      </c>
      <c r="AV30" t="e">
        <f>AND('GA55 Entry'!#REF!,"AAAAAFeNni8=")</f>
        <v>#REF!</v>
      </c>
      <c r="AW30" t="e">
        <f>AND('GA55 Entry'!#REF!,"AAAAAFeNnjA=")</f>
        <v>#REF!</v>
      </c>
      <c r="AX30" t="e">
        <f>AND('GA55 Entry'!#REF!,"AAAAAFeNnjE=")</f>
        <v>#REF!</v>
      </c>
      <c r="AY30" t="e">
        <f>AND('GA55 Entry'!#REF!,"AAAAAFeNnjI=")</f>
        <v>#REF!</v>
      </c>
      <c r="AZ30" t="e">
        <f>AND('GA55 Entry'!#REF!,"AAAAAFeNnjM=")</f>
        <v>#REF!</v>
      </c>
      <c r="BA30" t="e">
        <f>AND('GA55 Entry'!#REF!,"AAAAAFeNnjQ=")</f>
        <v>#REF!</v>
      </c>
      <c r="BB30" t="e">
        <f>AND('GA55 Entry'!#REF!,"AAAAAFeNnjU=")</f>
        <v>#REF!</v>
      </c>
      <c r="BC30" t="e">
        <f>AND('GA55 Entry'!#REF!,"AAAAAFeNnjY=")</f>
        <v>#REF!</v>
      </c>
      <c r="BD30" t="e">
        <f>AND('GA55 Entry'!#REF!,"AAAAAFeNnjc=")</f>
        <v>#REF!</v>
      </c>
      <c r="BE30" t="e">
        <f>AND('GA55 Entry'!#REF!,"AAAAAFeNnjg=")</f>
        <v>#REF!</v>
      </c>
      <c r="BF30" t="e">
        <f>AND('GA55 Entry'!#REF!,"AAAAAFeNnjk=")</f>
        <v>#REF!</v>
      </c>
      <c r="BG30" t="e">
        <f>AND('GA55 Entry'!#REF!,"AAAAAFeNnjo=")</f>
        <v>#REF!</v>
      </c>
      <c r="BH30" t="e">
        <f>AND('GA55 Entry'!#REF!,"AAAAAFeNnjs=")</f>
        <v>#REF!</v>
      </c>
      <c r="BI30" t="e">
        <f>AND('GA55 Entry'!#REF!,"AAAAAFeNnjw=")</f>
        <v>#REF!</v>
      </c>
      <c r="BJ30" t="e">
        <f>IF('GA55 Entry'!#REF!,"AAAAAFeNnj0=",0)</f>
        <v>#REF!</v>
      </c>
      <c r="BK30" t="e">
        <f>AND('GA55 Entry'!#REF!,"AAAAAFeNnj4=")</f>
        <v>#REF!</v>
      </c>
      <c r="BL30" t="e">
        <f>AND('GA55 Entry'!#REF!,"AAAAAFeNnj8=")</f>
        <v>#REF!</v>
      </c>
      <c r="BM30" t="e">
        <f>AND('GA55 Entry'!#REF!,"AAAAAFeNnkA=")</f>
        <v>#REF!</v>
      </c>
      <c r="BN30" t="e">
        <f>AND('GA55 Entry'!#REF!,"AAAAAFeNnkE=")</f>
        <v>#REF!</v>
      </c>
      <c r="BO30" t="e">
        <f>AND('GA55 Entry'!#REF!,"AAAAAFeNnkI=")</f>
        <v>#REF!</v>
      </c>
      <c r="BP30" t="e">
        <f>AND('GA55 Entry'!#REF!,"AAAAAFeNnkM=")</f>
        <v>#REF!</v>
      </c>
      <c r="BQ30" t="e">
        <f>AND('GA55 Entry'!#REF!,"AAAAAFeNnkQ=")</f>
        <v>#REF!</v>
      </c>
      <c r="BR30" t="e">
        <f>AND('GA55 Entry'!#REF!,"AAAAAFeNnkU=")</f>
        <v>#REF!</v>
      </c>
      <c r="BS30" t="e">
        <f>AND('GA55 Entry'!#REF!,"AAAAAFeNnkY=")</f>
        <v>#REF!</v>
      </c>
      <c r="BT30" t="e">
        <f>AND('GA55 Entry'!#REF!,"AAAAAFeNnkc=")</f>
        <v>#REF!</v>
      </c>
      <c r="BU30" t="e">
        <f>AND('GA55 Entry'!#REF!,"AAAAAFeNnkg=")</f>
        <v>#REF!</v>
      </c>
      <c r="BV30" t="e">
        <f>AND('GA55 Entry'!#REF!,"AAAAAFeNnkk=")</f>
        <v>#REF!</v>
      </c>
      <c r="BW30" t="e">
        <f>AND('GA55 Entry'!#REF!,"AAAAAFeNnko=")</f>
        <v>#REF!</v>
      </c>
      <c r="BX30" t="e">
        <f>AND('GA55 Entry'!#REF!,"AAAAAFeNnks=")</f>
        <v>#REF!</v>
      </c>
      <c r="BY30" t="e">
        <f>AND('GA55 Entry'!#REF!,"AAAAAFeNnkw=")</f>
        <v>#REF!</v>
      </c>
      <c r="BZ30" t="e">
        <f>AND('GA55 Entry'!#REF!,"AAAAAFeNnk0=")</f>
        <v>#REF!</v>
      </c>
      <c r="CA30" t="e">
        <f>AND('GA55 Entry'!#REF!,"AAAAAFeNnk4=")</f>
        <v>#REF!</v>
      </c>
      <c r="CB30" t="e">
        <f>AND('GA55 Entry'!#REF!,"AAAAAFeNnk8=")</f>
        <v>#REF!</v>
      </c>
      <c r="CC30" t="e">
        <f>AND('GA55 Entry'!#REF!,"AAAAAFeNnlA=")</f>
        <v>#REF!</v>
      </c>
      <c r="CD30" t="e">
        <f>AND('GA55 Entry'!#REF!,"AAAAAFeNnlE=")</f>
        <v>#REF!</v>
      </c>
      <c r="CE30" t="e">
        <f>AND('GA55 Entry'!#REF!,"AAAAAFeNnlI=")</f>
        <v>#REF!</v>
      </c>
      <c r="CF30" t="e">
        <f>AND('GA55 Entry'!#REF!,"AAAAAFeNnlM=")</f>
        <v>#REF!</v>
      </c>
      <c r="CG30" t="e">
        <f>AND('GA55 Entry'!#REF!,"AAAAAFeNnlQ=")</f>
        <v>#REF!</v>
      </c>
      <c r="CH30" t="e">
        <f>AND('GA55 Entry'!#REF!,"AAAAAFeNnlU=")</f>
        <v>#REF!</v>
      </c>
      <c r="CI30" t="e">
        <f>AND('GA55 Entry'!#REF!,"AAAAAFeNnlY=")</f>
        <v>#REF!</v>
      </c>
      <c r="CJ30" t="e">
        <f>AND('GA55 Entry'!#REF!,"AAAAAFeNnlc=")</f>
        <v>#REF!</v>
      </c>
      <c r="CK30" t="e">
        <f>AND('GA55 Entry'!#REF!,"AAAAAFeNnlg=")</f>
        <v>#REF!</v>
      </c>
      <c r="CL30" t="e">
        <f>AND('GA55 Entry'!#REF!,"AAAAAFeNnlk=")</f>
        <v>#REF!</v>
      </c>
      <c r="CM30" t="e">
        <f>AND('GA55 Entry'!#REF!,"AAAAAFeNnlo=")</f>
        <v>#REF!</v>
      </c>
      <c r="CN30" t="e">
        <f>AND('GA55 Entry'!#REF!,"AAAAAFeNnls=")</f>
        <v>#REF!</v>
      </c>
      <c r="CO30" t="e">
        <f>AND('GA55 Entry'!#REF!,"AAAAAFeNnlw=")</f>
        <v>#REF!</v>
      </c>
      <c r="CP30" t="e">
        <f>AND('GA55 Entry'!#REF!,"AAAAAFeNnl0=")</f>
        <v>#REF!</v>
      </c>
      <c r="CQ30" t="e">
        <f>AND('GA55 Entry'!#REF!,"AAAAAFeNnl4=")</f>
        <v>#REF!</v>
      </c>
      <c r="CR30" t="e">
        <f>AND('GA55 Entry'!#REF!,"AAAAAFeNnl8=")</f>
        <v>#REF!</v>
      </c>
      <c r="CS30" t="e">
        <f>AND('GA55 Entry'!#REF!,"AAAAAFeNnmA=")</f>
        <v>#REF!</v>
      </c>
      <c r="CT30" t="e">
        <f>AND('GA55 Entry'!#REF!,"AAAAAFeNnmE=")</f>
        <v>#REF!</v>
      </c>
      <c r="CU30" t="e">
        <f>AND('GA55 Entry'!#REF!,"AAAAAFeNnmI=")</f>
        <v>#REF!</v>
      </c>
      <c r="CV30" t="e">
        <f>AND('GA55 Entry'!#REF!,"AAAAAFeNnmM=")</f>
        <v>#REF!</v>
      </c>
      <c r="CW30" t="e">
        <f>AND('GA55 Entry'!#REF!,"AAAAAFeNnmQ=")</f>
        <v>#REF!</v>
      </c>
      <c r="CX30" t="e">
        <f>AND('GA55 Entry'!#REF!,"AAAAAFeNnmU=")</f>
        <v>#REF!</v>
      </c>
      <c r="CY30" t="e">
        <f>AND('GA55 Entry'!#REF!,"AAAAAFeNnmY=")</f>
        <v>#REF!</v>
      </c>
      <c r="CZ30" t="e">
        <f>AND('GA55 Entry'!#REF!,"AAAAAFeNnmc=")</f>
        <v>#REF!</v>
      </c>
      <c r="DA30" t="e">
        <f>AND('GA55 Entry'!#REF!,"AAAAAFeNnmg=")</f>
        <v>#REF!</v>
      </c>
      <c r="DB30" t="e">
        <f>AND('GA55 Entry'!#REF!,"AAAAAFeNnmk=")</f>
        <v>#REF!</v>
      </c>
      <c r="DC30" t="e">
        <f>AND('GA55 Entry'!#REF!,"AAAAAFeNnmo=")</f>
        <v>#REF!</v>
      </c>
      <c r="DD30" t="e">
        <f>AND('GA55 Entry'!#REF!,"AAAAAFeNnms=")</f>
        <v>#REF!</v>
      </c>
      <c r="DE30" t="e">
        <f>AND('GA55 Entry'!#REF!,"AAAAAFeNnmw=")</f>
        <v>#REF!</v>
      </c>
      <c r="DF30" t="e">
        <f>AND('GA55 Entry'!#REF!,"AAAAAFeNnm0=")</f>
        <v>#REF!</v>
      </c>
      <c r="DG30" t="e">
        <f>AND('GA55 Entry'!#REF!,"AAAAAFeNnm4=")</f>
        <v>#REF!</v>
      </c>
      <c r="DH30" t="e">
        <f>AND('GA55 Entry'!#REF!,"AAAAAFeNnm8=")</f>
        <v>#REF!</v>
      </c>
      <c r="DI30" t="e">
        <f>IF('GA55 Entry'!#REF!,"AAAAAFeNnnA=",0)</f>
        <v>#REF!</v>
      </c>
      <c r="DJ30" t="e">
        <f>AND('GA55 Entry'!#REF!,"AAAAAFeNnnE=")</f>
        <v>#REF!</v>
      </c>
      <c r="DK30" t="e">
        <f>AND('GA55 Entry'!#REF!,"AAAAAFeNnnI=")</f>
        <v>#REF!</v>
      </c>
      <c r="DL30" t="e">
        <f>AND('GA55 Entry'!#REF!,"AAAAAFeNnnM=")</f>
        <v>#REF!</v>
      </c>
      <c r="DM30" t="e">
        <f>AND('GA55 Entry'!#REF!,"AAAAAFeNnnQ=")</f>
        <v>#REF!</v>
      </c>
      <c r="DN30" t="e">
        <f>AND('GA55 Entry'!#REF!,"AAAAAFeNnnU=")</f>
        <v>#REF!</v>
      </c>
      <c r="DO30" t="e">
        <f>AND('GA55 Entry'!#REF!,"AAAAAFeNnnY=")</f>
        <v>#REF!</v>
      </c>
      <c r="DP30" t="e">
        <f>AND('GA55 Entry'!#REF!,"AAAAAFeNnnc=")</f>
        <v>#REF!</v>
      </c>
      <c r="DQ30" t="e">
        <f>AND('GA55 Entry'!#REF!,"AAAAAFeNnng=")</f>
        <v>#REF!</v>
      </c>
      <c r="DR30" t="e">
        <f>AND('GA55 Entry'!#REF!,"AAAAAFeNnnk=")</f>
        <v>#REF!</v>
      </c>
      <c r="DS30" t="e">
        <f>AND('GA55 Entry'!#REF!,"AAAAAFeNnno=")</f>
        <v>#REF!</v>
      </c>
      <c r="DT30" t="e">
        <f>AND('GA55 Entry'!#REF!,"AAAAAFeNnns=")</f>
        <v>#REF!</v>
      </c>
      <c r="DU30" t="e">
        <f>AND('GA55 Entry'!#REF!,"AAAAAFeNnnw=")</f>
        <v>#REF!</v>
      </c>
      <c r="DV30" t="e">
        <f>AND('GA55 Entry'!#REF!,"AAAAAFeNnn0=")</f>
        <v>#REF!</v>
      </c>
      <c r="DW30" t="e">
        <f>AND('GA55 Entry'!#REF!,"AAAAAFeNnn4=")</f>
        <v>#REF!</v>
      </c>
      <c r="DX30" t="e">
        <f>AND('GA55 Entry'!#REF!,"AAAAAFeNnn8=")</f>
        <v>#REF!</v>
      </c>
      <c r="DY30" t="e">
        <f>AND('GA55 Entry'!#REF!,"AAAAAFeNnoA=")</f>
        <v>#REF!</v>
      </c>
      <c r="DZ30" t="e">
        <f>AND('GA55 Entry'!#REF!,"AAAAAFeNnoE=")</f>
        <v>#REF!</v>
      </c>
      <c r="EA30" t="e">
        <f>AND('GA55 Entry'!#REF!,"AAAAAFeNnoI=")</f>
        <v>#REF!</v>
      </c>
      <c r="EB30" t="e">
        <f>AND('GA55 Entry'!#REF!,"AAAAAFeNnoM=")</f>
        <v>#REF!</v>
      </c>
      <c r="EC30" t="e">
        <f>AND('GA55 Entry'!#REF!,"AAAAAFeNnoQ=")</f>
        <v>#REF!</v>
      </c>
      <c r="ED30" t="e">
        <f>AND('GA55 Entry'!#REF!,"AAAAAFeNnoU=")</f>
        <v>#REF!</v>
      </c>
      <c r="EE30" t="e">
        <f>AND('GA55 Entry'!#REF!,"AAAAAFeNnoY=")</f>
        <v>#REF!</v>
      </c>
      <c r="EF30" t="e">
        <f>AND('GA55 Entry'!#REF!,"AAAAAFeNnoc=")</f>
        <v>#REF!</v>
      </c>
      <c r="EG30" t="e">
        <f>AND('GA55 Entry'!#REF!,"AAAAAFeNnog=")</f>
        <v>#REF!</v>
      </c>
      <c r="EH30" t="e">
        <f>AND('GA55 Entry'!#REF!,"AAAAAFeNnok=")</f>
        <v>#REF!</v>
      </c>
      <c r="EI30" t="e">
        <f>AND('GA55 Entry'!#REF!,"AAAAAFeNnoo=")</f>
        <v>#REF!</v>
      </c>
      <c r="EJ30" t="e">
        <f>AND('GA55 Entry'!#REF!,"AAAAAFeNnos=")</f>
        <v>#REF!</v>
      </c>
      <c r="EK30" t="e">
        <f>AND('GA55 Entry'!#REF!,"AAAAAFeNnow=")</f>
        <v>#REF!</v>
      </c>
      <c r="EL30" t="e">
        <f>AND('GA55 Entry'!#REF!,"AAAAAFeNno0=")</f>
        <v>#REF!</v>
      </c>
      <c r="EM30" t="e">
        <f>AND('GA55 Entry'!#REF!,"AAAAAFeNno4=")</f>
        <v>#REF!</v>
      </c>
      <c r="EN30" t="e">
        <f>AND('GA55 Entry'!#REF!,"AAAAAFeNno8=")</f>
        <v>#REF!</v>
      </c>
      <c r="EO30" t="e">
        <f>AND('GA55 Entry'!#REF!,"AAAAAFeNnpA=")</f>
        <v>#REF!</v>
      </c>
      <c r="EP30" t="e">
        <f>AND('GA55 Entry'!#REF!,"AAAAAFeNnpE=")</f>
        <v>#REF!</v>
      </c>
      <c r="EQ30" t="e">
        <f>AND('GA55 Entry'!#REF!,"AAAAAFeNnpI=")</f>
        <v>#REF!</v>
      </c>
      <c r="ER30" t="e">
        <f>AND('GA55 Entry'!#REF!,"AAAAAFeNnpM=")</f>
        <v>#REF!</v>
      </c>
      <c r="ES30" t="e">
        <f>AND('GA55 Entry'!#REF!,"AAAAAFeNnpQ=")</f>
        <v>#REF!</v>
      </c>
      <c r="ET30" t="e">
        <f>AND('GA55 Entry'!#REF!,"AAAAAFeNnpU=")</f>
        <v>#REF!</v>
      </c>
      <c r="EU30" t="e">
        <f>AND('GA55 Entry'!#REF!,"AAAAAFeNnpY=")</f>
        <v>#REF!</v>
      </c>
      <c r="EV30" t="e">
        <f>AND('GA55 Entry'!#REF!,"AAAAAFeNnpc=")</f>
        <v>#REF!</v>
      </c>
      <c r="EW30" t="e">
        <f>AND('GA55 Entry'!#REF!,"AAAAAFeNnpg=")</f>
        <v>#REF!</v>
      </c>
      <c r="EX30" t="e">
        <f>AND('GA55 Entry'!#REF!,"AAAAAFeNnpk=")</f>
        <v>#REF!</v>
      </c>
      <c r="EY30" t="e">
        <f>AND('GA55 Entry'!#REF!,"AAAAAFeNnpo=")</f>
        <v>#REF!</v>
      </c>
      <c r="EZ30" t="e">
        <f>AND('GA55 Entry'!#REF!,"AAAAAFeNnps=")</f>
        <v>#REF!</v>
      </c>
      <c r="FA30" t="e">
        <f>AND('GA55 Entry'!#REF!,"AAAAAFeNnpw=")</f>
        <v>#REF!</v>
      </c>
      <c r="FB30" t="e">
        <f>AND('GA55 Entry'!#REF!,"AAAAAFeNnp0=")</f>
        <v>#REF!</v>
      </c>
      <c r="FC30" t="e">
        <f>AND('GA55 Entry'!#REF!,"AAAAAFeNnp4=")</f>
        <v>#REF!</v>
      </c>
      <c r="FD30" t="e">
        <f>AND('GA55 Entry'!#REF!,"AAAAAFeNnp8=")</f>
        <v>#REF!</v>
      </c>
      <c r="FE30" t="e">
        <f>AND('GA55 Entry'!#REF!,"AAAAAFeNnqA=")</f>
        <v>#REF!</v>
      </c>
      <c r="FF30" t="e">
        <f>AND('GA55 Entry'!#REF!,"AAAAAFeNnqE=")</f>
        <v>#REF!</v>
      </c>
      <c r="FG30" t="e">
        <f>AND('GA55 Entry'!#REF!,"AAAAAFeNnqI=")</f>
        <v>#REF!</v>
      </c>
      <c r="FH30" t="e">
        <f>IF('GA55 Entry'!#REF!,"AAAAAFeNnqM=",0)</f>
        <v>#REF!</v>
      </c>
      <c r="FI30" t="e">
        <f>AND('GA55 Entry'!#REF!,"AAAAAFeNnqQ=")</f>
        <v>#REF!</v>
      </c>
      <c r="FJ30" t="e">
        <f>AND('GA55 Entry'!#REF!,"AAAAAFeNnqU=")</f>
        <v>#REF!</v>
      </c>
      <c r="FK30" t="e">
        <f>AND('GA55 Entry'!#REF!,"AAAAAFeNnqY=")</f>
        <v>#REF!</v>
      </c>
      <c r="FL30" t="e">
        <f>AND('GA55 Entry'!#REF!,"AAAAAFeNnqc=")</f>
        <v>#REF!</v>
      </c>
      <c r="FM30" t="e">
        <f>AND('GA55 Entry'!#REF!,"AAAAAFeNnqg=")</f>
        <v>#REF!</v>
      </c>
      <c r="FN30" t="e">
        <f>AND('GA55 Entry'!#REF!,"AAAAAFeNnqk=")</f>
        <v>#REF!</v>
      </c>
      <c r="FO30" t="e">
        <f>AND('GA55 Entry'!#REF!,"AAAAAFeNnqo=")</f>
        <v>#REF!</v>
      </c>
      <c r="FP30" t="e">
        <f>AND('GA55 Entry'!#REF!,"AAAAAFeNnqs=")</f>
        <v>#REF!</v>
      </c>
      <c r="FQ30" t="e">
        <f>AND('GA55 Entry'!#REF!,"AAAAAFeNnqw=")</f>
        <v>#REF!</v>
      </c>
      <c r="FR30" t="e">
        <f>AND('GA55 Entry'!#REF!,"AAAAAFeNnq0=")</f>
        <v>#REF!</v>
      </c>
      <c r="FS30" t="e">
        <f>AND('GA55 Entry'!#REF!,"AAAAAFeNnq4=")</f>
        <v>#REF!</v>
      </c>
      <c r="FT30" t="e">
        <f>AND('GA55 Entry'!#REF!,"AAAAAFeNnq8=")</f>
        <v>#REF!</v>
      </c>
      <c r="FU30" t="e">
        <f>AND('GA55 Entry'!#REF!,"AAAAAFeNnrA=")</f>
        <v>#REF!</v>
      </c>
      <c r="FV30" t="e">
        <f>AND('GA55 Entry'!#REF!,"AAAAAFeNnrE=")</f>
        <v>#REF!</v>
      </c>
      <c r="FW30" t="e">
        <f>AND('GA55 Entry'!#REF!,"AAAAAFeNnrI=")</f>
        <v>#REF!</v>
      </c>
      <c r="FX30" t="e">
        <f>AND('GA55 Entry'!#REF!,"AAAAAFeNnrM=")</f>
        <v>#REF!</v>
      </c>
      <c r="FY30" t="e">
        <f>AND('GA55 Entry'!#REF!,"AAAAAFeNnrQ=")</f>
        <v>#REF!</v>
      </c>
      <c r="FZ30" t="e">
        <f>AND('GA55 Entry'!#REF!,"AAAAAFeNnrU=")</f>
        <v>#REF!</v>
      </c>
      <c r="GA30" t="e">
        <f>AND('GA55 Entry'!#REF!,"AAAAAFeNnrY=")</f>
        <v>#REF!</v>
      </c>
      <c r="GB30" t="e">
        <f>AND('GA55 Entry'!#REF!,"AAAAAFeNnrc=")</f>
        <v>#REF!</v>
      </c>
      <c r="GC30" t="e">
        <f>AND('GA55 Entry'!#REF!,"AAAAAFeNnrg=")</f>
        <v>#REF!</v>
      </c>
      <c r="GD30" t="e">
        <f>AND('GA55 Entry'!#REF!,"AAAAAFeNnrk=")</f>
        <v>#REF!</v>
      </c>
      <c r="GE30" t="e">
        <f>AND('GA55 Entry'!#REF!,"AAAAAFeNnro=")</f>
        <v>#REF!</v>
      </c>
      <c r="GF30" t="e">
        <f>AND('GA55 Entry'!#REF!,"AAAAAFeNnrs=")</f>
        <v>#REF!</v>
      </c>
      <c r="GG30" t="e">
        <f>AND('GA55 Entry'!#REF!,"AAAAAFeNnrw=")</f>
        <v>#REF!</v>
      </c>
      <c r="GH30" t="e">
        <f>AND('GA55 Entry'!#REF!,"AAAAAFeNnr0=")</f>
        <v>#REF!</v>
      </c>
      <c r="GI30" t="e">
        <f>AND('GA55 Entry'!#REF!,"AAAAAFeNnr4=")</f>
        <v>#REF!</v>
      </c>
      <c r="GJ30" t="e">
        <f>AND('GA55 Entry'!#REF!,"AAAAAFeNnr8=")</f>
        <v>#REF!</v>
      </c>
      <c r="GK30" t="e">
        <f>AND('GA55 Entry'!#REF!,"AAAAAFeNnsA=")</f>
        <v>#REF!</v>
      </c>
      <c r="GL30" t="e">
        <f>AND('GA55 Entry'!#REF!,"AAAAAFeNnsE=")</f>
        <v>#REF!</v>
      </c>
      <c r="GM30" t="e">
        <f>AND('GA55 Entry'!#REF!,"AAAAAFeNnsI=")</f>
        <v>#REF!</v>
      </c>
      <c r="GN30" t="e">
        <f>AND('GA55 Entry'!#REF!,"AAAAAFeNnsM=")</f>
        <v>#REF!</v>
      </c>
      <c r="GO30" t="e">
        <f>AND('GA55 Entry'!#REF!,"AAAAAFeNnsQ=")</f>
        <v>#REF!</v>
      </c>
      <c r="GP30" t="e">
        <f>AND('GA55 Entry'!#REF!,"AAAAAFeNnsU=")</f>
        <v>#REF!</v>
      </c>
      <c r="GQ30" t="e">
        <f>AND('GA55 Entry'!#REF!,"AAAAAFeNnsY=")</f>
        <v>#REF!</v>
      </c>
      <c r="GR30" t="e">
        <f>AND('GA55 Entry'!#REF!,"AAAAAFeNnsc=")</f>
        <v>#REF!</v>
      </c>
      <c r="GS30" t="e">
        <f>AND('GA55 Entry'!#REF!,"AAAAAFeNnsg=")</f>
        <v>#REF!</v>
      </c>
      <c r="GT30" t="e">
        <f>AND('GA55 Entry'!#REF!,"AAAAAFeNnsk=")</f>
        <v>#REF!</v>
      </c>
      <c r="GU30" t="e">
        <f>AND('GA55 Entry'!#REF!,"AAAAAFeNnso=")</f>
        <v>#REF!</v>
      </c>
      <c r="GV30" t="e">
        <f>AND('GA55 Entry'!#REF!,"AAAAAFeNnss=")</f>
        <v>#REF!</v>
      </c>
      <c r="GW30" t="e">
        <f>AND('GA55 Entry'!#REF!,"AAAAAFeNnsw=")</f>
        <v>#REF!</v>
      </c>
      <c r="GX30" t="e">
        <f>AND('GA55 Entry'!#REF!,"AAAAAFeNns0=")</f>
        <v>#REF!</v>
      </c>
      <c r="GY30" t="e">
        <f>AND('GA55 Entry'!#REF!,"AAAAAFeNns4=")</f>
        <v>#REF!</v>
      </c>
      <c r="GZ30" t="e">
        <f>AND('GA55 Entry'!#REF!,"AAAAAFeNns8=")</f>
        <v>#REF!</v>
      </c>
      <c r="HA30" t="e">
        <f>AND('GA55 Entry'!#REF!,"AAAAAFeNntA=")</f>
        <v>#REF!</v>
      </c>
      <c r="HB30" t="e">
        <f>AND('GA55 Entry'!#REF!,"AAAAAFeNntE=")</f>
        <v>#REF!</v>
      </c>
      <c r="HC30" t="e">
        <f>AND('GA55 Entry'!#REF!,"AAAAAFeNntI=")</f>
        <v>#REF!</v>
      </c>
      <c r="HD30" t="e">
        <f>AND('GA55 Entry'!#REF!,"AAAAAFeNntM=")</f>
        <v>#REF!</v>
      </c>
      <c r="HE30" t="e">
        <f>AND('GA55 Entry'!#REF!,"AAAAAFeNntQ=")</f>
        <v>#REF!</v>
      </c>
      <c r="HF30" t="e">
        <f>AND('GA55 Entry'!#REF!,"AAAAAFeNntU=")</f>
        <v>#REF!</v>
      </c>
      <c r="HG30" t="e">
        <f>IF('GA55 Entry'!#REF!,"AAAAAFeNntY=",0)</f>
        <v>#REF!</v>
      </c>
      <c r="HH30" t="e">
        <f>AND('GA55 Entry'!#REF!,"AAAAAFeNntc=")</f>
        <v>#REF!</v>
      </c>
      <c r="HI30" t="e">
        <f>AND('GA55 Entry'!#REF!,"AAAAAFeNntg=")</f>
        <v>#REF!</v>
      </c>
      <c r="HJ30" t="e">
        <f>AND('GA55 Entry'!#REF!,"AAAAAFeNntk=")</f>
        <v>#REF!</v>
      </c>
      <c r="HK30" t="e">
        <f>AND('GA55 Entry'!#REF!,"AAAAAFeNnto=")</f>
        <v>#REF!</v>
      </c>
      <c r="HL30" t="e">
        <f>AND('GA55 Entry'!#REF!,"AAAAAFeNnts=")</f>
        <v>#REF!</v>
      </c>
      <c r="HM30" t="e">
        <f>AND('GA55 Entry'!#REF!,"AAAAAFeNntw=")</f>
        <v>#REF!</v>
      </c>
      <c r="HN30" t="e">
        <f>AND('GA55 Entry'!#REF!,"AAAAAFeNnt0=")</f>
        <v>#REF!</v>
      </c>
      <c r="HO30" t="e">
        <f>AND('GA55 Entry'!#REF!,"AAAAAFeNnt4=")</f>
        <v>#REF!</v>
      </c>
      <c r="HP30" t="e">
        <f>AND('GA55 Entry'!#REF!,"AAAAAFeNnt8=")</f>
        <v>#REF!</v>
      </c>
      <c r="HQ30" t="e">
        <f>AND('GA55 Entry'!#REF!,"AAAAAFeNnuA=")</f>
        <v>#REF!</v>
      </c>
      <c r="HR30" t="e">
        <f>AND('GA55 Entry'!#REF!,"AAAAAFeNnuE=")</f>
        <v>#REF!</v>
      </c>
      <c r="HS30" t="e">
        <f>AND('GA55 Entry'!#REF!,"AAAAAFeNnuI=")</f>
        <v>#REF!</v>
      </c>
      <c r="HT30" t="e">
        <f>AND('GA55 Entry'!#REF!,"AAAAAFeNnuM=")</f>
        <v>#REF!</v>
      </c>
      <c r="HU30" t="e">
        <f>AND('GA55 Entry'!#REF!,"AAAAAFeNnuQ=")</f>
        <v>#REF!</v>
      </c>
      <c r="HV30" t="e">
        <f>AND('GA55 Entry'!#REF!,"AAAAAFeNnuU=")</f>
        <v>#REF!</v>
      </c>
      <c r="HW30" t="e">
        <f>AND('GA55 Entry'!#REF!,"AAAAAFeNnuY=")</f>
        <v>#REF!</v>
      </c>
      <c r="HX30" t="e">
        <f>AND('GA55 Entry'!#REF!,"AAAAAFeNnuc=")</f>
        <v>#REF!</v>
      </c>
      <c r="HY30" t="e">
        <f>AND('GA55 Entry'!#REF!,"AAAAAFeNnug=")</f>
        <v>#REF!</v>
      </c>
      <c r="HZ30" t="e">
        <f>AND('GA55 Entry'!#REF!,"AAAAAFeNnuk=")</f>
        <v>#REF!</v>
      </c>
      <c r="IA30" t="e">
        <f>AND('GA55 Entry'!#REF!,"AAAAAFeNnuo=")</f>
        <v>#REF!</v>
      </c>
      <c r="IB30" t="e">
        <f>AND('GA55 Entry'!#REF!,"AAAAAFeNnus=")</f>
        <v>#REF!</v>
      </c>
      <c r="IC30" t="e">
        <f>AND('GA55 Entry'!#REF!,"AAAAAFeNnuw=")</f>
        <v>#REF!</v>
      </c>
      <c r="ID30" t="e">
        <f>AND('GA55 Entry'!#REF!,"AAAAAFeNnu0=")</f>
        <v>#REF!</v>
      </c>
      <c r="IE30" t="e">
        <f>AND('GA55 Entry'!#REF!,"AAAAAFeNnu4=")</f>
        <v>#REF!</v>
      </c>
      <c r="IF30" t="e">
        <f>AND('GA55 Entry'!#REF!,"AAAAAFeNnu8=")</f>
        <v>#REF!</v>
      </c>
      <c r="IG30" t="e">
        <f>AND('GA55 Entry'!#REF!,"AAAAAFeNnvA=")</f>
        <v>#REF!</v>
      </c>
      <c r="IH30" t="e">
        <f>AND('GA55 Entry'!#REF!,"AAAAAFeNnvE=")</f>
        <v>#REF!</v>
      </c>
      <c r="II30" t="e">
        <f>AND('GA55 Entry'!#REF!,"AAAAAFeNnvI=")</f>
        <v>#REF!</v>
      </c>
      <c r="IJ30" t="e">
        <f>AND('GA55 Entry'!#REF!,"AAAAAFeNnvM=")</f>
        <v>#REF!</v>
      </c>
      <c r="IK30" t="e">
        <f>AND('GA55 Entry'!#REF!,"AAAAAFeNnvQ=")</f>
        <v>#REF!</v>
      </c>
      <c r="IL30" t="e">
        <f>AND('GA55 Entry'!#REF!,"AAAAAFeNnvU=")</f>
        <v>#REF!</v>
      </c>
      <c r="IM30" t="e">
        <f>AND('GA55 Entry'!#REF!,"AAAAAFeNnvY=")</f>
        <v>#REF!</v>
      </c>
      <c r="IN30" t="e">
        <f>AND('GA55 Entry'!#REF!,"AAAAAFeNnvc=")</f>
        <v>#REF!</v>
      </c>
      <c r="IO30" t="e">
        <f>AND('GA55 Entry'!#REF!,"AAAAAFeNnvg=")</f>
        <v>#REF!</v>
      </c>
      <c r="IP30" t="e">
        <f>AND('GA55 Entry'!#REF!,"AAAAAFeNnvk=")</f>
        <v>#REF!</v>
      </c>
      <c r="IQ30" t="e">
        <f>AND('GA55 Entry'!#REF!,"AAAAAFeNnvo=")</f>
        <v>#REF!</v>
      </c>
      <c r="IR30" t="e">
        <f>AND('GA55 Entry'!#REF!,"AAAAAFeNnvs=")</f>
        <v>#REF!</v>
      </c>
      <c r="IS30" t="e">
        <f>AND('GA55 Entry'!#REF!,"AAAAAFeNnvw=")</f>
        <v>#REF!</v>
      </c>
      <c r="IT30" t="e">
        <f>AND('GA55 Entry'!#REF!,"AAAAAFeNnv0=")</f>
        <v>#REF!</v>
      </c>
      <c r="IU30" t="e">
        <f>AND('GA55 Entry'!#REF!,"AAAAAFeNnv4=")</f>
        <v>#REF!</v>
      </c>
      <c r="IV30" t="e">
        <f>AND('GA55 Entry'!#REF!,"AAAAAFeNnv8=")</f>
        <v>#REF!</v>
      </c>
    </row>
    <row r="31" spans="1:256">
      <c r="A31" t="e">
        <f>AND('GA55 Entry'!#REF!,"AAAAAH7d6wA=")</f>
        <v>#REF!</v>
      </c>
      <c r="B31" t="e">
        <f>AND('GA55 Entry'!#REF!,"AAAAAH7d6wE=")</f>
        <v>#REF!</v>
      </c>
      <c r="C31" t="e">
        <f>AND('GA55 Entry'!#REF!,"AAAAAH7d6wI=")</f>
        <v>#REF!</v>
      </c>
      <c r="D31" t="e">
        <f>AND('GA55 Entry'!#REF!,"AAAAAH7d6wM=")</f>
        <v>#REF!</v>
      </c>
      <c r="E31" t="e">
        <f>AND('GA55 Entry'!#REF!,"AAAAAH7d6wQ=")</f>
        <v>#REF!</v>
      </c>
      <c r="F31" t="e">
        <f>AND('GA55 Entry'!#REF!,"AAAAAH7d6wU=")</f>
        <v>#REF!</v>
      </c>
      <c r="G31" t="e">
        <f>AND('GA55 Entry'!#REF!,"AAAAAH7d6wY=")</f>
        <v>#REF!</v>
      </c>
      <c r="H31" t="e">
        <f>AND('GA55 Entry'!#REF!,"AAAAAH7d6wc=")</f>
        <v>#REF!</v>
      </c>
      <c r="I31" t="e">
        <f>AND('GA55 Entry'!#REF!,"AAAAAH7d6wg=")</f>
        <v>#REF!</v>
      </c>
      <c r="J31" t="e">
        <f>IF('GA55 Entry'!#REF!,"AAAAAH7d6wk=",0)</f>
        <v>#REF!</v>
      </c>
      <c r="K31" t="e">
        <f>AND('GA55 Entry'!#REF!,"AAAAAH7d6wo=")</f>
        <v>#REF!</v>
      </c>
      <c r="L31" t="e">
        <f>AND('GA55 Entry'!#REF!,"AAAAAH7d6ws=")</f>
        <v>#REF!</v>
      </c>
      <c r="M31" t="e">
        <f>AND('GA55 Entry'!#REF!,"AAAAAH7d6ww=")</f>
        <v>#REF!</v>
      </c>
      <c r="N31" t="e">
        <f>AND('GA55 Entry'!#REF!,"AAAAAH7d6w0=")</f>
        <v>#REF!</v>
      </c>
      <c r="O31" t="e">
        <f>AND('GA55 Entry'!#REF!,"AAAAAH7d6w4=")</f>
        <v>#REF!</v>
      </c>
      <c r="P31" t="e">
        <f>AND('GA55 Entry'!#REF!,"AAAAAH7d6w8=")</f>
        <v>#REF!</v>
      </c>
      <c r="Q31" t="e">
        <f>AND('GA55 Entry'!#REF!,"AAAAAH7d6xA=")</f>
        <v>#REF!</v>
      </c>
      <c r="R31" t="e">
        <f>AND('GA55 Entry'!#REF!,"AAAAAH7d6xE=")</f>
        <v>#REF!</v>
      </c>
      <c r="S31" t="e">
        <f>AND('GA55 Entry'!#REF!,"AAAAAH7d6xI=")</f>
        <v>#REF!</v>
      </c>
      <c r="T31" t="e">
        <f>AND('GA55 Entry'!#REF!,"AAAAAH7d6xM=")</f>
        <v>#REF!</v>
      </c>
      <c r="U31" t="e">
        <f>AND('GA55 Entry'!#REF!,"AAAAAH7d6xQ=")</f>
        <v>#REF!</v>
      </c>
      <c r="V31" t="e">
        <f>AND('GA55 Entry'!#REF!,"AAAAAH7d6xU=")</f>
        <v>#REF!</v>
      </c>
      <c r="W31" t="e">
        <f>AND('GA55 Entry'!#REF!,"AAAAAH7d6xY=")</f>
        <v>#REF!</v>
      </c>
      <c r="X31" t="e">
        <f>AND('GA55 Entry'!#REF!,"AAAAAH7d6xc=")</f>
        <v>#REF!</v>
      </c>
      <c r="Y31" t="e">
        <f>AND('GA55 Entry'!#REF!,"AAAAAH7d6xg=")</f>
        <v>#REF!</v>
      </c>
      <c r="Z31" t="e">
        <f>AND('GA55 Entry'!#REF!,"AAAAAH7d6xk=")</f>
        <v>#REF!</v>
      </c>
      <c r="AA31" t="e">
        <f>AND('GA55 Entry'!#REF!,"AAAAAH7d6xo=")</f>
        <v>#REF!</v>
      </c>
      <c r="AB31" t="e">
        <f>AND('GA55 Entry'!#REF!,"AAAAAH7d6xs=")</f>
        <v>#REF!</v>
      </c>
      <c r="AC31" t="e">
        <f>AND('GA55 Entry'!#REF!,"AAAAAH7d6xw=")</f>
        <v>#REF!</v>
      </c>
      <c r="AD31" t="e">
        <f>AND('GA55 Entry'!#REF!,"AAAAAH7d6x0=")</f>
        <v>#REF!</v>
      </c>
      <c r="AE31" t="e">
        <f>AND('GA55 Entry'!#REF!,"AAAAAH7d6x4=")</f>
        <v>#REF!</v>
      </c>
      <c r="AF31" t="e">
        <f>AND('GA55 Entry'!#REF!,"AAAAAH7d6x8=")</f>
        <v>#REF!</v>
      </c>
      <c r="AG31" t="e">
        <f>AND('GA55 Entry'!#REF!,"AAAAAH7d6yA=")</f>
        <v>#REF!</v>
      </c>
      <c r="AH31" t="e">
        <f>AND('GA55 Entry'!#REF!,"AAAAAH7d6yE=")</f>
        <v>#REF!</v>
      </c>
      <c r="AI31" t="e">
        <f>AND('GA55 Entry'!#REF!,"AAAAAH7d6yI=")</f>
        <v>#REF!</v>
      </c>
      <c r="AJ31" t="e">
        <f>AND('GA55 Entry'!#REF!,"AAAAAH7d6yM=")</f>
        <v>#REF!</v>
      </c>
      <c r="AK31" t="e">
        <f>AND('GA55 Entry'!#REF!,"AAAAAH7d6yQ=")</f>
        <v>#REF!</v>
      </c>
      <c r="AL31" t="e">
        <f>AND('GA55 Entry'!#REF!,"AAAAAH7d6yU=")</f>
        <v>#REF!</v>
      </c>
      <c r="AM31" t="e">
        <f>AND('GA55 Entry'!#REF!,"AAAAAH7d6yY=")</f>
        <v>#REF!</v>
      </c>
      <c r="AN31" t="e">
        <f>AND('GA55 Entry'!#REF!,"AAAAAH7d6yc=")</f>
        <v>#REF!</v>
      </c>
      <c r="AO31" t="e">
        <f>AND('GA55 Entry'!#REF!,"AAAAAH7d6yg=")</f>
        <v>#REF!</v>
      </c>
      <c r="AP31" t="e">
        <f>AND('GA55 Entry'!#REF!,"AAAAAH7d6yk=")</f>
        <v>#REF!</v>
      </c>
      <c r="AQ31" t="e">
        <f>AND('GA55 Entry'!#REF!,"AAAAAH7d6yo=")</f>
        <v>#REF!</v>
      </c>
      <c r="AR31" t="e">
        <f>AND('GA55 Entry'!#REF!,"AAAAAH7d6ys=")</f>
        <v>#REF!</v>
      </c>
      <c r="AS31" t="e">
        <f>AND('GA55 Entry'!#REF!,"AAAAAH7d6yw=")</f>
        <v>#REF!</v>
      </c>
      <c r="AT31" t="e">
        <f>AND('GA55 Entry'!#REF!,"AAAAAH7d6y0=")</f>
        <v>#REF!</v>
      </c>
      <c r="AU31" t="e">
        <f>AND('GA55 Entry'!#REF!,"AAAAAH7d6y4=")</f>
        <v>#REF!</v>
      </c>
      <c r="AV31" t="e">
        <f>AND('GA55 Entry'!#REF!,"AAAAAH7d6y8=")</f>
        <v>#REF!</v>
      </c>
      <c r="AW31" t="e">
        <f>AND('GA55 Entry'!#REF!,"AAAAAH7d6zA=")</f>
        <v>#REF!</v>
      </c>
      <c r="AX31" t="e">
        <f>AND('GA55 Entry'!#REF!,"AAAAAH7d6zE=")</f>
        <v>#REF!</v>
      </c>
      <c r="AY31" t="e">
        <f>AND('GA55 Entry'!#REF!,"AAAAAH7d6zI=")</f>
        <v>#REF!</v>
      </c>
      <c r="AZ31" t="e">
        <f>AND('GA55 Entry'!#REF!,"AAAAAH7d6zM=")</f>
        <v>#REF!</v>
      </c>
      <c r="BA31" t="e">
        <f>AND('GA55 Entry'!#REF!,"AAAAAH7d6zQ=")</f>
        <v>#REF!</v>
      </c>
      <c r="BB31" t="e">
        <f>AND('GA55 Entry'!#REF!,"AAAAAH7d6zU=")</f>
        <v>#REF!</v>
      </c>
      <c r="BC31" t="e">
        <f>AND('GA55 Entry'!#REF!,"AAAAAH7d6zY=")</f>
        <v>#REF!</v>
      </c>
      <c r="BD31" t="e">
        <f>AND('GA55 Entry'!#REF!,"AAAAAH7d6zc=")</f>
        <v>#REF!</v>
      </c>
      <c r="BE31" t="e">
        <f>AND('GA55 Entry'!#REF!,"AAAAAH7d6zg=")</f>
        <v>#REF!</v>
      </c>
      <c r="BF31" t="e">
        <f>AND('GA55 Entry'!#REF!,"AAAAAH7d6zk=")</f>
        <v>#REF!</v>
      </c>
      <c r="BG31" t="e">
        <f>AND('GA55 Entry'!#REF!,"AAAAAH7d6zo=")</f>
        <v>#REF!</v>
      </c>
      <c r="BH31" t="e">
        <f>AND('GA55 Entry'!#REF!,"AAAAAH7d6zs=")</f>
        <v>#REF!</v>
      </c>
      <c r="BI31" t="e">
        <f>IF('GA55 Entry'!#REF!,"AAAAAH7d6zw=",0)</f>
        <v>#REF!</v>
      </c>
      <c r="BJ31" t="e">
        <f>AND('GA55 Entry'!#REF!,"AAAAAH7d6z0=")</f>
        <v>#REF!</v>
      </c>
      <c r="BK31" t="e">
        <f>AND('GA55 Entry'!#REF!,"AAAAAH7d6z4=")</f>
        <v>#REF!</v>
      </c>
      <c r="BL31" t="e">
        <f>AND('GA55 Entry'!#REF!,"AAAAAH7d6z8=")</f>
        <v>#REF!</v>
      </c>
      <c r="BM31" t="e">
        <f>AND('GA55 Entry'!#REF!,"AAAAAH7d60A=")</f>
        <v>#REF!</v>
      </c>
      <c r="BN31" t="e">
        <f>AND('GA55 Entry'!#REF!,"AAAAAH7d60E=")</f>
        <v>#REF!</v>
      </c>
      <c r="BO31" t="e">
        <f>AND('GA55 Entry'!#REF!,"AAAAAH7d60I=")</f>
        <v>#REF!</v>
      </c>
      <c r="BP31" t="e">
        <f>AND('GA55 Entry'!#REF!,"AAAAAH7d60M=")</f>
        <v>#REF!</v>
      </c>
      <c r="BQ31" t="e">
        <f>AND('GA55 Entry'!#REF!,"AAAAAH7d60Q=")</f>
        <v>#REF!</v>
      </c>
      <c r="BR31" t="e">
        <f>AND('GA55 Entry'!#REF!,"AAAAAH7d60U=")</f>
        <v>#REF!</v>
      </c>
      <c r="BS31" t="e">
        <f>AND('GA55 Entry'!#REF!,"AAAAAH7d60Y=")</f>
        <v>#REF!</v>
      </c>
      <c r="BT31" t="e">
        <f>AND('GA55 Entry'!#REF!,"AAAAAH7d60c=")</f>
        <v>#REF!</v>
      </c>
      <c r="BU31" t="e">
        <f>AND('GA55 Entry'!#REF!,"AAAAAH7d60g=")</f>
        <v>#REF!</v>
      </c>
      <c r="BV31" t="e">
        <f>AND('GA55 Entry'!#REF!,"AAAAAH7d60k=")</f>
        <v>#REF!</v>
      </c>
      <c r="BW31" t="e">
        <f>AND('GA55 Entry'!#REF!,"AAAAAH7d60o=")</f>
        <v>#REF!</v>
      </c>
      <c r="BX31" t="e">
        <f>AND('GA55 Entry'!#REF!,"AAAAAH7d60s=")</f>
        <v>#REF!</v>
      </c>
      <c r="BY31" t="e">
        <f>AND('GA55 Entry'!#REF!,"AAAAAH7d60w=")</f>
        <v>#REF!</v>
      </c>
      <c r="BZ31" t="e">
        <f>AND('GA55 Entry'!#REF!,"AAAAAH7d600=")</f>
        <v>#REF!</v>
      </c>
      <c r="CA31" t="e">
        <f>AND('GA55 Entry'!#REF!,"AAAAAH7d604=")</f>
        <v>#REF!</v>
      </c>
      <c r="CB31" t="e">
        <f>AND('GA55 Entry'!#REF!,"AAAAAH7d608=")</f>
        <v>#REF!</v>
      </c>
      <c r="CC31" t="e">
        <f>AND('GA55 Entry'!#REF!,"AAAAAH7d61A=")</f>
        <v>#REF!</v>
      </c>
      <c r="CD31" t="e">
        <f>AND('GA55 Entry'!#REF!,"AAAAAH7d61E=")</f>
        <v>#REF!</v>
      </c>
      <c r="CE31" t="e">
        <f>AND('GA55 Entry'!#REF!,"AAAAAH7d61I=")</f>
        <v>#REF!</v>
      </c>
      <c r="CF31" t="e">
        <f>AND('GA55 Entry'!#REF!,"AAAAAH7d61M=")</f>
        <v>#REF!</v>
      </c>
      <c r="CG31" t="e">
        <f>AND('GA55 Entry'!#REF!,"AAAAAH7d61Q=")</f>
        <v>#REF!</v>
      </c>
      <c r="CH31" t="e">
        <f>AND('GA55 Entry'!#REF!,"AAAAAH7d61U=")</f>
        <v>#REF!</v>
      </c>
      <c r="CI31" t="e">
        <f>AND('GA55 Entry'!#REF!,"AAAAAH7d61Y=")</f>
        <v>#REF!</v>
      </c>
      <c r="CJ31" t="e">
        <f>AND('GA55 Entry'!#REF!,"AAAAAH7d61c=")</f>
        <v>#REF!</v>
      </c>
      <c r="CK31" t="e">
        <f>AND('GA55 Entry'!#REF!,"AAAAAH7d61g=")</f>
        <v>#REF!</v>
      </c>
      <c r="CL31" t="e">
        <f>AND('GA55 Entry'!#REF!,"AAAAAH7d61k=")</f>
        <v>#REF!</v>
      </c>
      <c r="CM31" t="e">
        <f>AND('GA55 Entry'!#REF!,"AAAAAH7d61o=")</f>
        <v>#REF!</v>
      </c>
      <c r="CN31" t="e">
        <f>AND('GA55 Entry'!#REF!,"AAAAAH7d61s=")</f>
        <v>#REF!</v>
      </c>
      <c r="CO31" t="e">
        <f>AND('GA55 Entry'!#REF!,"AAAAAH7d61w=")</f>
        <v>#REF!</v>
      </c>
      <c r="CP31" t="e">
        <f>AND('GA55 Entry'!#REF!,"AAAAAH7d610=")</f>
        <v>#REF!</v>
      </c>
      <c r="CQ31" t="e">
        <f>AND('GA55 Entry'!#REF!,"AAAAAH7d614=")</f>
        <v>#REF!</v>
      </c>
      <c r="CR31" t="e">
        <f>AND('GA55 Entry'!#REF!,"AAAAAH7d618=")</f>
        <v>#REF!</v>
      </c>
      <c r="CS31" t="e">
        <f>AND('GA55 Entry'!#REF!,"AAAAAH7d62A=")</f>
        <v>#REF!</v>
      </c>
      <c r="CT31" t="e">
        <f>AND('GA55 Entry'!#REF!,"AAAAAH7d62E=")</f>
        <v>#REF!</v>
      </c>
      <c r="CU31" t="e">
        <f>AND('GA55 Entry'!#REF!,"AAAAAH7d62I=")</f>
        <v>#REF!</v>
      </c>
      <c r="CV31" t="e">
        <f>AND('GA55 Entry'!#REF!,"AAAAAH7d62M=")</f>
        <v>#REF!</v>
      </c>
      <c r="CW31" t="e">
        <f>AND('GA55 Entry'!#REF!,"AAAAAH7d62Q=")</f>
        <v>#REF!</v>
      </c>
      <c r="CX31" t="e">
        <f>AND('GA55 Entry'!#REF!,"AAAAAH7d62U=")</f>
        <v>#REF!</v>
      </c>
      <c r="CY31" t="e">
        <f>AND('GA55 Entry'!#REF!,"AAAAAH7d62Y=")</f>
        <v>#REF!</v>
      </c>
      <c r="CZ31" t="e">
        <f>AND('GA55 Entry'!#REF!,"AAAAAH7d62c=")</f>
        <v>#REF!</v>
      </c>
      <c r="DA31" t="e">
        <f>AND('GA55 Entry'!#REF!,"AAAAAH7d62g=")</f>
        <v>#REF!</v>
      </c>
      <c r="DB31" t="e">
        <f>AND('GA55 Entry'!#REF!,"AAAAAH7d62k=")</f>
        <v>#REF!</v>
      </c>
      <c r="DC31" t="e">
        <f>AND('GA55 Entry'!#REF!,"AAAAAH7d62o=")</f>
        <v>#REF!</v>
      </c>
      <c r="DD31" t="e">
        <f>AND('GA55 Entry'!#REF!,"AAAAAH7d62s=")</f>
        <v>#REF!</v>
      </c>
      <c r="DE31" t="e">
        <f>AND('GA55 Entry'!#REF!,"AAAAAH7d62w=")</f>
        <v>#REF!</v>
      </c>
      <c r="DF31" t="e">
        <f>AND('GA55 Entry'!#REF!,"AAAAAH7d620=")</f>
        <v>#REF!</v>
      </c>
      <c r="DG31" t="e">
        <f>AND('GA55 Entry'!#REF!,"AAAAAH7d624=")</f>
        <v>#REF!</v>
      </c>
      <c r="DH31" t="e">
        <f>IF('GA55 Entry'!#REF!,"AAAAAH7d628=",0)</f>
        <v>#REF!</v>
      </c>
      <c r="DI31" t="e">
        <f>AND('GA55 Entry'!#REF!,"AAAAAH7d63A=")</f>
        <v>#REF!</v>
      </c>
      <c r="DJ31" t="e">
        <f>AND('GA55 Entry'!#REF!,"AAAAAH7d63E=")</f>
        <v>#REF!</v>
      </c>
      <c r="DK31" t="e">
        <f>AND('GA55 Entry'!#REF!,"AAAAAH7d63I=")</f>
        <v>#REF!</v>
      </c>
      <c r="DL31" t="e">
        <f>AND('GA55 Entry'!#REF!,"AAAAAH7d63M=")</f>
        <v>#REF!</v>
      </c>
      <c r="DM31" t="e">
        <f>AND('GA55 Entry'!#REF!,"AAAAAH7d63Q=")</f>
        <v>#REF!</v>
      </c>
      <c r="DN31" t="e">
        <f>AND('GA55 Entry'!#REF!,"AAAAAH7d63U=")</f>
        <v>#REF!</v>
      </c>
      <c r="DO31" t="e">
        <f>AND('GA55 Entry'!#REF!,"AAAAAH7d63Y=")</f>
        <v>#REF!</v>
      </c>
      <c r="DP31" t="e">
        <f>AND('GA55 Entry'!#REF!,"AAAAAH7d63c=")</f>
        <v>#REF!</v>
      </c>
      <c r="DQ31" t="e">
        <f>AND('GA55 Entry'!#REF!,"AAAAAH7d63g=")</f>
        <v>#REF!</v>
      </c>
      <c r="DR31" t="e">
        <f>AND('GA55 Entry'!#REF!,"AAAAAH7d63k=")</f>
        <v>#REF!</v>
      </c>
      <c r="DS31" t="e">
        <f>AND('GA55 Entry'!#REF!,"AAAAAH7d63o=")</f>
        <v>#REF!</v>
      </c>
      <c r="DT31" t="e">
        <f>AND('GA55 Entry'!#REF!,"AAAAAH7d63s=")</f>
        <v>#REF!</v>
      </c>
      <c r="DU31" t="e">
        <f>AND('GA55 Entry'!#REF!,"AAAAAH7d63w=")</f>
        <v>#REF!</v>
      </c>
      <c r="DV31" t="e">
        <f>AND('GA55 Entry'!#REF!,"AAAAAH7d630=")</f>
        <v>#REF!</v>
      </c>
      <c r="DW31" t="e">
        <f>AND('GA55 Entry'!#REF!,"AAAAAH7d634=")</f>
        <v>#REF!</v>
      </c>
      <c r="DX31" t="e">
        <f>AND('GA55 Entry'!#REF!,"AAAAAH7d638=")</f>
        <v>#REF!</v>
      </c>
      <c r="DY31" t="e">
        <f>AND('GA55 Entry'!#REF!,"AAAAAH7d64A=")</f>
        <v>#REF!</v>
      </c>
      <c r="DZ31" t="e">
        <f>AND('GA55 Entry'!#REF!,"AAAAAH7d64E=")</f>
        <v>#REF!</v>
      </c>
      <c r="EA31" t="e">
        <f>AND('GA55 Entry'!#REF!,"AAAAAH7d64I=")</f>
        <v>#REF!</v>
      </c>
      <c r="EB31" t="e">
        <f>AND('GA55 Entry'!#REF!,"AAAAAH7d64M=")</f>
        <v>#REF!</v>
      </c>
      <c r="EC31" t="e">
        <f>AND('GA55 Entry'!#REF!,"AAAAAH7d64Q=")</f>
        <v>#REF!</v>
      </c>
      <c r="ED31" t="e">
        <f>AND('GA55 Entry'!#REF!,"AAAAAH7d64U=")</f>
        <v>#REF!</v>
      </c>
      <c r="EE31" t="e">
        <f>AND('GA55 Entry'!#REF!,"AAAAAH7d64Y=")</f>
        <v>#REF!</v>
      </c>
      <c r="EF31" t="e">
        <f>AND('GA55 Entry'!#REF!,"AAAAAH7d64c=")</f>
        <v>#REF!</v>
      </c>
      <c r="EG31" t="e">
        <f>AND('GA55 Entry'!#REF!,"AAAAAH7d64g=")</f>
        <v>#REF!</v>
      </c>
      <c r="EH31" t="e">
        <f>AND('GA55 Entry'!#REF!,"AAAAAH7d64k=")</f>
        <v>#REF!</v>
      </c>
      <c r="EI31" t="e">
        <f>AND('GA55 Entry'!#REF!,"AAAAAH7d64o=")</f>
        <v>#REF!</v>
      </c>
      <c r="EJ31" t="e">
        <f>AND('GA55 Entry'!#REF!,"AAAAAH7d64s=")</f>
        <v>#REF!</v>
      </c>
      <c r="EK31" t="e">
        <f>AND('GA55 Entry'!#REF!,"AAAAAH7d64w=")</f>
        <v>#REF!</v>
      </c>
      <c r="EL31" t="e">
        <f>AND('GA55 Entry'!#REF!,"AAAAAH7d640=")</f>
        <v>#REF!</v>
      </c>
      <c r="EM31" t="e">
        <f>AND('GA55 Entry'!#REF!,"AAAAAH7d644=")</f>
        <v>#REF!</v>
      </c>
      <c r="EN31" t="e">
        <f>AND('GA55 Entry'!#REF!,"AAAAAH7d648=")</f>
        <v>#REF!</v>
      </c>
      <c r="EO31" t="e">
        <f>AND('GA55 Entry'!#REF!,"AAAAAH7d65A=")</f>
        <v>#REF!</v>
      </c>
      <c r="EP31" t="e">
        <f>AND('GA55 Entry'!#REF!,"AAAAAH7d65E=")</f>
        <v>#REF!</v>
      </c>
      <c r="EQ31" t="e">
        <f>AND('GA55 Entry'!#REF!,"AAAAAH7d65I=")</f>
        <v>#REF!</v>
      </c>
      <c r="ER31" t="e">
        <f>AND('GA55 Entry'!#REF!,"AAAAAH7d65M=")</f>
        <v>#REF!</v>
      </c>
      <c r="ES31" t="e">
        <f>AND('GA55 Entry'!#REF!,"AAAAAH7d65Q=")</f>
        <v>#REF!</v>
      </c>
      <c r="ET31" t="e">
        <f>AND('GA55 Entry'!#REF!,"AAAAAH7d65U=")</f>
        <v>#REF!</v>
      </c>
      <c r="EU31" t="e">
        <f>AND('GA55 Entry'!#REF!,"AAAAAH7d65Y=")</f>
        <v>#REF!</v>
      </c>
      <c r="EV31" t="e">
        <f>AND('GA55 Entry'!#REF!,"AAAAAH7d65c=")</f>
        <v>#REF!</v>
      </c>
      <c r="EW31" t="e">
        <f>AND('GA55 Entry'!#REF!,"AAAAAH7d65g=")</f>
        <v>#REF!</v>
      </c>
      <c r="EX31" t="e">
        <f>AND('GA55 Entry'!#REF!,"AAAAAH7d65k=")</f>
        <v>#REF!</v>
      </c>
      <c r="EY31" t="e">
        <f>AND('GA55 Entry'!#REF!,"AAAAAH7d65o=")</f>
        <v>#REF!</v>
      </c>
      <c r="EZ31" t="e">
        <f>AND('GA55 Entry'!#REF!,"AAAAAH7d65s=")</f>
        <v>#REF!</v>
      </c>
      <c r="FA31" t="e">
        <f>AND('GA55 Entry'!#REF!,"AAAAAH7d65w=")</f>
        <v>#REF!</v>
      </c>
      <c r="FB31" t="e">
        <f>AND('GA55 Entry'!#REF!,"AAAAAH7d650=")</f>
        <v>#REF!</v>
      </c>
      <c r="FC31" t="e">
        <f>AND('GA55 Entry'!#REF!,"AAAAAH7d654=")</f>
        <v>#REF!</v>
      </c>
      <c r="FD31" t="e">
        <f>AND('GA55 Entry'!#REF!,"AAAAAH7d658=")</f>
        <v>#REF!</v>
      </c>
      <c r="FE31" t="e">
        <f>AND('GA55 Entry'!#REF!,"AAAAAH7d66A=")</f>
        <v>#REF!</v>
      </c>
      <c r="FF31" t="e">
        <f>AND('GA55 Entry'!#REF!,"AAAAAH7d66E=")</f>
        <v>#REF!</v>
      </c>
      <c r="FG31" t="e">
        <f>IF('GA55 Entry'!#REF!,"AAAAAH7d66I=",0)</f>
        <v>#REF!</v>
      </c>
      <c r="FH31" t="e">
        <f>AND('GA55 Entry'!#REF!,"AAAAAH7d66M=")</f>
        <v>#REF!</v>
      </c>
      <c r="FI31" t="e">
        <f>AND('GA55 Entry'!#REF!,"AAAAAH7d66Q=")</f>
        <v>#REF!</v>
      </c>
      <c r="FJ31" t="e">
        <f>AND('GA55 Entry'!#REF!,"AAAAAH7d66U=")</f>
        <v>#REF!</v>
      </c>
      <c r="FK31" t="e">
        <f>AND('GA55 Entry'!#REF!,"AAAAAH7d66Y=")</f>
        <v>#REF!</v>
      </c>
      <c r="FL31" t="e">
        <f>AND('GA55 Entry'!#REF!,"AAAAAH7d66c=")</f>
        <v>#REF!</v>
      </c>
      <c r="FM31" t="e">
        <f>AND('GA55 Entry'!#REF!,"AAAAAH7d66g=")</f>
        <v>#REF!</v>
      </c>
      <c r="FN31" t="e">
        <f>AND('GA55 Entry'!#REF!,"AAAAAH7d66k=")</f>
        <v>#REF!</v>
      </c>
      <c r="FO31" t="e">
        <f>AND('GA55 Entry'!#REF!,"AAAAAH7d66o=")</f>
        <v>#REF!</v>
      </c>
      <c r="FP31" t="e">
        <f>AND('GA55 Entry'!#REF!,"AAAAAH7d66s=")</f>
        <v>#REF!</v>
      </c>
      <c r="FQ31" t="e">
        <f>AND('GA55 Entry'!#REF!,"AAAAAH7d66w=")</f>
        <v>#REF!</v>
      </c>
      <c r="FR31" t="e">
        <f>AND('GA55 Entry'!#REF!,"AAAAAH7d660=")</f>
        <v>#REF!</v>
      </c>
      <c r="FS31" t="e">
        <f>AND('GA55 Entry'!#REF!,"AAAAAH7d664=")</f>
        <v>#REF!</v>
      </c>
      <c r="FT31" t="e">
        <f>AND('GA55 Entry'!#REF!,"AAAAAH7d668=")</f>
        <v>#REF!</v>
      </c>
      <c r="FU31" t="e">
        <f>AND('GA55 Entry'!#REF!,"AAAAAH7d67A=")</f>
        <v>#REF!</v>
      </c>
      <c r="FV31" t="e">
        <f>AND('GA55 Entry'!#REF!,"AAAAAH7d67E=")</f>
        <v>#REF!</v>
      </c>
      <c r="FW31" t="e">
        <f>AND('GA55 Entry'!#REF!,"AAAAAH7d67I=")</f>
        <v>#REF!</v>
      </c>
      <c r="FX31" t="e">
        <f>AND('GA55 Entry'!#REF!,"AAAAAH7d67M=")</f>
        <v>#REF!</v>
      </c>
      <c r="FY31" t="e">
        <f>AND('GA55 Entry'!#REF!,"AAAAAH7d67Q=")</f>
        <v>#REF!</v>
      </c>
      <c r="FZ31" t="e">
        <f>AND('GA55 Entry'!#REF!,"AAAAAH7d67U=")</f>
        <v>#REF!</v>
      </c>
      <c r="GA31" t="e">
        <f>AND('GA55 Entry'!#REF!,"AAAAAH7d67Y=")</f>
        <v>#REF!</v>
      </c>
      <c r="GB31" t="e">
        <f>AND('GA55 Entry'!#REF!,"AAAAAH7d67c=")</f>
        <v>#REF!</v>
      </c>
      <c r="GC31" t="e">
        <f>AND('GA55 Entry'!#REF!,"AAAAAH7d67g=")</f>
        <v>#REF!</v>
      </c>
      <c r="GD31" t="e">
        <f>AND('GA55 Entry'!#REF!,"AAAAAH7d67k=")</f>
        <v>#REF!</v>
      </c>
      <c r="GE31" t="e">
        <f>AND('GA55 Entry'!#REF!,"AAAAAH7d67o=")</f>
        <v>#REF!</v>
      </c>
      <c r="GF31" t="e">
        <f>AND('GA55 Entry'!#REF!,"AAAAAH7d67s=")</f>
        <v>#REF!</v>
      </c>
      <c r="GG31" t="e">
        <f>AND('GA55 Entry'!#REF!,"AAAAAH7d67w=")</f>
        <v>#REF!</v>
      </c>
      <c r="GH31" t="e">
        <f>AND('GA55 Entry'!#REF!,"AAAAAH7d670=")</f>
        <v>#REF!</v>
      </c>
      <c r="GI31" t="e">
        <f>AND('GA55 Entry'!#REF!,"AAAAAH7d674=")</f>
        <v>#REF!</v>
      </c>
      <c r="GJ31" t="e">
        <f>AND('GA55 Entry'!#REF!,"AAAAAH7d678=")</f>
        <v>#REF!</v>
      </c>
      <c r="GK31" t="e">
        <f>AND('GA55 Entry'!#REF!,"AAAAAH7d68A=")</f>
        <v>#REF!</v>
      </c>
      <c r="GL31" t="e">
        <f>AND('GA55 Entry'!#REF!,"AAAAAH7d68E=")</f>
        <v>#REF!</v>
      </c>
      <c r="GM31" t="e">
        <f>AND('GA55 Entry'!#REF!,"AAAAAH7d68I=")</f>
        <v>#REF!</v>
      </c>
      <c r="GN31" t="e">
        <f>AND('GA55 Entry'!#REF!,"AAAAAH7d68M=")</f>
        <v>#REF!</v>
      </c>
      <c r="GO31" t="e">
        <f>AND('GA55 Entry'!#REF!,"AAAAAH7d68Q=")</f>
        <v>#REF!</v>
      </c>
      <c r="GP31" t="e">
        <f>AND('GA55 Entry'!#REF!,"AAAAAH7d68U=")</f>
        <v>#REF!</v>
      </c>
      <c r="GQ31" t="e">
        <f>AND('GA55 Entry'!#REF!,"AAAAAH7d68Y=")</f>
        <v>#REF!</v>
      </c>
      <c r="GR31" t="e">
        <f>AND('GA55 Entry'!#REF!,"AAAAAH7d68c=")</f>
        <v>#REF!</v>
      </c>
      <c r="GS31" t="e">
        <f>AND('GA55 Entry'!#REF!,"AAAAAH7d68g=")</f>
        <v>#REF!</v>
      </c>
      <c r="GT31" t="e">
        <f>AND('GA55 Entry'!#REF!,"AAAAAH7d68k=")</f>
        <v>#REF!</v>
      </c>
      <c r="GU31" t="e">
        <f>AND('GA55 Entry'!#REF!,"AAAAAH7d68o=")</f>
        <v>#REF!</v>
      </c>
      <c r="GV31" t="e">
        <f>AND('GA55 Entry'!#REF!,"AAAAAH7d68s=")</f>
        <v>#REF!</v>
      </c>
      <c r="GW31" t="e">
        <f>AND('GA55 Entry'!#REF!,"AAAAAH7d68w=")</f>
        <v>#REF!</v>
      </c>
      <c r="GX31" t="e">
        <f>AND('GA55 Entry'!#REF!,"AAAAAH7d680=")</f>
        <v>#REF!</v>
      </c>
      <c r="GY31" t="e">
        <f>AND('GA55 Entry'!#REF!,"AAAAAH7d684=")</f>
        <v>#REF!</v>
      </c>
      <c r="GZ31" t="e">
        <f>AND('GA55 Entry'!#REF!,"AAAAAH7d688=")</f>
        <v>#REF!</v>
      </c>
      <c r="HA31" t="e">
        <f>AND('GA55 Entry'!#REF!,"AAAAAH7d69A=")</f>
        <v>#REF!</v>
      </c>
      <c r="HB31" t="e">
        <f>AND('GA55 Entry'!#REF!,"AAAAAH7d69E=")</f>
        <v>#REF!</v>
      </c>
      <c r="HC31" t="e">
        <f>AND('GA55 Entry'!#REF!,"AAAAAH7d69I=")</f>
        <v>#REF!</v>
      </c>
      <c r="HD31" t="e">
        <f>AND('GA55 Entry'!#REF!,"AAAAAH7d69M=")</f>
        <v>#REF!</v>
      </c>
      <c r="HE31" t="e">
        <f>AND('GA55 Entry'!#REF!,"AAAAAH7d69Q=")</f>
        <v>#REF!</v>
      </c>
      <c r="HF31">
        <f>IF('GA55 Entry'!19:19,"AAAAAH7d69U=",0)</f>
        <v>0</v>
      </c>
      <c r="HG31" t="e">
        <f>AND('GA55 Entry'!B19,"AAAAAH7d69Y=")</f>
        <v>#VALUE!</v>
      </c>
      <c r="HH31" t="e">
        <f>AND('GA55 Entry'!#REF!,"AAAAAH7d69c=")</f>
        <v>#REF!</v>
      </c>
      <c r="HI31" t="e">
        <f>AND('GA55 Entry'!C19,"AAAAAH7d69g=")</f>
        <v>#VALUE!</v>
      </c>
      <c r="HJ31" t="e">
        <f>AND('GA55 Entry'!#REF!,"AAAAAH7d69k=")</f>
        <v>#REF!</v>
      </c>
      <c r="HK31" t="e">
        <f>AND('GA55 Entry'!#REF!,"AAAAAH7d69o=")</f>
        <v>#REF!</v>
      </c>
      <c r="HL31" t="e">
        <f>AND('GA55 Entry'!#REF!,"AAAAAH7d69s=")</f>
        <v>#REF!</v>
      </c>
      <c r="HM31" t="e">
        <f>AND('GA55 Entry'!#REF!,"AAAAAH7d69w=")</f>
        <v>#REF!</v>
      </c>
      <c r="HN31" t="e">
        <f>AND('GA55 Entry'!#REF!,"AAAAAH7d690=")</f>
        <v>#REF!</v>
      </c>
      <c r="HO31" t="e">
        <f>AND('GA55 Entry'!D19,"AAAAAH7d694=")</f>
        <v>#VALUE!</v>
      </c>
      <c r="HP31" t="e">
        <f>AND('GA55 Entry'!#REF!,"AAAAAH7d698=")</f>
        <v>#REF!</v>
      </c>
      <c r="HQ31" t="e">
        <f>AND('GA55 Entry'!E19,"AAAAAH7d6+A=")</f>
        <v>#VALUE!</v>
      </c>
      <c r="HR31" t="e">
        <f>AND('GA55 Entry'!F19,"AAAAAH7d6+E=")</f>
        <v>#VALUE!</v>
      </c>
      <c r="HS31" t="e">
        <f>AND('GA55 Entry'!G19,"AAAAAH7d6+I=")</f>
        <v>#VALUE!</v>
      </c>
      <c r="HT31" t="e">
        <f>AND('GA55 Entry'!H19,"AAAAAH7d6+M=")</f>
        <v>#VALUE!</v>
      </c>
      <c r="HU31" t="e">
        <f>AND('GA55 Entry'!I19,"AAAAAH7d6+Q=")</f>
        <v>#VALUE!</v>
      </c>
      <c r="HV31" t="e">
        <f>AND('GA55 Entry'!J19,"AAAAAH7d6+U=")</f>
        <v>#VALUE!</v>
      </c>
      <c r="HW31" t="e">
        <f>AND('GA55 Entry'!#REF!,"AAAAAH7d6+Y=")</f>
        <v>#REF!</v>
      </c>
      <c r="HX31" t="e">
        <f>AND('GA55 Entry'!K19,"AAAAAH7d6+c=")</f>
        <v>#VALUE!</v>
      </c>
      <c r="HY31" t="e">
        <f>AND('GA55 Entry'!L19,"AAAAAH7d6+g=")</f>
        <v>#VALUE!</v>
      </c>
      <c r="HZ31" t="e">
        <f>AND('GA55 Entry'!M19,"AAAAAH7d6+k=")</f>
        <v>#VALUE!</v>
      </c>
      <c r="IA31" t="e">
        <f>AND('GA55 Entry'!N19,"AAAAAH7d6+o=")</f>
        <v>#VALUE!</v>
      </c>
      <c r="IB31" t="e">
        <f>AND('GA55 Entry'!O19,"AAAAAH7d6+s=")</f>
        <v>#VALUE!</v>
      </c>
      <c r="IC31" t="e">
        <f>AND('GA55 Entry'!P19,"AAAAAH7d6+w=")</f>
        <v>#VALUE!</v>
      </c>
      <c r="ID31" t="e">
        <f>AND('GA55 Entry'!Q19,"AAAAAH7d6+0=")</f>
        <v>#VALUE!</v>
      </c>
      <c r="IE31" t="e">
        <f>AND('GA55 Entry'!S19,"AAAAAH7d6+4=")</f>
        <v>#VALUE!</v>
      </c>
      <c r="IF31" t="e">
        <f>AND('GA55 Entry'!#REF!,"AAAAAH7d6+8=")</f>
        <v>#REF!</v>
      </c>
      <c r="IG31" t="e">
        <f>AND('GA55 Entry'!T19,"AAAAAH7d6/A=")</f>
        <v>#VALUE!</v>
      </c>
      <c r="IH31" t="e">
        <f>AND('GA55 Entry'!U19,"AAAAAH7d6/E=")</f>
        <v>#VALUE!</v>
      </c>
      <c r="II31" t="e">
        <f>AND('GA55 Entry'!V19,"AAAAAH7d6/I=")</f>
        <v>#VALUE!</v>
      </c>
      <c r="IJ31" t="e">
        <f>AND('GA55 Entry'!#REF!,"AAAAAH7d6/M=")</f>
        <v>#REF!</v>
      </c>
      <c r="IK31" t="e">
        <f>AND('GA55 Entry'!#REF!,"AAAAAH7d6/Q=")</f>
        <v>#REF!</v>
      </c>
      <c r="IL31" t="e">
        <f>AND('GA55 Entry'!X19,"AAAAAH7d6/U=")</f>
        <v>#VALUE!</v>
      </c>
      <c r="IM31" t="e">
        <f>AND('GA55 Entry'!Y19,"AAAAAH7d6/Y=")</f>
        <v>#VALUE!</v>
      </c>
      <c r="IN31" t="e">
        <f>AND('GA55 Entry'!#REF!,"AAAAAH7d6/c=")</f>
        <v>#REF!</v>
      </c>
      <c r="IO31" t="e">
        <f>AND('GA55 Entry'!#REF!,"AAAAAH7d6/g=")</f>
        <v>#REF!</v>
      </c>
      <c r="IP31" t="e">
        <f>AND('GA55 Entry'!#REF!,"AAAAAH7d6/k=")</f>
        <v>#REF!</v>
      </c>
      <c r="IQ31" t="e">
        <f>AND('GA55 Entry'!#REF!,"AAAAAH7d6/o=")</f>
        <v>#REF!</v>
      </c>
      <c r="IR31" t="e">
        <f>AND('GA55 Entry'!#REF!,"AAAAAH7d6/s=")</f>
        <v>#REF!</v>
      </c>
      <c r="IS31" t="e">
        <f>AND('GA55 Entry'!#REF!,"AAAAAH7d6/w=")</f>
        <v>#REF!</v>
      </c>
      <c r="IT31" t="e">
        <f>AND('GA55 Entry'!#REF!,"AAAAAH7d6/0=")</f>
        <v>#REF!</v>
      </c>
      <c r="IU31" t="e">
        <f>AND('GA55 Entry'!#REF!,"AAAAAH7d6/4=")</f>
        <v>#REF!</v>
      </c>
      <c r="IV31" t="e">
        <f>AND('GA55 Entry'!#REF!,"AAAAAH7d6/8=")</f>
        <v>#REF!</v>
      </c>
    </row>
    <row r="32" spans="1:256">
      <c r="A32" t="e">
        <f>AND('GA55 Entry'!Z19,"AAAAABNb7AA=")</f>
        <v>#VALUE!</v>
      </c>
      <c r="B32" t="e">
        <f>AND('GA55 Entry'!AA19,"AAAAABNb7AE=")</f>
        <v>#VALUE!</v>
      </c>
      <c r="C32" t="e">
        <f>AND('GA55 Entry'!#REF!,"AAAAABNb7AI=")</f>
        <v>#REF!</v>
      </c>
      <c r="D32" t="e">
        <f>AND('GA55 Entry'!#REF!,"AAAAABNb7AM=")</f>
        <v>#REF!</v>
      </c>
      <c r="E32" t="e">
        <f>AND('GA55 Entry'!#REF!,"AAAAABNb7AQ=")</f>
        <v>#REF!</v>
      </c>
      <c r="F32" t="e">
        <f>AND('GA55 Entry'!AB19,"AAAAABNb7AU=")</f>
        <v>#VALUE!</v>
      </c>
      <c r="G32" t="e">
        <f>AND('GA55 Entry'!AC19,"AAAAABNb7AY=")</f>
        <v>#VALUE!</v>
      </c>
      <c r="H32" t="e">
        <f>AND('GA55 Entry'!#REF!,"AAAAABNb7Ac=")</f>
        <v>#REF!</v>
      </c>
      <c r="I32" t="e">
        <f>IF('GA55 Entry'!#REF!,"AAAAABNb7Ag=",0)</f>
        <v>#REF!</v>
      </c>
      <c r="J32" t="e">
        <f>AND('GA55 Entry'!#REF!,"AAAAABNb7Ak=")</f>
        <v>#REF!</v>
      </c>
      <c r="K32" t="e">
        <f>AND('GA55 Entry'!#REF!,"AAAAABNb7Ao=")</f>
        <v>#REF!</v>
      </c>
      <c r="L32" t="e">
        <f>AND('GA55 Entry'!#REF!,"AAAAABNb7As=")</f>
        <v>#REF!</v>
      </c>
      <c r="M32" t="e">
        <f>AND('GA55 Entry'!#REF!,"AAAAABNb7Aw=")</f>
        <v>#REF!</v>
      </c>
      <c r="N32" t="e">
        <f>AND('GA55 Entry'!#REF!,"AAAAABNb7A0=")</f>
        <v>#REF!</v>
      </c>
      <c r="O32" t="e">
        <f>AND('GA55 Entry'!#REF!,"AAAAABNb7A4=")</f>
        <v>#REF!</v>
      </c>
      <c r="P32" t="e">
        <f>AND('GA55 Entry'!#REF!,"AAAAABNb7A8=")</f>
        <v>#REF!</v>
      </c>
      <c r="Q32" t="e">
        <f>AND('GA55 Entry'!#REF!,"AAAAABNb7BA=")</f>
        <v>#REF!</v>
      </c>
      <c r="R32" t="e">
        <f>AND('GA55 Entry'!#REF!,"AAAAABNb7BE=")</f>
        <v>#REF!</v>
      </c>
      <c r="S32" t="e">
        <f>AND('GA55 Entry'!#REF!,"AAAAABNb7BI=")</f>
        <v>#REF!</v>
      </c>
      <c r="T32" t="e">
        <f>AND('GA55 Entry'!#REF!,"AAAAABNb7BM=")</f>
        <v>#REF!</v>
      </c>
      <c r="U32" t="e">
        <f>AND('GA55 Entry'!#REF!,"AAAAABNb7BQ=")</f>
        <v>#REF!</v>
      </c>
      <c r="V32" t="e">
        <f>AND('GA55 Entry'!#REF!,"AAAAABNb7BU=")</f>
        <v>#REF!</v>
      </c>
      <c r="W32" t="e">
        <f>AND('GA55 Entry'!#REF!,"AAAAABNb7BY=")</f>
        <v>#REF!</v>
      </c>
      <c r="X32" t="e">
        <f>AND('GA55 Entry'!#REF!,"AAAAABNb7Bc=")</f>
        <v>#REF!</v>
      </c>
      <c r="Y32" t="e">
        <f>AND('GA55 Entry'!#REF!,"AAAAABNb7Bg=")</f>
        <v>#REF!</v>
      </c>
      <c r="Z32" t="e">
        <f>AND('GA55 Entry'!#REF!,"AAAAABNb7Bk=")</f>
        <v>#REF!</v>
      </c>
      <c r="AA32" t="e">
        <f>AND('GA55 Entry'!#REF!,"AAAAABNb7Bo=")</f>
        <v>#REF!</v>
      </c>
      <c r="AB32" t="e">
        <f>AND('GA55 Entry'!#REF!,"AAAAABNb7Bs=")</f>
        <v>#REF!</v>
      </c>
      <c r="AC32" t="e">
        <f>AND('GA55 Entry'!#REF!,"AAAAABNb7Bw=")</f>
        <v>#REF!</v>
      </c>
      <c r="AD32" t="e">
        <f>AND('GA55 Entry'!#REF!,"AAAAABNb7B0=")</f>
        <v>#REF!</v>
      </c>
      <c r="AE32" t="e">
        <f>AND('GA55 Entry'!#REF!,"AAAAABNb7B4=")</f>
        <v>#REF!</v>
      </c>
      <c r="AF32" t="e">
        <f>AND('GA55 Entry'!#REF!,"AAAAABNb7B8=")</f>
        <v>#REF!</v>
      </c>
      <c r="AG32" t="e">
        <f>AND('GA55 Entry'!#REF!,"AAAAABNb7CA=")</f>
        <v>#REF!</v>
      </c>
      <c r="AH32" t="e">
        <f>AND('GA55 Entry'!#REF!,"AAAAABNb7CE=")</f>
        <v>#REF!</v>
      </c>
      <c r="AI32" t="e">
        <f>AND('GA55 Entry'!#REF!,"AAAAABNb7CI=")</f>
        <v>#REF!</v>
      </c>
      <c r="AJ32" t="e">
        <f>AND('GA55 Entry'!#REF!,"AAAAABNb7CM=")</f>
        <v>#REF!</v>
      </c>
      <c r="AK32" t="e">
        <f>AND('GA55 Entry'!#REF!,"AAAAABNb7CQ=")</f>
        <v>#REF!</v>
      </c>
      <c r="AL32" t="e">
        <f>AND('GA55 Entry'!#REF!,"AAAAABNb7CU=")</f>
        <v>#REF!</v>
      </c>
      <c r="AM32" t="e">
        <f>AND('GA55 Entry'!#REF!,"AAAAABNb7CY=")</f>
        <v>#REF!</v>
      </c>
      <c r="AN32" t="e">
        <f>AND('GA55 Entry'!#REF!,"AAAAABNb7Cc=")</f>
        <v>#REF!</v>
      </c>
      <c r="AO32" t="e">
        <f>AND('GA55 Entry'!#REF!,"AAAAABNb7Cg=")</f>
        <v>#REF!</v>
      </c>
      <c r="AP32" t="e">
        <f>AND('GA55 Entry'!#REF!,"AAAAABNb7Ck=")</f>
        <v>#REF!</v>
      </c>
      <c r="AQ32" t="e">
        <f>AND('GA55 Entry'!#REF!,"AAAAABNb7Co=")</f>
        <v>#REF!</v>
      </c>
      <c r="AR32" t="e">
        <f>AND('GA55 Entry'!#REF!,"AAAAABNb7Cs=")</f>
        <v>#REF!</v>
      </c>
      <c r="AS32" t="e">
        <f>AND('GA55 Entry'!#REF!,"AAAAABNb7Cw=")</f>
        <v>#REF!</v>
      </c>
      <c r="AT32" t="e">
        <f>AND('GA55 Entry'!#REF!,"AAAAABNb7C0=")</f>
        <v>#REF!</v>
      </c>
      <c r="AU32" t="e">
        <f>AND('GA55 Entry'!#REF!,"AAAAABNb7C4=")</f>
        <v>#REF!</v>
      </c>
      <c r="AV32" t="e">
        <f>AND('GA55 Entry'!#REF!,"AAAAABNb7C8=")</f>
        <v>#REF!</v>
      </c>
      <c r="AW32" t="e">
        <f>AND('GA55 Entry'!#REF!,"AAAAABNb7DA=")</f>
        <v>#REF!</v>
      </c>
      <c r="AX32" t="e">
        <f>AND('GA55 Entry'!#REF!,"AAAAABNb7DE=")</f>
        <v>#REF!</v>
      </c>
      <c r="AY32" t="e">
        <f>AND('GA55 Entry'!#REF!,"AAAAABNb7DI=")</f>
        <v>#REF!</v>
      </c>
      <c r="AZ32" t="e">
        <f>AND('GA55 Entry'!#REF!,"AAAAABNb7DM=")</f>
        <v>#REF!</v>
      </c>
      <c r="BA32" t="e">
        <f>AND('GA55 Entry'!#REF!,"AAAAABNb7DQ=")</f>
        <v>#REF!</v>
      </c>
      <c r="BB32" t="e">
        <f>AND('GA55 Entry'!#REF!,"AAAAABNb7DU=")</f>
        <v>#REF!</v>
      </c>
      <c r="BC32" t="e">
        <f>AND('GA55 Entry'!#REF!,"AAAAABNb7DY=")</f>
        <v>#REF!</v>
      </c>
      <c r="BD32" t="e">
        <f>AND('GA55 Entry'!#REF!,"AAAAABNb7Dc=")</f>
        <v>#REF!</v>
      </c>
      <c r="BE32" t="e">
        <f>AND('GA55 Entry'!#REF!,"AAAAABNb7Dg=")</f>
        <v>#REF!</v>
      </c>
      <c r="BF32" t="e">
        <f>AND('GA55 Entry'!#REF!,"AAAAABNb7Dk=")</f>
        <v>#REF!</v>
      </c>
      <c r="BG32" t="e">
        <f>AND('GA55 Entry'!#REF!,"AAAAABNb7Do=")</f>
        <v>#REF!</v>
      </c>
      <c r="BH32" t="e">
        <f>IF('GA55 Entry'!#REF!,"AAAAABNb7Ds=",0)</f>
        <v>#REF!</v>
      </c>
      <c r="BI32" t="e">
        <f>AND('GA55 Entry'!#REF!,"AAAAABNb7Dw=")</f>
        <v>#REF!</v>
      </c>
      <c r="BJ32" t="e">
        <f>AND('GA55 Entry'!#REF!,"AAAAABNb7D0=")</f>
        <v>#REF!</v>
      </c>
      <c r="BK32" t="e">
        <f>AND('GA55 Entry'!#REF!,"AAAAABNb7D4=")</f>
        <v>#REF!</v>
      </c>
      <c r="BL32" t="e">
        <f>AND('GA55 Entry'!#REF!,"AAAAABNb7D8=")</f>
        <v>#REF!</v>
      </c>
      <c r="BM32" t="e">
        <f>AND('GA55 Entry'!#REF!,"AAAAABNb7EA=")</f>
        <v>#REF!</v>
      </c>
      <c r="BN32" t="e">
        <f>AND('GA55 Entry'!#REF!,"AAAAABNb7EE=")</f>
        <v>#REF!</v>
      </c>
      <c r="BO32" t="e">
        <f>AND('GA55 Entry'!#REF!,"AAAAABNb7EI=")</f>
        <v>#REF!</v>
      </c>
      <c r="BP32" t="e">
        <f>AND('GA55 Entry'!#REF!,"AAAAABNb7EM=")</f>
        <v>#REF!</v>
      </c>
      <c r="BQ32" t="e">
        <f>AND('GA55 Entry'!#REF!,"AAAAABNb7EQ=")</f>
        <v>#REF!</v>
      </c>
      <c r="BR32" t="e">
        <f>AND('GA55 Entry'!#REF!,"AAAAABNb7EU=")</f>
        <v>#REF!</v>
      </c>
      <c r="BS32" t="e">
        <f>AND('GA55 Entry'!#REF!,"AAAAABNb7EY=")</f>
        <v>#REF!</v>
      </c>
      <c r="BT32" t="e">
        <f>AND('GA55 Entry'!#REF!,"AAAAABNb7Ec=")</f>
        <v>#REF!</v>
      </c>
      <c r="BU32" t="e">
        <f>AND('GA55 Entry'!#REF!,"AAAAABNb7Eg=")</f>
        <v>#REF!</v>
      </c>
      <c r="BV32" t="e">
        <f>AND('GA55 Entry'!#REF!,"AAAAABNb7Ek=")</f>
        <v>#REF!</v>
      </c>
      <c r="BW32" t="e">
        <f>AND('GA55 Entry'!#REF!,"AAAAABNb7Eo=")</f>
        <v>#REF!</v>
      </c>
      <c r="BX32" t="e">
        <f>AND('GA55 Entry'!#REF!,"AAAAABNb7Es=")</f>
        <v>#REF!</v>
      </c>
      <c r="BY32" t="e">
        <f>AND('GA55 Entry'!#REF!,"AAAAABNb7Ew=")</f>
        <v>#REF!</v>
      </c>
      <c r="BZ32" t="e">
        <f>AND('GA55 Entry'!#REF!,"AAAAABNb7E0=")</f>
        <v>#REF!</v>
      </c>
      <c r="CA32" t="e">
        <f>AND('GA55 Entry'!#REF!,"AAAAABNb7E4=")</f>
        <v>#REF!</v>
      </c>
      <c r="CB32" t="e">
        <f>AND('GA55 Entry'!#REF!,"AAAAABNb7E8=")</f>
        <v>#REF!</v>
      </c>
      <c r="CC32" t="e">
        <f>AND('GA55 Entry'!#REF!,"AAAAABNb7FA=")</f>
        <v>#REF!</v>
      </c>
      <c r="CD32" t="e">
        <f>AND('GA55 Entry'!#REF!,"AAAAABNb7FE=")</f>
        <v>#REF!</v>
      </c>
      <c r="CE32" t="e">
        <f>AND('GA55 Entry'!#REF!,"AAAAABNb7FI=")</f>
        <v>#REF!</v>
      </c>
      <c r="CF32" t="e">
        <f>AND('GA55 Entry'!#REF!,"AAAAABNb7FM=")</f>
        <v>#REF!</v>
      </c>
      <c r="CG32" t="e">
        <f>AND('GA55 Entry'!#REF!,"AAAAABNb7FQ=")</f>
        <v>#REF!</v>
      </c>
      <c r="CH32" t="e">
        <f>AND('GA55 Entry'!#REF!,"AAAAABNb7FU=")</f>
        <v>#REF!</v>
      </c>
      <c r="CI32" t="e">
        <f>AND('GA55 Entry'!#REF!,"AAAAABNb7FY=")</f>
        <v>#REF!</v>
      </c>
      <c r="CJ32" t="e">
        <f>AND('GA55 Entry'!#REF!,"AAAAABNb7Fc=")</f>
        <v>#REF!</v>
      </c>
      <c r="CK32" t="e">
        <f>AND('GA55 Entry'!#REF!,"AAAAABNb7Fg=")</f>
        <v>#REF!</v>
      </c>
      <c r="CL32" t="e">
        <f>AND('GA55 Entry'!#REF!,"AAAAABNb7Fk=")</f>
        <v>#REF!</v>
      </c>
      <c r="CM32" t="e">
        <f>AND('GA55 Entry'!#REF!,"AAAAABNb7Fo=")</f>
        <v>#REF!</v>
      </c>
      <c r="CN32" t="e">
        <f>AND('GA55 Entry'!#REF!,"AAAAABNb7Fs=")</f>
        <v>#REF!</v>
      </c>
      <c r="CO32" t="e">
        <f>AND('GA55 Entry'!#REF!,"AAAAABNb7Fw=")</f>
        <v>#REF!</v>
      </c>
      <c r="CP32" t="e">
        <f>AND('GA55 Entry'!#REF!,"AAAAABNb7F0=")</f>
        <v>#REF!</v>
      </c>
      <c r="CQ32" t="e">
        <f>AND('GA55 Entry'!#REF!,"AAAAABNb7F4=")</f>
        <v>#REF!</v>
      </c>
      <c r="CR32" t="e">
        <f>AND('GA55 Entry'!#REF!,"AAAAABNb7F8=")</f>
        <v>#REF!</v>
      </c>
      <c r="CS32" t="e">
        <f>AND('GA55 Entry'!#REF!,"AAAAABNb7GA=")</f>
        <v>#REF!</v>
      </c>
      <c r="CT32" t="e">
        <f>AND('GA55 Entry'!#REF!,"AAAAABNb7GE=")</f>
        <v>#REF!</v>
      </c>
      <c r="CU32" t="e">
        <f>AND('GA55 Entry'!#REF!,"AAAAABNb7GI=")</f>
        <v>#REF!</v>
      </c>
      <c r="CV32" t="e">
        <f>AND('GA55 Entry'!#REF!,"AAAAABNb7GM=")</f>
        <v>#REF!</v>
      </c>
      <c r="CW32" t="e">
        <f>AND('GA55 Entry'!#REF!,"AAAAABNb7GQ=")</f>
        <v>#REF!</v>
      </c>
      <c r="CX32" t="e">
        <f>AND('GA55 Entry'!#REF!,"AAAAABNb7GU=")</f>
        <v>#REF!</v>
      </c>
      <c r="CY32" t="e">
        <f>AND('GA55 Entry'!#REF!,"AAAAABNb7GY=")</f>
        <v>#REF!</v>
      </c>
      <c r="CZ32" t="e">
        <f>AND('GA55 Entry'!#REF!,"AAAAABNb7Gc=")</f>
        <v>#REF!</v>
      </c>
      <c r="DA32" t="e">
        <f>AND('GA55 Entry'!#REF!,"AAAAABNb7Gg=")</f>
        <v>#REF!</v>
      </c>
      <c r="DB32" t="e">
        <f>AND('GA55 Entry'!#REF!,"AAAAABNb7Gk=")</f>
        <v>#REF!</v>
      </c>
      <c r="DC32" t="e">
        <f>AND('GA55 Entry'!#REF!,"AAAAABNb7Go=")</f>
        <v>#REF!</v>
      </c>
      <c r="DD32" t="e">
        <f>AND('GA55 Entry'!#REF!,"AAAAABNb7Gs=")</f>
        <v>#REF!</v>
      </c>
      <c r="DE32" t="e">
        <f>AND('GA55 Entry'!#REF!,"AAAAABNb7Gw=")</f>
        <v>#REF!</v>
      </c>
      <c r="DF32" t="e">
        <f>AND('GA55 Entry'!#REF!,"AAAAABNb7G0=")</f>
        <v>#REF!</v>
      </c>
      <c r="DG32" t="e">
        <f>IF('GA55 Entry'!#REF!,"AAAAABNb7G4=",0)</f>
        <v>#REF!</v>
      </c>
      <c r="DH32" t="e">
        <f>AND('GA55 Entry'!#REF!,"AAAAABNb7G8=")</f>
        <v>#REF!</v>
      </c>
      <c r="DI32" t="e">
        <f>AND('GA55 Entry'!#REF!,"AAAAABNb7HA=")</f>
        <v>#REF!</v>
      </c>
      <c r="DJ32" t="e">
        <f>AND('GA55 Entry'!#REF!,"AAAAABNb7HE=")</f>
        <v>#REF!</v>
      </c>
      <c r="DK32" t="e">
        <f>AND('GA55 Entry'!#REF!,"AAAAABNb7HI=")</f>
        <v>#REF!</v>
      </c>
      <c r="DL32" t="e">
        <f>AND('GA55 Entry'!#REF!,"AAAAABNb7HM=")</f>
        <v>#REF!</v>
      </c>
      <c r="DM32" t="e">
        <f>AND('GA55 Entry'!#REF!,"AAAAABNb7HQ=")</f>
        <v>#REF!</v>
      </c>
      <c r="DN32" t="e">
        <f>AND('GA55 Entry'!#REF!,"AAAAABNb7HU=")</f>
        <v>#REF!</v>
      </c>
      <c r="DO32" t="e">
        <f>AND('GA55 Entry'!#REF!,"AAAAABNb7HY=")</f>
        <v>#REF!</v>
      </c>
      <c r="DP32" t="e">
        <f>AND('GA55 Entry'!#REF!,"AAAAABNb7Hc=")</f>
        <v>#REF!</v>
      </c>
      <c r="DQ32" t="e">
        <f>AND('GA55 Entry'!#REF!,"AAAAABNb7Hg=")</f>
        <v>#REF!</v>
      </c>
      <c r="DR32" t="e">
        <f>AND('GA55 Entry'!#REF!,"AAAAABNb7Hk=")</f>
        <v>#REF!</v>
      </c>
      <c r="DS32" t="e">
        <f>AND('GA55 Entry'!#REF!,"AAAAABNb7Ho=")</f>
        <v>#REF!</v>
      </c>
      <c r="DT32" t="e">
        <f>AND('GA55 Entry'!#REF!,"AAAAABNb7Hs=")</f>
        <v>#REF!</v>
      </c>
      <c r="DU32" t="e">
        <f>AND('GA55 Entry'!#REF!,"AAAAABNb7Hw=")</f>
        <v>#REF!</v>
      </c>
      <c r="DV32" t="e">
        <f>AND('GA55 Entry'!#REF!,"AAAAABNb7H0=")</f>
        <v>#REF!</v>
      </c>
      <c r="DW32" t="e">
        <f>AND('GA55 Entry'!#REF!,"AAAAABNb7H4=")</f>
        <v>#REF!</v>
      </c>
      <c r="DX32" t="e">
        <f>AND('GA55 Entry'!#REF!,"AAAAABNb7H8=")</f>
        <v>#REF!</v>
      </c>
      <c r="DY32" t="e">
        <f>AND('GA55 Entry'!#REF!,"AAAAABNb7IA=")</f>
        <v>#REF!</v>
      </c>
      <c r="DZ32" t="e">
        <f>AND('GA55 Entry'!#REF!,"AAAAABNb7IE=")</f>
        <v>#REF!</v>
      </c>
      <c r="EA32" t="e">
        <f>AND('GA55 Entry'!#REF!,"AAAAABNb7II=")</f>
        <v>#REF!</v>
      </c>
      <c r="EB32" t="e">
        <f>AND('GA55 Entry'!#REF!,"AAAAABNb7IM=")</f>
        <v>#REF!</v>
      </c>
      <c r="EC32" t="e">
        <f>AND('GA55 Entry'!#REF!,"AAAAABNb7IQ=")</f>
        <v>#REF!</v>
      </c>
      <c r="ED32" t="e">
        <f>AND('GA55 Entry'!#REF!,"AAAAABNb7IU=")</f>
        <v>#REF!</v>
      </c>
      <c r="EE32" t="e">
        <f>AND('GA55 Entry'!#REF!,"AAAAABNb7IY=")</f>
        <v>#REF!</v>
      </c>
      <c r="EF32" t="e">
        <f>AND('GA55 Entry'!#REF!,"AAAAABNb7Ic=")</f>
        <v>#REF!</v>
      </c>
      <c r="EG32" t="e">
        <f>AND('GA55 Entry'!#REF!,"AAAAABNb7Ig=")</f>
        <v>#REF!</v>
      </c>
      <c r="EH32" t="e">
        <f>AND('GA55 Entry'!#REF!,"AAAAABNb7Ik=")</f>
        <v>#REF!</v>
      </c>
      <c r="EI32" t="e">
        <f>AND('GA55 Entry'!#REF!,"AAAAABNb7Io=")</f>
        <v>#REF!</v>
      </c>
      <c r="EJ32" t="e">
        <f>AND('GA55 Entry'!#REF!,"AAAAABNb7Is=")</f>
        <v>#REF!</v>
      </c>
      <c r="EK32" t="e">
        <f>AND('GA55 Entry'!#REF!,"AAAAABNb7Iw=")</f>
        <v>#REF!</v>
      </c>
      <c r="EL32" t="e">
        <f>AND('GA55 Entry'!#REF!,"AAAAABNb7I0=")</f>
        <v>#REF!</v>
      </c>
      <c r="EM32" t="e">
        <f>AND('GA55 Entry'!#REF!,"AAAAABNb7I4=")</f>
        <v>#REF!</v>
      </c>
      <c r="EN32" t="e">
        <f>AND('GA55 Entry'!#REF!,"AAAAABNb7I8=")</f>
        <v>#REF!</v>
      </c>
      <c r="EO32" t="e">
        <f>AND('GA55 Entry'!#REF!,"AAAAABNb7JA=")</f>
        <v>#REF!</v>
      </c>
      <c r="EP32" t="e">
        <f>AND('GA55 Entry'!#REF!,"AAAAABNb7JE=")</f>
        <v>#REF!</v>
      </c>
      <c r="EQ32" t="e">
        <f>AND('GA55 Entry'!#REF!,"AAAAABNb7JI=")</f>
        <v>#REF!</v>
      </c>
      <c r="ER32" t="e">
        <f>AND('GA55 Entry'!#REF!,"AAAAABNb7JM=")</f>
        <v>#REF!</v>
      </c>
      <c r="ES32" t="e">
        <f>AND('GA55 Entry'!#REF!,"AAAAABNb7JQ=")</f>
        <v>#REF!</v>
      </c>
      <c r="ET32" t="e">
        <f>AND('GA55 Entry'!#REF!,"AAAAABNb7JU=")</f>
        <v>#REF!</v>
      </c>
      <c r="EU32" t="e">
        <f>AND('GA55 Entry'!#REF!,"AAAAABNb7JY=")</f>
        <v>#REF!</v>
      </c>
      <c r="EV32" t="e">
        <f>AND('GA55 Entry'!#REF!,"AAAAABNb7Jc=")</f>
        <v>#REF!</v>
      </c>
      <c r="EW32" t="e">
        <f>AND('GA55 Entry'!#REF!,"AAAAABNb7Jg=")</f>
        <v>#REF!</v>
      </c>
      <c r="EX32" t="e">
        <f>AND('GA55 Entry'!#REF!,"AAAAABNb7Jk=")</f>
        <v>#REF!</v>
      </c>
      <c r="EY32" t="e">
        <f>AND('GA55 Entry'!#REF!,"AAAAABNb7Jo=")</f>
        <v>#REF!</v>
      </c>
      <c r="EZ32" t="e">
        <f>AND('GA55 Entry'!#REF!,"AAAAABNb7Js=")</f>
        <v>#REF!</v>
      </c>
      <c r="FA32" t="e">
        <f>AND('GA55 Entry'!#REF!,"AAAAABNb7Jw=")</f>
        <v>#REF!</v>
      </c>
      <c r="FB32" t="e">
        <f>AND('GA55 Entry'!#REF!,"AAAAABNb7J0=")</f>
        <v>#REF!</v>
      </c>
      <c r="FC32" t="e">
        <f>AND('GA55 Entry'!#REF!,"AAAAABNb7J4=")</f>
        <v>#REF!</v>
      </c>
      <c r="FD32" t="e">
        <f>AND('GA55 Entry'!#REF!,"AAAAABNb7J8=")</f>
        <v>#REF!</v>
      </c>
      <c r="FE32" t="e">
        <f>AND('GA55 Entry'!#REF!,"AAAAABNb7KA=")</f>
        <v>#REF!</v>
      </c>
      <c r="FF32" t="e">
        <f>IF('GA55 Entry'!#REF!,"AAAAABNb7KE=",0)</f>
        <v>#REF!</v>
      </c>
      <c r="FG32" t="e">
        <f>AND('GA55 Entry'!#REF!,"AAAAABNb7KI=")</f>
        <v>#REF!</v>
      </c>
      <c r="FH32" t="e">
        <f>AND('GA55 Entry'!#REF!,"AAAAABNb7KM=")</f>
        <v>#REF!</v>
      </c>
      <c r="FI32" t="e">
        <f>AND('GA55 Entry'!#REF!,"AAAAABNb7KQ=")</f>
        <v>#REF!</v>
      </c>
      <c r="FJ32" t="e">
        <f>AND('GA55 Entry'!#REF!,"AAAAABNb7KU=")</f>
        <v>#REF!</v>
      </c>
      <c r="FK32" t="e">
        <f>AND('GA55 Entry'!#REF!,"AAAAABNb7KY=")</f>
        <v>#REF!</v>
      </c>
      <c r="FL32" t="e">
        <f>AND('GA55 Entry'!#REF!,"AAAAABNb7Kc=")</f>
        <v>#REF!</v>
      </c>
      <c r="FM32" t="e">
        <f>AND('GA55 Entry'!#REF!,"AAAAABNb7Kg=")</f>
        <v>#REF!</v>
      </c>
      <c r="FN32" t="e">
        <f>AND('GA55 Entry'!#REF!,"AAAAABNb7Kk=")</f>
        <v>#REF!</v>
      </c>
      <c r="FO32" t="e">
        <f>AND('GA55 Entry'!#REF!,"AAAAABNb7Ko=")</f>
        <v>#REF!</v>
      </c>
      <c r="FP32" t="e">
        <f>AND('GA55 Entry'!#REF!,"AAAAABNb7Ks=")</f>
        <v>#REF!</v>
      </c>
      <c r="FQ32" t="e">
        <f>AND('GA55 Entry'!#REF!,"AAAAABNb7Kw=")</f>
        <v>#REF!</v>
      </c>
      <c r="FR32" t="e">
        <f>AND('GA55 Entry'!#REF!,"AAAAABNb7K0=")</f>
        <v>#REF!</v>
      </c>
      <c r="FS32" t="e">
        <f>AND('GA55 Entry'!#REF!,"AAAAABNb7K4=")</f>
        <v>#REF!</v>
      </c>
      <c r="FT32" t="e">
        <f>AND('GA55 Entry'!#REF!,"AAAAABNb7K8=")</f>
        <v>#REF!</v>
      </c>
      <c r="FU32" t="e">
        <f>AND('GA55 Entry'!#REF!,"AAAAABNb7LA=")</f>
        <v>#REF!</v>
      </c>
      <c r="FV32" t="e">
        <f>AND('GA55 Entry'!#REF!,"AAAAABNb7LE=")</f>
        <v>#REF!</v>
      </c>
      <c r="FW32" t="e">
        <f>AND('GA55 Entry'!#REF!,"AAAAABNb7LI=")</f>
        <v>#REF!</v>
      </c>
      <c r="FX32" t="e">
        <f>AND('GA55 Entry'!#REF!,"AAAAABNb7LM=")</f>
        <v>#REF!</v>
      </c>
      <c r="FY32" t="e">
        <f>AND('GA55 Entry'!#REF!,"AAAAABNb7LQ=")</f>
        <v>#REF!</v>
      </c>
      <c r="FZ32" t="e">
        <f>AND('GA55 Entry'!#REF!,"AAAAABNb7LU=")</f>
        <v>#REF!</v>
      </c>
      <c r="GA32" t="e">
        <f>AND('GA55 Entry'!#REF!,"AAAAABNb7LY=")</f>
        <v>#REF!</v>
      </c>
      <c r="GB32" t="e">
        <f>AND('GA55 Entry'!#REF!,"AAAAABNb7Lc=")</f>
        <v>#REF!</v>
      </c>
      <c r="GC32" t="e">
        <f>AND('GA55 Entry'!#REF!,"AAAAABNb7Lg=")</f>
        <v>#REF!</v>
      </c>
      <c r="GD32" t="e">
        <f>AND('GA55 Entry'!#REF!,"AAAAABNb7Lk=")</f>
        <v>#REF!</v>
      </c>
      <c r="GE32" t="e">
        <f>AND('GA55 Entry'!#REF!,"AAAAABNb7Lo=")</f>
        <v>#REF!</v>
      </c>
      <c r="GF32" t="e">
        <f>AND('GA55 Entry'!#REF!,"AAAAABNb7Ls=")</f>
        <v>#REF!</v>
      </c>
      <c r="GG32" t="e">
        <f>AND('GA55 Entry'!#REF!,"AAAAABNb7Lw=")</f>
        <v>#REF!</v>
      </c>
      <c r="GH32" t="e">
        <f>AND('GA55 Entry'!#REF!,"AAAAABNb7L0=")</f>
        <v>#REF!</v>
      </c>
      <c r="GI32" t="e">
        <f>AND('GA55 Entry'!#REF!,"AAAAABNb7L4=")</f>
        <v>#REF!</v>
      </c>
      <c r="GJ32" t="e">
        <f>AND('GA55 Entry'!#REF!,"AAAAABNb7L8=")</f>
        <v>#REF!</v>
      </c>
      <c r="GK32" t="e">
        <f>AND('GA55 Entry'!#REF!,"AAAAABNb7MA=")</f>
        <v>#REF!</v>
      </c>
      <c r="GL32" t="e">
        <f>AND('GA55 Entry'!#REF!,"AAAAABNb7ME=")</f>
        <v>#REF!</v>
      </c>
      <c r="GM32" t="e">
        <f>AND('GA55 Entry'!#REF!,"AAAAABNb7MI=")</f>
        <v>#REF!</v>
      </c>
      <c r="GN32" t="e">
        <f>AND('GA55 Entry'!#REF!,"AAAAABNb7MM=")</f>
        <v>#REF!</v>
      </c>
      <c r="GO32" t="e">
        <f>AND('GA55 Entry'!#REF!,"AAAAABNb7MQ=")</f>
        <v>#REF!</v>
      </c>
      <c r="GP32" t="e">
        <f>AND('GA55 Entry'!#REF!,"AAAAABNb7MU=")</f>
        <v>#REF!</v>
      </c>
      <c r="GQ32" t="e">
        <f>AND('GA55 Entry'!#REF!,"AAAAABNb7MY=")</f>
        <v>#REF!</v>
      </c>
      <c r="GR32" t="e">
        <f>AND('GA55 Entry'!#REF!,"AAAAABNb7Mc=")</f>
        <v>#REF!</v>
      </c>
      <c r="GS32" t="e">
        <f>AND('GA55 Entry'!#REF!,"AAAAABNb7Mg=")</f>
        <v>#REF!</v>
      </c>
      <c r="GT32" t="e">
        <f>AND('GA55 Entry'!#REF!,"AAAAABNb7Mk=")</f>
        <v>#REF!</v>
      </c>
      <c r="GU32" t="e">
        <f>AND('GA55 Entry'!#REF!,"AAAAABNb7Mo=")</f>
        <v>#REF!</v>
      </c>
      <c r="GV32" t="e">
        <f>AND('GA55 Entry'!#REF!,"AAAAABNb7Ms=")</f>
        <v>#REF!</v>
      </c>
      <c r="GW32" t="e">
        <f>AND('GA55 Entry'!#REF!,"AAAAABNb7Mw=")</f>
        <v>#REF!</v>
      </c>
      <c r="GX32" t="e">
        <f>AND('GA55 Entry'!#REF!,"AAAAABNb7M0=")</f>
        <v>#REF!</v>
      </c>
      <c r="GY32" t="e">
        <f>AND('GA55 Entry'!#REF!,"AAAAABNb7M4=")</f>
        <v>#REF!</v>
      </c>
      <c r="GZ32" t="e">
        <f>AND('GA55 Entry'!#REF!,"AAAAABNb7M8=")</f>
        <v>#REF!</v>
      </c>
      <c r="HA32" t="e">
        <f>AND('GA55 Entry'!#REF!,"AAAAABNb7NA=")</f>
        <v>#REF!</v>
      </c>
      <c r="HB32" t="e">
        <f>AND('GA55 Entry'!#REF!,"AAAAABNb7NE=")</f>
        <v>#REF!</v>
      </c>
      <c r="HC32" t="e">
        <f>AND('GA55 Entry'!#REF!,"AAAAABNb7NI=")</f>
        <v>#REF!</v>
      </c>
      <c r="HD32" t="e">
        <f>AND('GA55 Entry'!#REF!,"AAAAABNb7NM=")</f>
        <v>#REF!</v>
      </c>
      <c r="HE32" t="e">
        <f>IF('GA55 Entry'!#REF!,"AAAAABNb7NQ=",0)</f>
        <v>#REF!</v>
      </c>
      <c r="HF32" t="e">
        <f>AND('GA55 Entry'!#REF!,"AAAAABNb7NU=")</f>
        <v>#REF!</v>
      </c>
      <c r="HG32" t="e">
        <f>AND('GA55 Entry'!#REF!,"AAAAABNb7NY=")</f>
        <v>#REF!</v>
      </c>
      <c r="HH32" t="e">
        <f>AND('GA55 Entry'!#REF!,"AAAAABNb7Nc=")</f>
        <v>#REF!</v>
      </c>
      <c r="HI32" t="e">
        <f>AND('GA55 Entry'!#REF!,"AAAAABNb7Ng=")</f>
        <v>#REF!</v>
      </c>
      <c r="HJ32" t="e">
        <f>AND('GA55 Entry'!#REF!,"AAAAABNb7Nk=")</f>
        <v>#REF!</v>
      </c>
      <c r="HK32" t="e">
        <f>AND('GA55 Entry'!#REF!,"AAAAABNb7No=")</f>
        <v>#REF!</v>
      </c>
      <c r="HL32" t="e">
        <f>AND('GA55 Entry'!#REF!,"AAAAABNb7Ns=")</f>
        <v>#REF!</v>
      </c>
      <c r="HM32" t="e">
        <f>AND('GA55 Entry'!#REF!,"AAAAABNb7Nw=")</f>
        <v>#REF!</v>
      </c>
      <c r="HN32" t="e">
        <f>AND('GA55 Entry'!#REF!,"AAAAABNb7N0=")</f>
        <v>#REF!</v>
      </c>
      <c r="HO32" t="e">
        <f>AND('GA55 Entry'!#REF!,"AAAAABNb7N4=")</f>
        <v>#REF!</v>
      </c>
      <c r="HP32" t="e">
        <f>AND('GA55 Entry'!#REF!,"AAAAABNb7N8=")</f>
        <v>#REF!</v>
      </c>
      <c r="HQ32" t="e">
        <f>AND('GA55 Entry'!#REF!,"AAAAABNb7OA=")</f>
        <v>#REF!</v>
      </c>
      <c r="HR32" t="e">
        <f>AND('GA55 Entry'!#REF!,"AAAAABNb7OE=")</f>
        <v>#REF!</v>
      </c>
      <c r="HS32" t="e">
        <f>AND('GA55 Entry'!#REF!,"AAAAABNb7OI=")</f>
        <v>#REF!</v>
      </c>
      <c r="HT32" t="e">
        <f>AND('GA55 Entry'!#REF!,"AAAAABNb7OM=")</f>
        <v>#REF!</v>
      </c>
      <c r="HU32" t="e">
        <f>AND('GA55 Entry'!#REF!,"AAAAABNb7OQ=")</f>
        <v>#REF!</v>
      </c>
      <c r="HV32" t="e">
        <f>AND('GA55 Entry'!#REF!,"AAAAABNb7OU=")</f>
        <v>#REF!</v>
      </c>
      <c r="HW32" t="e">
        <f>AND('GA55 Entry'!#REF!,"AAAAABNb7OY=")</f>
        <v>#REF!</v>
      </c>
      <c r="HX32" t="e">
        <f>AND('GA55 Entry'!#REF!,"AAAAABNb7Oc=")</f>
        <v>#REF!</v>
      </c>
      <c r="HY32" t="e">
        <f>AND('GA55 Entry'!#REF!,"AAAAABNb7Og=")</f>
        <v>#REF!</v>
      </c>
      <c r="HZ32" t="e">
        <f>AND('GA55 Entry'!#REF!,"AAAAABNb7Ok=")</f>
        <v>#REF!</v>
      </c>
      <c r="IA32" t="e">
        <f>AND('GA55 Entry'!#REF!,"AAAAABNb7Oo=")</f>
        <v>#REF!</v>
      </c>
      <c r="IB32" t="e">
        <f>AND('GA55 Entry'!#REF!,"AAAAABNb7Os=")</f>
        <v>#REF!</v>
      </c>
      <c r="IC32" t="e">
        <f>AND('GA55 Entry'!#REF!,"AAAAABNb7Ow=")</f>
        <v>#REF!</v>
      </c>
      <c r="ID32" t="e">
        <f>AND('GA55 Entry'!#REF!,"AAAAABNb7O0=")</f>
        <v>#REF!</v>
      </c>
      <c r="IE32" t="e">
        <f>AND('GA55 Entry'!#REF!,"AAAAABNb7O4=")</f>
        <v>#REF!</v>
      </c>
      <c r="IF32" t="e">
        <f>AND('GA55 Entry'!#REF!,"AAAAABNb7O8=")</f>
        <v>#REF!</v>
      </c>
      <c r="IG32" t="e">
        <f>AND('GA55 Entry'!#REF!,"AAAAABNb7PA=")</f>
        <v>#REF!</v>
      </c>
      <c r="IH32" t="e">
        <f>AND('GA55 Entry'!#REF!,"AAAAABNb7PE=")</f>
        <v>#REF!</v>
      </c>
      <c r="II32" t="e">
        <f>AND('GA55 Entry'!#REF!,"AAAAABNb7PI=")</f>
        <v>#REF!</v>
      </c>
      <c r="IJ32" t="e">
        <f>AND('GA55 Entry'!#REF!,"AAAAABNb7PM=")</f>
        <v>#REF!</v>
      </c>
      <c r="IK32" t="e">
        <f>AND('GA55 Entry'!#REF!,"AAAAABNb7PQ=")</f>
        <v>#REF!</v>
      </c>
      <c r="IL32" t="e">
        <f>AND('GA55 Entry'!#REF!,"AAAAABNb7PU=")</f>
        <v>#REF!</v>
      </c>
      <c r="IM32" t="e">
        <f>AND('GA55 Entry'!#REF!,"AAAAABNb7PY=")</f>
        <v>#REF!</v>
      </c>
      <c r="IN32" t="e">
        <f>AND('GA55 Entry'!#REF!,"AAAAABNb7Pc=")</f>
        <v>#REF!</v>
      </c>
      <c r="IO32" t="e">
        <f>AND('GA55 Entry'!#REF!,"AAAAABNb7Pg=")</f>
        <v>#REF!</v>
      </c>
      <c r="IP32" t="e">
        <f>AND('GA55 Entry'!#REF!,"AAAAABNb7Pk=")</f>
        <v>#REF!</v>
      </c>
      <c r="IQ32" t="e">
        <f>AND('GA55 Entry'!#REF!,"AAAAABNb7Po=")</f>
        <v>#REF!</v>
      </c>
      <c r="IR32" t="e">
        <f>AND('GA55 Entry'!#REF!,"AAAAABNb7Ps=")</f>
        <v>#REF!</v>
      </c>
      <c r="IS32" t="e">
        <f>AND('GA55 Entry'!#REF!,"AAAAABNb7Pw=")</f>
        <v>#REF!</v>
      </c>
      <c r="IT32" t="e">
        <f>AND('GA55 Entry'!#REF!,"AAAAABNb7P0=")</f>
        <v>#REF!</v>
      </c>
      <c r="IU32" t="e">
        <f>AND('GA55 Entry'!#REF!,"AAAAABNb7P4=")</f>
        <v>#REF!</v>
      </c>
      <c r="IV32" t="e">
        <f>AND('GA55 Entry'!#REF!,"AAAAABNb7P8=")</f>
        <v>#REF!</v>
      </c>
    </row>
    <row r="33" spans="1:256">
      <c r="A33" t="e">
        <f>AND('GA55 Entry'!#REF!,"AAAAAD/vdQA=")</f>
        <v>#REF!</v>
      </c>
      <c r="B33" t="e">
        <f>AND('GA55 Entry'!#REF!,"AAAAAD/vdQE=")</f>
        <v>#REF!</v>
      </c>
      <c r="C33" t="e">
        <f>AND('GA55 Entry'!#REF!,"AAAAAD/vdQI=")</f>
        <v>#REF!</v>
      </c>
      <c r="D33" t="e">
        <f>AND('GA55 Entry'!#REF!,"AAAAAD/vdQM=")</f>
        <v>#REF!</v>
      </c>
      <c r="E33" t="e">
        <f>AND('GA55 Entry'!#REF!,"AAAAAD/vdQQ=")</f>
        <v>#REF!</v>
      </c>
      <c r="F33" t="e">
        <f>AND('GA55 Entry'!#REF!,"AAAAAD/vdQU=")</f>
        <v>#REF!</v>
      </c>
      <c r="G33" t="e">
        <f>AND('GA55 Entry'!#REF!,"AAAAAD/vdQY=")</f>
        <v>#REF!</v>
      </c>
      <c r="H33" t="e">
        <f>IF('GA55 Entry'!#REF!,"AAAAAD/vdQc=",0)</f>
        <v>#REF!</v>
      </c>
      <c r="I33" t="e">
        <f>AND('GA55 Entry'!#REF!,"AAAAAD/vdQg=")</f>
        <v>#REF!</v>
      </c>
      <c r="J33" t="e">
        <f>AND('GA55 Entry'!#REF!,"AAAAAD/vdQk=")</f>
        <v>#REF!</v>
      </c>
      <c r="K33" t="e">
        <f>AND('GA55 Entry'!#REF!,"AAAAAD/vdQo=")</f>
        <v>#REF!</v>
      </c>
      <c r="L33" t="e">
        <f>AND('GA55 Entry'!#REF!,"AAAAAD/vdQs=")</f>
        <v>#REF!</v>
      </c>
      <c r="M33" t="e">
        <f>AND('GA55 Entry'!#REF!,"AAAAAD/vdQw=")</f>
        <v>#REF!</v>
      </c>
      <c r="N33" t="e">
        <f>AND('GA55 Entry'!#REF!,"AAAAAD/vdQ0=")</f>
        <v>#REF!</v>
      </c>
      <c r="O33" t="e">
        <f>AND('GA55 Entry'!#REF!,"AAAAAD/vdQ4=")</f>
        <v>#REF!</v>
      </c>
      <c r="P33" t="e">
        <f>AND('GA55 Entry'!#REF!,"AAAAAD/vdQ8=")</f>
        <v>#REF!</v>
      </c>
      <c r="Q33" t="e">
        <f>AND('GA55 Entry'!#REF!,"AAAAAD/vdRA=")</f>
        <v>#REF!</v>
      </c>
      <c r="R33" t="e">
        <f>AND('GA55 Entry'!#REF!,"AAAAAD/vdRE=")</f>
        <v>#REF!</v>
      </c>
      <c r="S33" t="e">
        <f>AND('GA55 Entry'!#REF!,"AAAAAD/vdRI=")</f>
        <v>#REF!</v>
      </c>
      <c r="T33" t="e">
        <f>AND('GA55 Entry'!#REF!,"AAAAAD/vdRM=")</f>
        <v>#REF!</v>
      </c>
      <c r="U33" t="e">
        <f>AND('GA55 Entry'!#REF!,"AAAAAD/vdRQ=")</f>
        <v>#REF!</v>
      </c>
      <c r="V33" t="e">
        <f>AND('GA55 Entry'!#REF!,"AAAAAD/vdRU=")</f>
        <v>#REF!</v>
      </c>
      <c r="W33" t="e">
        <f>AND('GA55 Entry'!#REF!,"AAAAAD/vdRY=")</f>
        <v>#REF!</v>
      </c>
      <c r="X33" t="e">
        <f>AND('GA55 Entry'!#REF!,"AAAAAD/vdRc=")</f>
        <v>#REF!</v>
      </c>
      <c r="Y33" t="e">
        <f>AND('GA55 Entry'!#REF!,"AAAAAD/vdRg=")</f>
        <v>#REF!</v>
      </c>
      <c r="Z33" t="e">
        <f>AND('GA55 Entry'!#REF!,"AAAAAD/vdRk=")</f>
        <v>#REF!</v>
      </c>
      <c r="AA33" t="e">
        <f>AND('GA55 Entry'!#REF!,"AAAAAD/vdRo=")</f>
        <v>#REF!</v>
      </c>
      <c r="AB33" t="e">
        <f>AND('GA55 Entry'!#REF!,"AAAAAD/vdRs=")</f>
        <v>#REF!</v>
      </c>
      <c r="AC33" t="e">
        <f>AND('GA55 Entry'!#REF!,"AAAAAD/vdRw=")</f>
        <v>#REF!</v>
      </c>
      <c r="AD33" t="e">
        <f>AND('GA55 Entry'!#REF!,"AAAAAD/vdR0=")</f>
        <v>#REF!</v>
      </c>
      <c r="AE33" t="e">
        <f>AND('GA55 Entry'!#REF!,"AAAAAD/vdR4=")</f>
        <v>#REF!</v>
      </c>
      <c r="AF33" t="e">
        <f>AND('GA55 Entry'!#REF!,"AAAAAD/vdR8=")</f>
        <v>#REF!</v>
      </c>
      <c r="AG33" t="e">
        <f>AND('GA55 Entry'!#REF!,"AAAAAD/vdSA=")</f>
        <v>#REF!</v>
      </c>
      <c r="AH33" t="e">
        <f>AND('GA55 Entry'!#REF!,"AAAAAD/vdSE=")</f>
        <v>#REF!</v>
      </c>
      <c r="AI33" t="e">
        <f>AND('GA55 Entry'!#REF!,"AAAAAD/vdSI=")</f>
        <v>#REF!</v>
      </c>
      <c r="AJ33" t="e">
        <f>AND('GA55 Entry'!#REF!,"AAAAAD/vdSM=")</f>
        <v>#REF!</v>
      </c>
      <c r="AK33" t="e">
        <f>AND('GA55 Entry'!#REF!,"AAAAAD/vdSQ=")</f>
        <v>#REF!</v>
      </c>
      <c r="AL33" t="e">
        <f>AND('GA55 Entry'!#REF!,"AAAAAD/vdSU=")</f>
        <v>#REF!</v>
      </c>
      <c r="AM33" t="e">
        <f>AND('GA55 Entry'!#REF!,"AAAAAD/vdSY=")</f>
        <v>#REF!</v>
      </c>
      <c r="AN33" t="e">
        <f>AND('GA55 Entry'!#REF!,"AAAAAD/vdSc=")</f>
        <v>#REF!</v>
      </c>
      <c r="AO33" t="e">
        <f>AND('GA55 Entry'!#REF!,"AAAAAD/vdSg=")</f>
        <v>#REF!</v>
      </c>
      <c r="AP33" t="e">
        <f>AND('GA55 Entry'!#REF!,"AAAAAD/vdSk=")</f>
        <v>#REF!</v>
      </c>
      <c r="AQ33" t="e">
        <f>AND('GA55 Entry'!#REF!,"AAAAAD/vdSo=")</f>
        <v>#REF!</v>
      </c>
      <c r="AR33" t="e">
        <f>AND('GA55 Entry'!#REF!,"AAAAAD/vdSs=")</f>
        <v>#REF!</v>
      </c>
      <c r="AS33" t="e">
        <f>AND('GA55 Entry'!#REF!,"AAAAAD/vdSw=")</f>
        <v>#REF!</v>
      </c>
      <c r="AT33" t="e">
        <f>AND('GA55 Entry'!#REF!,"AAAAAD/vdS0=")</f>
        <v>#REF!</v>
      </c>
      <c r="AU33" t="e">
        <f>AND('GA55 Entry'!#REF!,"AAAAAD/vdS4=")</f>
        <v>#REF!</v>
      </c>
      <c r="AV33" t="e">
        <f>AND('GA55 Entry'!#REF!,"AAAAAD/vdS8=")</f>
        <v>#REF!</v>
      </c>
      <c r="AW33" t="e">
        <f>AND('GA55 Entry'!#REF!,"AAAAAD/vdTA=")</f>
        <v>#REF!</v>
      </c>
      <c r="AX33" t="e">
        <f>AND('GA55 Entry'!#REF!,"AAAAAD/vdTE=")</f>
        <v>#REF!</v>
      </c>
      <c r="AY33" t="e">
        <f>AND('GA55 Entry'!#REF!,"AAAAAD/vdTI=")</f>
        <v>#REF!</v>
      </c>
      <c r="AZ33" t="e">
        <f>AND('GA55 Entry'!#REF!,"AAAAAD/vdTM=")</f>
        <v>#REF!</v>
      </c>
      <c r="BA33" t="e">
        <f>AND('GA55 Entry'!#REF!,"AAAAAD/vdTQ=")</f>
        <v>#REF!</v>
      </c>
      <c r="BB33" t="e">
        <f>AND('GA55 Entry'!#REF!,"AAAAAD/vdTU=")</f>
        <v>#REF!</v>
      </c>
      <c r="BC33" t="e">
        <f>AND('GA55 Entry'!#REF!,"AAAAAD/vdTY=")</f>
        <v>#REF!</v>
      </c>
      <c r="BD33" t="e">
        <f>AND('GA55 Entry'!#REF!,"AAAAAD/vdTc=")</f>
        <v>#REF!</v>
      </c>
      <c r="BE33" t="e">
        <f>AND('GA55 Entry'!#REF!,"AAAAAD/vdTg=")</f>
        <v>#REF!</v>
      </c>
      <c r="BF33" t="e">
        <f>AND('GA55 Entry'!#REF!,"AAAAAD/vdTk=")</f>
        <v>#REF!</v>
      </c>
      <c r="BG33">
        <f>IF('GA55 Entry'!20:20,"AAAAAD/vdTo=",0)</f>
        <v>0</v>
      </c>
      <c r="BH33" t="e">
        <f>AND('GA55 Entry'!B20,"AAAAAD/vdTs=")</f>
        <v>#VALUE!</v>
      </c>
      <c r="BI33" t="e">
        <f>AND('GA55 Entry'!#REF!,"AAAAAD/vdTw=")</f>
        <v>#REF!</v>
      </c>
      <c r="BJ33" t="e">
        <f>AND('GA55 Entry'!C20,"AAAAAD/vdT0=")</f>
        <v>#VALUE!</v>
      </c>
      <c r="BK33" t="e">
        <f>AND('GA55 Entry'!#REF!,"AAAAAD/vdT4=")</f>
        <v>#REF!</v>
      </c>
      <c r="BL33" t="e">
        <f>AND('GA55 Entry'!#REF!,"AAAAAD/vdT8=")</f>
        <v>#REF!</v>
      </c>
      <c r="BM33" t="e">
        <f>AND('GA55 Entry'!#REF!,"AAAAAD/vdUA=")</f>
        <v>#REF!</v>
      </c>
      <c r="BN33" t="e">
        <f>AND('GA55 Entry'!#REF!,"AAAAAD/vdUE=")</f>
        <v>#REF!</v>
      </c>
      <c r="BO33" t="e">
        <f>AND('GA55 Entry'!#REF!,"AAAAAD/vdUI=")</f>
        <v>#REF!</v>
      </c>
      <c r="BP33" t="e">
        <f>AND('GA55 Entry'!D20,"AAAAAD/vdUM=")</f>
        <v>#VALUE!</v>
      </c>
      <c r="BQ33" t="e">
        <f>AND('GA55 Entry'!#REF!,"AAAAAD/vdUQ=")</f>
        <v>#REF!</v>
      </c>
      <c r="BR33" t="e">
        <f>AND('GA55 Entry'!E20,"AAAAAD/vdUU=")</f>
        <v>#VALUE!</v>
      </c>
      <c r="BS33" t="e">
        <f>AND('GA55 Entry'!F20,"AAAAAD/vdUY=")</f>
        <v>#VALUE!</v>
      </c>
      <c r="BT33" t="e">
        <f>AND('GA55 Entry'!G20,"AAAAAD/vdUc=")</f>
        <v>#VALUE!</v>
      </c>
      <c r="BU33" t="e">
        <f>AND('GA55 Entry'!H20,"AAAAAD/vdUg=")</f>
        <v>#VALUE!</v>
      </c>
      <c r="BV33" t="e">
        <f>AND('GA55 Entry'!I20,"AAAAAD/vdUk=")</f>
        <v>#VALUE!</v>
      </c>
      <c r="BW33" t="e">
        <f>AND('GA55 Entry'!J20,"AAAAAD/vdUo=")</f>
        <v>#VALUE!</v>
      </c>
      <c r="BX33" t="e">
        <f>AND('GA55 Entry'!#REF!,"AAAAAD/vdUs=")</f>
        <v>#REF!</v>
      </c>
      <c r="BY33" t="e">
        <f>AND('GA55 Entry'!K20,"AAAAAD/vdUw=")</f>
        <v>#VALUE!</v>
      </c>
      <c r="BZ33" t="e">
        <f>AND('GA55 Entry'!L20,"AAAAAD/vdU0=")</f>
        <v>#VALUE!</v>
      </c>
      <c r="CA33" t="e">
        <f>AND('GA55 Entry'!M20,"AAAAAD/vdU4=")</f>
        <v>#VALUE!</v>
      </c>
      <c r="CB33" t="e">
        <f>AND('GA55 Entry'!N20,"AAAAAD/vdU8=")</f>
        <v>#VALUE!</v>
      </c>
      <c r="CC33" t="e">
        <f>AND('GA55 Entry'!O20,"AAAAAD/vdVA=")</f>
        <v>#VALUE!</v>
      </c>
      <c r="CD33" t="e">
        <f>AND('GA55 Entry'!P20,"AAAAAD/vdVE=")</f>
        <v>#VALUE!</v>
      </c>
      <c r="CE33" t="e">
        <f>AND('GA55 Entry'!Q20,"AAAAAD/vdVI=")</f>
        <v>#VALUE!</v>
      </c>
      <c r="CF33" t="e">
        <f>AND('GA55 Entry'!S20,"AAAAAD/vdVM=")</f>
        <v>#VALUE!</v>
      </c>
      <c r="CG33" t="e">
        <f>AND('GA55 Entry'!#REF!,"AAAAAD/vdVQ=")</f>
        <v>#REF!</v>
      </c>
      <c r="CH33" t="e">
        <f>AND('GA55 Entry'!T20,"AAAAAD/vdVU=")</f>
        <v>#VALUE!</v>
      </c>
      <c r="CI33" t="e">
        <f>AND('GA55 Entry'!U20,"AAAAAD/vdVY=")</f>
        <v>#VALUE!</v>
      </c>
      <c r="CJ33" t="e">
        <f>AND('GA55 Entry'!V20,"AAAAAD/vdVc=")</f>
        <v>#VALUE!</v>
      </c>
      <c r="CK33" t="e">
        <f>AND('GA55 Entry'!#REF!,"AAAAAD/vdVg=")</f>
        <v>#REF!</v>
      </c>
      <c r="CL33" t="e">
        <f>AND('GA55 Entry'!#REF!,"AAAAAD/vdVk=")</f>
        <v>#REF!</v>
      </c>
      <c r="CM33" t="e">
        <f>AND('GA55 Entry'!X20,"AAAAAD/vdVo=")</f>
        <v>#VALUE!</v>
      </c>
      <c r="CN33" t="e">
        <f>AND('GA55 Entry'!Y20,"AAAAAD/vdVs=")</f>
        <v>#VALUE!</v>
      </c>
      <c r="CO33" t="e">
        <f>AND('GA55 Entry'!#REF!,"AAAAAD/vdVw=")</f>
        <v>#REF!</v>
      </c>
      <c r="CP33" t="e">
        <f>AND('GA55 Entry'!#REF!,"AAAAAD/vdV0=")</f>
        <v>#REF!</v>
      </c>
      <c r="CQ33" t="e">
        <f>AND('GA55 Entry'!#REF!,"AAAAAD/vdV4=")</f>
        <v>#REF!</v>
      </c>
      <c r="CR33" t="e">
        <f>AND('GA55 Entry'!#REF!,"AAAAAD/vdV8=")</f>
        <v>#REF!</v>
      </c>
      <c r="CS33" t="e">
        <f>AND('GA55 Entry'!#REF!,"AAAAAD/vdWA=")</f>
        <v>#REF!</v>
      </c>
      <c r="CT33" t="e">
        <f>AND('GA55 Entry'!#REF!,"AAAAAD/vdWE=")</f>
        <v>#REF!</v>
      </c>
      <c r="CU33" t="e">
        <f>AND('GA55 Entry'!#REF!,"AAAAAD/vdWI=")</f>
        <v>#REF!</v>
      </c>
      <c r="CV33" t="e">
        <f>AND('GA55 Entry'!#REF!,"AAAAAD/vdWM=")</f>
        <v>#REF!</v>
      </c>
      <c r="CW33" t="e">
        <f>AND('GA55 Entry'!#REF!,"AAAAAD/vdWQ=")</f>
        <v>#REF!</v>
      </c>
      <c r="CX33" t="e">
        <f>AND('GA55 Entry'!Z20,"AAAAAD/vdWU=")</f>
        <v>#VALUE!</v>
      </c>
      <c r="CY33" t="e">
        <f>AND('GA55 Entry'!AA20,"AAAAAD/vdWY=")</f>
        <v>#VALUE!</v>
      </c>
      <c r="CZ33" t="e">
        <f>AND('GA55 Entry'!#REF!,"AAAAAD/vdWc=")</f>
        <v>#REF!</v>
      </c>
      <c r="DA33" t="e">
        <f>AND('GA55 Entry'!#REF!,"AAAAAD/vdWg=")</f>
        <v>#REF!</v>
      </c>
      <c r="DB33" t="e">
        <f>AND('GA55 Entry'!#REF!,"AAAAAD/vdWk=")</f>
        <v>#REF!</v>
      </c>
      <c r="DC33" t="e">
        <f>AND('GA55 Entry'!AB20,"AAAAAD/vdWo=")</f>
        <v>#VALUE!</v>
      </c>
      <c r="DD33" t="e">
        <f>AND('GA55 Entry'!AC20,"AAAAAD/vdWs=")</f>
        <v>#VALUE!</v>
      </c>
      <c r="DE33" t="e">
        <f>AND('GA55 Entry'!#REF!,"AAAAAD/vdWw=")</f>
        <v>#REF!</v>
      </c>
      <c r="DF33" t="e">
        <f>IF('GA55 Entry'!#REF!,"AAAAAD/vdW0=",0)</f>
        <v>#REF!</v>
      </c>
      <c r="DG33" t="e">
        <f>AND('GA55 Entry'!#REF!,"AAAAAD/vdW4=")</f>
        <v>#REF!</v>
      </c>
      <c r="DH33" t="e">
        <f>AND('GA55 Entry'!#REF!,"AAAAAD/vdW8=")</f>
        <v>#REF!</v>
      </c>
      <c r="DI33" t="e">
        <f>AND('GA55 Entry'!#REF!,"AAAAAD/vdXA=")</f>
        <v>#REF!</v>
      </c>
      <c r="DJ33" t="e">
        <f>AND('GA55 Entry'!#REF!,"AAAAAD/vdXE=")</f>
        <v>#REF!</v>
      </c>
      <c r="DK33" t="e">
        <f>AND('GA55 Entry'!#REF!,"AAAAAD/vdXI=")</f>
        <v>#REF!</v>
      </c>
      <c r="DL33" t="e">
        <f>AND('GA55 Entry'!#REF!,"AAAAAD/vdXM=")</f>
        <v>#REF!</v>
      </c>
      <c r="DM33" t="e">
        <f>AND('GA55 Entry'!#REF!,"AAAAAD/vdXQ=")</f>
        <v>#REF!</v>
      </c>
      <c r="DN33" t="e">
        <f>AND('GA55 Entry'!#REF!,"AAAAAD/vdXU=")</f>
        <v>#REF!</v>
      </c>
      <c r="DO33" t="e">
        <f>AND('GA55 Entry'!#REF!,"AAAAAD/vdXY=")</f>
        <v>#REF!</v>
      </c>
      <c r="DP33" t="e">
        <f>AND('GA55 Entry'!#REF!,"AAAAAD/vdXc=")</f>
        <v>#REF!</v>
      </c>
      <c r="DQ33" t="e">
        <f>AND('GA55 Entry'!#REF!,"AAAAAD/vdXg=")</f>
        <v>#REF!</v>
      </c>
      <c r="DR33" t="e">
        <f>AND('GA55 Entry'!#REF!,"AAAAAD/vdXk=")</f>
        <v>#REF!</v>
      </c>
      <c r="DS33" t="e">
        <f>AND('GA55 Entry'!#REF!,"AAAAAD/vdXo=")</f>
        <v>#REF!</v>
      </c>
      <c r="DT33" t="e">
        <f>AND('GA55 Entry'!#REF!,"AAAAAD/vdXs=")</f>
        <v>#REF!</v>
      </c>
      <c r="DU33" t="e">
        <f>AND('GA55 Entry'!#REF!,"AAAAAD/vdXw=")</f>
        <v>#REF!</v>
      </c>
      <c r="DV33" t="e">
        <f>AND('GA55 Entry'!#REF!,"AAAAAD/vdX0=")</f>
        <v>#REF!</v>
      </c>
      <c r="DW33" t="e">
        <f>AND('GA55 Entry'!#REF!,"AAAAAD/vdX4=")</f>
        <v>#REF!</v>
      </c>
      <c r="DX33" t="e">
        <f>AND('GA55 Entry'!#REF!,"AAAAAD/vdX8=")</f>
        <v>#REF!</v>
      </c>
      <c r="DY33" t="e">
        <f>AND('GA55 Entry'!#REF!,"AAAAAD/vdYA=")</f>
        <v>#REF!</v>
      </c>
      <c r="DZ33" t="e">
        <f>AND('GA55 Entry'!#REF!,"AAAAAD/vdYE=")</f>
        <v>#REF!</v>
      </c>
      <c r="EA33" t="e">
        <f>AND('GA55 Entry'!#REF!,"AAAAAD/vdYI=")</f>
        <v>#REF!</v>
      </c>
      <c r="EB33" t="e">
        <f>AND('GA55 Entry'!#REF!,"AAAAAD/vdYM=")</f>
        <v>#REF!</v>
      </c>
      <c r="EC33" t="e">
        <f>AND('GA55 Entry'!#REF!,"AAAAAD/vdYQ=")</f>
        <v>#REF!</v>
      </c>
      <c r="ED33" t="e">
        <f>AND('GA55 Entry'!#REF!,"AAAAAD/vdYU=")</f>
        <v>#REF!</v>
      </c>
      <c r="EE33" t="e">
        <f>AND('GA55 Entry'!#REF!,"AAAAAD/vdYY=")</f>
        <v>#REF!</v>
      </c>
      <c r="EF33" t="e">
        <f>AND('GA55 Entry'!#REF!,"AAAAAD/vdYc=")</f>
        <v>#REF!</v>
      </c>
      <c r="EG33" t="e">
        <f>AND('GA55 Entry'!#REF!,"AAAAAD/vdYg=")</f>
        <v>#REF!</v>
      </c>
      <c r="EH33" t="e">
        <f>AND('GA55 Entry'!#REF!,"AAAAAD/vdYk=")</f>
        <v>#REF!</v>
      </c>
      <c r="EI33" t="e">
        <f>AND('GA55 Entry'!#REF!,"AAAAAD/vdYo=")</f>
        <v>#REF!</v>
      </c>
      <c r="EJ33" t="e">
        <f>AND('GA55 Entry'!#REF!,"AAAAAD/vdYs=")</f>
        <v>#REF!</v>
      </c>
      <c r="EK33" t="e">
        <f>AND('GA55 Entry'!#REF!,"AAAAAD/vdYw=")</f>
        <v>#REF!</v>
      </c>
      <c r="EL33" t="e">
        <f>AND('GA55 Entry'!#REF!,"AAAAAD/vdY0=")</f>
        <v>#REF!</v>
      </c>
      <c r="EM33" t="e">
        <f>AND('GA55 Entry'!#REF!,"AAAAAD/vdY4=")</f>
        <v>#REF!</v>
      </c>
      <c r="EN33" t="e">
        <f>AND('GA55 Entry'!#REF!,"AAAAAD/vdY8=")</f>
        <v>#REF!</v>
      </c>
      <c r="EO33" t="e">
        <f>AND('GA55 Entry'!#REF!,"AAAAAD/vdZA=")</f>
        <v>#REF!</v>
      </c>
      <c r="EP33" t="e">
        <f>AND('GA55 Entry'!#REF!,"AAAAAD/vdZE=")</f>
        <v>#REF!</v>
      </c>
      <c r="EQ33" t="e">
        <f>AND('GA55 Entry'!#REF!,"AAAAAD/vdZI=")</f>
        <v>#REF!</v>
      </c>
      <c r="ER33" t="e">
        <f>AND('GA55 Entry'!#REF!,"AAAAAD/vdZM=")</f>
        <v>#REF!</v>
      </c>
      <c r="ES33" t="e">
        <f>AND('GA55 Entry'!#REF!,"AAAAAD/vdZQ=")</f>
        <v>#REF!</v>
      </c>
      <c r="ET33" t="e">
        <f>AND('GA55 Entry'!#REF!,"AAAAAD/vdZU=")</f>
        <v>#REF!</v>
      </c>
      <c r="EU33" t="e">
        <f>AND('GA55 Entry'!#REF!,"AAAAAD/vdZY=")</f>
        <v>#REF!</v>
      </c>
      <c r="EV33" t="e">
        <f>AND('GA55 Entry'!#REF!,"AAAAAD/vdZc=")</f>
        <v>#REF!</v>
      </c>
      <c r="EW33" t="e">
        <f>AND('GA55 Entry'!#REF!,"AAAAAD/vdZg=")</f>
        <v>#REF!</v>
      </c>
      <c r="EX33" t="e">
        <f>AND('GA55 Entry'!#REF!,"AAAAAD/vdZk=")</f>
        <v>#REF!</v>
      </c>
      <c r="EY33" t="e">
        <f>AND('GA55 Entry'!#REF!,"AAAAAD/vdZo=")</f>
        <v>#REF!</v>
      </c>
      <c r="EZ33" t="e">
        <f>AND('GA55 Entry'!#REF!,"AAAAAD/vdZs=")</f>
        <v>#REF!</v>
      </c>
      <c r="FA33" t="e">
        <f>AND('GA55 Entry'!#REF!,"AAAAAD/vdZw=")</f>
        <v>#REF!</v>
      </c>
      <c r="FB33" t="e">
        <f>AND('GA55 Entry'!#REF!,"AAAAAD/vdZ0=")</f>
        <v>#REF!</v>
      </c>
      <c r="FC33" t="e">
        <f>AND('GA55 Entry'!#REF!,"AAAAAD/vdZ4=")</f>
        <v>#REF!</v>
      </c>
      <c r="FD33" t="e">
        <f>AND('GA55 Entry'!#REF!,"AAAAAD/vdZ8=")</f>
        <v>#REF!</v>
      </c>
      <c r="FE33" t="e">
        <f>IF('GA55 Entry'!#REF!,"AAAAAD/vdaA=",0)</f>
        <v>#REF!</v>
      </c>
      <c r="FF33" t="e">
        <f>AND('GA55 Entry'!#REF!,"AAAAAD/vdaE=")</f>
        <v>#REF!</v>
      </c>
      <c r="FG33" t="e">
        <f>AND('GA55 Entry'!#REF!,"AAAAAD/vdaI=")</f>
        <v>#REF!</v>
      </c>
      <c r="FH33" t="e">
        <f>AND('GA55 Entry'!#REF!,"AAAAAD/vdaM=")</f>
        <v>#REF!</v>
      </c>
      <c r="FI33" t="e">
        <f>AND('GA55 Entry'!#REF!,"AAAAAD/vdaQ=")</f>
        <v>#REF!</v>
      </c>
      <c r="FJ33" t="e">
        <f>AND('GA55 Entry'!#REF!,"AAAAAD/vdaU=")</f>
        <v>#REF!</v>
      </c>
      <c r="FK33" t="e">
        <f>AND('GA55 Entry'!#REF!,"AAAAAD/vdaY=")</f>
        <v>#REF!</v>
      </c>
      <c r="FL33" t="e">
        <f>AND('GA55 Entry'!#REF!,"AAAAAD/vdac=")</f>
        <v>#REF!</v>
      </c>
      <c r="FM33" t="e">
        <f>AND('GA55 Entry'!#REF!,"AAAAAD/vdag=")</f>
        <v>#REF!</v>
      </c>
      <c r="FN33" t="e">
        <f>AND('GA55 Entry'!#REF!,"AAAAAD/vdak=")</f>
        <v>#REF!</v>
      </c>
      <c r="FO33" t="e">
        <f>AND('GA55 Entry'!#REF!,"AAAAAD/vdao=")</f>
        <v>#REF!</v>
      </c>
      <c r="FP33" t="e">
        <f>AND('GA55 Entry'!#REF!,"AAAAAD/vdas=")</f>
        <v>#REF!</v>
      </c>
      <c r="FQ33" t="e">
        <f>AND('GA55 Entry'!#REF!,"AAAAAD/vdaw=")</f>
        <v>#REF!</v>
      </c>
      <c r="FR33" t="e">
        <f>AND('GA55 Entry'!#REF!,"AAAAAD/vda0=")</f>
        <v>#REF!</v>
      </c>
      <c r="FS33" t="e">
        <f>AND('GA55 Entry'!#REF!,"AAAAAD/vda4=")</f>
        <v>#REF!</v>
      </c>
      <c r="FT33" t="e">
        <f>AND('GA55 Entry'!#REF!,"AAAAAD/vda8=")</f>
        <v>#REF!</v>
      </c>
      <c r="FU33" t="e">
        <f>AND('GA55 Entry'!#REF!,"AAAAAD/vdbA=")</f>
        <v>#REF!</v>
      </c>
      <c r="FV33" t="e">
        <f>AND('GA55 Entry'!#REF!,"AAAAAD/vdbE=")</f>
        <v>#REF!</v>
      </c>
      <c r="FW33" t="e">
        <f>AND('GA55 Entry'!#REF!,"AAAAAD/vdbI=")</f>
        <v>#REF!</v>
      </c>
      <c r="FX33" t="e">
        <f>AND('GA55 Entry'!#REF!,"AAAAAD/vdbM=")</f>
        <v>#REF!</v>
      </c>
      <c r="FY33" t="e">
        <f>AND('GA55 Entry'!#REF!,"AAAAAD/vdbQ=")</f>
        <v>#REF!</v>
      </c>
      <c r="FZ33" t="e">
        <f>AND('GA55 Entry'!#REF!,"AAAAAD/vdbU=")</f>
        <v>#REF!</v>
      </c>
      <c r="GA33" t="e">
        <f>AND('GA55 Entry'!#REF!,"AAAAAD/vdbY=")</f>
        <v>#REF!</v>
      </c>
      <c r="GB33" t="e">
        <f>AND('GA55 Entry'!#REF!,"AAAAAD/vdbc=")</f>
        <v>#REF!</v>
      </c>
      <c r="GC33" t="e">
        <f>AND('GA55 Entry'!#REF!,"AAAAAD/vdbg=")</f>
        <v>#REF!</v>
      </c>
      <c r="GD33" t="e">
        <f>AND('GA55 Entry'!#REF!,"AAAAAD/vdbk=")</f>
        <v>#REF!</v>
      </c>
      <c r="GE33" t="e">
        <f>AND('GA55 Entry'!#REF!,"AAAAAD/vdbo=")</f>
        <v>#REF!</v>
      </c>
      <c r="GF33" t="e">
        <f>AND('GA55 Entry'!#REF!,"AAAAAD/vdbs=")</f>
        <v>#REF!</v>
      </c>
      <c r="GG33" t="e">
        <f>AND('GA55 Entry'!#REF!,"AAAAAD/vdbw=")</f>
        <v>#REF!</v>
      </c>
      <c r="GH33" t="e">
        <f>AND('GA55 Entry'!#REF!,"AAAAAD/vdb0=")</f>
        <v>#REF!</v>
      </c>
      <c r="GI33" t="e">
        <f>AND('GA55 Entry'!#REF!,"AAAAAD/vdb4=")</f>
        <v>#REF!</v>
      </c>
      <c r="GJ33" t="e">
        <f>AND('GA55 Entry'!#REF!,"AAAAAD/vdb8=")</f>
        <v>#REF!</v>
      </c>
      <c r="GK33" t="e">
        <f>AND('GA55 Entry'!#REF!,"AAAAAD/vdcA=")</f>
        <v>#REF!</v>
      </c>
      <c r="GL33" t="e">
        <f>AND('GA55 Entry'!#REF!,"AAAAAD/vdcE=")</f>
        <v>#REF!</v>
      </c>
      <c r="GM33" t="e">
        <f>AND('GA55 Entry'!#REF!,"AAAAAD/vdcI=")</f>
        <v>#REF!</v>
      </c>
      <c r="GN33" t="e">
        <f>AND('GA55 Entry'!#REF!,"AAAAAD/vdcM=")</f>
        <v>#REF!</v>
      </c>
      <c r="GO33" t="e">
        <f>AND('GA55 Entry'!#REF!,"AAAAAD/vdcQ=")</f>
        <v>#REF!</v>
      </c>
      <c r="GP33" t="e">
        <f>AND('GA55 Entry'!#REF!,"AAAAAD/vdcU=")</f>
        <v>#REF!</v>
      </c>
      <c r="GQ33" t="e">
        <f>AND('GA55 Entry'!#REF!,"AAAAAD/vdcY=")</f>
        <v>#REF!</v>
      </c>
      <c r="GR33" t="e">
        <f>AND('GA55 Entry'!#REF!,"AAAAAD/vdcc=")</f>
        <v>#REF!</v>
      </c>
      <c r="GS33" t="e">
        <f>AND('GA55 Entry'!#REF!,"AAAAAD/vdcg=")</f>
        <v>#REF!</v>
      </c>
      <c r="GT33" t="e">
        <f>AND('GA55 Entry'!#REF!,"AAAAAD/vdck=")</f>
        <v>#REF!</v>
      </c>
      <c r="GU33" t="e">
        <f>AND('GA55 Entry'!#REF!,"AAAAAD/vdco=")</f>
        <v>#REF!</v>
      </c>
      <c r="GV33" t="e">
        <f>AND('GA55 Entry'!#REF!,"AAAAAD/vdcs=")</f>
        <v>#REF!</v>
      </c>
      <c r="GW33" t="e">
        <f>AND('GA55 Entry'!#REF!,"AAAAAD/vdcw=")</f>
        <v>#REF!</v>
      </c>
      <c r="GX33" t="e">
        <f>AND('GA55 Entry'!#REF!,"AAAAAD/vdc0=")</f>
        <v>#REF!</v>
      </c>
      <c r="GY33" t="e">
        <f>AND('GA55 Entry'!#REF!,"AAAAAD/vdc4=")</f>
        <v>#REF!</v>
      </c>
      <c r="GZ33" t="e">
        <f>AND('GA55 Entry'!#REF!,"AAAAAD/vdc8=")</f>
        <v>#REF!</v>
      </c>
      <c r="HA33" t="e">
        <f>AND('GA55 Entry'!#REF!,"AAAAAD/vddA=")</f>
        <v>#REF!</v>
      </c>
      <c r="HB33" t="e">
        <f>AND('GA55 Entry'!#REF!,"AAAAAD/vddE=")</f>
        <v>#REF!</v>
      </c>
      <c r="HC33" t="e">
        <f>AND('GA55 Entry'!#REF!,"AAAAAD/vddI=")</f>
        <v>#REF!</v>
      </c>
      <c r="HD33" t="e">
        <f>IF('GA55 Entry'!#REF!,"AAAAAD/vddM=",0)</f>
        <v>#REF!</v>
      </c>
      <c r="HE33" t="e">
        <f>AND('GA55 Entry'!#REF!,"AAAAAD/vddQ=")</f>
        <v>#REF!</v>
      </c>
      <c r="HF33" t="e">
        <f>AND('GA55 Entry'!#REF!,"AAAAAD/vddU=")</f>
        <v>#REF!</v>
      </c>
      <c r="HG33" t="e">
        <f>AND('GA55 Entry'!#REF!,"AAAAAD/vddY=")</f>
        <v>#REF!</v>
      </c>
      <c r="HH33" t="e">
        <f>AND('GA55 Entry'!#REF!,"AAAAAD/vddc=")</f>
        <v>#REF!</v>
      </c>
      <c r="HI33" t="e">
        <f>AND('GA55 Entry'!#REF!,"AAAAAD/vddg=")</f>
        <v>#REF!</v>
      </c>
      <c r="HJ33" t="e">
        <f>AND('GA55 Entry'!#REF!,"AAAAAD/vddk=")</f>
        <v>#REF!</v>
      </c>
      <c r="HK33" t="e">
        <f>AND('GA55 Entry'!#REF!,"AAAAAD/vddo=")</f>
        <v>#REF!</v>
      </c>
      <c r="HL33" t="e">
        <f>AND('GA55 Entry'!#REF!,"AAAAAD/vdds=")</f>
        <v>#REF!</v>
      </c>
      <c r="HM33" t="e">
        <f>AND('GA55 Entry'!#REF!,"AAAAAD/vddw=")</f>
        <v>#REF!</v>
      </c>
      <c r="HN33" t="e">
        <f>AND('GA55 Entry'!#REF!,"AAAAAD/vdd0=")</f>
        <v>#REF!</v>
      </c>
      <c r="HO33" t="e">
        <f>AND('GA55 Entry'!#REF!,"AAAAAD/vdd4=")</f>
        <v>#REF!</v>
      </c>
      <c r="HP33" t="e">
        <f>AND('GA55 Entry'!#REF!,"AAAAAD/vdd8=")</f>
        <v>#REF!</v>
      </c>
      <c r="HQ33" t="e">
        <f>AND('GA55 Entry'!#REF!,"AAAAAD/vdeA=")</f>
        <v>#REF!</v>
      </c>
      <c r="HR33" t="e">
        <f>AND('GA55 Entry'!#REF!,"AAAAAD/vdeE=")</f>
        <v>#REF!</v>
      </c>
      <c r="HS33" t="e">
        <f>AND('GA55 Entry'!#REF!,"AAAAAD/vdeI=")</f>
        <v>#REF!</v>
      </c>
      <c r="HT33" t="e">
        <f>AND('GA55 Entry'!#REF!,"AAAAAD/vdeM=")</f>
        <v>#REF!</v>
      </c>
      <c r="HU33" t="e">
        <f>AND('GA55 Entry'!#REF!,"AAAAAD/vdeQ=")</f>
        <v>#REF!</v>
      </c>
      <c r="HV33" t="e">
        <f>AND('GA55 Entry'!#REF!,"AAAAAD/vdeU=")</f>
        <v>#REF!</v>
      </c>
      <c r="HW33" t="e">
        <f>AND('GA55 Entry'!#REF!,"AAAAAD/vdeY=")</f>
        <v>#REF!</v>
      </c>
      <c r="HX33" t="e">
        <f>AND('GA55 Entry'!#REF!,"AAAAAD/vdec=")</f>
        <v>#REF!</v>
      </c>
      <c r="HY33" t="e">
        <f>AND('GA55 Entry'!#REF!,"AAAAAD/vdeg=")</f>
        <v>#REF!</v>
      </c>
      <c r="HZ33" t="e">
        <f>AND('GA55 Entry'!#REF!,"AAAAAD/vdek=")</f>
        <v>#REF!</v>
      </c>
      <c r="IA33" t="e">
        <f>AND('GA55 Entry'!#REF!,"AAAAAD/vdeo=")</f>
        <v>#REF!</v>
      </c>
      <c r="IB33" t="e">
        <f>AND('GA55 Entry'!#REF!,"AAAAAD/vdes=")</f>
        <v>#REF!</v>
      </c>
      <c r="IC33" t="e">
        <f>AND('GA55 Entry'!#REF!,"AAAAAD/vdew=")</f>
        <v>#REF!</v>
      </c>
      <c r="ID33" t="e">
        <f>AND('GA55 Entry'!#REF!,"AAAAAD/vde0=")</f>
        <v>#REF!</v>
      </c>
      <c r="IE33" t="e">
        <f>AND('GA55 Entry'!#REF!,"AAAAAD/vde4=")</f>
        <v>#REF!</v>
      </c>
      <c r="IF33" t="e">
        <f>AND('GA55 Entry'!#REF!,"AAAAAD/vde8=")</f>
        <v>#REF!</v>
      </c>
      <c r="IG33" t="e">
        <f>AND('GA55 Entry'!#REF!,"AAAAAD/vdfA=")</f>
        <v>#REF!</v>
      </c>
      <c r="IH33" t="e">
        <f>AND('GA55 Entry'!#REF!,"AAAAAD/vdfE=")</f>
        <v>#REF!</v>
      </c>
      <c r="II33" t="e">
        <f>AND('GA55 Entry'!#REF!,"AAAAAD/vdfI=")</f>
        <v>#REF!</v>
      </c>
      <c r="IJ33" t="e">
        <f>AND('GA55 Entry'!#REF!,"AAAAAD/vdfM=")</f>
        <v>#REF!</v>
      </c>
      <c r="IK33" t="e">
        <f>AND('GA55 Entry'!#REF!,"AAAAAD/vdfQ=")</f>
        <v>#REF!</v>
      </c>
      <c r="IL33" t="e">
        <f>AND('GA55 Entry'!#REF!,"AAAAAD/vdfU=")</f>
        <v>#REF!</v>
      </c>
      <c r="IM33" t="e">
        <f>AND('GA55 Entry'!#REF!,"AAAAAD/vdfY=")</f>
        <v>#REF!</v>
      </c>
      <c r="IN33" t="e">
        <f>AND('GA55 Entry'!#REF!,"AAAAAD/vdfc=")</f>
        <v>#REF!</v>
      </c>
      <c r="IO33" t="e">
        <f>AND('GA55 Entry'!#REF!,"AAAAAD/vdfg=")</f>
        <v>#REF!</v>
      </c>
      <c r="IP33" t="e">
        <f>AND('GA55 Entry'!#REF!,"AAAAAD/vdfk=")</f>
        <v>#REF!</v>
      </c>
      <c r="IQ33" t="e">
        <f>AND('GA55 Entry'!#REF!,"AAAAAD/vdfo=")</f>
        <v>#REF!</v>
      </c>
      <c r="IR33" t="e">
        <f>AND('GA55 Entry'!#REF!,"AAAAAD/vdfs=")</f>
        <v>#REF!</v>
      </c>
      <c r="IS33" t="e">
        <f>AND('GA55 Entry'!#REF!,"AAAAAD/vdfw=")</f>
        <v>#REF!</v>
      </c>
      <c r="IT33" t="e">
        <f>AND('GA55 Entry'!#REF!,"AAAAAD/vdf0=")</f>
        <v>#REF!</v>
      </c>
      <c r="IU33" t="e">
        <f>AND('GA55 Entry'!#REF!,"AAAAAD/vdf4=")</f>
        <v>#REF!</v>
      </c>
      <c r="IV33" t="e">
        <f>AND('GA55 Entry'!#REF!,"AAAAAD/vdf8=")</f>
        <v>#REF!</v>
      </c>
    </row>
    <row r="34" spans="1:256">
      <c r="A34" t="e">
        <f>AND('GA55 Entry'!#REF!,"AAAAAHvX9wA=")</f>
        <v>#REF!</v>
      </c>
      <c r="B34" t="e">
        <f>AND('GA55 Entry'!#REF!,"AAAAAHvX9wE=")</f>
        <v>#REF!</v>
      </c>
      <c r="C34" t="e">
        <f>AND('GA55 Entry'!#REF!,"AAAAAHvX9wI=")</f>
        <v>#REF!</v>
      </c>
      <c r="D34" t="e">
        <f>AND('GA55 Entry'!#REF!,"AAAAAHvX9wM=")</f>
        <v>#REF!</v>
      </c>
      <c r="E34" t="e">
        <f>AND('GA55 Entry'!#REF!,"AAAAAHvX9wQ=")</f>
        <v>#REF!</v>
      </c>
      <c r="F34" t="e">
        <f>AND('GA55 Entry'!#REF!,"AAAAAHvX9wU=")</f>
        <v>#REF!</v>
      </c>
      <c r="G34" t="e">
        <f>IF('GA55 Entry'!#REF!,"AAAAAHvX9wY=",0)</f>
        <v>#REF!</v>
      </c>
      <c r="H34" t="e">
        <f>AND('GA55 Entry'!#REF!,"AAAAAHvX9wc=")</f>
        <v>#REF!</v>
      </c>
      <c r="I34" t="e">
        <f>AND('GA55 Entry'!#REF!,"AAAAAHvX9wg=")</f>
        <v>#REF!</v>
      </c>
      <c r="J34" t="e">
        <f>AND('GA55 Entry'!#REF!,"AAAAAHvX9wk=")</f>
        <v>#REF!</v>
      </c>
      <c r="K34" t="e">
        <f>AND('GA55 Entry'!#REF!,"AAAAAHvX9wo=")</f>
        <v>#REF!</v>
      </c>
      <c r="L34" t="e">
        <f>AND('GA55 Entry'!#REF!,"AAAAAHvX9ws=")</f>
        <v>#REF!</v>
      </c>
      <c r="M34" t="e">
        <f>AND('GA55 Entry'!#REF!,"AAAAAHvX9ww=")</f>
        <v>#REF!</v>
      </c>
      <c r="N34" t="e">
        <f>AND('GA55 Entry'!#REF!,"AAAAAHvX9w0=")</f>
        <v>#REF!</v>
      </c>
      <c r="O34" t="e">
        <f>AND('GA55 Entry'!#REF!,"AAAAAHvX9w4=")</f>
        <v>#REF!</v>
      </c>
      <c r="P34" t="e">
        <f>AND('GA55 Entry'!#REF!,"AAAAAHvX9w8=")</f>
        <v>#REF!</v>
      </c>
      <c r="Q34" t="e">
        <f>AND('GA55 Entry'!#REF!,"AAAAAHvX9xA=")</f>
        <v>#REF!</v>
      </c>
      <c r="R34" t="e">
        <f>AND('GA55 Entry'!#REF!,"AAAAAHvX9xE=")</f>
        <v>#REF!</v>
      </c>
      <c r="S34" t="e">
        <f>AND('GA55 Entry'!#REF!,"AAAAAHvX9xI=")</f>
        <v>#REF!</v>
      </c>
      <c r="T34" t="e">
        <f>AND('GA55 Entry'!#REF!,"AAAAAHvX9xM=")</f>
        <v>#REF!</v>
      </c>
      <c r="U34" t="e">
        <f>AND('GA55 Entry'!#REF!,"AAAAAHvX9xQ=")</f>
        <v>#REF!</v>
      </c>
      <c r="V34" t="e">
        <f>AND('GA55 Entry'!#REF!,"AAAAAHvX9xU=")</f>
        <v>#REF!</v>
      </c>
      <c r="W34" t="e">
        <f>AND('GA55 Entry'!#REF!,"AAAAAHvX9xY=")</f>
        <v>#REF!</v>
      </c>
      <c r="X34" t="e">
        <f>AND('GA55 Entry'!#REF!,"AAAAAHvX9xc=")</f>
        <v>#REF!</v>
      </c>
      <c r="Y34" t="e">
        <f>AND('GA55 Entry'!#REF!,"AAAAAHvX9xg=")</f>
        <v>#REF!</v>
      </c>
      <c r="Z34" t="e">
        <f>AND('GA55 Entry'!#REF!,"AAAAAHvX9xk=")</f>
        <v>#REF!</v>
      </c>
      <c r="AA34" t="e">
        <f>AND('GA55 Entry'!#REF!,"AAAAAHvX9xo=")</f>
        <v>#REF!</v>
      </c>
      <c r="AB34" t="e">
        <f>AND('GA55 Entry'!#REF!,"AAAAAHvX9xs=")</f>
        <v>#REF!</v>
      </c>
      <c r="AC34" t="e">
        <f>AND('GA55 Entry'!#REF!,"AAAAAHvX9xw=")</f>
        <v>#REF!</v>
      </c>
      <c r="AD34" t="e">
        <f>AND('GA55 Entry'!#REF!,"AAAAAHvX9x0=")</f>
        <v>#REF!</v>
      </c>
      <c r="AE34" t="e">
        <f>AND('GA55 Entry'!#REF!,"AAAAAHvX9x4=")</f>
        <v>#REF!</v>
      </c>
      <c r="AF34" t="e">
        <f>AND('GA55 Entry'!#REF!,"AAAAAHvX9x8=")</f>
        <v>#REF!</v>
      </c>
      <c r="AG34" t="e">
        <f>AND('GA55 Entry'!#REF!,"AAAAAHvX9yA=")</f>
        <v>#REF!</v>
      </c>
      <c r="AH34" t="e">
        <f>AND('GA55 Entry'!#REF!,"AAAAAHvX9yE=")</f>
        <v>#REF!</v>
      </c>
      <c r="AI34" t="e">
        <f>AND('GA55 Entry'!#REF!,"AAAAAHvX9yI=")</f>
        <v>#REF!</v>
      </c>
      <c r="AJ34" t="e">
        <f>AND('GA55 Entry'!#REF!,"AAAAAHvX9yM=")</f>
        <v>#REF!</v>
      </c>
      <c r="AK34" t="e">
        <f>AND('GA55 Entry'!#REF!,"AAAAAHvX9yQ=")</f>
        <v>#REF!</v>
      </c>
      <c r="AL34" t="e">
        <f>AND('GA55 Entry'!#REF!,"AAAAAHvX9yU=")</f>
        <v>#REF!</v>
      </c>
      <c r="AM34" t="e">
        <f>AND('GA55 Entry'!#REF!,"AAAAAHvX9yY=")</f>
        <v>#REF!</v>
      </c>
      <c r="AN34" t="e">
        <f>AND('GA55 Entry'!#REF!,"AAAAAHvX9yc=")</f>
        <v>#REF!</v>
      </c>
      <c r="AO34" t="e">
        <f>AND('GA55 Entry'!#REF!,"AAAAAHvX9yg=")</f>
        <v>#REF!</v>
      </c>
      <c r="AP34" t="e">
        <f>AND('GA55 Entry'!#REF!,"AAAAAHvX9yk=")</f>
        <v>#REF!</v>
      </c>
      <c r="AQ34" t="e">
        <f>AND('GA55 Entry'!#REF!,"AAAAAHvX9yo=")</f>
        <v>#REF!</v>
      </c>
      <c r="AR34" t="e">
        <f>AND('GA55 Entry'!#REF!,"AAAAAHvX9ys=")</f>
        <v>#REF!</v>
      </c>
      <c r="AS34" t="e">
        <f>AND('GA55 Entry'!#REF!,"AAAAAHvX9yw=")</f>
        <v>#REF!</v>
      </c>
      <c r="AT34" t="e">
        <f>AND('GA55 Entry'!#REF!,"AAAAAHvX9y0=")</f>
        <v>#REF!</v>
      </c>
      <c r="AU34" t="e">
        <f>AND('GA55 Entry'!#REF!,"AAAAAHvX9y4=")</f>
        <v>#REF!</v>
      </c>
      <c r="AV34" t="e">
        <f>AND('GA55 Entry'!#REF!,"AAAAAHvX9y8=")</f>
        <v>#REF!</v>
      </c>
      <c r="AW34" t="e">
        <f>AND('GA55 Entry'!#REF!,"AAAAAHvX9zA=")</f>
        <v>#REF!</v>
      </c>
      <c r="AX34" t="e">
        <f>AND('GA55 Entry'!#REF!,"AAAAAHvX9zE=")</f>
        <v>#REF!</v>
      </c>
      <c r="AY34" t="e">
        <f>AND('GA55 Entry'!#REF!,"AAAAAHvX9zI=")</f>
        <v>#REF!</v>
      </c>
      <c r="AZ34" t="e">
        <f>AND('GA55 Entry'!#REF!,"AAAAAHvX9zM=")</f>
        <v>#REF!</v>
      </c>
      <c r="BA34" t="e">
        <f>AND('GA55 Entry'!#REF!,"AAAAAHvX9zQ=")</f>
        <v>#REF!</v>
      </c>
      <c r="BB34" t="e">
        <f>AND('GA55 Entry'!#REF!,"AAAAAHvX9zU=")</f>
        <v>#REF!</v>
      </c>
      <c r="BC34" t="e">
        <f>AND('GA55 Entry'!#REF!,"AAAAAHvX9zY=")</f>
        <v>#REF!</v>
      </c>
      <c r="BD34" t="e">
        <f>AND('GA55 Entry'!#REF!,"AAAAAHvX9zc=")</f>
        <v>#REF!</v>
      </c>
      <c r="BE34" t="e">
        <f>AND('GA55 Entry'!#REF!,"AAAAAHvX9zg=")</f>
        <v>#REF!</v>
      </c>
      <c r="BF34" t="e">
        <f>IF('GA55 Entry'!#REF!,"AAAAAHvX9zk=",0)</f>
        <v>#REF!</v>
      </c>
      <c r="BG34" t="e">
        <f>AND('GA55 Entry'!#REF!,"AAAAAHvX9zo=")</f>
        <v>#REF!</v>
      </c>
      <c r="BH34" t="e">
        <f>AND('GA55 Entry'!#REF!,"AAAAAHvX9zs=")</f>
        <v>#REF!</v>
      </c>
      <c r="BI34" t="e">
        <f>AND('GA55 Entry'!#REF!,"AAAAAHvX9zw=")</f>
        <v>#REF!</v>
      </c>
      <c r="BJ34" t="e">
        <f>AND('GA55 Entry'!#REF!,"AAAAAHvX9z0=")</f>
        <v>#REF!</v>
      </c>
      <c r="BK34" t="e">
        <f>AND('GA55 Entry'!#REF!,"AAAAAHvX9z4=")</f>
        <v>#REF!</v>
      </c>
      <c r="BL34" t="e">
        <f>AND('GA55 Entry'!#REF!,"AAAAAHvX9z8=")</f>
        <v>#REF!</v>
      </c>
      <c r="BM34" t="e">
        <f>AND('GA55 Entry'!#REF!,"AAAAAHvX90A=")</f>
        <v>#REF!</v>
      </c>
      <c r="BN34" t="e">
        <f>AND('GA55 Entry'!#REF!,"AAAAAHvX90E=")</f>
        <v>#REF!</v>
      </c>
      <c r="BO34" t="e">
        <f>AND('GA55 Entry'!#REF!,"AAAAAHvX90I=")</f>
        <v>#REF!</v>
      </c>
      <c r="BP34" t="e">
        <f>AND('GA55 Entry'!#REF!,"AAAAAHvX90M=")</f>
        <v>#REF!</v>
      </c>
      <c r="BQ34" t="e">
        <f>AND('GA55 Entry'!#REF!,"AAAAAHvX90Q=")</f>
        <v>#REF!</v>
      </c>
      <c r="BR34" t="e">
        <f>AND('GA55 Entry'!#REF!,"AAAAAHvX90U=")</f>
        <v>#REF!</v>
      </c>
      <c r="BS34" t="e">
        <f>AND('GA55 Entry'!#REF!,"AAAAAHvX90Y=")</f>
        <v>#REF!</v>
      </c>
      <c r="BT34" t="e">
        <f>AND('GA55 Entry'!#REF!,"AAAAAHvX90c=")</f>
        <v>#REF!</v>
      </c>
      <c r="BU34" t="e">
        <f>AND('GA55 Entry'!#REF!,"AAAAAHvX90g=")</f>
        <v>#REF!</v>
      </c>
      <c r="BV34" t="e">
        <f>AND('GA55 Entry'!#REF!,"AAAAAHvX90k=")</f>
        <v>#REF!</v>
      </c>
      <c r="BW34" t="e">
        <f>AND('GA55 Entry'!#REF!,"AAAAAHvX90o=")</f>
        <v>#REF!</v>
      </c>
      <c r="BX34" t="e">
        <f>AND('GA55 Entry'!#REF!,"AAAAAHvX90s=")</f>
        <v>#REF!</v>
      </c>
      <c r="BY34" t="e">
        <f>AND('GA55 Entry'!#REF!,"AAAAAHvX90w=")</f>
        <v>#REF!</v>
      </c>
      <c r="BZ34" t="e">
        <f>AND('GA55 Entry'!#REF!,"AAAAAHvX900=")</f>
        <v>#REF!</v>
      </c>
      <c r="CA34" t="e">
        <f>AND('GA55 Entry'!#REF!,"AAAAAHvX904=")</f>
        <v>#REF!</v>
      </c>
      <c r="CB34" t="e">
        <f>AND('GA55 Entry'!#REF!,"AAAAAHvX908=")</f>
        <v>#REF!</v>
      </c>
      <c r="CC34" t="e">
        <f>AND('GA55 Entry'!#REF!,"AAAAAHvX91A=")</f>
        <v>#REF!</v>
      </c>
      <c r="CD34" t="e">
        <f>AND('GA55 Entry'!#REF!,"AAAAAHvX91E=")</f>
        <v>#REF!</v>
      </c>
      <c r="CE34" t="e">
        <f>AND('GA55 Entry'!#REF!,"AAAAAHvX91I=")</f>
        <v>#REF!</v>
      </c>
      <c r="CF34" t="e">
        <f>AND('GA55 Entry'!#REF!,"AAAAAHvX91M=")</f>
        <v>#REF!</v>
      </c>
      <c r="CG34" t="e">
        <f>AND('GA55 Entry'!#REF!,"AAAAAHvX91Q=")</f>
        <v>#REF!</v>
      </c>
      <c r="CH34" t="e">
        <f>AND('GA55 Entry'!#REF!,"AAAAAHvX91U=")</f>
        <v>#REF!</v>
      </c>
      <c r="CI34" t="e">
        <f>AND('GA55 Entry'!#REF!,"AAAAAHvX91Y=")</f>
        <v>#REF!</v>
      </c>
      <c r="CJ34" t="e">
        <f>AND('GA55 Entry'!#REF!,"AAAAAHvX91c=")</f>
        <v>#REF!</v>
      </c>
      <c r="CK34" t="e">
        <f>AND('GA55 Entry'!#REF!,"AAAAAHvX91g=")</f>
        <v>#REF!</v>
      </c>
      <c r="CL34" t="e">
        <f>AND('GA55 Entry'!#REF!,"AAAAAHvX91k=")</f>
        <v>#REF!</v>
      </c>
      <c r="CM34" t="e">
        <f>AND('GA55 Entry'!#REF!,"AAAAAHvX91o=")</f>
        <v>#REF!</v>
      </c>
      <c r="CN34" t="e">
        <f>AND('GA55 Entry'!#REF!,"AAAAAHvX91s=")</f>
        <v>#REF!</v>
      </c>
      <c r="CO34" t="e">
        <f>AND('GA55 Entry'!#REF!,"AAAAAHvX91w=")</f>
        <v>#REF!</v>
      </c>
      <c r="CP34" t="e">
        <f>AND('GA55 Entry'!#REF!,"AAAAAHvX910=")</f>
        <v>#REF!</v>
      </c>
      <c r="CQ34" t="e">
        <f>AND('GA55 Entry'!#REF!,"AAAAAHvX914=")</f>
        <v>#REF!</v>
      </c>
      <c r="CR34" t="e">
        <f>AND('GA55 Entry'!#REF!,"AAAAAHvX918=")</f>
        <v>#REF!</v>
      </c>
      <c r="CS34" t="e">
        <f>AND('GA55 Entry'!#REF!,"AAAAAHvX92A=")</f>
        <v>#REF!</v>
      </c>
      <c r="CT34" t="e">
        <f>AND('GA55 Entry'!#REF!,"AAAAAHvX92E=")</f>
        <v>#REF!</v>
      </c>
      <c r="CU34" t="e">
        <f>AND('GA55 Entry'!#REF!,"AAAAAHvX92I=")</f>
        <v>#REF!</v>
      </c>
      <c r="CV34" t="e">
        <f>AND('GA55 Entry'!#REF!,"AAAAAHvX92M=")</f>
        <v>#REF!</v>
      </c>
      <c r="CW34" t="e">
        <f>AND('GA55 Entry'!#REF!,"AAAAAHvX92Q=")</f>
        <v>#REF!</v>
      </c>
      <c r="CX34" t="e">
        <f>AND('GA55 Entry'!#REF!,"AAAAAHvX92U=")</f>
        <v>#REF!</v>
      </c>
      <c r="CY34" t="e">
        <f>AND('GA55 Entry'!#REF!,"AAAAAHvX92Y=")</f>
        <v>#REF!</v>
      </c>
      <c r="CZ34" t="e">
        <f>AND('GA55 Entry'!#REF!,"AAAAAHvX92c=")</f>
        <v>#REF!</v>
      </c>
      <c r="DA34" t="e">
        <f>AND('GA55 Entry'!#REF!,"AAAAAHvX92g=")</f>
        <v>#REF!</v>
      </c>
      <c r="DB34" t="e">
        <f>AND('GA55 Entry'!#REF!,"AAAAAHvX92k=")</f>
        <v>#REF!</v>
      </c>
      <c r="DC34" t="e">
        <f>AND('GA55 Entry'!#REF!,"AAAAAHvX92o=")</f>
        <v>#REF!</v>
      </c>
      <c r="DD34" t="e">
        <f>AND('GA55 Entry'!#REF!,"AAAAAHvX92s=")</f>
        <v>#REF!</v>
      </c>
      <c r="DE34" t="e">
        <f>IF('GA55 Entry'!#REF!,"AAAAAHvX92w=",0)</f>
        <v>#REF!</v>
      </c>
      <c r="DF34" t="e">
        <f>AND('GA55 Entry'!#REF!,"AAAAAHvX920=")</f>
        <v>#REF!</v>
      </c>
      <c r="DG34" t="e">
        <f>AND('GA55 Entry'!#REF!,"AAAAAHvX924=")</f>
        <v>#REF!</v>
      </c>
      <c r="DH34" t="e">
        <f>AND('GA55 Entry'!#REF!,"AAAAAHvX928=")</f>
        <v>#REF!</v>
      </c>
      <c r="DI34" t="e">
        <f>AND('GA55 Entry'!#REF!,"AAAAAHvX93A=")</f>
        <v>#REF!</v>
      </c>
      <c r="DJ34" t="e">
        <f>AND('GA55 Entry'!#REF!,"AAAAAHvX93E=")</f>
        <v>#REF!</v>
      </c>
      <c r="DK34" t="e">
        <f>AND('GA55 Entry'!#REF!,"AAAAAHvX93I=")</f>
        <v>#REF!</v>
      </c>
      <c r="DL34" t="e">
        <f>AND('GA55 Entry'!#REF!,"AAAAAHvX93M=")</f>
        <v>#REF!</v>
      </c>
      <c r="DM34" t="e">
        <f>AND('GA55 Entry'!#REF!,"AAAAAHvX93Q=")</f>
        <v>#REF!</v>
      </c>
      <c r="DN34" t="e">
        <f>AND('GA55 Entry'!#REF!,"AAAAAHvX93U=")</f>
        <v>#REF!</v>
      </c>
      <c r="DO34" t="e">
        <f>AND('GA55 Entry'!#REF!,"AAAAAHvX93Y=")</f>
        <v>#REF!</v>
      </c>
      <c r="DP34" t="e">
        <f>AND('GA55 Entry'!#REF!,"AAAAAHvX93c=")</f>
        <v>#REF!</v>
      </c>
      <c r="DQ34" t="e">
        <f>AND('GA55 Entry'!#REF!,"AAAAAHvX93g=")</f>
        <v>#REF!</v>
      </c>
      <c r="DR34" t="e">
        <f>AND('GA55 Entry'!#REF!,"AAAAAHvX93k=")</f>
        <v>#REF!</v>
      </c>
      <c r="DS34" t="e">
        <f>AND('GA55 Entry'!#REF!,"AAAAAHvX93o=")</f>
        <v>#REF!</v>
      </c>
      <c r="DT34" t="e">
        <f>AND('GA55 Entry'!#REF!,"AAAAAHvX93s=")</f>
        <v>#REF!</v>
      </c>
      <c r="DU34" t="e">
        <f>AND('GA55 Entry'!#REF!,"AAAAAHvX93w=")</f>
        <v>#REF!</v>
      </c>
      <c r="DV34" t="e">
        <f>AND('GA55 Entry'!#REF!,"AAAAAHvX930=")</f>
        <v>#REF!</v>
      </c>
      <c r="DW34" t="e">
        <f>AND('GA55 Entry'!#REF!,"AAAAAHvX934=")</f>
        <v>#REF!</v>
      </c>
      <c r="DX34" t="e">
        <f>AND('GA55 Entry'!#REF!,"AAAAAHvX938=")</f>
        <v>#REF!</v>
      </c>
      <c r="DY34" t="e">
        <f>AND('GA55 Entry'!#REF!,"AAAAAHvX94A=")</f>
        <v>#REF!</v>
      </c>
      <c r="DZ34" t="e">
        <f>AND('GA55 Entry'!#REF!,"AAAAAHvX94E=")</f>
        <v>#REF!</v>
      </c>
      <c r="EA34" t="e">
        <f>AND('GA55 Entry'!#REF!,"AAAAAHvX94I=")</f>
        <v>#REF!</v>
      </c>
      <c r="EB34" t="e">
        <f>AND('GA55 Entry'!#REF!,"AAAAAHvX94M=")</f>
        <v>#REF!</v>
      </c>
      <c r="EC34" t="e">
        <f>AND('GA55 Entry'!#REF!,"AAAAAHvX94Q=")</f>
        <v>#REF!</v>
      </c>
      <c r="ED34" t="e">
        <f>AND('GA55 Entry'!#REF!,"AAAAAHvX94U=")</f>
        <v>#REF!</v>
      </c>
      <c r="EE34" t="e">
        <f>AND('GA55 Entry'!#REF!,"AAAAAHvX94Y=")</f>
        <v>#REF!</v>
      </c>
      <c r="EF34" t="e">
        <f>AND('GA55 Entry'!#REF!,"AAAAAHvX94c=")</f>
        <v>#REF!</v>
      </c>
      <c r="EG34" t="e">
        <f>AND('GA55 Entry'!#REF!,"AAAAAHvX94g=")</f>
        <v>#REF!</v>
      </c>
      <c r="EH34" t="e">
        <f>AND('GA55 Entry'!#REF!,"AAAAAHvX94k=")</f>
        <v>#REF!</v>
      </c>
      <c r="EI34" t="e">
        <f>AND('GA55 Entry'!#REF!,"AAAAAHvX94o=")</f>
        <v>#REF!</v>
      </c>
      <c r="EJ34" t="e">
        <f>AND('GA55 Entry'!#REF!,"AAAAAHvX94s=")</f>
        <v>#REF!</v>
      </c>
      <c r="EK34" t="e">
        <f>AND('GA55 Entry'!#REF!,"AAAAAHvX94w=")</f>
        <v>#REF!</v>
      </c>
      <c r="EL34" t="e">
        <f>AND('GA55 Entry'!#REF!,"AAAAAHvX940=")</f>
        <v>#REF!</v>
      </c>
      <c r="EM34" t="e">
        <f>AND('GA55 Entry'!#REF!,"AAAAAHvX944=")</f>
        <v>#REF!</v>
      </c>
      <c r="EN34" t="e">
        <f>AND('GA55 Entry'!#REF!,"AAAAAHvX948=")</f>
        <v>#REF!</v>
      </c>
      <c r="EO34" t="e">
        <f>AND('GA55 Entry'!#REF!,"AAAAAHvX95A=")</f>
        <v>#REF!</v>
      </c>
      <c r="EP34" t="e">
        <f>AND('GA55 Entry'!#REF!,"AAAAAHvX95E=")</f>
        <v>#REF!</v>
      </c>
      <c r="EQ34" t="e">
        <f>AND('GA55 Entry'!#REF!,"AAAAAHvX95I=")</f>
        <v>#REF!</v>
      </c>
      <c r="ER34" t="e">
        <f>AND('GA55 Entry'!#REF!,"AAAAAHvX95M=")</f>
        <v>#REF!</v>
      </c>
      <c r="ES34" t="e">
        <f>AND('GA55 Entry'!#REF!,"AAAAAHvX95Q=")</f>
        <v>#REF!</v>
      </c>
      <c r="ET34" t="e">
        <f>AND('GA55 Entry'!#REF!,"AAAAAHvX95U=")</f>
        <v>#REF!</v>
      </c>
      <c r="EU34" t="e">
        <f>AND('GA55 Entry'!#REF!,"AAAAAHvX95Y=")</f>
        <v>#REF!</v>
      </c>
      <c r="EV34" t="e">
        <f>AND('GA55 Entry'!#REF!,"AAAAAHvX95c=")</f>
        <v>#REF!</v>
      </c>
      <c r="EW34" t="e">
        <f>AND('GA55 Entry'!#REF!,"AAAAAHvX95g=")</f>
        <v>#REF!</v>
      </c>
      <c r="EX34" t="e">
        <f>AND('GA55 Entry'!#REF!,"AAAAAHvX95k=")</f>
        <v>#REF!</v>
      </c>
      <c r="EY34" t="e">
        <f>AND('GA55 Entry'!#REF!,"AAAAAHvX95o=")</f>
        <v>#REF!</v>
      </c>
      <c r="EZ34" t="e">
        <f>AND('GA55 Entry'!#REF!,"AAAAAHvX95s=")</f>
        <v>#REF!</v>
      </c>
      <c r="FA34" t="e">
        <f>AND('GA55 Entry'!#REF!,"AAAAAHvX95w=")</f>
        <v>#REF!</v>
      </c>
      <c r="FB34" t="e">
        <f>AND('GA55 Entry'!#REF!,"AAAAAHvX950=")</f>
        <v>#REF!</v>
      </c>
      <c r="FC34" t="e">
        <f>AND('GA55 Entry'!#REF!,"AAAAAHvX954=")</f>
        <v>#REF!</v>
      </c>
      <c r="FD34">
        <f>IF('GA55 Entry'!22:22,"AAAAAHvX958=",0)</f>
        <v>0</v>
      </c>
      <c r="FE34" t="e">
        <f>AND('GA55 Entry'!B22,"AAAAAHvX96A=")</f>
        <v>#VALUE!</v>
      </c>
      <c r="FF34" t="e">
        <f>AND('GA55 Entry'!#REF!,"AAAAAHvX96E=")</f>
        <v>#REF!</v>
      </c>
      <c r="FG34" t="e">
        <f>AND('GA55 Entry'!C22,"AAAAAHvX96I=")</f>
        <v>#VALUE!</v>
      </c>
      <c r="FH34" t="e">
        <f>AND('GA55 Entry'!#REF!,"AAAAAHvX96M=")</f>
        <v>#REF!</v>
      </c>
      <c r="FI34" t="e">
        <f>AND('GA55 Entry'!#REF!,"AAAAAHvX96Q=")</f>
        <v>#REF!</v>
      </c>
      <c r="FJ34" t="e">
        <f>AND('GA55 Entry'!#REF!,"AAAAAHvX96U=")</f>
        <v>#REF!</v>
      </c>
      <c r="FK34" t="e">
        <f>AND('GA55 Entry'!#REF!,"AAAAAHvX96Y=")</f>
        <v>#REF!</v>
      </c>
      <c r="FL34" t="e">
        <f>AND('GA55 Entry'!#REF!,"AAAAAHvX96c=")</f>
        <v>#REF!</v>
      </c>
      <c r="FM34" t="e">
        <f>AND('GA55 Entry'!D22,"AAAAAHvX96g=")</f>
        <v>#VALUE!</v>
      </c>
      <c r="FN34" t="e">
        <f>AND('GA55 Entry'!#REF!,"AAAAAHvX96k=")</f>
        <v>#REF!</v>
      </c>
      <c r="FO34" t="e">
        <f>AND('GA55 Entry'!E22,"AAAAAHvX96o=")</f>
        <v>#VALUE!</v>
      </c>
      <c r="FP34" t="e">
        <f>AND('GA55 Entry'!F22,"AAAAAHvX96s=")</f>
        <v>#VALUE!</v>
      </c>
      <c r="FQ34" t="e">
        <f>AND('GA55 Entry'!G22,"AAAAAHvX96w=")</f>
        <v>#VALUE!</v>
      </c>
      <c r="FR34" t="e">
        <f>AND('GA55 Entry'!H22,"AAAAAHvX960=")</f>
        <v>#VALUE!</v>
      </c>
      <c r="FS34" t="e">
        <f>AND('GA55 Entry'!I22,"AAAAAHvX964=")</f>
        <v>#VALUE!</v>
      </c>
      <c r="FT34" t="e">
        <f>AND('GA55 Entry'!J22,"AAAAAHvX968=")</f>
        <v>#VALUE!</v>
      </c>
      <c r="FU34" t="e">
        <f>AND('GA55 Entry'!#REF!,"AAAAAHvX97A=")</f>
        <v>#REF!</v>
      </c>
      <c r="FV34" t="e">
        <f>AND('GA55 Entry'!K22,"AAAAAHvX97E=")</f>
        <v>#VALUE!</v>
      </c>
      <c r="FW34" t="e">
        <f>AND('GA55 Entry'!L22,"AAAAAHvX97I=")</f>
        <v>#VALUE!</v>
      </c>
      <c r="FX34" t="e">
        <f>AND('GA55 Entry'!M22,"AAAAAHvX97M=")</f>
        <v>#VALUE!</v>
      </c>
      <c r="FY34" t="e">
        <f>AND('GA55 Entry'!N22,"AAAAAHvX97Q=")</f>
        <v>#VALUE!</v>
      </c>
      <c r="FZ34" t="e">
        <f>AND('GA55 Entry'!O22,"AAAAAHvX97U=")</f>
        <v>#VALUE!</v>
      </c>
      <c r="GA34" t="e">
        <f>AND('GA55 Entry'!P22,"AAAAAHvX97Y=")</f>
        <v>#VALUE!</v>
      </c>
      <c r="GB34" t="e">
        <f>AND('GA55 Entry'!Q22,"AAAAAHvX97c=")</f>
        <v>#VALUE!</v>
      </c>
      <c r="GC34" t="e">
        <f>AND('GA55 Entry'!S22,"AAAAAHvX97g=")</f>
        <v>#VALUE!</v>
      </c>
      <c r="GD34" t="e">
        <f>AND('GA55 Entry'!#REF!,"AAAAAHvX97k=")</f>
        <v>#REF!</v>
      </c>
      <c r="GE34" t="e">
        <f>AND('GA55 Entry'!T22,"AAAAAHvX97o=")</f>
        <v>#VALUE!</v>
      </c>
      <c r="GF34" t="e">
        <f>AND('GA55 Entry'!U22,"AAAAAHvX97s=")</f>
        <v>#VALUE!</v>
      </c>
      <c r="GG34" t="e">
        <f>AND('GA55 Entry'!V22,"AAAAAHvX97w=")</f>
        <v>#VALUE!</v>
      </c>
      <c r="GH34" t="e">
        <f>AND('GA55 Entry'!#REF!,"AAAAAHvX970=")</f>
        <v>#REF!</v>
      </c>
      <c r="GI34" t="e">
        <f>AND('GA55 Entry'!#REF!,"AAAAAHvX974=")</f>
        <v>#REF!</v>
      </c>
      <c r="GJ34" t="e">
        <f>AND('GA55 Entry'!X22,"AAAAAHvX978=")</f>
        <v>#VALUE!</v>
      </c>
      <c r="GK34" t="e">
        <f>AND('GA55 Entry'!Y22,"AAAAAHvX98A=")</f>
        <v>#VALUE!</v>
      </c>
      <c r="GL34" t="e">
        <f>AND('GA55 Entry'!#REF!,"AAAAAHvX98E=")</f>
        <v>#REF!</v>
      </c>
      <c r="GM34" t="e">
        <f>AND('GA55 Entry'!#REF!,"AAAAAHvX98I=")</f>
        <v>#REF!</v>
      </c>
      <c r="GN34" t="e">
        <f>AND('GA55 Entry'!#REF!,"AAAAAHvX98M=")</f>
        <v>#REF!</v>
      </c>
      <c r="GO34" t="e">
        <f>AND('GA55 Entry'!#REF!,"AAAAAHvX98Q=")</f>
        <v>#REF!</v>
      </c>
      <c r="GP34" t="e">
        <f>AND('GA55 Entry'!#REF!,"AAAAAHvX98U=")</f>
        <v>#REF!</v>
      </c>
      <c r="GQ34" t="e">
        <f>AND('GA55 Entry'!#REF!,"AAAAAHvX98Y=")</f>
        <v>#REF!</v>
      </c>
      <c r="GR34" t="e">
        <f>AND('GA55 Entry'!#REF!,"AAAAAHvX98c=")</f>
        <v>#REF!</v>
      </c>
      <c r="GS34" t="e">
        <f>AND('GA55 Entry'!#REF!,"AAAAAHvX98g=")</f>
        <v>#REF!</v>
      </c>
      <c r="GT34" t="e">
        <f>AND('GA55 Entry'!#REF!,"AAAAAHvX98k=")</f>
        <v>#REF!</v>
      </c>
      <c r="GU34" t="e">
        <f>AND('GA55 Entry'!Z22,"AAAAAHvX98o=")</f>
        <v>#VALUE!</v>
      </c>
      <c r="GV34" t="e">
        <f>AND('GA55 Entry'!AA22,"AAAAAHvX98s=")</f>
        <v>#VALUE!</v>
      </c>
      <c r="GW34" t="e">
        <f>AND('GA55 Entry'!#REF!,"AAAAAHvX98w=")</f>
        <v>#REF!</v>
      </c>
      <c r="GX34" t="e">
        <f>AND('GA55 Entry'!#REF!,"AAAAAHvX980=")</f>
        <v>#REF!</v>
      </c>
      <c r="GY34" t="e">
        <f>AND('GA55 Entry'!#REF!,"AAAAAHvX984=")</f>
        <v>#REF!</v>
      </c>
      <c r="GZ34" t="e">
        <f>AND('GA55 Entry'!AB22,"AAAAAHvX988=")</f>
        <v>#VALUE!</v>
      </c>
      <c r="HA34" t="e">
        <f>AND('GA55 Entry'!AC22,"AAAAAHvX99A=")</f>
        <v>#VALUE!</v>
      </c>
      <c r="HB34" t="e">
        <f>AND('GA55 Entry'!#REF!,"AAAAAHvX99E=")</f>
        <v>#REF!</v>
      </c>
      <c r="HC34" t="e">
        <f>IF('GA55 Entry'!#REF!,"AAAAAHvX99I=",0)</f>
        <v>#REF!</v>
      </c>
      <c r="HD34" t="e">
        <f>AND('GA55 Entry'!#REF!,"AAAAAHvX99M=")</f>
        <v>#REF!</v>
      </c>
      <c r="HE34" t="e">
        <f>AND('GA55 Entry'!#REF!,"AAAAAHvX99Q=")</f>
        <v>#REF!</v>
      </c>
      <c r="HF34" t="e">
        <f>AND('GA55 Entry'!#REF!,"AAAAAHvX99U=")</f>
        <v>#REF!</v>
      </c>
      <c r="HG34" t="e">
        <f>AND('GA55 Entry'!#REF!,"AAAAAHvX99Y=")</f>
        <v>#REF!</v>
      </c>
      <c r="HH34" t="e">
        <f>AND('GA55 Entry'!#REF!,"AAAAAHvX99c=")</f>
        <v>#REF!</v>
      </c>
      <c r="HI34" t="e">
        <f>AND('GA55 Entry'!#REF!,"AAAAAHvX99g=")</f>
        <v>#REF!</v>
      </c>
      <c r="HJ34" t="e">
        <f>AND('GA55 Entry'!#REF!,"AAAAAHvX99k=")</f>
        <v>#REF!</v>
      </c>
      <c r="HK34" t="e">
        <f>AND('GA55 Entry'!#REF!,"AAAAAHvX99o=")</f>
        <v>#REF!</v>
      </c>
      <c r="HL34" t="e">
        <f>AND('GA55 Entry'!#REF!,"AAAAAHvX99s=")</f>
        <v>#REF!</v>
      </c>
      <c r="HM34" t="e">
        <f>AND('GA55 Entry'!#REF!,"AAAAAHvX99w=")</f>
        <v>#REF!</v>
      </c>
      <c r="HN34" t="e">
        <f>AND('GA55 Entry'!#REF!,"AAAAAHvX990=")</f>
        <v>#REF!</v>
      </c>
      <c r="HO34" t="e">
        <f>AND('GA55 Entry'!#REF!,"AAAAAHvX994=")</f>
        <v>#REF!</v>
      </c>
      <c r="HP34" t="e">
        <f>AND('GA55 Entry'!#REF!,"AAAAAHvX998=")</f>
        <v>#REF!</v>
      </c>
      <c r="HQ34" t="e">
        <f>AND('GA55 Entry'!#REF!,"AAAAAHvX9+A=")</f>
        <v>#REF!</v>
      </c>
      <c r="HR34" t="e">
        <f>AND('GA55 Entry'!#REF!,"AAAAAHvX9+E=")</f>
        <v>#REF!</v>
      </c>
      <c r="HS34" t="e">
        <f>AND('GA55 Entry'!#REF!,"AAAAAHvX9+I=")</f>
        <v>#REF!</v>
      </c>
      <c r="HT34" t="e">
        <f>AND('GA55 Entry'!#REF!,"AAAAAHvX9+M=")</f>
        <v>#REF!</v>
      </c>
      <c r="HU34" t="e">
        <f>AND('GA55 Entry'!#REF!,"AAAAAHvX9+Q=")</f>
        <v>#REF!</v>
      </c>
      <c r="HV34" t="e">
        <f>AND('GA55 Entry'!#REF!,"AAAAAHvX9+U=")</f>
        <v>#REF!</v>
      </c>
      <c r="HW34" t="e">
        <f>AND('GA55 Entry'!#REF!,"AAAAAHvX9+Y=")</f>
        <v>#REF!</v>
      </c>
      <c r="HX34" t="e">
        <f>AND('GA55 Entry'!#REF!,"AAAAAHvX9+c=")</f>
        <v>#REF!</v>
      </c>
      <c r="HY34" t="e">
        <f>AND('GA55 Entry'!#REF!,"AAAAAHvX9+g=")</f>
        <v>#REF!</v>
      </c>
      <c r="HZ34" t="e">
        <f>AND('GA55 Entry'!#REF!,"AAAAAHvX9+k=")</f>
        <v>#REF!</v>
      </c>
      <c r="IA34" t="e">
        <f>AND('GA55 Entry'!#REF!,"AAAAAHvX9+o=")</f>
        <v>#REF!</v>
      </c>
      <c r="IB34" t="e">
        <f>AND('GA55 Entry'!#REF!,"AAAAAHvX9+s=")</f>
        <v>#REF!</v>
      </c>
      <c r="IC34" t="e">
        <f>AND('GA55 Entry'!#REF!,"AAAAAHvX9+w=")</f>
        <v>#REF!</v>
      </c>
      <c r="ID34" t="e">
        <f>AND('GA55 Entry'!#REF!,"AAAAAHvX9+0=")</f>
        <v>#REF!</v>
      </c>
      <c r="IE34" t="e">
        <f>AND('GA55 Entry'!#REF!,"AAAAAHvX9+4=")</f>
        <v>#REF!</v>
      </c>
      <c r="IF34" t="e">
        <f>AND('GA55 Entry'!#REF!,"AAAAAHvX9+8=")</f>
        <v>#REF!</v>
      </c>
      <c r="IG34" t="e">
        <f>AND('GA55 Entry'!#REF!,"AAAAAHvX9/A=")</f>
        <v>#REF!</v>
      </c>
      <c r="IH34" t="e">
        <f>AND('GA55 Entry'!#REF!,"AAAAAHvX9/E=")</f>
        <v>#REF!</v>
      </c>
      <c r="II34" t="e">
        <f>AND('GA55 Entry'!#REF!,"AAAAAHvX9/I=")</f>
        <v>#REF!</v>
      </c>
      <c r="IJ34" t="e">
        <f>AND('GA55 Entry'!#REF!,"AAAAAHvX9/M=")</f>
        <v>#REF!</v>
      </c>
      <c r="IK34" t="e">
        <f>AND('GA55 Entry'!#REF!,"AAAAAHvX9/Q=")</f>
        <v>#REF!</v>
      </c>
      <c r="IL34" t="e">
        <f>AND('GA55 Entry'!#REF!,"AAAAAHvX9/U=")</f>
        <v>#REF!</v>
      </c>
      <c r="IM34" t="e">
        <f>AND('GA55 Entry'!#REF!,"AAAAAHvX9/Y=")</f>
        <v>#REF!</v>
      </c>
      <c r="IN34" t="e">
        <f>AND('GA55 Entry'!#REF!,"AAAAAHvX9/c=")</f>
        <v>#REF!</v>
      </c>
      <c r="IO34" t="e">
        <f>AND('GA55 Entry'!#REF!,"AAAAAHvX9/g=")</f>
        <v>#REF!</v>
      </c>
      <c r="IP34" t="e">
        <f>AND('GA55 Entry'!#REF!,"AAAAAHvX9/k=")</f>
        <v>#REF!</v>
      </c>
      <c r="IQ34" t="e">
        <f>AND('GA55 Entry'!#REF!,"AAAAAHvX9/o=")</f>
        <v>#REF!</v>
      </c>
      <c r="IR34" t="e">
        <f>AND('GA55 Entry'!#REF!,"AAAAAHvX9/s=")</f>
        <v>#REF!</v>
      </c>
      <c r="IS34" t="e">
        <f>AND('GA55 Entry'!#REF!,"AAAAAHvX9/w=")</f>
        <v>#REF!</v>
      </c>
      <c r="IT34" t="e">
        <f>AND('GA55 Entry'!#REF!,"AAAAAHvX9/0=")</f>
        <v>#REF!</v>
      </c>
      <c r="IU34" t="e">
        <f>AND('GA55 Entry'!#REF!,"AAAAAHvX9/4=")</f>
        <v>#REF!</v>
      </c>
      <c r="IV34" t="e">
        <f>AND('GA55 Entry'!#REF!,"AAAAAHvX9/8=")</f>
        <v>#REF!</v>
      </c>
    </row>
    <row r="35" spans="1:256">
      <c r="A35" t="e">
        <f>AND('GA55 Entry'!#REF!,"AAAAACf+dwA=")</f>
        <v>#REF!</v>
      </c>
      <c r="B35" t="e">
        <f>AND('GA55 Entry'!#REF!,"AAAAACf+dwE=")</f>
        <v>#REF!</v>
      </c>
      <c r="C35" t="e">
        <f>AND('GA55 Entry'!#REF!,"AAAAACf+dwI=")</f>
        <v>#REF!</v>
      </c>
      <c r="D35" t="e">
        <f>AND('GA55 Entry'!#REF!,"AAAAACf+dwM=")</f>
        <v>#REF!</v>
      </c>
      <c r="E35" t="e">
        <f>AND('GA55 Entry'!#REF!,"AAAAACf+dwQ=")</f>
        <v>#REF!</v>
      </c>
      <c r="F35" t="e">
        <f>IF('GA55 Entry'!#REF!,"AAAAACf+dwU=",0)</f>
        <v>#REF!</v>
      </c>
      <c r="G35" t="e">
        <f>AND('GA55 Entry'!#REF!,"AAAAACf+dwY=")</f>
        <v>#REF!</v>
      </c>
      <c r="H35" t="e">
        <f>AND('GA55 Entry'!#REF!,"AAAAACf+dwc=")</f>
        <v>#REF!</v>
      </c>
      <c r="I35" t="e">
        <f>AND('GA55 Entry'!#REF!,"AAAAACf+dwg=")</f>
        <v>#REF!</v>
      </c>
      <c r="J35" t="e">
        <f>AND('GA55 Entry'!#REF!,"AAAAACf+dwk=")</f>
        <v>#REF!</v>
      </c>
      <c r="K35" t="e">
        <f>AND('GA55 Entry'!#REF!,"AAAAACf+dwo=")</f>
        <v>#REF!</v>
      </c>
      <c r="L35" t="e">
        <f>AND('GA55 Entry'!#REF!,"AAAAACf+dws=")</f>
        <v>#REF!</v>
      </c>
      <c r="M35" t="e">
        <f>AND('GA55 Entry'!#REF!,"AAAAACf+dww=")</f>
        <v>#REF!</v>
      </c>
      <c r="N35" t="e">
        <f>AND('GA55 Entry'!#REF!,"AAAAACf+dw0=")</f>
        <v>#REF!</v>
      </c>
      <c r="O35" t="e">
        <f>AND('GA55 Entry'!#REF!,"AAAAACf+dw4=")</f>
        <v>#REF!</v>
      </c>
      <c r="P35" t="e">
        <f>AND('GA55 Entry'!#REF!,"AAAAACf+dw8=")</f>
        <v>#REF!</v>
      </c>
      <c r="Q35" t="e">
        <f>AND('GA55 Entry'!#REF!,"AAAAACf+dxA=")</f>
        <v>#REF!</v>
      </c>
      <c r="R35" t="e">
        <f>AND('GA55 Entry'!#REF!,"AAAAACf+dxE=")</f>
        <v>#REF!</v>
      </c>
      <c r="S35" t="e">
        <f>AND('GA55 Entry'!#REF!,"AAAAACf+dxI=")</f>
        <v>#REF!</v>
      </c>
      <c r="T35" t="e">
        <f>AND('GA55 Entry'!#REF!,"AAAAACf+dxM=")</f>
        <v>#REF!</v>
      </c>
      <c r="U35" t="e">
        <f>AND('GA55 Entry'!#REF!,"AAAAACf+dxQ=")</f>
        <v>#REF!</v>
      </c>
      <c r="V35" t="e">
        <f>AND('GA55 Entry'!#REF!,"AAAAACf+dxU=")</f>
        <v>#REF!</v>
      </c>
      <c r="W35" t="e">
        <f>AND('GA55 Entry'!#REF!,"AAAAACf+dxY=")</f>
        <v>#REF!</v>
      </c>
      <c r="X35" t="e">
        <f>AND('GA55 Entry'!#REF!,"AAAAACf+dxc=")</f>
        <v>#REF!</v>
      </c>
      <c r="Y35" t="e">
        <f>AND('GA55 Entry'!#REF!,"AAAAACf+dxg=")</f>
        <v>#REF!</v>
      </c>
      <c r="Z35" t="e">
        <f>AND('GA55 Entry'!#REF!,"AAAAACf+dxk=")</f>
        <v>#REF!</v>
      </c>
      <c r="AA35" t="e">
        <f>AND('GA55 Entry'!#REF!,"AAAAACf+dxo=")</f>
        <v>#REF!</v>
      </c>
      <c r="AB35" t="e">
        <f>AND('GA55 Entry'!#REF!,"AAAAACf+dxs=")</f>
        <v>#REF!</v>
      </c>
      <c r="AC35" t="e">
        <f>AND('GA55 Entry'!#REF!,"AAAAACf+dxw=")</f>
        <v>#REF!</v>
      </c>
      <c r="AD35" t="e">
        <f>AND('GA55 Entry'!#REF!,"AAAAACf+dx0=")</f>
        <v>#REF!</v>
      </c>
      <c r="AE35" t="e">
        <f>AND('GA55 Entry'!#REF!,"AAAAACf+dx4=")</f>
        <v>#REF!</v>
      </c>
      <c r="AF35" t="e">
        <f>AND('GA55 Entry'!#REF!,"AAAAACf+dx8=")</f>
        <v>#REF!</v>
      </c>
      <c r="AG35" t="e">
        <f>AND('GA55 Entry'!#REF!,"AAAAACf+dyA=")</f>
        <v>#REF!</v>
      </c>
      <c r="AH35" t="e">
        <f>AND('GA55 Entry'!#REF!,"AAAAACf+dyE=")</f>
        <v>#REF!</v>
      </c>
      <c r="AI35" t="e">
        <f>AND('GA55 Entry'!#REF!,"AAAAACf+dyI=")</f>
        <v>#REF!</v>
      </c>
      <c r="AJ35" t="e">
        <f>AND('GA55 Entry'!#REF!,"AAAAACf+dyM=")</f>
        <v>#REF!</v>
      </c>
      <c r="AK35" t="e">
        <f>AND('GA55 Entry'!#REF!,"AAAAACf+dyQ=")</f>
        <v>#REF!</v>
      </c>
      <c r="AL35" t="e">
        <f>AND('GA55 Entry'!#REF!,"AAAAACf+dyU=")</f>
        <v>#REF!</v>
      </c>
      <c r="AM35" t="e">
        <f>AND('GA55 Entry'!#REF!,"AAAAACf+dyY=")</f>
        <v>#REF!</v>
      </c>
      <c r="AN35" t="e">
        <f>AND('GA55 Entry'!#REF!,"AAAAACf+dyc=")</f>
        <v>#REF!</v>
      </c>
      <c r="AO35" t="e">
        <f>AND('GA55 Entry'!#REF!,"AAAAACf+dyg=")</f>
        <v>#REF!</v>
      </c>
      <c r="AP35" t="e">
        <f>AND('GA55 Entry'!#REF!,"AAAAACf+dyk=")</f>
        <v>#REF!</v>
      </c>
      <c r="AQ35" t="e">
        <f>AND('GA55 Entry'!#REF!,"AAAAACf+dyo=")</f>
        <v>#REF!</v>
      </c>
      <c r="AR35" t="e">
        <f>AND('GA55 Entry'!#REF!,"AAAAACf+dys=")</f>
        <v>#REF!</v>
      </c>
      <c r="AS35" t="e">
        <f>AND('GA55 Entry'!#REF!,"AAAAACf+dyw=")</f>
        <v>#REF!</v>
      </c>
      <c r="AT35" t="e">
        <f>AND('GA55 Entry'!#REF!,"AAAAACf+dy0=")</f>
        <v>#REF!</v>
      </c>
      <c r="AU35" t="e">
        <f>AND('GA55 Entry'!#REF!,"AAAAACf+dy4=")</f>
        <v>#REF!</v>
      </c>
      <c r="AV35" t="e">
        <f>AND('GA55 Entry'!#REF!,"AAAAACf+dy8=")</f>
        <v>#REF!</v>
      </c>
      <c r="AW35" t="e">
        <f>AND('GA55 Entry'!#REF!,"AAAAACf+dzA=")</f>
        <v>#REF!</v>
      </c>
      <c r="AX35" t="e">
        <f>AND('GA55 Entry'!#REF!,"AAAAACf+dzE=")</f>
        <v>#REF!</v>
      </c>
      <c r="AY35" t="e">
        <f>AND('GA55 Entry'!#REF!,"AAAAACf+dzI=")</f>
        <v>#REF!</v>
      </c>
      <c r="AZ35" t="e">
        <f>AND('GA55 Entry'!#REF!,"AAAAACf+dzM=")</f>
        <v>#REF!</v>
      </c>
      <c r="BA35" t="e">
        <f>AND('GA55 Entry'!#REF!,"AAAAACf+dzQ=")</f>
        <v>#REF!</v>
      </c>
      <c r="BB35" t="e">
        <f>AND('GA55 Entry'!#REF!,"AAAAACf+dzU=")</f>
        <v>#REF!</v>
      </c>
      <c r="BC35" t="e">
        <f>AND('GA55 Entry'!#REF!,"AAAAACf+dzY=")</f>
        <v>#REF!</v>
      </c>
      <c r="BD35" t="e">
        <f>AND('GA55 Entry'!#REF!,"AAAAACf+dzc=")</f>
        <v>#REF!</v>
      </c>
      <c r="BE35" t="e">
        <f>IF('GA55 Entry'!#REF!,"AAAAACf+dzg=",0)</f>
        <v>#REF!</v>
      </c>
      <c r="BF35" t="e">
        <f>AND('GA55 Entry'!#REF!,"AAAAACf+dzk=")</f>
        <v>#REF!</v>
      </c>
      <c r="BG35" t="e">
        <f>AND('GA55 Entry'!#REF!,"AAAAACf+dzo=")</f>
        <v>#REF!</v>
      </c>
      <c r="BH35" t="e">
        <f>AND('GA55 Entry'!#REF!,"AAAAACf+dzs=")</f>
        <v>#REF!</v>
      </c>
      <c r="BI35" t="e">
        <f>AND('GA55 Entry'!#REF!,"AAAAACf+dzw=")</f>
        <v>#REF!</v>
      </c>
      <c r="BJ35" t="e">
        <f>AND('GA55 Entry'!#REF!,"AAAAACf+dz0=")</f>
        <v>#REF!</v>
      </c>
      <c r="BK35" t="e">
        <f>AND('GA55 Entry'!#REF!,"AAAAACf+dz4=")</f>
        <v>#REF!</v>
      </c>
      <c r="BL35" t="e">
        <f>AND('GA55 Entry'!#REF!,"AAAAACf+dz8=")</f>
        <v>#REF!</v>
      </c>
      <c r="BM35" t="e">
        <f>AND('GA55 Entry'!#REF!,"AAAAACf+d0A=")</f>
        <v>#REF!</v>
      </c>
      <c r="BN35" t="e">
        <f>AND('GA55 Entry'!#REF!,"AAAAACf+d0E=")</f>
        <v>#REF!</v>
      </c>
      <c r="BO35" t="e">
        <f>AND('GA55 Entry'!#REF!,"AAAAACf+d0I=")</f>
        <v>#REF!</v>
      </c>
      <c r="BP35" t="e">
        <f>AND('GA55 Entry'!#REF!,"AAAAACf+d0M=")</f>
        <v>#REF!</v>
      </c>
      <c r="BQ35" t="e">
        <f>AND('GA55 Entry'!#REF!,"AAAAACf+d0Q=")</f>
        <v>#REF!</v>
      </c>
      <c r="BR35" t="e">
        <f>AND('GA55 Entry'!#REF!,"AAAAACf+d0U=")</f>
        <v>#REF!</v>
      </c>
      <c r="BS35" t="e">
        <f>AND('GA55 Entry'!#REF!,"AAAAACf+d0Y=")</f>
        <v>#REF!</v>
      </c>
      <c r="BT35" t="e">
        <f>AND('GA55 Entry'!#REF!,"AAAAACf+d0c=")</f>
        <v>#REF!</v>
      </c>
      <c r="BU35" t="e">
        <f>AND('GA55 Entry'!#REF!,"AAAAACf+d0g=")</f>
        <v>#REF!</v>
      </c>
      <c r="BV35" t="e">
        <f>AND('GA55 Entry'!#REF!,"AAAAACf+d0k=")</f>
        <v>#REF!</v>
      </c>
      <c r="BW35" t="e">
        <f>AND('GA55 Entry'!#REF!,"AAAAACf+d0o=")</f>
        <v>#REF!</v>
      </c>
      <c r="BX35" t="e">
        <f>AND('GA55 Entry'!#REF!,"AAAAACf+d0s=")</f>
        <v>#REF!</v>
      </c>
      <c r="BY35" t="e">
        <f>AND('GA55 Entry'!#REF!,"AAAAACf+d0w=")</f>
        <v>#REF!</v>
      </c>
      <c r="BZ35" t="e">
        <f>AND('GA55 Entry'!#REF!,"AAAAACf+d00=")</f>
        <v>#REF!</v>
      </c>
      <c r="CA35" t="e">
        <f>AND('GA55 Entry'!#REF!,"AAAAACf+d04=")</f>
        <v>#REF!</v>
      </c>
      <c r="CB35" t="e">
        <f>AND('GA55 Entry'!#REF!,"AAAAACf+d08=")</f>
        <v>#REF!</v>
      </c>
      <c r="CC35" t="e">
        <f>AND('GA55 Entry'!#REF!,"AAAAACf+d1A=")</f>
        <v>#REF!</v>
      </c>
      <c r="CD35" t="e">
        <f>AND('GA55 Entry'!#REF!,"AAAAACf+d1E=")</f>
        <v>#REF!</v>
      </c>
      <c r="CE35" t="e">
        <f>AND('GA55 Entry'!#REF!,"AAAAACf+d1I=")</f>
        <v>#REF!</v>
      </c>
      <c r="CF35" t="e">
        <f>AND('GA55 Entry'!#REF!,"AAAAACf+d1M=")</f>
        <v>#REF!</v>
      </c>
      <c r="CG35" t="e">
        <f>AND('GA55 Entry'!#REF!,"AAAAACf+d1Q=")</f>
        <v>#REF!</v>
      </c>
      <c r="CH35" t="e">
        <f>AND('GA55 Entry'!#REF!,"AAAAACf+d1U=")</f>
        <v>#REF!</v>
      </c>
      <c r="CI35" t="e">
        <f>AND('GA55 Entry'!#REF!,"AAAAACf+d1Y=")</f>
        <v>#REF!</v>
      </c>
      <c r="CJ35" t="e">
        <f>AND('GA55 Entry'!#REF!,"AAAAACf+d1c=")</f>
        <v>#REF!</v>
      </c>
      <c r="CK35" t="e">
        <f>AND('GA55 Entry'!#REF!,"AAAAACf+d1g=")</f>
        <v>#REF!</v>
      </c>
      <c r="CL35" t="e">
        <f>AND('GA55 Entry'!#REF!,"AAAAACf+d1k=")</f>
        <v>#REF!</v>
      </c>
      <c r="CM35" t="e">
        <f>AND('GA55 Entry'!#REF!,"AAAAACf+d1o=")</f>
        <v>#REF!</v>
      </c>
      <c r="CN35" t="e">
        <f>AND('GA55 Entry'!#REF!,"AAAAACf+d1s=")</f>
        <v>#REF!</v>
      </c>
      <c r="CO35" t="e">
        <f>AND('GA55 Entry'!#REF!,"AAAAACf+d1w=")</f>
        <v>#REF!</v>
      </c>
      <c r="CP35" t="e">
        <f>AND('GA55 Entry'!#REF!,"AAAAACf+d10=")</f>
        <v>#REF!</v>
      </c>
      <c r="CQ35" t="e">
        <f>AND('GA55 Entry'!#REF!,"AAAAACf+d14=")</f>
        <v>#REF!</v>
      </c>
      <c r="CR35" t="e">
        <f>AND('GA55 Entry'!#REF!,"AAAAACf+d18=")</f>
        <v>#REF!</v>
      </c>
      <c r="CS35" t="e">
        <f>AND('GA55 Entry'!#REF!,"AAAAACf+d2A=")</f>
        <v>#REF!</v>
      </c>
      <c r="CT35" t="e">
        <f>AND('GA55 Entry'!#REF!,"AAAAACf+d2E=")</f>
        <v>#REF!</v>
      </c>
      <c r="CU35" t="e">
        <f>AND('GA55 Entry'!#REF!,"AAAAACf+d2I=")</f>
        <v>#REF!</v>
      </c>
      <c r="CV35" t="e">
        <f>AND('GA55 Entry'!#REF!,"AAAAACf+d2M=")</f>
        <v>#REF!</v>
      </c>
      <c r="CW35" t="e">
        <f>AND('GA55 Entry'!#REF!,"AAAAACf+d2Q=")</f>
        <v>#REF!</v>
      </c>
      <c r="CX35" t="e">
        <f>AND('GA55 Entry'!#REF!,"AAAAACf+d2U=")</f>
        <v>#REF!</v>
      </c>
      <c r="CY35" t="e">
        <f>AND('GA55 Entry'!#REF!,"AAAAACf+d2Y=")</f>
        <v>#REF!</v>
      </c>
      <c r="CZ35" t="e">
        <f>AND('GA55 Entry'!#REF!,"AAAAACf+d2c=")</f>
        <v>#REF!</v>
      </c>
      <c r="DA35" t="e">
        <f>AND('GA55 Entry'!#REF!,"AAAAACf+d2g=")</f>
        <v>#REF!</v>
      </c>
      <c r="DB35" t="e">
        <f>AND('GA55 Entry'!#REF!,"AAAAACf+d2k=")</f>
        <v>#REF!</v>
      </c>
      <c r="DC35" t="e">
        <f>AND('GA55 Entry'!#REF!,"AAAAACf+d2o=")</f>
        <v>#REF!</v>
      </c>
      <c r="DD35" t="e">
        <f>IF('GA55 Entry'!#REF!,"AAAAACf+d2s=",0)</f>
        <v>#REF!</v>
      </c>
      <c r="DE35" t="e">
        <f>AND('GA55 Entry'!#REF!,"AAAAACf+d2w=")</f>
        <v>#REF!</v>
      </c>
      <c r="DF35" t="e">
        <f>AND('GA55 Entry'!#REF!,"AAAAACf+d20=")</f>
        <v>#REF!</v>
      </c>
      <c r="DG35" t="e">
        <f>AND('GA55 Entry'!#REF!,"AAAAACf+d24=")</f>
        <v>#REF!</v>
      </c>
      <c r="DH35" t="e">
        <f>AND('GA55 Entry'!#REF!,"AAAAACf+d28=")</f>
        <v>#REF!</v>
      </c>
      <c r="DI35" t="e">
        <f>AND('GA55 Entry'!#REF!,"AAAAACf+d3A=")</f>
        <v>#REF!</v>
      </c>
      <c r="DJ35" t="e">
        <f>AND('GA55 Entry'!#REF!,"AAAAACf+d3E=")</f>
        <v>#REF!</v>
      </c>
      <c r="DK35" t="e">
        <f>AND('GA55 Entry'!#REF!,"AAAAACf+d3I=")</f>
        <v>#REF!</v>
      </c>
      <c r="DL35" t="e">
        <f>AND('GA55 Entry'!#REF!,"AAAAACf+d3M=")</f>
        <v>#REF!</v>
      </c>
      <c r="DM35" t="e">
        <f>AND('GA55 Entry'!#REF!,"AAAAACf+d3Q=")</f>
        <v>#REF!</v>
      </c>
      <c r="DN35" t="e">
        <f>AND('GA55 Entry'!#REF!,"AAAAACf+d3U=")</f>
        <v>#REF!</v>
      </c>
      <c r="DO35" t="e">
        <f>AND('GA55 Entry'!#REF!,"AAAAACf+d3Y=")</f>
        <v>#REF!</v>
      </c>
      <c r="DP35" t="e">
        <f>AND('GA55 Entry'!#REF!,"AAAAACf+d3c=")</f>
        <v>#REF!</v>
      </c>
      <c r="DQ35" t="e">
        <f>AND('GA55 Entry'!#REF!,"AAAAACf+d3g=")</f>
        <v>#REF!</v>
      </c>
      <c r="DR35" t="e">
        <f>AND('GA55 Entry'!#REF!,"AAAAACf+d3k=")</f>
        <v>#REF!</v>
      </c>
      <c r="DS35" t="e">
        <f>AND('GA55 Entry'!#REF!,"AAAAACf+d3o=")</f>
        <v>#REF!</v>
      </c>
      <c r="DT35" t="e">
        <f>AND('GA55 Entry'!#REF!,"AAAAACf+d3s=")</f>
        <v>#REF!</v>
      </c>
      <c r="DU35" t="e">
        <f>AND('GA55 Entry'!#REF!,"AAAAACf+d3w=")</f>
        <v>#REF!</v>
      </c>
      <c r="DV35" t="e">
        <f>AND('GA55 Entry'!#REF!,"AAAAACf+d30=")</f>
        <v>#REF!</v>
      </c>
      <c r="DW35" t="e">
        <f>AND('GA55 Entry'!#REF!,"AAAAACf+d34=")</f>
        <v>#REF!</v>
      </c>
      <c r="DX35" t="e">
        <f>AND('GA55 Entry'!#REF!,"AAAAACf+d38=")</f>
        <v>#REF!</v>
      </c>
      <c r="DY35" t="e">
        <f>AND('GA55 Entry'!#REF!,"AAAAACf+d4A=")</f>
        <v>#REF!</v>
      </c>
      <c r="DZ35" t="e">
        <f>AND('GA55 Entry'!#REF!,"AAAAACf+d4E=")</f>
        <v>#REF!</v>
      </c>
      <c r="EA35" t="e">
        <f>AND('GA55 Entry'!#REF!,"AAAAACf+d4I=")</f>
        <v>#REF!</v>
      </c>
      <c r="EB35" t="e">
        <f>AND('GA55 Entry'!#REF!,"AAAAACf+d4M=")</f>
        <v>#REF!</v>
      </c>
      <c r="EC35" t="e">
        <f>AND('GA55 Entry'!#REF!,"AAAAACf+d4Q=")</f>
        <v>#REF!</v>
      </c>
      <c r="ED35" t="e">
        <f>AND('GA55 Entry'!#REF!,"AAAAACf+d4U=")</f>
        <v>#REF!</v>
      </c>
      <c r="EE35" t="e">
        <f>AND('GA55 Entry'!#REF!,"AAAAACf+d4Y=")</f>
        <v>#REF!</v>
      </c>
      <c r="EF35" t="e">
        <f>AND('GA55 Entry'!#REF!,"AAAAACf+d4c=")</f>
        <v>#REF!</v>
      </c>
      <c r="EG35" t="e">
        <f>AND('GA55 Entry'!#REF!,"AAAAACf+d4g=")</f>
        <v>#REF!</v>
      </c>
      <c r="EH35" t="e">
        <f>AND('GA55 Entry'!#REF!,"AAAAACf+d4k=")</f>
        <v>#REF!</v>
      </c>
      <c r="EI35" t="e">
        <f>AND('GA55 Entry'!#REF!,"AAAAACf+d4o=")</f>
        <v>#REF!</v>
      </c>
      <c r="EJ35" t="e">
        <f>AND('GA55 Entry'!#REF!,"AAAAACf+d4s=")</f>
        <v>#REF!</v>
      </c>
      <c r="EK35" t="e">
        <f>AND('GA55 Entry'!#REF!,"AAAAACf+d4w=")</f>
        <v>#REF!</v>
      </c>
      <c r="EL35" t="e">
        <f>AND('GA55 Entry'!#REF!,"AAAAACf+d40=")</f>
        <v>#REF!</v>
      </c>
      <c r="EM35" t="e">
        <f>AND('GA55 Entry'!#REF!,"AAAAACf+d44=")</f>
        <v>#REF!</v>
      </c>
      <c r="EN35" t="e">
        <f>AND('GA55 Entry'!#REF!,"AAAAACf+d48=")</f>
        <v>#REF!</v>
      </c>
      <c r="EO35" t="e">
        <f>AND('GA55 Entry'!#REF!,"AAAAACf+d5A=")</f>
        <v>#REF!</v>
      </c>
      <c r="EP35" t="e">
        <f>AND('GA55 Entry'!#REF!,"AAAAACf+d5E=")</f>
        <v>#REF!</v>
      </c>
      <c r="EQ35" t="e">
        <f>AND('GA55 Entry'!#REF!,"AAAAACf+d5I=")</f>
        <v>#REF!</v>
      </c>
      <c r="ER35" t="e">
        <f>AND('GA55 Entry'!#REF!,"AAAAACf+d5M=")</f>
        <v>#REF!</v>
      </c>
      <c r="ES35" t="e">
        <f>AND('GA55 Entry'!#REF!,"AAAAACf+d5Q=")</f>
        <v>#REF!</v>
      </c>
      <c r="ET35" t="e">
        <f>AND('GA55 Entry'!#REF!,"AAAAACf+d5U=")</f>
        <v>#REF!</v>
      </c>
      <c r="EU35" t="e">
        <f>AND('GA55 Entry'!#REF!,"AAAAACf+d5Y=")</f>
        <v>#REF!</v>
      </c>
      <c r="EV35" t="e">
        <f>AND('GA55 Entry'!#REF!,"AAAAACf+d5c=")</f>
        <v>#REF!</v>
      </c>
      <c r="EW35" t="e">
        <f>AND('GA55 Entry'!#REF!,"AAAAACf+d5g=")</f>
        <v>#REF!</v>
      </c>
      <c r="EX35" t="e">
        <f>AND('GA55 Entry'!#REF!,"AAAAACf+d5k=")</f>
        <v>#REF!</v>
      </c>
      <c r="EY35" t="e">
        <f>AND('GA55 Entry'!#REF!,"AAAAACf+d5o=")</f>
        <v>#REF!</v>
      </c>
      <c r="EZ35" t="e">
        <f>AND('GA55 Entry'!#REF!,"AAAAACf+d5s=")</f>
        <v>#REF!</v>
      </c>
      <c r="FA35" t="e">
        <f>AND('GA55 Entry'!#REF!,"AAAAACf+d5w=")</f>
        <v>#REF!</v>
      </c>
      <c r="FB35" t="e">
        <f>AND('GA55 Entry'!#REF!,"AAAAACf+d50=")</f>
        <v>#REF!</v>
      </c>
      <c r="FC35" t="e">
        <f>IF('GA55 Entry'!#REF!,"AAAAACf+d54=",0)</f>
        <v>#REF!</v>
      </c>
      <c r="FD35" t="e">
        <f>AND('GA55 Entry'!#REF!,"AAAAACf+d58=")</f>
        <v>#REF!</v>
      </c>
      <c r="FE35" t="e">
        <f>AND('GA55 Entry'!#REF!,"AAAAACf+d6A=")</f>
        <v>#REF!</v>
      </c>
      <c r="FF35" t="e">
        <f>AND('GA55 Entry'!#REF!,"AAAAACf+d6E=")</f>
        <v>#REF!</v>
      </c>
      <c r="FG35" t="e">
        <f>AND('GA55 Entry'!#REF!,"AAAAACf+d6I=")</f>
        <v>#REF!</v>
      </c>
      <c r="FH35" t="e">
        <f>AND('GA55 Entry'!#REF!,"AAAAACf+d6M=")</f>
        <v>#REF!</v>
      </c>
      <c r="FI35" t="e">
        <f>AND('GA55 Entry'!#REF!,"AAAAACf+d6Q=")</f>
        <v>#REF!</v>
      </c>
      <c r="FJ35" t="e">
        <f>AND('GA55 Entry'!#REF!,"AAAAACf+d6U=")</f>
        <v>#REF!</v>
      </c>
      <c r="FK35" t="e">
        <f>AND('GA55 Entry'!#REF!,"AAAAACf+d6Y=")</f>
        <v>#REF!</v>
      </c>
      <c r="FL35" t="e">
        <f>AND('GA55 Entry'!#REF!,"AAAAACf+d6c=")</f>
        <v>#REF!</v>
      </c>
      <c r="FM35" t="e">
        <f>AND('GA55 Entry'!#REF!,"AAAAACf+d6g=")</f>
        <v>#REF!</v>
      </c>
      <c r="FN35" t="e">
        <f>AND('GA55 Entry'!#REF!,"AAAAACf+d6k=")</f>
        <v>#REF!</v>
      </c>
      <c r="FO35" t="e">
        <f>AND('GA55 Entry'!#REF!,"AAAAACf+d6o=")</f>
        <v>#REF!</v>
      </c>
      <c r="FP35" t="e">
        <f>AND('GA55 Entry'!#REF!,"AAAAACf+d6s=")</f>
        <v>#REF!</v>
      </c>
      <c r="FQ35" t="e">
        <f>AND('GA55 Entry'!#REF!,"AAAAACf+d6w=")</f>
        <v>#REF!</v>
      </c>
      <c r="FR35" t="e">
        <f>AND('GA55 Entry'!#REF!,"AAAAACf+d60=")</f>
        <v>#REF!</v>
      </c>
      <c r="FS35" t="e">
        <f>AND('GA55 Entry'!#REF!,"AAAAACf+d64=")</f>
        <v>#REF!</v>
      </c>
      <c r="FT35" t="e">
        <f>AND('GA55 Entry'!#REF!,"AAAAACf+d68=")</f>
        <v>#REF!</v>
      </c>
      <c r="FU35" t="e">
        <f>AND('GA55 Entry'!#REF!,"AAAAACf+d7A=")</f>
        <v>#REF!</v>
      </c>
      <c r="FV35" t="e">
        <f>AND('GA55 Entry'!#REF!,"AAAAACf+d7E=")</f>
        <v>#REF!</v>
      </c>
      <c r="FW35" t="e">
        <f>AND('GA55 Entry'!#REF!,"AAAAACf+d7I=")</f>
        <v>#REF!</v>
      </c>
      <c r="FX35" t="e">
        <f>AND('GA55 Entry'!#REF!,"AAAAACf+d7M=")</f>
        <v>#REF!</v>
      </c>
      <c r="FY35" t="e">
        <f>AND('GA55 Entry'!#REF!,"AAAAACf+d7Q=")</f>
        <v>#REF!</v>
      </c>
      <c r="FZ35" t="e">
        <f>AND('GA55 Entry'!#REF!,"AAAAACf+d7U=")</f>
        <v>#REF!</v>
      </c>
      <c r="GA35" t="e">
        <f>AND('GA55 Entry'!#REF!,"AAAAACf+d7Y=")</f>
        <v>#REF!</v>
      </c>
      <c r="GB35" t="e">
        <f>AND('GA55 Entry'!#REF!,"AAAAACf+d7c=")</f>
        <v>#REF!</v>
      </c>
      <c r="GC35" t="e">
        <f>AND('GA55 Entry'!#REF!,"AAAAACf+d7g=")</f>
        <v>#REF!</v>
      </c>
      <c r="GD35" t="e">
        <f>AND('GA55 Entry'!#REF!,"AAAAACf+d7k=")</f>
        <v>#REF!</v>
      </c>
      <c r="GE35" t="e">
        <f>AND('GA55 Entry'!#REF!,"AAAAACf+d7o=")</f>
        <v>#REF!</v>
      </c>
      <c r="GF35" t="e">
        <f>AND('GA55 Entry'!#REF!,"AAAAACf+d7s=")</f>
        <v>#REF!</v>
      </c>
      <c r="GG35" t="e">
        <f>AND('GA55 Entry'!#REF!,"AAAAACf+d7w=")</f>
        <v>#REF!</v>
      </c>
      <c r="GH35" t="e">
        <f>AND('GA55 Entry'!#REF!,"AAAAACf+d70=")</f>
        <v>#REF!</v>
      </c>
      <c r="GI35" t="e">
        <f>AND('GA55 Entry'!#REF!,"AAAAACf+d74=")</f>
        <v>#REF!</v>
      </c>
      <c r="GJ35" t="e">
        <f>AND('GA55 Entry'!#REF!,"AAAAACf+d78=")</f>
        <v>#REF!</v>
      </c>
      <c r="GK35" t="e">
        <f>AND('GA55 Entry'!#REF!,"AAAAACf+d8A=")</f>
        <v>#REF!</v>
      </c>
      <c r="GL35" t="e">
        <f>AND('GA55 Entry'!#REF!,"AAAAACf+d8E=")</f>
        <v>#REF!</v>
      </c>
      <c r="GM35" t="e">
        <f>AND('GA55 Entry'!#REF!,"AAAAACf+d8I=")</f>
        <v>#REF!</v>
      </c>
      <c r="GN35" t="e">
        <f>AND('GA55 Entry'!#REF!,"AAAAACf+d8M=")</f>
        <v>#REF!</v>
      </c>
      <c r="GO35" t="e">
        <f>AND('GA55 Entry'!#REF!,"AAAAACf+d8Q=")</f>
        <v>#REF!</v>
      </c>
      <c r="GP35" t="e">
        <f>AND('GA55 Entry'!#REF!,"AAAAACf+d8U=")</f>
        <v>#REF!</v>
      </c>
      <c r="GQ35" t="e">
        <f>AND('GA55 Entry'!#REF!,"AAAAACf+d8Y=")</f>
        <v>#REF!</v>
      </c>
      <c r="GR35" t="e">
        <f>AND('GA55 Entry'!#REF!,"AAAAACf+d8c=")</f>
        <v>#REF!</v>
      </c>
      <c r="GS35" t="e">
        <f>AND('GA55 Entry'!#REF!,"AAAAACf+d8g=")</f>
        <v>#REF!</v>
      </c>
      <c r="GT35" t="e">
        <f>AND('GA55 Entry'!#REF!,"AAAAACf+d8k=")</f>
        <v>#REF!</v>
      </c>
      <c r="GU35" t="e">
        <f>AND('GA55 Entry'!#REF!,"AAAAACf+d8o=")</f>
        <v>#REF!</v>
      </c>
      <c r="GV35" t="e">
        <f>AND('GA55 Entry'!#REF!,"AAAAACf+d8s=")</f>
        <v>#REF!</v>
      </c>
      <c r="GW35" t="e">
        <f>AND('GA55 Entry'!#REF!,"AAAAACf+d8w=")</f>
        <v>#REF!</v>
      </c>
      <c r="GX35" t="e">
        <f>AND('GA55 Entry'!#REF!,"AAAAACf+d80=")</f>
        <v>#REF!</v>
      </c>
      <c r="GY35" t="e">
        <f>AND('GA55 Entry'!#REF!,"AAAAACf+d84=")</f>
        <v>#REF!</v>
      </c>
      <c r="GZ35" t="e">
        <f>AND('GA55 Entry'!#REF!,"AAAAACf+d88=")</f>
        <v>#REF!</v>
      </c>
      <c r="HA35" t="e">
        <f>AND('GA55 Entry'!#REF!,"AAAAACf+d9A=")</f>
        <v>#REF!</v>
      </c>
      <c r="HB35" t="e">
        <f>IF('GA55 Entry'!#REF!,"AAAAACf+d9E=",0)</f>
        <v>#REF!</v>
      </c>
      <c r="HC35" t="e">
        <f>AND('GA55 Entry'!#REF!,"AAAAACf+d9I=")</f>
        <v>#REF!</v>
      </c>
      <c r="HD35" t="e">
        <f>AND('GA55 Entry'!#REF!,"AAAAACf+d9M=")</f>
        <v>#REF!</v>
      </c>
      <c r="HE35" t="e">
        <f>AND('GA55 Entry'!#REF!,"AAAAACf+d9Q=")</f>
        <v>#REF!</v>
      </c>
      <c r="HF35" t="e">
        <f>AND('GA55 Entry'!#REF!,"AAAAACf+d9U=")</f>
        <v>#REF!</v>
      </c>
      <c r="HG35" t="e">
        <f>AND('GA55 Entry'!#REF!,"AAAAACf+d9Y=")</f>
        <v>#REF!</v>
      </c>
      <c r="HH35" t="e">
        <f>AND('GA55 Entry'!#REF!,"AAAAACf+d9c=")</f>
        <v>#REF!</v>
      </c>
      <c r="HI35" t="e">
        <f>AND('GA55 Entry'!#REF!,"AAAAACf+d9g=")</f>
        <v>#REF!</v>
      </c>
      <c r="HJ35" t="e">
        <f>AND('GA55 Entry'!#REF!,"AAAAACf+d9k=")</f>
        <v>#REF!</v>
      </c>
      <c r="HK35" t="e">
        <f>AND('GA55 Entry'!#REF!,"AAAAACf+d9o=")</f>
        <v>#REF!</v>
      </c>
      <c r="HL35" t="e">
        <f>AND('GA55 Entry'!#REF!,"AAAAACf+d9s=")</f>
        <v>#REF!</v>
      </c>
      <c r="HM35" t="e">
        <f>AND('GA55 Entry'!#REF!,"AAAAACf+d9w=")</f>
        <v>#REF!</v>
      </c>
      <c r="HN35" t="e">
        <f>AND('GA55 Entry'!#REF!,"AAAAACf+d90=")</f>
        <v>#REF!</v>
      </c>
      <c r="HO35" t="e">
        <f>AND('GA55 Entry'!#REF!,"AAAAACf+d94=")</f>
        <v>#REF!</v>
      </c>
      <c r="HP35" t="e">
        <f>AND('GA55 Entry'!#REF!,"AAAAACf+d98=")</f>
        <v>#REF!</v>
      </c>
      <c r="HQ35" t="e">
        <f>AND('GA55 Entry'!#REF!,"AAAAACf+d+A=")</f>
        <v>#REF!</v>
      </c>
      <c r="HR35" t="e">
        <f>AND('GA55 Entry'!#REF!,"AAAAACf+d+E=")</f>
        <v>#REF!</v>
      </c>
      <c r="HS35" t="e">
        <f>AND('GA55 Entry'!#REF!,"AAAAACf+d+I=")</f>
        <v>#REF!</v>
      </c>
      <c r="HT35" t="e">
        <f>AND('GA55 Entry'!#REF!,"AAAAACf+d+M=")</f>
        <v>#REF!</v>
      </c>
      <c r="HU35" t="e">
        <f>AND('GA55 Entry'!#REF!,"AAAAACf+d+Q=")</f>
        <v>#REF!</v>
      </c>
      <c r="HV35" t="e">
        <f>AND('GA55 Entry'!#REF!,"AAAAACf+d+U=")</f>
        <v>#REF!</v>
      </c>
      <c r="HW35" t="e">
        <f>AND('GA55 Entry'!#REF!,"AAAAACf+d+Y=")</f>
        <v>#REF!</v>
      </c>
      <c r="HX35" t="e">
        <f>AND('GA55 Entry'!#REF!,"AAAAACf+d+c=")</f>
        <v>#REF!</v>
      </c>
      <c r="HY35" t="e">
        <f>AND('GA55 Entry'!#REF!,"AAAAACf+d+g=")</f>
        <v>#REF!</v>
      </c>
      <c r="HZ35" t="e">
        <f>AND('GA55 Entry'!#REF!,"AAAAACf+d+k=")</f>
        <v>#REF!</v>
      </c>
      <c r="IA35" t="e">
        <f>AND('GA55 Entry'!#REF!,"AAAAACf+d+o=")</f>
        <v>#REF!</v>
      </c>
      <c r="IB35" t="e">
        <f>AND('GA55 Entry'!#REF!,"AAAAACf+d+s=")</f>
        <v>#REF!</v>
      </c>
      <c r="IC35" t="e">
        <f>AND('GA55 Entry'!#REF!,"AAAAACf+d+w=")</f>
        <v>#REF!</v>
      </c>
      <c r="ID35" t="e">
        <f>AND('GA55 Entry'!#REF!,"AAAAACf+d+0=")</f>
        <v>#REF!</v>
      </c>
      <c r="IE35" t="e">
        <f>AND('GA55 Entry'!#REF!,"AAAAACf+d+4=")</f>
        <v>#REF!</v>
      </c>
      <c r="IF35" t="e">
        <f>AND('GA55 Entry'!#REF!,"AAAAACf+d+8=")</f>
        <v>#REF!</v>
      </c>
      <c r="IG35" t="e">
        <f>AND('GA55 Entry'!#REF!,"AAAAACf+d/A=")</f>
        <v>#REF!</v>
      </c>
      <c r="IH35" t="e">
        <f>AND('GA55 Entry'!#REF!,"AAAAACf+d/E=")</f>
        <v>#REF!</v>
      </c>
      <c r="II35" t="e">
        <f>AND('GA55 Entry'!#REF!,"AAAAACf+d/I=")</f>
        <v>#REF!</v>
      </c>
      <c r="IJ35" t="e">
        <f>AND('GA55 Entry'!#REF!,"AAAAACf+d/M=")</f>
        <v>#REF!</v>
      </c>
      <c r="IK35" t="e">
        <f>AND('GA55 Entry'!#REF!,"AAAAACf+d/Q=")</f>
        <v>#REF!</v>
      </c>
      <c r="IL35" t="e">
        <f>AND('GA55 Entry'!#REF!,"AAAAACf+d/U=")</f>
        <v>#REF!</v>
      </c>
      <c r="IM35" t="e">
        <f>AND('GA55 Entry'!#REF!,"AAAAACf+d/Y=")</f>
        <v>#REF!</v>
      </c>
      <c r="IN35" t="e">
        <f>AND('GA55 Entry'!#REF!,"AAAAACf+d/c=")</f>
        <v>#REF!</v>
      </c>
      <c r="IO35" t="e">
        <f>AND('GA55 Entry'!#REF!,"AAAAACf+d/g=")</f>
        <v>#REF!</v>
      </c>
      <c r="IP35" t="e">
        <f>AND('GA55 Entry'!#REF!,"AAAAACf+d/k=")</f>
        <v>#REF!</v>
      </c>
      <c r="IQ35" t="e">
        <f>AND('GA55 Entry'!#REF!,"AAAAACf+d/o=")</f>
        <v>#REF!</v>
      </c>
      <c r="IR35" t="e">
        <f>AND('GA55 Entry'!#REF!,"AAAAACf+d/s=")</f>
        <v>#REF!</v>
      </c>
      <c r="IS35" t="e">
        <f>AND('GA55 Entry'!#REF!,"AAAAACf+d/w=")</f>
        <v>#REF!</v>
      </c>
      <c r="IT35" t="e">
        <f>AND('GA55 Entry'!#REF!,"AAAAACf+d/0=")</f>
        <v>#REF!</v>
      </c>
      <c r="IU35" t="e">
        <f>AND('GA55 Entry'!#REF!,"AAAAACf+d/4=")</f>
        <v>#REF!</v>
      </c>
      <c r="IV35" t="e">
        <f>AND('GA55 Entry'!#REF!,"AAAAACf+d/8=")</f>
        <v>#REF!</v>
      </c>
    </row>
    <row r="36" spans="1:256">
      <c r="A36" t="e">
        <f>AND('GA55 Entry'!#REF!,"AAAAAAuZqQA=")</f>
        <v>#REF!</v>
      </c>
      <c r="B36" t="e">
        <f>AND('GA55 Entry'!#REF!,"AAAAAAuZqQE=")</f>
        <v>#REF!</v>
      </c>
      <c r="C36" t="e">
        <f>AND('GA55 Entry'!#REF!,"AAAAAAuZqQI=")</f>
        <v>#REF!</v>
      </c>
      <c r="D36" t="e">
        <f>AND('GA55 Entry'!#REF!,"AAAAAAuZqQM=")</f>
        <v>#REF!</v>
      </c>
      <c r="E36" t="e">
        <f>IF('GA55 Entry'!#REF!,"AAAAAAuZqQQ=",0)</f>
        <v>#REF!</v>
      </c>
      <c r="F36" t="e">
        <f>AND('GA55 Entry'!#REF!,"AAAAAAuZqQU=")</f>
        <v>#REF!</v>
      </c>
      <c r="G36" t="e">
        <f>AND('GA55 Entry'!#REF!,"AAAAAAuZqQY=")</f>
        <v>#REF!</v>
      </c>
      <c r="H36" t="e">
        <f>AND('GA55 Entry'!#REF!,"AAAAAAuZqQc=")</f>
        <v>#REF!</v>
      </c>
      <c r="I36" t="e">
        <f>AND('GA55 Entry'!#REF!,"AAAAAAuZqQg=")</f>
        <v>#REF!</v>
      </c>
      <c r="J36" t="e">
        <f>AND('GA55 Entry'!#REF!,"AAAAAAuZqQk=")</f>
        <v>#REF!</v>
      </c>
      <c r="K36" t="e">
        <f>AND('GA55 Entry'!#REF!,"AAAAAAuZqQo=")</f>
        <v>#REF!</v>
      </c>
      <c r="L36" t="e">
        <f>AND('GA55 Entry'!#REF!,"AAAAAAuZqQs=")</f>
        <v>#REF!</v>
      </c>
      <c r="M36" t="e">
        <f>AND('GA55 Entry'!#REF!,"AAAAAAuZqQw=")</f>
        <v>#REF!</v>
      </c>
      <c r="N36" t="e">
        <f>AND('GA55 Entry'!#REF!,"AAAAAAuZqQ0=")</f>
        <v>#REF!</v>
      </c>
      <c r="O36" t="e">
        <f>AND('GA55 Entry'!#REF!,"AAAAAAuZqQ4=")</f>
        <v>#REF!</v>
      </c>
      <c r="P36" t="e">
        <f>AND('GA55 Entry'!#REF!,"AAAAAAuZqQ8=")</f>
        <v>#REF!</v>
      </c>
      <c r="Q36" t="e">
        <f>AND('GA55 Entry'!#REF!,"AAAAAAuZqRA=")</f>
        <v>#REF!</v>
      </c>
      <c r="R36" t="e">
        <f>AND('GA55 Entry'!#REF!,"AAAAAAuZqRE=")</f>
        <v>#REF!</v>
      </c>
      <c r="S36" t="e">
        <f>AND('GA55 Entry'!#REF!,"AAAAAAuZqRI=")</f>
        <v>#REF!</v>
      </c>
      <c r="T36" t="e">
        <f>AND('GA55 Entry'!#REF!,"AAAAAAuZqRM=")</f>
        <v>#REF!</v>
      </c>
      <c r="U36" t="e">
        <f>AND('GA55 Entry'!#REF!,"AAAAAAuZqRQ=")</f>
        <v>#REF!</v>
      </c>
      <c r="V36" t="e">
        <f>AND('GA55 Entry'!#REF!,"AAAAAAuZqRU=")</f>
        <v>#REF!</v>
      </c>
      <c r="W36" t="e">
        <f>AND('GA55 Entry'!#REF!,"AAAAAAuZqRY=")</f>
        <v>#REF!</v>
      </c>
      <c r="X36" t="e">
        <f>AND('GA55 Entry'!#REF!,"AAAAAAuZqRc=")</f>
        <v>#REF!</v>
      </c>
      <c r="Y36" t="e">
        <f>AND('GA55 Entry'!#REF!,"AAAAAAuZqRg=")</f>
        <v>#REF!</v>
      </c>
      <c r="Z36" t="e">
        <f>AND('GA55 Entry'!#REF!,"AAAAAAuZqRk=")</f>
        <v>#REF!</v>
      </c>
      <c r="AA36" t="e">
        <f>AND('GA55 Entry'!#REF!,"AAAAAAuZqRo=")</f>
        <v>#REF!</v>
      </c>
      <c r="AB36" t="e">
        <f>AND('GA55 Entry'!#REF!,"AAAAAAuZqRs=")</f>
        <v>#REF!</v>
      </c>
      <c r="AC36" t="e">
        <f>AND('GA55 Entry'!#REF!,"AAAAAAuZqRw=")</f>
        <v>#REF!</v>
      </c>
      <c r="AD36" t="e">
        <f>AND('GA55 Entry'!#REF!,"AAAAAAuZqR0=")</f>
        <v>#REF!</v>
      </c>
      <c r="AE36" t="e">
        <f>AND('GA55 Entry'!#REF!,"AAAAAAuZqR4=")</f>
        <v>#REF!</v>
      </c>
      <c r="AF36" t="e">
        <f>AND('GA55 Entry'!#REF!,"AAAAAAuZqR8=")</f>
        <v>#REF!</v>
      </c>
      <c r="AG36" t="e">
        <f>AND('GA55 Entry'!#REF!,"AAAAAAuZqSA=")</f>
        <v>#REF!</v>
      </c>
      <c r="AH36" t="e">
        <f>AND('GA55 Entry'!#REF!,"AAAAAAuZqSE=")</f>
        <v>#REF!</v>
      </c>
      <c r="AI36" t="e">
        <f>AND('GA55 Entry'!#REF!,"AAAAAAuZqSI=")</f>
        <v>#REF!</v>
      </c>
      <c r="AJ36" t="e">
        <f>AND('GA55 Entry'!#REF!,"AAAAAAuZqSM=")</f>
        <v>#REF!</v>
      </c>
      <c r="AK36" t="e">
        <f>AND('GA55 Entry'!#REF!,"AAAAAAuZqSQ=")</f>
        <v>#REF!</v>
      </c>
      <c r="AL36" t="e">
        <f>AND('GA55 Entry'!#REF!,"AAAAAAuZqSU=")</f>
        <v>#REF!</v>
      </c>
      <c r="AM36" t="e">
        <f>AND('GA55 Entry'!#REF!,"AAAAAAuZqSY=")</f>
        <v>#REF!</v>
      </c>
      <c r="AN36" t="e">
        <f>AND('GA55 Entry'!#REF!,"AAAAAAuZqSc=")</f>
        <v>#REF!</v>
      </c>
      <c r="AO36" t="e">
        <f>AND('GA55 Entry'!#REF!,"AAAAAAuZqSg=")</f>
        <v>#REF!</v>
      </c>
      <c r="AP36" t="e">
        <f>AND('GA55 Entry'!#REF!,"AAAAAAuZqSk=")</f>
        <v>#REF!</v>
      </c>
      <c r="AQ36" t="e">
        <f>AND('GA55 Entry'!#REF!,"AAAAAAuZqSo=")</f>
        <v>#REF!</v>
      </c>
      <c r="AR36" t="e">
        <f>AND('GA55 Entry'!#REF!,"AAAAAAuZqSs=")</f>
        <v>#REF!</v>
      </c>
      <c r="AS36" t="e">
        <f>AND('GA55 Entry'!#REF!,"AAAAAAuZqSw=")</f>
        <v>#REF!</v>
      </c>
      <c r="AT36" t="e">
        <f>AND('GA55 Entry'!#REF!,"AAAAAAuZqS0=")</f>
        <v>#REF!</v>
      </c>
      <c r="AU36" t="e">
        <f>AND('GA55 Entry'!#REF!,"AAAAAAuZqS4=")</f>
        <v>#REF!</v>
      </c>
      <c r="AV36" t="e">
        <f>AND('GA55 Entry'!#REF!,"AAAAAAuZqS8=")</f>
        <v>#REF!</v>
      </c>
      <c r="AW36" t="e">
        <f>AND('GA55 Entry'!#REF!,"AAAAAAuZqTA=")</f>
        <v>#REF!</v>
      </c>
      <c r="AX36" t="e">
        <f>AND('GA55 Entry'!#REF!,"AAAAAAuZqTE=")</f>
        <v>#REF!</v>
      </c>
      <c r="AY36" t="e">
        <f>AND('GA55 Entry'!#REF!,"AAAAAAuZqTI=")</f>
        <v>#REF!</v>
      </c>
      <c r="AZ36" t="e">
        <f>AND('GA55 Entry'!#REF!,"AAAAAAuZqTM=")</f>
        <v>#REF!</v>
      </c>
      <c r="BA36" t="e">
        <f>AND('GA55 Entry'!#REF!,"AAAAAAuZqTQ=")</f>
        <v>#REF!</v>
      </c>
      <c r="BB36" t="e">
        <f>AND('GA55 Entry'!#REF!,"AAAAAAuZqTU=")</f>
        <v>#REF!</v>
      </c>
      <c r="BC36" t="e">
        <f>AND('GA55 Entry'!#REF!,"AAAAAAuZqTY=")</f>
        <v>#REF!</v>
      </c>
      <c r="BD36">
        <f>IF('GA55 Entry'!23:23,"AAAAAAuZqTc=",0)</f>
        <v>0</v>
      </c>
      <c r="BE36" t="e">
        <f>AND('GA55 Entry'!B23,"AAAAAAuZqTg=")</f>
        <v>#VALUE!</v>
      </c>
      <c r="BF36" t="e">
        <f>AND('GA55 Entry'!#REF!,"AAAAAAuZqTk=")</f>
        <v>#REF!</v>
      </c>
      <c r="BG36" t="e">
        <f>AND('GA55 Entry'!C23,"AAAAAAuZqTo=")</f>
        <v>#VALUE!</v>
      </c>
      <c r="BH36" t="e">
        <f>AND('GA55 Entry'!#REF!,"AAAAAAuZqTs=")</f>
        <v>#REF!</v>
      </c>
      <c r="BI36" t="e">
        <f>AND('GA55 Entry'!#REF!,"AAAAAAuZqTw=")</f>
        <v>#REF!</v>
      </c>
      <c r="BJ36" t="e">
        <f>AND('GA55 Entry'!#REF!,"AAAAAAuZqT0=")</f>
        <v>#REF!</v>
      </c>
      <c r="BK36" t="e">
        <f>AND('GA55 Entry'!#REF!,"AAAAAAuZqT4=")</f>
        <v>#REF!</v>
      </c>
      <c r="BL36" t="e">
        <f>AND('GA55 Entry'!#REF!,"AAAAAAuZqT8=")</f>
        <v>#REF!</v>
      </c>
      <c r="BM36" t="e">
        <f>AND('GA55 Entry'!D23,"AAAAAAuZqUA=")</f>
        <v>#VALUE!</v>
      </c>
      <c r="BN36" t="e">
        <f>AND('GA55 Entry'!#REF!,"AAAAAAuZqUE=")</f>
        <v>#REF!</v>
      </c>
      <c r="BO36" t="e">
        <f>AND('GA55 Entry'!E23,"AAAAAAuZqUI=")</f>
        <v>#VALUE!</v>
      </c>
      <c r="BP36" t="e">
        <f>AND('GA55 Entry'!F23,"AAAAAAuZqUM=")</f>
        <v>#VALUE!</v>
      </c>
      <c r="BQ36" t="e">
        <f>AND('GA55 Entry'!G23,"AAAAAAuZqUQ=")</f>
        <v>#VALUE!</v>
      </c>
      <c r="BR36" t="e">
        <f>AND('GA55 Entry'!H23,"AAAAAAuZqUU=")</f>
        <v>#VALUE!</v>
      </c>
      <c r="BS36" t="e">
        <f>AND('GA55 Entry'!I23,"AAAAAAuZqUY=")</f>
        <v>#VALUE!</v>
      </c>
      <c r="BT36" t="e">
        <f>AND('GA55 Entry'!J23,"AAAAAAuZqUc=")</f>
        <v>#VALUE!</v>
      </c>
      <c r="BU36" t="e">
        <f>AND('GA55 Entry'!#REF!,"AAAAAAuZqUg=")</f>
        <v>#REF!</v>
      </c>
      <c r="BV36" t="e">
        <f>AND('GA55 Entry'!K23,"AAAAAAuZqUk=")</f>
        <v>#VALUE!</v>
      </c>
      <c r="BW36" t="e">
        <f>AND('GA55 Entry'!L23,"AAAAAAuZqUo=")</f>
        <v>#VALUE!</v>
      </c>
      <c r="BX36" t="e">
        <f>AND('GA55 Entry'!M23,"AAAAAAuZqUs=")</f>
        <v>#VALUE!</v>
      </c>
      <c r="BY36" t="e">
        <f>AND('GA55 Entry'!N23,"AAAAAAuZqUw=")</f>
        <v>#VALUE!</v>
      </c>
      <c r="BZ36" t="e">
        <f>AND('GA55 Entry'!O23,"AAAAAAuZqU0=")</f>
        <v>#VALUE!</v>
      </c>
      <c r="CA36" t="e">
        <f>AND('GA55 Entry'!P23,"AAAAAAuZqU4=")</f>
        <v>#VALUE!</v>
      </c>
      <c r="CB36" t="e">
        <f>AND('GA55 Entry'!Q23,"AAAAAAuZqU8=")</f>
        <v>#VALUE!</v>
      </c>
      <c r="CC36" t="e">
        <f>AND('GA55 Entry'!S23,"AAAAAAuZqVA=")</f>
        <v>#VALUE!</v>
      </c>
      <c r="CD36" t="e">
        <f>AND('GA55 Entry'!#REF!,"AAAAAAuZqVE=")</f>
        <v>#REF!</v>
      </c>
      <c r="CE36" t="e">
        <f>AND('GA55 Entry'!T23,"AAAAAAuZqVI=")</f>
        <v>#VALUE!</v>
      </c>
      <c r="CF36" t="e">
        <f>AND('GA55 Entry'!U23,"AAAAAAuZqVM=")</f>
        <v>#VALUE!</v>
      </c>
      <c r="CG36" t="e">
        <f>AND('GA55 Entry'!V23,"AAAAAAuZqVQ=")</f>
        <v>#VALUE!</v>
      </c>
      <c r="CH36" t="e">
        <f>AND('GA55 Entry'!#REF!,"AAAAAAuZqVU=")</f>
        <v>#REF!</v>
      </c>
      <c r="CI36" t="e">
        <f>AND('GA55 Entry'!#REF!,"AAAAAAuZqVY=")</f>
        <v>#REF!</v>
      </c>
      <c r="CJ36" t="e">
        <f>AND('GA55 Entry'!X23,"AAAAAAuZqVc=")</f>
        <v>#VALUE!</v>
      </c>
      <c r="CK36" t="e">
        <f>AND('GA55 Entry'!Y23,"AAAAAAuZqVg=")</f>
        <v>#VALUE!</v>
      </c>
      <c r="CL36" t="e">
        <f>AND('GA55 Entry'!#REF!,"AAAAAAuZqVk=")</f>
        <v>#REF!</v>
      </c>
      <c r="CM36" t="e">
        <f>AND('GA55 Entry'!#REF!,"AAAAAAuZqVo=")</f>
        <v>#REF!</v>
      </c>
      <c r="CN36" t="e">
        <f>AND('GA55 Entry'!#REF!,"AAAAAAuZqVs=")</f>
        <v>#REF!</v>
      </c>
      <c r="CO36" t="e">
        <f>AND('GA55 Entry'!#REF!,"AAAAAAuZqVw=")</f>
        <v>#REF!</v>
      </c>
      <c r="CP36" t="e">
        <f>AND('GA55 Entry'!#REF!,"AAAAAAuZqV0=")</f>
        <v>#REF!</v>
      </c>
      <c r="CQ36" t="e">
        <f>AND('GA55 Entry'!#REF!,"AAAAAAuZqV4=")</f>
        <v>#REF!</v>
      </c>
      <c r="CR36" t="e">
        <f>AND('GA55 Entry'!#REF!,"AAAAAAuZqV8=")</f>
        <v>#REF!</v>
      </c>
      <c r="CS36" t="e">
        <f>AND('GA55 Entry'!#REF!,"AAAAAAuZqWA=")</f>
        <v>#REF!</v>
      </c>
      <c r="CT36" t="e">
        <f>AND('GA55 Entry'!#REF!,"AAAAAAuZqWE=")</f>
        <v>#REF!</v>
      </c>
      <c r="CU36" t="e">
        <f>AND('GA55 Entry'!Z23,"AAAAAAuZqWI=")</f>
        <v>#VALUE!</v>
      </c>
      <c r="CV36" t="e">
        <f>AND('GA55 Entry'!AA23,"AAAAAAuZqWM=")</f>
        <v>#VALUE!</v>
      </c>
      <c r="CW36" t="e">
        <f>AND('GA55 Entry'!#REF!,"AAAAAAuZqWQ=")</f>
        <v>#REF!</v>
      </c>
      <c r="CX36" t="e">
        <f>AND('GA55 Entry'!#REF!,"AAAAAAuZqWU=")</f>
        <v>#REF!</v>
      </c>
      <c r="CY36" t="e">
        <f>AND('GA55 Entry'!#REF!,"AAAAAAuZqWY=")</f>
        <v>#REF!</v>
      </c>
      <c r="CZ36" t="e">
        <f>AND('GA55 Entry'!AB23,"AAAAAAuZqWc=")</f>
        <v>#VALUE!</v>
      </c>
      <c r="DA36" t="e">
        <f>AND('GA55 Entry'!AC23,"AAAAAAuZqWg=")</f>
        <v>#VALUE!</v>
      </c>
      <c r="DB36" t="e">
        <f>AND('GA55 Entry'!#REF!,"AAAAAAuZqWk=")</f>
        <v>#REF!</v>
      </c>
      <c r="DC36" t="e">
        <f>IF('GA55 Entry'!#REF!,"AAAAAAuZqWo=",0)</f>
        <v>#REF!</v>
      </c>
      <c r="DD36" t="e">
        <f>AND('GA55 Entry'!#REF!,"AAAAAAuZqWs=")</f>
        <v>#REF!</v>
      </c>
      <c r="DE36" t="e">
        <f>AND('GA55 Entry'!#REF!,"AAAAAAuZqWw=")</f>
        <v>#REF!</v>
      </c>
      <c r="DF36" t="e">
        <f>AND('GA55 Entry'!#REF!,"AAAAAAuZqW0=")</f>
        <v>#REF!</v>
      </c>
      <c r="DG36" t="e">
        <f>AND('GA55 Entry'!#REF!,"AAAAAAuZqW4=")</f>
        <v>#REF!</v>
      </c>
      <c r="DH36" t="e">
        <f>AND('GA55 Entry'!#REF!,"AAAAAAuZqW8=")</f>
        <v>#REF!</v>
      </c>
      <c r="DI36" t="e">
        <f>AND('GA55 Entry'!#REF!,"AAAAAAuZqXA=")</f>
        <v>#REF!</v>
      </c>
      <c r="DJ36" t="e">
        <f>AND('GA55 Entry'!#REF!,"AAAAAAuZqXE=")</f>
        <v>#REF!</v>
      </c>
      <c r="DK36" t="e">
        <f>AND('GA55 Entry'!#REF!,"AAAAAAuZqXI=")</f>
        <v>#REF!</v>
      </c>
      <c r="DL36" t="e">
        <f>AND('GA55 Entry'!#REF!,"AAAAAAuZqXM=")</f>
        <v>#REF!</v>
      </c>
      <c r="DM36" t="e">
        <f>AND('GA55 Entry'!#REF!,"AAAAAAuZqXQ=")</f>
        <v>#REF!</v>
      </c>
      <c r="DN36" t="e">
        <f>AND('GA55 Entry'!#REF!,"AAAAAAuZqXU=")</f>
        <v>#REF!</v>
      </c>
      <c r="DO36" t="e">
        <f>AND('GA55 Entry'!#REF!,"AAAAAAuZqXY=")</f>
        <v>#REF!</v>
      </c>
      <c r="DP36" t="e">
        <f>AND('GA55 Entry'!#REF!,"AAAAAAuZqXc=")</f>
        <v>#REF!</v>
      </c>
      <c r="DQ36" t="e">
        <f>AND('GA55 Entry'!#REF!,"AAAAAAuZqXg=")</f>
        <v>#REF!</v>
      </c>
      <c r="DR36" t="e">
        <f>AND('GA55 Entry'!#REF!,"AAAAAAuZqXk=")</f>
        <v>#REF!</v>
      </c>
      <c r="DS36" t="e">
        <f>AND('GA55 Entry'!#REF!,"AAAAAAuZqXo=")</f>
        <v>#REF!</v>
      </c>
      <c r="DT36" t="e">
        <f>AND('GA55 Entry'!#REF!,"AAAAAAuZqXs=")</f>
        <v>#REF!</v>
      </c>
      <c r="DU36" t="e">
        <f>AND('GA55 Entry'!#REF!,"AAAAAAuZqXw=")</f>
        <v>#REF!</v>
      </c>
      <c r="DV36" t="e">
        <f>AND('GA55 Entry'!#REF!,"AAAAAAuZqX0=")</f>
        <v>#REF!</v>
      </c>
      <c r="DW36" t="e">
        <f>AND('GA55 Entry'!#REF!,"AAAAAAuZqX4=")</f>
        <v>#REF!</v>
      </c>
      <c r="DX36" t="e">
        <f>AND('GA55 Entry'!#REF!,"AAAAAAuZqX8=")</f>
        <v>#REF!</v>
      </c>
      <c r="DY36" t="e">
        <f>AND('GA55 Entry'!#REF!,"AAAAAAuZqYA=")</f>
        <v>#REF!</v>
      </c>
      <c r="DZ36" t="e">
        <f>AND('GA55 Entry'!#REF!,"AAAAAAuZqYE=")</f>
        <v>#REF!</v>
      </c>
      <c r="EA36" t="e">
        <f>AND('GA55 Entry'!#REF!,"AAAAAAuZqYI=")</f>
        <v>#REF!</v>
      </c>
      <c r="EB36" t="e">
        <f>AND('GA55 Entry'!#REF!,"AAAAAAuZqYM=")</f>
        <v>#REF!</v>
      </c>
      <c r="EC36" t="e">
        <f>AND('GA55 Entry'!#REF!,"AAAAAAuZqYQ=")</f>
        <v>#REF!</v>
      </c>
      <c r="ED36" t="e">
        <f>AND('GA55 Entry'!#REF!,"AAAAAAuZqYU=")</f>
        <v>#REF!</v>
      </c>
      <c r="EE36" t="e">
        <f>AND('GA55 Entry'!#REF!,"AAAAAAuZqYY=")</f>
        <v>#REF!</v>
      </c>
      <c r="EF36" t="e">
        <f>AND('GA55 Entry'!#REF!,"AAAAAAuZqYc=")</f>
        <v>#REF!</v>
      </c>
      <c r="EG36" t="e">
        <f>AND('GA55 Entry'!#REF!,"AAAAAAuZqYg=")</f>
        <v>#REF!</v>
      </c>
      <c r="EH36" t="e">
        <f>AND('GA55 Entry'!#REF!,"AAAAAAuZqYk=")</f>
        <v>#REF!</v>
      </c>
      <c r="EI36" t="e">
        <f>AND('GA55 Entry'!#REF!,"AAAAAAuZqYo=")</f>
        <v>#REF!</v>
      </c>
      <c r="EJ36" t="e">
        <f>AND('GA55 Entry'!#REF!,"AAAAAAuZqYs=")</f>
        <v>#REF!</v>
      </c>
      <c r="EK36" t="e">
        <f>AND('GA55 Entry'!#REF!,"AAAAAAuZqYw=")</f>
        <v>#REF!</v>
      </c>
      <c r="EL36" t="e">
        <f>AND('GA55 Entry'!#REF!,"AAAAAAuZqY0=")</f>
        <v>#REF!</v>
      </c>
      <c r="EM36" t="e">
        <f>AND('GA55 Entry'!#REF!,"AAAAAAuZqY4=")</f>
        <v>#REF!</v>
      </c>
      <c r="EN36" t="e">
        <f>AND('GA55 Entry'!#REF!,"AAAAAAuZqY8=")</f>
        <v>#REF!</v>
      </c>
      <c r="EO36" t="e">
        <f>AND('GA55 Entry'!#REF!,"AAAAAAuZqZA=")</f>
        <v>#REF!</v>
      </c>
      <c r="EP36" t="e">
        <f>AND('GA55 Entry'!#REF!,"AAAAAAuZqZE=")</f>
        <v>#REF!</v>
      </c>
      <c r="EQ36" t="e">
        <f>AND('GA55 Entry'!#REF!,"AAAAAAuZqZI=")</f>
        <v>#REF!</v>
      </c>
      <c r="ER36" t="e">
        <f>AND('GA55 Entry'!#REF!,"AAAAAAuZqZM=")</f>
        <v>#REF!</v>
      </c>
      <c r="ES36" t="e">
        <f>AND('GA55 Entry'!#REF!,"AAAAAAuZqZQ=")</f>
        <v>#REF!</v>
      </c>
      <c r="ET36" t="e">
        <f>AND('GA55 Entry'!#REF!,"AAAAAAuZqZU=")</f>
        <v>#REF!</v>
      </c>
      <c r="EU36" t="e">
        <f>AND('GA55 Entry'!#REF!,"AAAAAAuZqZY=")</f>
        <v>#REF!</v>
      </c>
      <c r="EV36" t="e">
        <f>AND('GA55 Entry'!#REF!,"AAAAAAuZqZc=")</f>
        <v>#REF!</v>
      </c>
      <c r="EW36" t="e">
        <f>AND('GA55 Entry'!#REF!,"AAAAAAuZqZg=")</f>
        <v>#REF!</v>
      </c>
      <c r="EX36" t="e">
        <f>AND('GA55 Entry'!#REF!,"AAAAAAuZqZk=")</f>
        <v>#REF!</v>
      </c>
      <c r="EY36" t="e">
        <f>AND('GA55 Entry'!#REF!,"AAAAAAuZqZo=")</f>
        <v>#REF!</v>
      </c>
      <c r="EZ36" t="e">
        <f>AND('GA55 Entry'!#REF!,"AAAAAAuZqZs=")</f>
        <v>#REF!</v>
      </c>
      <c r="FA36" t="e">
        <f>AND('GA55 Entry'!#REF!,"AAAAAAuZqZw=")</f>
        <v>#REF!</v>
      </c>
      <c r="FB36" t="e">
        <f>IF('GA55 Entry'!#REF!,"AAAAAAuZqZ0=",0)</f>
        <v>#REF!</v>
      </c>
      <c r="FC36" t="e">
        <f>AND('GA55 Entry'!#REF!,"AAAAAAuZqZ4=")</f>
        <v>#REF!</v>
      </c>
      <c r="FD36" t="e">
        <f>AND('GA55 Entry'!#REF!,"AAAAAAuZqZ8=")</f>
        <v>#REF!</v>
      </c>
      <c r="FE36" t="e">
        <f>AND('GA55 Entry'!#REF!,"AAAAAAuZqaA=")</f>
        <v>#REF!</v>
      </c>
      <c r="FF36" t="e">
        <f>AND('GA55 Entry'!#REF!,"AAAAAAuZqaE=")</f>
        <v>#REF!</v>
      </c>
      <c r="FG36" t="e">
        <f>AND('GA55 Entry'!#REF!,"AAAAAAuZqaI=")</f>
        <v>#REF!</v>
      </c>
      <c r="FH36" t="e">
        <f>AND('GA55 Entry'!#REF!,"AAAAAAuZqaM=")</f>
        <v>#REF!</v>
      </c>
      <c r="FI36" t="e">
        <f>AND('GA55 Entry'!#REF!,"AAAAAAuZqaQ=")</f>
        <v>#REF!</v>
      </c>
      <c r="FJ36" t="e">
        <f>AND('GA55 Entry'!#REF!,"AAAAAAuZqaU=")</f>
        <v>#REF!</v>
      </c>
      <c r="FK36" t="e">
        <f>AND('GA55 Entry'!#REF!,"AAAAAAuZqaY=")</f>
        <v>#REF!</v>
      </c>
      <c r="FL36" t="e">
        <f>AND('GA55 Entry'!#REF!,"AAAAAAuZqac=")</f>
        <v>#REF!</v>
      </c>
      <c r="FM36" t="e">
        <f>AND('GA55 Entry'!#REF!,"AAAAAAuZqag=")</f>
        <v>#REF!</v>
      </c>
      <c r="FN36" t="e">
        <f>AND('GA55 Entry'!#REF!,"AAAAAAuZqak=")</f>
        <v>#REF!</v>
      </c>
      <c r="FO36" t="e">
        <f>AND('GA55 Entry'!#REF!,"AAAAAAuZqao=")</f>
        <v>#REF!</v>
      </c>
      <c r="FP36" t="e">
        <f>AND('GA55 Entry'!#REF!,"AAAAAAuZqas=")</f>
        <v>#REF!</v>
      </c>
      <c r="FQ36" t="e">
        <f>AND('GA55 Entry'!#REF!,"AAAAAAuZqaw=")</f>
        <v>#REF!</v>
      </c>
      <c r="FR36" t="e">
        <f>AND('GA55 Entry'!#REF!,"AAAAAAuZqa0=")</f>
        <v>#REF!</v>
      </c>
      <c r="FS36" t="e">
        <f>AND('GA55 Entry'!#REF!,"AAAAAAuZqa4=")</f>
        <v>#REF!</v>
      </c>
      <c r="FT36" t="e">
        <f>AND('GA55 Entry'!#REF!,"AAAAAAuZqa8=")</f>
        <v>#REF!</v>
      </c>
      <c r="FU36" t="e">
        <f>AND('GA55 Entry'!#REF!,"AAAAAAuZqbA=")</f>
        <v>#REF!</v>
      </c>
      <c r="FV36" t="e">
        <f>AND('GA55 Entry'!#REF!,"AAAAAAuZqbE=")</f>
        <v>#REF!</v>
      </c>
      <c r="FW36" t="e">
        <f>AND('GA55 Entry'!#REF!,"AAAAAAuZqbI=")</f>
        <v>#REF!</v>
      </c>
      <c r="FX36" t="e">
        <f>AND('GA55 Entry'!#REF!,"AAAAAAuZqbM=")</f>
        <v>#REF!</v>
      </c>
      <c r="FY36" t="e">
        <f>AND('GA55 Entry'!#REF!,"AAAAAAuZqbQ=")</f>
        <v>#REF!</v>
      </c>
      <c r="FZ36" t="e">
        <f>AND('GA55 Entry'!#REF!,"AAAAAAuZqbU=")</f>
        <v>#REF!</v>
      </c>
      <c r="GA36" t="e">
        <f>AND('GA55 Entry'!#REF!,"AAAAAAuZqbY=")</f>
        <v>#REF!</v>
      </c>
      <c r="GB36" t="e">
        <f>AND('GA55 Entry'!#REF!,"AAAAAAuZqbc=")</f>
        <v>#REF!</v>
      </c>
      <c r="GC36" t="e">
        <f>AND('GA55 Entry'!#REF!,"AAAAAAuZqbg=")</f>
        <v>#REF!</v>
      </c>
      <c r="GD36" t="e">
        <f>AND('GA55 Entry'!#REF!,"AAAAAAuZqbk=")</f>
        <v>#REF!</v>
      </c>
      <c r="GE36" t="e">
        <f>AND('GA55 Entry'!#REF!,"AAAAAAuZqbo=")</f>
        <v>#REF!</v>
      </c>
      <c r="GF36" t="e">
        <f>AND('GA55 Entry'!#REF!,"AAAAAAuZqbs=")</f>
        <v>#REF!</v>
      </c>
      <c r="GG36" t="e">
        <f>AND('GA55 Entry'!#REF!,"AAAAAAuZqbw=")</f>
        <v>#REF!</v>
      </c>
      <c r="GH36" t="e">
        <f>AND('GA55 Entry'!#REF!,"AAAAAAuZqb0=")</f>
        <v>#REF!</v>
      </c>
      <c r="GI36" t="e">
        <f>AND('GA55 Entry'!#REF!,"AAAAAAuZqb4=")</f>
        <v>#REF!</v>
      </c>
      <c r="GJ36" t="e">
        <f>AND('GA55 Entry'!#REF!,"AAAAAAuZqb8=")</f>
        <v>#REF!</v>
      </c>
      <c r="GK36" t="e">
        <f>AND('GA55 Entry'!#REF!,"AAAAAAuZqcA=")</f>
        <v>#REF!</v>
      </c>
      <c r="GL36" t="e">
        <f>AND('GA55 Entry'!#REF!,"AAAAAAuZqcE=")</f>
        <v>#REF!</v>
      </c>
      <c r="GM36" t="e">
        <f>AND('GA55 Entry'!#REF!,"AAAAAAuZqcI=")</f>
        <v>#REF!</v>
      </c>
      <c r="GN36" t="e">
        <f>AND('GA55 Entry'!#REF!,"AAAAAAuZqcM=")</f>
        <v>#REF!</v>
      </c>
      <c r="GO36" t="e">
        <f>AND('GA55 Entry'!#REF!,"AAAAAAuZqcQ=")</f>
        <v>#REF!</v>
      </c>
      <c r="GP36" t="e">
        <f>AND('GA55 Entry'!#REF!,"AAAAAAuZqcU=")</f>
        <v>#REF!</v>
      </c>
      <c r="GQ36" t="e">
        <f>AND('GA55 Entry'!#REF!,"AAAAAAuZqcY=")</f>
        <v>#REF!</v>
      </c>
      <c r="GR36" t="e">
        <f>AND('GA55 Entry'!#REF!,"AAAAAAuZqcc=")</f>
        <v>#REF!</v>
      </c>
      <c r="GS36" t="e">
        <f>AND('GA55 Entry'!#REF!,"AAAAAAuZqcg=")</f>
        <v>#REF!</v>
      </c>
      <c r="GT36" t="e">
        <f>AND('GA55 Entry'!#REF!,"AAAAAAuZqck=")</f>
        <v>#REF!</v>
      </c>
      <c r="GU36" t="e">
        <f>AND('GA55 Entry'!#REF!,"AAAAAAuZqco=")</f>
        <v>#REF!</v>
      </c>
      <c r="GV36" t="e">
        <f>AND('GA55 Entry'!#REF!,"AAAAAAuZqcs=")</f>
        <v>#REF!</v>
      </c>
      <c r="GW36" t="e">
        <f>AND('GA55 Entry'!#REF!,"AAAAAAuZqcw=")</f>
        <v>#REF!</v>
      </c>
      <c r="GX36" t="e">
        <f>AND('GA55 Entry'!#REF!,"AAAAAAuZqc0=")</f>
        <v>#REF!</v>
      </c>
      <c r="GY36" t="e">
        <f>AND('GA55 Entry'!#REF!,"AAAAAAuZqc4=")</f>
        <v>#REF!</v>
      </c>
      <c r="GZ36" t="e">
        <f>AND('GA55 Entry'!#REF!,"AAAAAAuZqc8=")</f>
        <v>#REF!</v>
      </c>
      <c r="HA36" t="e">
        <f>IF('GA55 Entry'!#REF!,"AAAAAAuZqdA=",0)</f>
        <v>#REF!</v>
      </c>
      <c r="HB36" t="e">
        <f>AND('GA55 Entry'!#REF!,"AAAAAAuZqdE=")</f>
        <v>#REF!</v>
      </c>
      <c r="HC36" t="e">
        <f>AND('GA55 Entry'!#REF!,"AAAAAAuZqdI=")</f>
        <v>#REF!</v>
      </c>
      <c r="HD36" t="e">
        <f>AND('GA55 Entry'!#REF!,"AAAAAAuZqdM=")</f>
        <v>#REF!</v>
      </c>
      <c r="HE36" t="e">
        <f>AND('GA55 Entry'!#REF!,"AAAAAAuZqdQ=")</f>
        <v>#REF!</v>
      </c>
      <c r="HF36" t="e">
        <f>AND('GA55 Entry'!#REF!,"AAAAAAuZqdU=")</f>
        <v>#REF!</v>
      </c>
      <c r="HG36" t="e">
        <f>AND('GA55 Entry'!#REF!,"AAAAAAuZqdY=")</f>
        <v>#REF!</v>
      </c>
      <c r="HH36" t="e">
        <f>AND('GA55 Entry'!#REF!,"AAAAAAuZqdc=")</f>
        <v>#REF!</v>
      </c>
      <c r="HI36" t="e">
        <f>AND('GA55 Entry'!#REF!,"AAAAAAuZqdg=")</f>
        <v>#REF!</v>
      </c>
      <c r="HJ36" t="e">
        <f>AND('GA55 Entry'!#REF!,"AAAAAAuZqdk=")</f>
        <v>#REF!</v>
      </c>
      <c r="HK36" t="e">
        <f>AND('GA55 Entry'!#REF!,"AAAAAAuZqdo=")</f>
        <v>#REF!</v>
      </c>
      <c r="HL36" t="e">
        <f>AND('GA55 Entry'!#REF!,"AAAAAAuZqds=")</f>
        <v>#REF!</v>
      </c>
      <c r="HM36" t="e">
        <f>AND('GA55 Entry'!#REF!,"AAAAAAuZqdw=")</f>
        <v>#REF!</v>
      </c>
      <c r="HN36" t="e">
        <f>AND('GA55 Entry'!#REF!,"AAAAAAuZqd0=")</f>
        <v>#REF!</v>
      </c>
      <c r="HO36" t="e">
        <f>AND('GA55 Entry'!#REF!,"AAAAAAuZqd4=")</f>
        <v>#REF!</v>
      </c>
      <c r="HP36" t="e">
        <f>AND('GA55 Entry'!#REF!,"AAAAAAuZqd8=")</f>
        <v>#REF!</v>
      </c>
      <c r="HQ36" t="e">
        <f>AND('GA55 Entry'!#REF!,"AAAAAAuZqeA=")</f>
        <v>#REF!</v>
      </c>
      <c r="HR36" t="e">
        <f>AND('GA55 Entry'!#REF!,"AAAAAAuZqeE=")</f>
        <v>#REF!</v>
      </c>
      <c r="HS36" t="e">
        <f>AND('GA55 Entry'!#REF!,"AAAAAAuZqeI=")</f>
        <v>#REF!</v>
      </c>
      <c r="HT36" t="e">
        <f>AND('GA55 Entry'!#REF!,"AAAAAAuZqeM=")</f>
        <v>#REF!</v>
      </c>
      <c r="HU36" t="e">
        <f>AND('GA55 Entry'!#REF!,"AAAAAAuZqeQ=")</f>
        <v>#REF!</v>
      </c>
      <c r="HV36" t="e">
        <f>AND('GA55 Entry'!#REF!,"AAAAAAuZqeU=")</f>
        <v>#REF!</v>
      </c>
      <c r="HW36" t="e">
        <f>AND('GA55 Entry'!#REF!,"AAAAAAuZqeY=")</f>
        <v>#REF!</v>
      </c>
      <c r="HX36" t="e">
        <f>AND('GA55 Entry'!#REF!,"AAAAAAuZqec=")</f>
        <v>#REF!</v>
      </c>
      <c r="HY36" t="e">
        <f>AND('GA55 Entry'!#REF!,"AAAAAAuZqeg=")</f>
        <v>#REF!</v>
      </c>
      <c r="HZ36" t="e">
        <f>AND('GA55 Entry'!#REF!,"AAAAAAuZqek=")</f>
        <v>#REF!</v>
      </c>
      <c r="IA36" t="e">
        <f>AND('GA55 Entry'!#REF!,"AAAAAAuZqeo=")</f>
        <v>#REF!</v>
      </c>
      <c r="IB36" t="e">
        <f>AND('GA55 Entry'!#REF!,"AAAAAAuZqes=")</f>
        <v>#REF!</v>
      </c>
      <c r="IC36" t="e">
        <f>AND('GA55 Entry'!#REF!,"AAAAAAuZqew=")</f>
        <v>#REF!</v>
      </c>
      <c r="ID36" t="e">
        <f>AND('GA55 Entry'!#REF!,"AAAAAAuZqe0=")</f>
        <v>#REF!</v>
      </c>
      <c r="IE36" t="e">
        <f>AND('GA55 Entry'!#REF!,"AAAAAAuZqe4=")</f>
        <v>#REF!</v>
      </c>
      <c r="IF36" t="e">
        <f>AND('GA55 Entry'!#REF!,"AAAAAAuZqe8=")</f>
        <v>#REF!</v>
      </c>
      <c r="IG36" t="e">
        <f>AND('GA55 Entry'!#REF!,"AAAAAAuZqfA=")</f>
        <v>#REF!</v>
      </c>
      <c r="IH36" t="e">
        <f>AND('GA55 Entry'!#REF!,"AAAAAAuZqfE=")</f>
        <v>#REF!</v>
      </c>
      <c r="II36" t="e">
        <f>AND('GA55 Entry'!#REF!,"AAAAAAuZqfI=")</f>
        <v>#REF!</v>
      </c>
      <c r="IJ36" t="e">
        <f>AND('GA55 Entry'!#REF!,"AAAAAAuZqfM=")</f>
        <v>#REF!</v>
      </c>
      <c r="IK36" t="e">
        <f>AND('GA55 Entry'!#REF!,"AAAAAAuZqfQ=")</f>
        <v>#REF!</v>
      </c>
      <c r="IL36" t="e">
        <f>AND('GA55 Entry'!#REF!,"AAAAAAuZqfU=")</f>
        <v>#REF!</v>
      </c>
      <c r="IM36" t="e">
        <f>AND('GA55 Entry'!#REF!,"AAAAAAuZqfY=")</f>
        <v>#REF!</v>
      </c>
      <c r="IN36" t="e">
        <f>AND('GA55 Entry'!#REF!,"AAAAAAuZqfc=")</f>
        <v>#REF!</v>
      </c>
      <c r="IO36" t="e">
        <f>AND('GA55 Entry'!#REF!,"AAAAAAuZqfg=")</f>
        <v>#REF!</v>
      </c>
      <c r="IP36" t="e">
        <f>AND('GA55 Entry'!#REF!,"AAAAAAuZqfk=")</f>
        <v>#REF!</v>
      </c>
      <c r="IQ36" t="e">
        <f>AND('GA55 Entry'!#REF!,"AAAAAAuZqfo=")</f>
        <v>#REF!</v>
      </c>
      <c r="IR36" t="e">
        <f>AND('GA55 Entry'!#REF!,"AAAAAAuZqfs=")</f>
        <v>#REF!</v>
      </c>
      <c r="IS36" t="e">
        <f>AND('GA55 Entry'!#REF!,"AAAAAAuZqfw=")</f>
        <v>#REF!</v>
      </c>
      <c r="IT36" t="e">
        <f>AND('GA55 Entry'!#REF!,"AAAAAAuZqf0=")</f>
        <v>#REF!</v>
      </c>
      <c r="IU36" t="e">
        <f>AND('GA55 Entry'!#REF!,"AAAAAAuZqf4=")</f>
        <v>#REF!</v>
      </c>
      <c r="IV36" t="e">
        <f>AND('GA55 Entry'!#REF!,"AAAAAAuZqf8=")</f>
        <v>#REF!</v>
      </c>
    </row>
    <row r="37" spans="1:256">
      <c r="A37" t="e">
        <f>AND('GA55 Entry'!#REF!,"AAAAAFxa/wA=")</f>
        <v>#REF!</v>
      </c>
      <c r="B37" t="e">
        <f>AND('GA55 Entry'!#REF!,"AAAAAFxa/wE=")</f>
        <v>#REF!</v>
      </c>
      <c r="C37" t="e">
        <f>AND('GA55 Entry'!#REF!,"AAAAAFxa/wI=")</f>
        <v>#REF!</v>
      </c>
      <c r="D37" t="e">
        <f>IF('GA55 Entry'!#REF!,"AAAAAFxa/wM=",0)</f>
        <v>#REF!</v>
      </c>
      <c r="E37" t="e">
        <f>AND('GA55 Entry'!#REF!,"AAAAAFxa/wQ=")</f>
        <v>#REF!</v>
      </c>
      <c r="F37" t="e">
        <f>AND('GA55 Entry'!#REF!,"AAAAAFxa/wU=")</f>
        <v>#REF!</v>
      </c>
      <c r="G37" t="e">
        <f>AND('GA55 Entry'!#REF!,"AAAAAFxa/wY=")</f>
        <v>#REF!</v>
      </c>
      <c r="H37" t="e">
        <f>AND('GA55 Entry'!#REF!,"AAAAAFxa/wc=")</f>
        <v>#REF!</v>
      </c>
      <c r="I37" t="e">
        <f>AND('GA55 Entry'!#REF!,"AAAAAFxa/wg=")</f>
        <v>#REF!</v>
      </c>
      <c r="J37" t="e">
        <f>AND('GA55 Entry'!#REF!,"AAAAAFxa/wk=")</f>
        <v>#REF!</v>
      </c>
      <c r="K37" t="e">
        <f>AND('GA55 Entry'!#REF!,"AAAAAFxa/wo=")</f>
        <v>#REF!</v>
      </c>
      <c r="L37" t="e">
        <f>AND('GA55 Entry'!#REF!,"AAAAAFxa/ws=")</f>
        <v>#REF!</v>
      </c>
      <c r="M37" t="e">
        <f>AND('GA55 Entry'!#REF!,"AAAAAFxa/ww=")</f>
        <v>#REF!</v>
      </c>
      <c r="N37" t="e">
        <f>AND('GA55 Entry'!#REF!,"AAAAAFxa/w0=")</f>
        <v>#REF!</v>
      </c>
      <c r="O37" t="e">
        <f>AND('GA55 Entry'!#REF!,"AAAAAFxa/w4=")</f>
        <v>#REF!</v>
      </c>
      <c r="P37" t="e">
        <f>AND('GA55 Entry'!#REF!,"AAAAAFxa/w8=")</f>
        <v>#REF!</v>
      </c>
      <c r="Q37" t="e">
        <f>AND('GA55 Entry'!#REF!,"AAAAAFxa/xA=")</f>
        <v>#REF!</v>
      </c>
      <c r="R37" t="e">
        <f>AND('GA55 Entry'!#REF!,"AAAAAFxa/xE=")</f>
        <v>#REF!</v>
      </c>
      <c r="S37" t="e">
        <f>AND('GA55 Entry'!#REF!,"AAAAAFxa/xI=")</f>
        <v>#REF!</v>
      </c>
      <c r="T37" t="e">
        <f>AND('GA55 Entry'!#REF!,"AAAAAFxa/xM=")</f>
        <v>#REF!</v>
      </c>
      <c r="U37" t="e">
        <f>AND('GA55 Entry'!#REF!,"AAAAAFxa/xQ=")</f>
        <v>#REF!</v>
      </c>
      <c r="V37" t="e">
        <f>AND('GA55 Entry'!#REF!,"AAAAAFxa/xU=")</f>
        <v>#REF!</v>
      </c>
      <c r="W37" t="e">
        <f>AND('GA55 Entry'!#REF!,"AAAAAFxa/xY=")</f>
        <v>#REF!</v>
      </c>
      <c r="X37" t="e">
        <f>AND('GA55 Entry'!#REF!,"AAAAAFxa/xc=")</f>
        <v>#REF!</v>
      </c>
      <c r="Y37" t="e">
        <f>AND('GA55 Entry'!#REF!,"AAAAAFxa/xg=")</f>
        <v>#REF!</v>
      </c>
      <c r="Z37" t="e">
        <f>AND('GA55 Entry'!#REF!,"AAAAAFxa/xk=")</f>
        <v>#REF!</v>
      </c>
      <c r="AA37" t="e">
        <f>AND('GA55 Entry'!#REF!,"AAAAAFxa/xo=")</f>
        <v>#REF!</v>
      </c>
      <c r="AB37" t="e">
        <f>AND('GA55 Entry'!#REF!,"AAAAAFxa/xs=")</f>
        <v>#REF!</v>
      </c>
      <c r="AC37" t="e">
        <f>AND('GA55 Entry'!#REF!,"AAAAAFxa/xw=")</f>
        <v>#REF!</v>
      </c>
      <c r="AD37" t="e">
        <f>AND('GA55 Entry'!#REF!,"AAAAAFxa/x0=")</f>
        <v>#REF!</v>
      </c>
      <c r="AE37" t="e">
        <f>AND('GA55 Entry'!#REF!,"AAAAAFxa/x4=")</f>
        <v>#REF!</v>
      </c>
      <c r="AF37" t="e">
        <f>AND('GA55 Entry'!#REF!,"AAAAAFxa/x8=")</f>
        <v>#REF!</v>
      </c>
      <c r="AG37" t="e">
        <f>AND('GA55 Entry'!#REF!,"AAAAAFxa/yA=")</f>
        <v>#REF!</v>
      </c>
      <c r="AH37" t="e">
        <f>AND('GA55 Entry'!#REF!,"AAAAAFxa/yE=")</f>
        <v>#REF!</v>
      </c>
      <c r="AI37" t="e">
        <f>AND('GA55 Entry'!#REF!,"AAAAAFxa/yI=")</f>
        <v>#REF!</v>
      </c>
      <c r="AJ37" t="e">
        <f>AND('GA55 Entry'!#REF!,"AAAAAFxa/yM=")</f>
        <v>#REF!</v>
      </c>
      <c r="AK37" t="e">
        <f>AND('GA55 Entry'!#REF!,"AAAAAFxa/yQ=")</f>
        <v>#REF!</v>
      </c>
      <c r="AL37" t="e">
        <f>AND('GA55 Entry'!#REF!,"AAAAAFxa/yU=")</f>
        <v>#REF!</v>
      </c>
      <c r="AM37" t="e">
        <f>AND('GA55 Entry'!#REF!,"AAAAAFxa/yY=")</f>
        <v>#REF!</v>
      </c>
      <c r="AN37" t="e">
        <f>AND('GA55 Entry'!#REF!,"AAAAAFxa/yc=")</f>
        <v>#REF!</v>
      </c>
      <c r="AO37" t="e">
        <f>AND('GA55 Entry'!#REF!,"AAAAAFxa/yg=")</f>
        <v>#REF!</v>
      </c>
      <c r="AP37" t="e">
        <f>AND('GA55 Entry'!#REF!,"AAAAAFxa/yk=")</f>
        <v>#REF!</v>
      </c>
      <c r="AQ37" t="e">
        <f>AND('GA55 Entry'!#REF!,"AAAAAFxa/yo=")</f>
        <v>#REF!</v>
      </c>
      <c r="AR37" t="e">
        <f>AND('GA55 Entry'!#REF!,"AAAAAFxa/ys=")</f>
        <v>#REF!</v>
      </c>
      <c r="AS37" t="e">
        <f>AND('GA55 Entry'!#REF!,"AAAAAFxa/yw=")</f>
        <v>#REF!</v>
      </c>
      <c r="AT37" t="e">
        <f>AND('GA55 Entry'!#REF!,"AAAAAFxa/y0=")</f>
        <v>#REF!</v>
      </c>
      <c r="AU37" t="e">
        <f>AND('GA55 Entry'!#REF!,"AAAAAFxa/y4=")</f>
        <v>#REF!</v>
      </c>
      <c r="AV37" t="e">
        <f>AND('GA55 Entry'!#REF!,"AAAAAFxa/y8=")</f>
        <v>#REF!</v>
      </c>
      <c r="AW37" t="e">
        <f>AND('GA55 Entry'!#REF!,"AAAAAFxa/zA=")</f>
        <v>#REF!</v>
      </c>
      <c r="AX37" t="e">
        <f>AND('GA55 Entry'!#REF!,"AAAAAFxa/zE=")</f>
        <v>#REF!</v>
      </c>
      <c r="AY37" t="e">
        <f>AND('GA55 Entry'!#REF!,"AAAAAFxa/zI=")</f>
        <v>#REF!</v>
      </c>
      <c r="AZ37" t="e">
        <f>AND('GA55 Entry'!#REF!,"AAAAAFxa/zM=")</f>
        <v>#REF!</v>
      </c>
      <c r="BA37" t="e">
        <f>AND('GA55 Entry'!#REF!,"AAAAAFxa/zQ=")</f>
        <v>#REF!</v>
      </c>
      <c r="BB37" t="e">
        <f>AND('GA55 Entry'!#REF!,"AAAAAFxa/zU=")</f>
        <v>#REF!</v>
      </c>
      <c r="BC37" t="e">
        <f>IF('GA55 Entry'!#REF!,"AAAAAFxa/zY=",0)</f>
        <v>#REF!</v>
      </c>
      <c r="BD37" t="e">
        <f>AND('GA55 Entry'!#REF!,"AAAAAFxa/zc=")</f>
        <v>#REF!</v>
      </c>
      <c r="BE37" t="e">
        <f>AND('GA55 Entry'!#REF!,"AAAAAFxa/zg=")</f>
        <v>#REF!</v>
      </c>
      <c r="BF37" t="e">
        <f>AND('GA55 Entry'!#REF!,"AAAAAFxa/zk=")</f>
        <v>#REF!</v>
      </c>
      <c r="BG37" t="e">
        <f>AND('GA55 Entry'!#REF!,"AAAAAFxa/zo=")</f>
        <v>#REF!</v>
      </c>
      <c r="BH37" t="e">
        <f>AND('GA55 Entry'!#REF!,"AAAAAFxa/zs=")</f>
        <v>#REF!</v>
      </c>
      <c r="BI37" t="e">
        <f>AND('GA55 Entry'!#REF!,"AAAAAFxa/zw=")</f>
        <v>#REF!</v>
      </c>
      <c r="BJ37" t="e">
        <f>AND('GA55 Entry'!#REF!,"AAAAAFxa/z0=")</f>
        <v>#REF!</v>
      </c>
      <c r="BK37" t="e">
        <f>AND('GA55 Entry'!#REF!,"AAAAAFxa/z4=")</f>
        <v>#REF!</v>
      </c>
      <c r="BL37" t="e">
        <f>AND('GA55 Entry'!#REF!,"AAAAAFxa/z8=")</f>
        <v>#REF!</v>
      </c>
      <c r="BM37" t="e">
        <f>AND('GA55 Entry'!#REF!,"AAAAAFxa/0A=")</f>
        <v>#REF!</v>
      </c>
      <c r="BN37" t="e">
        <f>AND('GA55 Entry'!#REF!,"AAAAAFxa/0E=")</f>
        <v>#REF!</v>
      </c>
      <c r="BO37" t="e">
        <f>AND('GA55 Entry'!#REF!,"AAAAAFxa/0I=")</f>
        <v>#REF!</v>
      </c>
      <c r="BP37" t="e">
        <f>AND('GA55 Entry'!#REF!,"AAAAAFxa/0M=")</f>
        <v>#REF!</v>
      </c>
      <c r="BQ37" t="e">
        <f>AND('GA55 Entry'!#REF!,"AAAAAFxa/0Q=")</f>
        <v>#REF!</v>
      </c>
      <c r="BR37" t="e">
        <f>AND('GA55 Entry'!#REF!,"AAAAAFxa/0U=")</f>
        <v>#REF!</v>
      </c>
      <c r="BS37" t="e">
        <f>AND('GA55 Entry'!#REF!,"AAAAAFxa/0Y=")</f>
        <v>#REF!</v>
      </c>
      <c r="BT37" t="e">
        <f>AND('GA55 Entry'!#REF!,"AAAAAFxa/0c=")</f>
        <v>#REF!</v>
      </c>
      <c r="BU37" t="e">
        <f>AND('GA55 Entry'!#REF!,"AAAAAFxa/0g=")</f>
        <v>#REF!</v>
      </c>
      <c r="BV37" t="e">
        <f>AND('GA55 Entry'!#REF!,"AAAAAFxa/0k=")</f>
        <v>#REF!</v>
      </c>
      <c r="BW37" t="e">
        <f>AND('GA55 Entry'!#REF!,"AAAAAFxa/0o=")</f>
        <v>#REF!</v>
      </c>
      <c r="BX37" t="e">
        <f>AND('GA55 Entry'!#REF!,"AAAAAFxa/0s=")</f>
        <v>#REF!</v>
      </c>
      <c r="BY37" t="e">
        <f>AND('GA55 Entry'!#REF!,"AAAAAFxa/0w=")</f>
        <v>#REF!</v>
      </c>
      <c r="BZ37" t="e">
        <f>AND('GA55 Entry'!#REF!,"AAAAAFxa/00=")</f>
        <v>#REF!</v>
      </c>
      <c r="CA37" t="e">
        <f>AND('GA55 Entry'!#REF!,"AAAAAFxa/04=")</f>
        <v>#REF!</v>
      </c>
      <c r="CB37" t="e">
        <f>AND('GA55 Entry'!#REF!,"AAAAAFxa/08=")</f>
        <v>#REF!</v>
      </c>
      <c r="CC37" t="e">
        <f>AND('GA55 Entry'!#REF!,"AAAAAFxa/1A=")</f>
        <v>#REF!</v>
      </c>
      <c r="CD37" t="e">
        <f>AND('GA55 Entry'!#REF!,"AAAAAFxa/1E=")</f>
        <v>#REF!</v>
      </c>
      <c r="CE37" t="e">
        <f>AND('GA55 Entry'!#REF!,"AAAAAFxa/1I=")</f>
        <v>#REF!</v>
      </c>
      <c r="CF37" t="e">
        <f>AND('GA55 Entry'!#REF!,"AAAAAFxa/1M=")</f>
        <v>#REF!</v>
      </c>
      <c r="CG37" t="e">
        <f>AND('GA55 Entry'!#REF!,"AAAAAFxa/1Q=")</f>
        <v>#REF!</v>
      </c>
      <c r="CH37" t="e">
        <f>AND('GA55 Entry'!#REF!,"AAAAAFxa/1U=")</f>
        <v>#REF!</v>
      </c>
      <c r="CI37" t="e">
        <f>AND('GA55 Entry'!#REF!,"AAAAAFxa/1Y=")</f>
        <v>#REF!</v>
      </c>
      <c r="CJ37" t="e">
        <f>AND('GA55 Entry'!#REF!,"AAAAAFxa/1c=")</f>
        <v>#REF!</v>
      </c>
      <c r="CK37" t="e">
        <f>AND('GA55 Entry'!#REF!,"AAAAAFxa/1g=")</f>
        <v>#REF!</v>
      </c>
      <c r="CL37" t="e">
        <f>AND('GA55 Entry'!#REF!,"AAAAAFxa/1k=")</f>
        <v>#REF!</v>
      </c>
      <c r="CM37" t="e">
        <f>AND('GA55 Entry'!#REF!,"AAAAAFxa/1o=")</f>
        <v>#REF!</v>
      </c>
      <c r="CN37" t="e">
        <f>AND('GA55 Entry'!#REF!,"AAAAAFxa/1s=")</f>
        <v>#REF!</v>
      </c>
      <c r="CO37" t="e">
        <f>AND('GA55 Entry'!#REF!,"AAAAAFxa/1w=")</f>
        <v>#REF!</v>
      </c>
      <c r="CP37" t="e">
        <f>AND('GA55 Entry'!#REF!,"AAAAAFxa/10=")</f>
        <v>#REF!</v>
      </c>
      <c r="CQ37" t="e">
        <f>AND('GA55 Entry'!#REF!,"AAAAAFxa/14=")</f>
        <v>#REF!</v>
      </c>
      <c r="CR37" t="e">
        <f>AND('GA55 Entry'!#REF!,"AAAAAFxa/18=")</f>
        <v>#REF!</v>
      </c>
      <c r="CS37" t="e">
        <f>AND('GA55 Entry'!#REF!,"AAAAAFxa/2A=")</f>
        <v>#REF!</v>
      </c>
      <c r="CT37" t="e">
        <f>AND('GA55 Entry'!#REF!,"AAAAAFxa/2E=")</f>
        <v>#REF!</v>
      </c>
      <c r="CU37" t="e">
        <f>AND('GA55 Entry'!#REF!,"AAAAAFxa/2I=")</f>
        <v>#REF!</v>
      </c>
      <c r="CV37" t="e">
        <f>AND('GA55 Entry'!#REF!,"AAAAAFxa/2M=")</f>
        <v>#REF!</v>
      </c>
      <c r="CW37" t="e">
        <f>AND('GA55 Entry'!#REF!,"AAAAAFxa/2Q=")</f>
        <v>#REF!</v>
      </c>
      <c r="CX37" t="e">
        <f>AND('GA55 Entry'!#REF!,"AAAAAFxa/2U=")</f>
        <v>#REF!</v>
      </c>
      <c r="CY37" t="e">
        <f>AND('GA55 Entry'!#REF!,"AAAAAFxa/2Y=")</f>
        <v>#REF!</v>
      </c>
      <c r="CZ37" t="e">
        <f>AND('GA55 Entry'!#REF!,"AAAAAFxa/2c=")</f>
        <v>#REF!</v>
      </c>
      <c r="DA37" t="e">
        <f>AND('GA55 Entry'!#REF!,"AAAAAFxa/2g=")</f>
        <v>#REF!</v>
      </c>
      <c r="DB37" t="e">
        <f>IF('GA55 Entry'!#REF!,"AAAAAFxa/2k=",0)</f>
        <v>#REF!</v>
      </c>
      <c r="DC37" t="e">
        <f>AND('GA55 Entry'!#REF!,"AAAAAFxa/2o=")</f>
        <v>#REF!</v>
      </c>
      <c r="DD37" t="e">
        <f>AND('GA55 Entry'!#REF!,"AAAAAFxa/2s=")</f>
        <v>#REF!</v>
      </c>
      <c r="DE37" t="e">
        <f>AND('GA55 Entry'!#REF!,"AAAAAFxa/2w=")</f>
        <v>#REF!</v>
      </c>
      <c r="DF37" t="e">
        <f>AND('GA55 Entry'!#REF!,"AAAAAFxa/20=")</f>
        <v>#REF!</v>
      </c>
      <c r="DG37" t="e">
        <f>AND('GA55 Entry'!#REF!,"AAAAAFxa/24=")</f>
        <v>#REF!</v>
      </c>
      <c r="DH37" t="e">
        <f>AND('GA55 Entry'!#REF!,"AAAAAFxa/28=")</f>
        <v>#REF!</v>
      </c>
      <c r="DI37" t="e">
        <f>AND('GA55 Entry'!#REF!,"AAAAAFxa/3A=")</f>
        <v>#REF!</v>
      </c>
      <c r="DJ37" t="e">
        <f>AND('GA55 Entry'!#REF!,"AAAAAFxa/3E=")</f>
        <v>#REF!</v>
      </c>
      <c r="DK37" t="e">
        <f>AND('GA55 Entry'!#REF!,"AAAAAFxa/3I=")</f>
        <v>#REF!</v>
      </c>
      <c r="DL37" t="e">
        <f>AND('GA55 Entry'!#REF!,"AAAAAFxa/3M=")</f>
        <v>#REF!</v>
      </c>
      <c r="DM37" t="e">
        <f>AND('GA55 Entry'!#REF!,"AAAAAFxa/3Q=")</f>
        <v>#REF!</v>
      </c>
      <c r="DN37" t="e">
        <f>AND('GA55 Entry'!#REF!,"AAAAAFxa/3U=")</f>
        <v>#REF!</v>
      </c>
      <c r="DO37" t="e">
        <f>AND('GA55 Entry'!#REF!,"AAAAAFxa/3Y=")</f>
        <v>#REF!</v>
      </c>
      <c r="DP37" t="e">
        <f>AND('GA55 Entry'!#REF!,"AAAAAFxa/3c=")</f>
        <v>#REF!</v>
      </c>
      <c r="DQ37" t="e">
        <f>AND('GA55 Entry'!#REF!,"AAAAAFxa/3g=")</f>
        <v>#REF!</v>
      </c>
      <c r="DR37" t="e">
        <f>AND('GA55 Entry'!#REF!,"AAAAAFxa/3k=")</f>
        <v>#REF!</v>
      </c>
      <c r="DS37" t="e">
        <f>AND('GA55 Entry'!#REF!,"AAAAAFxa/3o=")</f>
        <v>#REF!</v>
      </c>
      <c r="DT37" t="e">
        <f>AND('GA55 Entry'!#REF!,"AAAAAFxa/3s=")</f>
        <v>#REF!</v>
      </c>
      <c r="DU37" t="e">
        <f>AND('GA55 Entry'!#REF!,"AAAAAFxa/3w=")</f>
        <v>#REF!</v>
      </c>
      <c r="DV37" t="e">
        <f>AND('GA55 Entry'!#REF!,"AAAAAFxa/30=")</f>
        <v>#REF!</v>
      </c>
      <c r="DW37" t="e">
        <f>AND('GA55 Entry'!#REF!,"AAAAAFxa/34=")</f>
        <v>#REF!</v>
      </c>
      <c r="DX37" t="e">
        <f>AND('GA55 Entry'!#REF!,"AAAAAFxa/38=")</f>
        <v>#REF!</v>
      </c>
      <c r="DY37" t="e">
        <f>AND('GA55 Entry'!#REF!,"AAAAAFxa/4A=")</f>
        <v>#REF!</v>
      </c>
      <c r="DZ37" t="e">
        <f>AND('GA55 Entry'!#REF!,"AAAAAFxa/4E=")</f>
        <v>#REF!</v>
      </c>
      <c r="EA37" t="e">
        <f>AND('GA55 Entry'!#REF!,"AAAAAFxa/4I=")</f>
        <v>#REF!</v>
      </c>
      <c r="EB37" t="e">
        <f>AND('GA55 Entry'!#REF!,"AAAAAFxa/4M=")</f>
        <v>#REF!</v>
      </c>
      <c r="EC37" t="e">
        <f>AND('GA55 Entry'!#REF!,"AAAAAFxa/4Q=")</f>
        <v>#REF!</v>
      </c>
      <c r="ED37" t="e">
        <f>AND('GA55 Entry'!#REF!,"AAAAAFxa/4U=")</f>
        <v>#REF!</v>
      </c>
      <c r="EE37" t="e">
        <f>AND('GA55 Entry'!#REF!,"AAAAAFxa/4Y=")</f>
        <v>#REF!</v>
      </c>
      <c r="EF37" t="e">
        <f>AND('GA55 Entry'!#REF!,"AAAAAFxa/4c=")</f>
        <v>#REF!</v>
      </c>
      <c r="EG37" t="e">
        <f>AND('GA55 Entry'!#REF!,"AAAAAFxa/4g=")</f>
        <v>#REF!</v>
      </c>
      <c r="EH37" t="e">
        <f>AND('GA55 Entry'!#REF!,"AAAAAFxa/4k=")</f>
        <v>#REF!</v>
      </c>
      <c r="EI37" t="e">
        <f>AND('GA55 Entry'!#REF!,"AAAAAFxa/4o=")</f>
        <v>#REF!</v>
      </c>
      <c r="EJ37" t="e">
        <f>AND('GA55 Entry'!#REF!,"AAAAAFxa/4s=")</f>
        <v>#REF!</v>
      </c>
      <c r="EK37" t="e">
        <f>AND('GA55 Entry'!#REF!,"AAAAAFxa/4w=")</f>
        <v>#REF!</v>
      </c>
      <c r="EL37" t="e">
        <f>AND('GA55 Entry'!#REF!,"AAAAAFxa/40=")</f>
        <v>#REF!</v>
      </c>
      <c r="EM37" t="e">
        <f>AND('GA55 Entry'!#REF!,"AAAAAFxa/44=")</f>
        <v>#REF!</v>
      </c>
      <c r="EN37" t="e">
        <f>AND('GA55 Entry'!#REF!,"AAAAAFxa/48=")</f>
        <v>#REF!</v>
      </c>
      <c r="EO37" t="e">
        <f>AND('GA55 Entry'!#REF!,"AAAAAFxa/5A=")</f>
        <v>#REF!</v>
      </c>
      <c r="EP37" t="e">
        <f>AND('GA55 Entry'!#REF!,"AAAAAFxa/5E=")</f>
        <v>#REF!</v>
      </c>
      <c r="EQ37" t="e">
        <f>AND('GA55 Entry'!#REF!,"AAAAAFxa/5I=")</f>
        <v>#REF!</v>
      </c>
      <c r="ER37" t="e">
        <f>AND('GA55 Entry'!#REF!,"AAAAAFxa/5M=")</f>
        <v>#REF!</v>
      </c>
      <c r="ES37" t="e">
        <f>AND('GA55 Entry'!#REF!,"AAAAAFxa/5Q=")</f>
        <v>#REF!</v>
      </c>
      <c r="ET37" t="e">
        <f>AND('GA55 Entry'!#REF!,"AAAAAFxa/5U=")</f>
        <v>#REF!</v>
      </c>
      <c r="EU37" t="e">
        <f>AND('GA55 Entry'!#REF!,"AAAAAFxa/5Y=")</f>
        <v>#REF!</v>
      </c>
      <c r="EV37" t="e">
        <f>AND('GA55 Entry'!#REF!,"AAAAAFxa/5c=")</f>
        <v>#REF!</v>
      </c>
      <c r="EW37" t="e">
        <f>AND('GA55 Entry'!#REF!,"AAAAAFxa/5g=")</f>
        <v>#REF!</v>
      </c>
      <c r="EX37" t="e">
        <f>AND('GA55 Entry'!#REF!,"AAAAAFxa/5k=")</f>
        <v>#REF!</v>
      </c>
      <c r="EY37" t="e">
        <f>AND('GA55 Entry'!#REF!,"AAAAAFxa/5o=")</f>
        <v>#REF!</v>
      </c>
      <c r="EZ37" t="e">
        <f>AND('GA55 Entry'!#REF!,"AAAAAFxa/5s=")</f>
        <v>#REF!</v>
      </c>
      <c r="FA37" t="e">
        <f>IF('GA55 Entry'!#REF!,"AAAAAFxa/5w=",0)</f>
        <v>#REF!</v>
      </c>
      <c r="FB37" t="e">
        <f>AND('GA55 Entry'!#REF!,"AAAAAFxa/50=")</f>
        <v>#REF!</v>
      </c>
      <c r="FC37" t="e">
        <f>AND('GA55 Entry'!#REF!,"AAAAAFxa/54=")</f>
        <v>#REF!</v>
      </c>
      <c r="FD37" t="e">
        <f>AND('GA55 Entry'!#REF!,"AAAAAFxa/58=")</f>
        <v>#REF!</v>
      </c>
      <c r="FE37" t="e">
        <f>AND('GA55 Entry'!#REF!,"AAAAAFxa/6A=")</f>
        <v>#REF!</v>
      </c>
      <c r="FF37" t="e">
        <f>AND('GA55 Entry'!#REF!,"AAAAAFxa/6E=")</f>
        <v>#REF!</v>
      </c>
      <c r="FG37" t="e">
        <f>AND('GA55 Entry'!#REF!,"AAAAAFxa/6I=")</f>
        <v>#REF!</v>
      </c>
      <c r="FH37" t="e">
        <f>AND('GA55 Entry'!#REF!,"AAAAAFxa/6M=")</f>
        <v>#REF!</v>
      </c>
      <c r="FI37" t="e">
        <f>AND('GA55 Entry'!#REF!,"AAAAAFxa/6Q=")</f>
        <v>#REF!</v>
      </c>
      <c r="FJ37" t="e">
        <f>AND('GA55 Entry'!#REF!,"AAAAAFxa/6U=")</f>
        <v>#REF!</v>
      </c>
      <c r="FK37" t="e">
        <f>AND('GA55 Entry'!#REF!,"AAAAAFxa/6Y=")</f>
        <v>#REF!</v>
      </c>
      <c r="FL37" t="e">
        <f>AND('GA55 Entry'!#REF!,"AAAAAFxa/6c=")</f>
        <v>#REF!</v>
      </c>
      <c r="FM37" t="e">
        <f>AND('GA55 Entry'!#REF!,"AAAAAFxa/6g=")</f>
        <v>#REF!</v>
      </c>
      <c r="FN37" t="e">
        <f>AND('GA55 Entry'!#REF!,"AAAAAFxa/6k=")</f>
        <v>#REF!</v>
      </c>
      <c r="FO37" t="e">
        <f>AND('GA55 Entry'!#REF!,"AAAAAFxa/6o=")</f>
        <v>#REF!</v>
      </c>
      <c r="FP37" t="e">
        <f>AND('GA55 Entry'!#REF!,"AAAAAFxa/6s=")</f>
        <v>#REF!</v>
      </c>
      <c r="FQ37" t="e">
        <f>AND('GA55 Entry'!#REF!,"AAAAAFxa/6w=")</f>
        <v>#REF!</v>
      </c>
      <c r="FR37" t="e">
        <f>AND('GA55 Entry'!#REF!,"AAAAAFxa/60=")</f>
        <v>#REF!</v>
      </c>
      <c r="FS37" t="e">
        <f>AND('GA55 Entry'!#REF!,"AAAAAFxa/64=")</f>
        <v>#REF!</v>
      </c>
      <c r="FT37" t="e">
        <f>AND('GA55 Entry'!#REF!,"AAAAAFxa/68=")</f>
        <v>#REF!</v>
      </c>
      <c r="FU37" t="e">
        <f>AND('GA55 Entry'!#REF!,"AAAAAFxa/7A=")</f>
        <v>#REF!</v>
      </c>
      <c r="FV37" t="e">
        <f>AND('GA55 Entry'!#REF!,"AAAAAFxa/7E=")</f>
        <v>#REF!</v>
      </c>
      <c r="FW37" t="e">
        <f>AND('GA55 Entry'!#REF!,"AAAAAFxa/7I=")</f>
        <v>#REF!</v>
      </c>
      <c r="FX37" t="e">
        <f>AND('GA55 Entry'!#REF!,"AAAAAFxa/7M=")</f>
        <v>#REF!</v>
      </c>
      <c r="FY37" t="e">
        <f>AND('GA55 Entry'!#REF!,"AAAAAFxa/7Q=")</f>
        <v>#REF!</v>
      </c>
      <c r="FZ37" t="e">
        <f>AND('GA55 Entry'!#REF!,"AAAAAFxa/7U=")</f>
        <v>#REF!</v>
      </c>
      <c r="GA37" t="e">
        <f>AND('GA55 Entry'!#REF!,"AAAAAFxa/7Y=")</f>
        <v>#REF!</v>
      </c>
      <c r="GB37" t="e">
        <f>AND('GA55 Entry'!#REF!,"AAAAAFxa/7c=")</f>
        <v>#REF!</v>
      </c>
      <c r="GC37" t="e">
        <f>AND('GA55 Entry'!#REF!,"AAAAAFxa/7g=")</f>
        <v>#REF!</v>
      </c>
      <c r="GD37" t="e">
        <f>AND('GA55 Entry'!#REF!,"AAAAAFxa/7k=")</f>
        <v>#REF!</v>
      </c>
      <c r="GE37" t="e">
        <f>AND('GA55 Entry'!#REF!,"AAAAAFxa/7o=")</f>
        <v>#REF!</v>
      </c>
      <c r="GF37" t="e">
        <f>AND('GA55 Entry'!#REF!,"AAAAAFxa/7s=")</f>
        <v>#REF!</v>
      </c>
      <c r="GG37" t="e">
        <f>AND('GA55 Entry'!#REF!,"AAAAAFxa/7w=")</f>
        <v>#REF!</v>
      </c>
      <c r="GH37" t="e">
        <f>AND('GA55 Entry'!#REF!,"AAAAAFxa/70=")</f>
        <v>#REF!</v>
      </c>
      <c r="GI37" t="e">
        <f>AND('GA55 Entry'!#REF!,"AAAAAFxa/74=")</f>
        <v>#REF!</v>
      </c>
      <c r="GJ37" t="e">
        <f>AND('GA55 Entry'!#REF!,"AAAAAFxa/78=")</f>
        <v>#REF!</v>
      </c>
      <c r="GK37" t="e">
        <f>AND('GA55 Entry'!#REF!,"AAAAAFxa/8A=")</f>
        <v>#REF!</v>
      </c>
      <c r="GL37" t="e">
        <f>AND('GA55 Entry'!#REF!,"AAAAAFxa/8E=")</f>
        <v>#REF!</v>
      </c>
      <c r="GM37" t="e">
        <f>AND('GA55 Entry'!#REF!,"AAAAAFxa/8I=")</f>
        <v>#REF!</v>
      </c>
      <c r="GN37" t="e">
        <f>AND('GA55 Entry'!#REF!,"AAAAAFxa/8M=")</f>
        <v>#REF!</v>
      </c>
      <c r="GO37" t="e">
        <f>AND('GA55 Entry'!#REF!,"AAAAAFxa/8Q=")</f>
        <v>#REF!</v>
      </c>
      <c r="GP37" t="e">
        <f>AND('GA55 Entry'!#REF!,"AAAAAFxa/8U=")</f>
        <v>#REF!</v>
      </c>
      <c r="GQ37" t="e">
        <f>AND('GA55 Entry'!#REF!,"AAAAAFxa/8Y=")</f>
        <v>#REF!</v>
      </c>
      <c r="GR37" t="e">
        <f>AND('GA55 Entry'!#REF!,"AAAAAFxa/8c=")</f>
        <v>#REF!</v>
      </c>
      <c r="GS37" t="e">
        <f>AND('GA55 Entry'!#REF!,"AAAAAFxa/8g=")</f>
        <v>#REF!</v>
      </c>
      <c r="GT37" t="e">
        <f>AND('GA55 Entry'!#REF!,"AAAAAFxa/8k=")</f>
        <v>#REF!</v>
      </c>
      <c r="GU37" t="e">
        <f>AND('GA55 Entry'!#REF!,"AAAAAFxa/8o=")</f>
        <v>#REF!</v>
      </c>
      <c r="GV37" t="e">
        <f>AND('GA55 Entry'!#REF!,"AAAAAFxa/8s=")</f>
        <v>#REF!</v>
      </c>
      <c r="GW37" t="e">
        <f>AND('GA55 Entry'!#REF!,"AAAAAFxa/8w=")</f>
        <v>#REF!</v>
      </c>
      <c r="GX37" t="e">
        <f>AND('GA55 Entry'!#REF!,"AAAAAFxa/80=")</f>
        <v>#REF!</v>
      </c>
      <c r="GY37" t="e">
        <f>AND('GA55 Entry'!#REF!,"AAAAAFxa/84=")</f>
        <v>#REF!</v>
      </c>
      <c r="GZ37">
        <f>IF('GA55 Entry'!28:28,"AAAAAFxa/88=",0)</f>
        <v>0</v>
      </c>
      <c r="HA37" t="e">
        <f>AND('GA55 Entry'!B28,"AAAAAFxa/9A=")</f>
        <v>#VALUE!</v>
      </c>
      <c r="HB37" t="e">
        <f>AND('GA55 Entry'!#REF!,"AAAAAFxa/9E=")</f>
        <v>#REF!</v>
      </c>
      <c r="HC37" t="e">
        <f>AND('GA55 Entry'!C28,"AAAAAFxa/9I=")</f>
        <v>#VALUE!</v>
      </c>
      <c r="HD37" t="e">
        <f>AND('GA55 Entry'!#REF!,"AAAAAFxa/9M=")</f>
        <v>#REF!</v>
      </c>
      <c r="HE37" t="e">
        <f>AND('GA55 Entry'!#REF!,"AAAAAFxa/9Q=")</f>
        <v>#REF!</v>
      </c>
      <c r="HF37" t="e">
        <f>AND('GA55 Entry'!#REF!,"AAAAAFxa/9U=")</f>
        <v>#REF!</v>
      </c>
      <c r="HG37" t="e">
        <f>AND('GA55 Entry'!#REF!,"AAAAAFxa/9Y=")</f>
        <v>#REF!</v>
      </c>
      <c r="HH37" t="e">
        <f>AND('GA55 Entry'!#REF!,"AAAAAFxa/9c=")</f>
        <v>#REF!</v>
      </c>
      <c r="HI37" t="e">
        <f>AND('GA55 Entry'!D28,"AAAAAFxa/9g=")</f>
        <v>#VALUE!</v>
      </c>
      <c r="HJ37" t="e">
        <f>AND('GA55 Entry'!#REF!,"AAAAAFxa/9k=")</f>
        <v>#REF!</v>
      </c>
      <c r="HK37" t="e">
        <f>AND('GA55 Entry'!E28,"AAAAAFxa/9o=")</f>
        <v>#VALUE!</v>
      </c>
      <c r="HL37" t="e">
        <f>AND('GA55 Entry'!F28,"AAAAAFxa/9s=")</f>
        <v>#VALUE!</v>
      </c>
      <c r="HM37" t="e">
        <f>AND('GA55 Entry'!G28,"AAAAAFxa/9w=")</f>
        <v>#VALUE!</v>
      </c>
      <c r="HN37" t="e">
        <f>AND('GA55 Entry'!H28,"AAAAAFxa/90=")</f>
        <v>#VALUE!</v>
      </c>
      <c r="HO37" t="e">
        <f>AND('GA55 Entry'!I28,"AAAAAFxa/94=")</f>
        <v>#VALUE!</v>
      </c>
      <c r="HP37" t="e">
        <f>AND('GA55 Entry'!J28,"AAAAAFxa/98=")</f>
        <v>#VALUE!</v>
      </c>
      <c r="HQ37" t="e">
        <f>AND('GA55 Entry'!#REF!,"AAAAAFxa/+A=")</f>
        <v>#REF!</v>
      </c>
      <c r="HR37" t="e">
        <f>AND('GA55 Entry'!K28,"AAAAAFxa/+E=")</f>
        <v>#VALUE!</v>
      </c>
      <c r="HS37" t="e">
        <f>AND('GA55 Entry'!L28,"AAAAAFxa/+I=")</f>
        <v>#VALUE!</v>
      </c>
      <c r="HT37" t="e">
        <f>AND('GA55 Entry'!M28,"AAAAAFxa/+M=")</f>
        <v>#VALUE!</v>
      </c>
      <c r="HU37" t="e">
        <f>AND('GA55 Entry'!N28,"AAAAAFxa/+Q=")</f>
        <v>#VALUE!</v>
      </c>
      <c r="HV37" t="e">
        <f>AND('GA55 Entry'!O28,"AAAAAFxa/+U=")</f>
        <v>#VALUE!</v>
      </c>
      <c r="HW37" t="e">
        <f>AND('GA55 Entry'!P28,"AAAAAFxa/+Y=")</f>
        <v>#VALUE!</v>
      </c>
      <c r="HX37" t="e">
        <f>AND('GA55 Entry'!Q28,"AAAAAFxa/+c=")</f>
        <v>#VALUE!</v>
      </c>
      <c r="HY37" t="e">
        <f>AND('GA55 Entry'!S28,"AAAAAFxa/+g=")</f>
        <v>#VALUE!</v>
      </c>
      <c r="HZ37" t="e">
        <f>AND('GA55 Entry'!#REF!,"AAAAAFxa/+k=")</f>
        <v>#REF!</v>
      </c>
      <c r="IA37" t="e">
        <f>AND('GA55 Entry'!T28,"AAAAAFxa/+o=")</f>
        <v>#VALUE!</v>
      </c>
      <c r="IB37" t="e">
        <f>AND('GA55 Entry'!U28,"AAAAAFxa/+s=")</f>
        <v>#VALUE!</v>
      </c>
      <c r="IC37" t="e">
        <f>AND('GA55 Entry'!V28,"AAAAAFxa/+w=")</f>
        <v>#VALUE!</v>
      </c>
      <c r="ID37" t="e">
        <f>AND('GA55 Entry'!#REF!,"AAAAAFxa/+0=")</f>
        <v>#REF!</v>
      </c>
      <c r="IE37" t="e">
        <f>AND('GA55 Entry'!#REF!,"AAAAAFxa/+4=")</f>
        <v>#REF!</v>
      </c>
      <c r="IF37" t="e">
        <f>AND('GA55 Entry'!X28,"AAAAAFxa/+8=")</f>
        <v>#VALUE!</v>
      </c>
      <c r="IG37" t="e">
        <f>AND('GA55 Entry'!Y28,"AAAAAFxa//A=")</f>
        <v>#VALUE!</v>
      </c>
      <c r="IH37" t="e">
        <f>AND('GA55 Entry'!#REF!,"AAAAAFxa//E=")</f>
        <v>#REF!</v>
      </c>
      <c r="II37" t="e">
        <f>AND('GA55 Entry'!#REF!,"AAAAAFxa//I=")</f>
        <v>#REF!</v>
      </c>
      <c r="IJ37" t="e">
        <f>AND('GA55 Entry'!#REF!,"AAAAAFxa//M=")</f>
        <v>#REF!</v>
      </c>
      <c r="IK37" t="e">
        <f>AND('GA55 Entry'!#REF!,"AAAAAFxa//Q=")</f>
        <v>#REF!</v>
      </c>
      <c r="IL37" t="e">
        <f>AND('GA55 Entry'!#REF!,"AAAAAFxa//U=")</f>
        <v>#REF!</v>
      </c>
      <c r="IM37" t="e">
        <f>AND('GA55 Entry'!#REF!,"AAAAAFxa//Y=")</f>
        <v>#REF!</v>
      </c>
      <c r="IN37" t="e">
        <f>AND('GA55 Entry'!#REF!,"AAAAAFxa//c=")</f>
        <v>#REF!</v>
      </c>
      <c r="IO37" t="e">
        <f>AND('GA55 Entry'!#REF!,"AAAAAFxa//g=")</f>
        <v>#REF!</v>
      </c>
      <c r="IP37" t="e">
        <f>AND('GA55 Entry'!#REF!,"AAAAAFxa//k=")</f>
        <v>#REF!</v>
      </c>
      <c r="IQ37" t="e">
        <f>AND('GA55 Entry'!Z28,"AAAAAFxa//o=")</f>
        <v>#VALUE!</v>
      </c>
      <c r="IR37" t="e">
        <f>AND('GA55 Entry'!AA28,"AAAAAFxa//s=")</f>
        <v>#VALUE!</v>
      </c>
      <c r="IS37" t="e">
        <f>AND('GA55 Entry'!#REF!,"AAAAAFxa//w=")</f>
        <v>#REF!</v>
      </c>
      <c r="IT37" t="e">
        <f>AND('GA55 Entry'!#REF!,"AAAAAFxa//0=")</f>
        <v>#REF!</v>
      </c>
      <c r="IU37" t="e">
        <f>AND('GA55 Entry'!#REF!,"AAAAAFxa//4=")</f>
        <v>#REF!</v>
      </c>
      <c r="IV37" t="e">
        <f>AND('GA55 Entry'!AB28,"AAAAAFxa//8=")</f>
        <v>#VALUE!</v>
      </c>
    </row>
    <row r="38" spans="1:256">
      <c r="A38" t="e">
        <f>AND('GA55 Entry'!AC28,"AAAAAGvk7gA=")</f>
        <v>#VALUE!</v>
      </c>
      <c r="B38" t="e">
        <f>AND('GA55 Entry'!#REF!,"AAAAAGvk7gE=")</f>
        <v>#REF!</v>
      </c>
      <c r="C38">
        <f>IF('GA55 Entry'!29:29,"AAAAAGvk7gI=",0)</f>
        <v>0</v>
      </c>
      <c r="D38" t="e">
        <f>AND('GA55 Entry'!B29,"AAAAAGvk7gM=")</f>
        <v>#VALUE!</v>
      </c>
      <c r="E38" t="e">
        <f>AND('GA55 Entry'!#REF!,"AAAAAGvk7gQ=")</f>
        <v>#REF!</v>
      </c>
      <c r="F38" t="e">
        <f>AND('GA55 Entry'!C29,"AAAAAGvk7gU=")</f>
        <v>#VALUE!</v>
      </c>
      <c r="G38" t="e">
        <f>AND('GA55 Entry'!#REF!,"AAAAAGvk7gY=")</f>
        <v>#REF!</v>
      </c>
      <c r="H38" t="e">
        <f>AND('GA55 Entry'!#REF!,"AAAAAGvk7gc=")</f>
        <v>#REF!</v>
      </c>
      <c r="I38" t="e">
        <f>AND('GA55 Entry'!#REF!,"AAAAAGvk7gg=")</f>
        <v>#REF!</v>
      </c>
      <c r="J38" t="e">
        <f>AND('GA55 Entry'!#REF!,"AAAAAGvk7gk=")</f>
        <v>#REF!</v>
      </c>
      <c r="K38" t="e">
        <f>AND('GA55 Entry'!#REF!,"AAAAAGvk7go=")</f>
        <v>#REF!</v>
      </c>
      <c r="L38" t="e">
        <f>AND('GA55 Entry'!D29,"AAAAAGvk7gs=")</f>
        <v>#VALUE!</v>
      </c>
      <c r="M38" t="e">
        <f>AND('GA55 Entry'!#REF!,"AAAAAGvk7gw=")</f>
        <v>#REF!</v>
      </c>
      <c r="N38" t="e">
        <f>AND('GA55 Entry'!E29,"AAAAAGvk7g0=")</f>
        <v>#VALUE!</v>
      </c>
      <c r="O38" t="e">
        <f>AND('GA55 Entry'!F29,"AAAAAGvk7g4=")</f>
        <v>#VALUE!</v>
      </c>
      <c r="P38" t="e">
        <f>AND('GA55 Entry'!G29,"AAAAAGvk7g8=")</f>
        <v>#VALUE!</v>
      </c>
      <c r="Q38" t="e">
        <f>AND('GA55 Entry'!H29,"AAAAAGvk7hA=")</f>
        <v>#VALUE!</v>
      </c>
      <c r="R38" t="e">
        <f>AND('GA55 Entry'!I29,"AAAAAGvk7hE=")</f>
        <v>#VALUE!</v>
      </c>
      <c r="S38" t="e">
        <f>AND('GA55 Entry'!J29,"AAAAAGvk7hI=")</f>
        <v>#VALUE!</v>
      </c>
      <c r="T38" t="e">
        <f>AND('GA55 Entry'!#REF!,"AAAAAGvk7hM=")</f>
        <v>#REF!</v>
      </c>
      <c r="U38" t="e">
        <f>AND('GA55 Entry'!K29,"AAAAAGvk7hQ=")</f>
        <v>#VALUE!</v>
      </c>
      <c r="V38" t="e">
        <f>AND('GA55 Entry'!L29,"AAAAAGvk7hU=")</f>
        <v>#VALUE!</v>
      </c>
      <c r="W38" t="e">
        <f>AND('GA55 Entry'!M29,"AAAAAGvk7hY=")</f>
        <v>#VALUE!</v>
      </c>
      <c r="X38" t="e">
        <f>AND('GA55 Entry'!N29,"AAAAAGvk7hc=")</f>
        <v>#VALUE!</v>
      </c>
      <c r="Y38" t="e">
        <f>AND('GA55 Entry'!O29,"AAAAAGvk7hg=")</f>
        <v>#VALUE!</v>
      </c>
      <c r="Z38" t="e">
        <f>AND('GA55 Entry'!P29,"AAAAAGvk7hk=")</f>
        <v>#VALUE!</v>
      </c>
      <c r="AA38" t="e">
        <f>AND('GA55 Entry'!Q29,"AAAAAGvk7ho=")</f>
        <v>#VALUE!</v>
      </c>
      <c r="AB38" t="e">
        <f>AND('GA55 Entry'!S29,"AAAAAGvk7hs=")</f>
        <v>#VALUE!</v>
      </c>
      <c r="AC38" t="e">
        <f>AND('GA55 Entry'!#REF!,"AAAAAGvk7hw=")</f>
        <v>#REF!</v>
      </c>
      <c r="AD38" t="e">
        <f>AND('GA55 Entry'!T29,"AAAAAGvk7h0=")</f>
        <v>#VALUE!</v>
      </c>
      <c r="AE38" t="e">
        <f>AND('GA55 Entry'!U29,"AAAAAGvk7h4=")</f>
        <v>#VALUE!</v>
      </c>
      <c r="AF38" t="e">
        <f>AND('GA55 Entry'!V29,"AAAAAGvk7h8=")</f>
        <v>#VALUE!</v>
      </c>
      <c r="AG38" t="e">
        <f>AND('GA55 Entry'!#REF!,"AAAAAGvk7iA=")</f>
        <v>#REF!</v>
      </c>
      <c r="AH38" t="e">
        <f>AND('GA55 Entry'!#REF!,"AAAAAGvk7iE=")</f>
        <v>#REF!</v>
      </c>
      <c r="AI38" t="e">
        <f>AND('GA55 Entry'!X29,"AAAAAGvk7iI=")</f>
        <v>#VALUE!</v>
      </c>
      <c r="AJ38" t="e">
        <f>AND('GA55 Entry'!Y29,"AAAAAGvk7iM=")</f>
        <v>#VALUE!</v>
      </c>
      <c r="AK38" t="e">
        <f>AND('GA55 Entry'!#REF!,"AAAAAGvk7iQ=")</f>
        <v>#REF!</v>
      </c>
      <c r="AL38" t="e">
        <f>AND('GA55 Entry'!#REF!,"AAAAAGvk7iU=")</f>
        <v>#REF!</v>
      </c>
      <c r="AM38" t="e">
        <f>AND('GA55 Entry'!#REF!,"AAAAAGvk7iY=")</f>
        <v>#REF!</v>
      </c>
      <c r="AN38" t="e">
        <f>AND('GA55 Entry'!#REF!,"AAAAAGvk7ic=")</f>
        <v>#REF!</v>
      </c>
      <c r="AO38" t="e">
        <f>AND('GA55 Entry'!#REF!,"AAAAAGvk7ig=")</f>
        <v>#REF!</v>
      </c>
      <c r="AP38" t="e">
        <f>AND('GA55 Entry'!#REF!,"AAAAAGvk7ik=")</f>
        <v>#REF!</v>
      </c>
      <c r="AQ38" t="e">
        <f>AND('GA55 Entry'!#REF!,"AAAAAGvk7io=")</f>
        <v>#REF!</v>
      </c>
      <c r="AR38" t="e">
        <f>AND('GA55 Entry'!#REF!,"AAAAAGvk7is=")</f>
        <v>#REF!</v>
      </c>
      <c r="AS38" t="e">
        <f>AND('GA55 Entry'!#REF!,"AAAAAGvk7iw=")</f>
        <v>#REF!</v>
      </c>
      <c r="AT38" t="e">
        <f>AND('GA55 Entry'!Z29,"AAAAAGvk7i0=")</f>
        <v>#VALUE!</v>
      </c>
      <c r="AU38" t="e">
        <f>AND('GA55 Entry'!AA29,"AAAAAGvk7i4=")</f>
        <v>#VALUE!</v>
      </c>
      <c r="AV38" t="e">
        <f>AND('GA55 Entry'!#REF!,"AAAAAGvk7i8=")</f>
        <v>#REF!</v>
      </c>
      <c r="AW38" t="e">
        <f>AND('GA55 Entry'!#REF!,"AAAAAGvk7jA=")</f>
        <v>#REF!</v>
      </c>
      <c r="AX38" t="e">
        <f>AND('GA55 Entry'!#REF!,"AAAAAGvk7jE=")</f>
        <v>#REF!</v>
      </c>
      <c r="AY38" t="e">
        <f>AND('GA55 Entry'!AB29,"AAAAAGvk7jI=")</f>
        <v>#VALUE!</v>
      </c>
      <c r="AZ38" t="e">
        <f>AND('GA55 Entry'!AC29,"AAAAAGvk7jM=")</f>
        <v>#VALUE!</v>
      </c>
      <c r="BA38" t="e">
        <f>AND('GA55 Entry'!#REF!,"AAAAAGvk7jQ=")</f>
        <v>#REF!</v>
      </c>
      <c r="BB38">
        <f>IF('GA55 Entry'!30:30,"AAAAAGvk7jU=",0)</f>
        <v>0</v>
      </c>
      <c r="BC38" t="e">
        <f>AND('GA55 Entry'!B30,"AAAAAGvk7jY=")</f>
        <v>#VALUE!</v>
      </c>
      <c r="BD38" t="e">
        <f>AND('GA55 Entry'!#REF!,"AAAAAGvk7jc=")</f>
        <v>#REF!</v>
      </c>
      <c r="BE38" t="e">
        <f>AND('GA55 Entry'!C30,"AAAAAGvk7jg=")</f>
        <v>#VALUE!</v>
      </c>
      <c r="BF38" t="e">
        <f>AND('GA55 Entry'!#REF!,"AAAAAGvk7jk=")</f>
        <v>#REF!</v>
      </c>
      <c r="BG38" t="e">
        <f>AND('GA55 Entry'!#REF!,"AAAAAGvk7jo=")</f>
        <v>#REF!</v>
      </c>
      <c r="BH38" t="e">
        <f>AND('GA55 Entry'!#REF!,"AAAAAGvk7js=")</f>
        <v>#REF!</v>
      </c>
      <c r="BI38" t="e">
        <f>AND('GA55 Entry'!#REF!,"AAAAAGvk7jw=")</f>
        <v>#REF!</v>
      </c>
      <c r="BJ38" t="e">
        <f>AND('GA55 Entry'!#REF!,"AAAAAGvk7j0=")</f>
        <v>#REF!</v>
      </c>
      <c r="BK38" t="e">
        <f>AND('GA55 Entry'!D30,"AAAAAGvk7j4=")</f>
        <v>#VALUE!</v>
      </c>
      <c r="BL38" t="e">
        <f>AND('GA55 Entry'!#REF!,"AAAAAGvk7j8=")</f>
        <v>#REF!</v>
      </c>
      <c r="BM38" t="e">
        <f>AND('GA55 Entry'!E30,"AAAAAGvk7kA=")</f>
        <v>#VALUE!</v>
      </c>
      <c r="BN38" t="e">
        <f>AND('GA55 Entry'!F30,"AAAAAGvk7kE=")</f>
        <v>#VALUE!</v>
      </c>
      <c r="BO38" t="e">
        <f>AND('GA55 Entry'!G30,"AAAAAGvk7kI=")</f>
        <v>#VALUE!</v>
      </c>
      <c r="BP38" t="e">
        <f>AND('GA55 Entry'!H30,"AAAAAGvk7kM=")</f>
        <v>#VALUE!</v>
      </c>
      <c r="BQ38" t="e">
        <f>AND('GA55 Entry'!I30,"AAAAAGvk7kQ=")</f>
        <v>#VALUE!</v>
      </c>
      <c r="BR38" t="e">
        <f>AND('GA55 Entry'!J30,"AAAAAGvk7kU=")</f>
        <v>#VALUE!</v>
      </c>
      <c r="BS38" t="e">
        <f>AND('GA55 Entry'!#REF!,"AAAAAGvk7kY=")</f>
        <v>#REF!</v>
      </c>
      <c r="BT38" t="e">
        <f>AND('GA55 Entry'!K30,"AAAAAGvk7kc=")</f>
        <v>#VALUE!</v>
      </c>
      <c r="BU38" t="e">
        <f>AND('GA55 Entry'!L30,"AAAAAGvk7kg=")</f>
        <v>#VALUE!</v>
      </c>
      <c r="BV38" t="e">
        <f>AND('GA55 Entry'!M30,"AAAAAGvk7kk=")</f>
        <v>#VALUE!</v>
      </c>
      <c r="BW38" t="e">
        <f>AND('GA55 Entry'!N30,"AAAAAGvk7ko=")</f>
        <v>#VALUE!</v>
      </c>
      <c r="BX38" t="e">
        <f>AND('GA55 Entry'!O30,"AAAAAGvk7ks=")</f>
        <v>#VALUE!</v>
      </c>
      <c r="BY38" t="e">
        <f>AND('GA55 Entry'!P30,"AAAAAGvk7kw=")</f>
        <v>#VALUE!</v>
      </c>
      <c r="BZ38" t="e">
        <f>AND('GA55 Entry'!Q30,"AAAAAGvk7k0=")</f>
        <v>#VALUE!</v>
      </c>
      <c r="CA38" t="e">
        <f>AND('GA55 Entry'!S30,"AAAAAGvk7k4=")</f>
        <v>#VALUE!</v>
      </c>
      <c r="CB38" t="e">
        <f>AND('GA55 Entry'!#REF!,"AAAAAGvk7k8=")</f>
        <v>#REF!</v>
      </c>
      <c r="CC38" t="e">
        <f>AND('GA55 Entry'!T30,"AAAAAGvk7lA=")</f>
        <v>#VALUE!</v>
      </c>
      <c r="CD38" t="e">
        <f>AND('GA55 Entry'!U30,"AAAAAGvk7lE=")</f>
        <v>#VALUE!</v>
      </c>
      <c r="CE38" t="e">
        <f>AND('GA55 Entry'!V30,"AAAAAGvk7lI=")</f>
        <v>#VALUE!</v>
      </c>
      <c r="CF38" t="e">
        <f>AND('GA55 Entry'!#REF!,"AAAAAGvk7lM=")</f>
        <v>#REF!</v>
      </c>
      <c r="CG38" t="e">
        <f>AND('GA55 Entry'!#REF!,"AAAAAGvk7lQ=")</f>
        <v>#REF!</v>
      </c>
      <c r="CH38" t="e">
        <f>AND('GA55 Entry'!X30,"AAAAAGvk7lU=")</f>
        <v>#VALUE!</v>
      </c>
      <c r="CI38" t="e">
        <f>AND('GA55 Entry'!Y30,"AAAAAGvk7lY=")</f>
        <v>#VALUE!</v>
      </c>
      <c r="CJ38" t="e">
        <f>AND('GA55 Entry'!#REF!,"AAAAAGvk7lc=")</f>
        <v>#REF!</v>
      </c>
      <c r="CK38" t="e">
        <f>AND('GA55 Entry'!#REF!,"AAAAAGvk7lg=")</f>
        <v>#REF!</v>
      </c>
      <c r="CL38" t="e">
        <f>AND('GA55 Entry'!#REF!,"AAAAAGvk7lk=")</f>
        <v>#REF!</v>
      </c>
      <c r="CM38" t="e">
        <f>AND('GA55 Entry'!#REF!,"AAAAAGvk7lo=")</f>
        <v>#REF!</v>
      </c>
      <c r="CN38" t="e">
        <f>AND('GA55 Entry'!#REF!,"AAAAAGvk7ls=")</f>
        <v>#REF!</v>
      </c>
      <c r="CO38" t="e">
        <f>AND('GA55 Entry'!#REF!,"AAAAAGvk7lw=")</f>
        <v>#REF!</v>
      </c>
      <c r="CP38" t="e">
        <f>AND('GA55 Entry'!#REF!,"AAAAAGvk7l0=")</f>
        <v>#REF!</v>
      </c>
      <c r="CQ38" t="e">
        <f>AND('GA55 Entry'!#REF!,"AAAAAGvk7l4=")</f>
        <v>#REF!</v>
      </c>
      <c r="CR38" t="e">
        <f>AND('GA55 Entry'!#REF!,"AAAAAGvk7l8=")</f>
        <v>#REF!</v>
      </c>
      <c r="CS38" t="e">
        <f>AND('GA55 Entry'!Z30,"AAAAAGvk7mA=")</f>
        <v>#VALUE!</v>
      </c>
      <c r="CT38" t="e">
        <f>AND('GA55 Entry'!AA30,"AAAAAGvk7mE=")</f>
        <v>#VALUE!</v>
      </c>
      <c r="CU38" t="e">
        <f>AND('GA55 Entry'!#REF!,"AAAAAGvk7mI=")</f>
        <v>#REF!</v>
      </c>
      <c r="CV38" t="e">
        <f>AND('GA55 Entry'!#REF!,"AAAAAGvk7mM=")</f>
        <v>#REF!</v>
      </c>
      <c r="CW38" t="e">
        <f>AND('GA55 Entry'!#REF!,"AAAAAGvk7mQ=")</f>
        <v>#REF!</v>
      </c>
      <c r="CX38" t="e">
        <f>AND('GA55 Entry'!AB30,"AAAAAGvk7mU=")</f>
        <v>#VALUE!</v>
      </c>
      <c r="CY38" t="e">
        <f>AND('GA55 Entry'!AC30,"AAAAAGvk7mY=")</f>
        <v>#VALUE!</v>
      </c>
      <c r="CZ38" t="e">
        <f>AND('GA55 Entry'!#REF!,"AAAAAGvk7mc=")</f>
        <v>#REF!</v>
      </c>
      <c r="DA38">
        <f>IF('GA55 Entry'!31:31,"AAAAAGvk7mg=",0)</f>
        <v>0</v>
      </c>
      <c r="DB38" t="e">
        <f>AND('GA55 Entry'!B31,"AAAAAGvk7mk=")</f>
        <v>#VALUE!</v>
      </c>
      <c r="DC38" t="e">
        <f>AND('GA55 Entry'!#REF!,"AAAAAGvk7mo=")</f>
        <v>#REF!</v>
      </c>
      <c r="DD38" t="e">
        <f>AND('GA55 Entry'!C31,"AAAAAGvk7ms=")</f>
        <v>#VALUE!</v>
      </c>
      <c r="DE38" t="e">
        <f>AND('GA55 Entry'!#REF!,"AAAAAGvk7mw=")</f>
        <v>#REF!</v>
      </c>
      <c r="DF38" t="e">
        <f>AND('GA55 Entry'!#REF!,"AAAAAGvk7m0=")</f>
        <v>#REF!</v>
      </c>
      <c r="DG38" t="e">
        <f>AND('GA55 Entry'!#REF!,"AAAAAGvk7m4=")</f>
        <v>#REF!</v>
      </c>
      <c r="DH38" t="e">
        <f>AND('GA55 Entry'!#REF!,"AAAAAGvk7m8=")</f>
        <v>#REF!</v>
      </c>
      <c r="DI38" t="e">
        <f>AND('GA55 Entry'!#REF!,"AAAAAGvk7nA=")</f>
        <v>#REF!</v>
      </c>
      <c r="DJ38" t="e">
        <f>AND('GA55 Entry'!D31,"AAAAAGvk7nE=")</f>
        <v>#VALUE!</v>
      </c>
      <c r="DK38" t="e">
        <f>AND('GA55 Entry'!#REF!,"AAAAAGvk7nI=")</f>
        <v>#REF!</v>
      </c>
      <c r="DL38" t="e">
        <f>AND('GA55 Entry'!E31,"AAAAAGvk7nM=")</f>
        <v>#VALUE!</v>
      </c>
      <c r="DM38" t="e">
        <f>AND('GA55 Entry'!F31,"AAAAAGvk7nQ=")</f>
        <v>#VALUE!</v>
      </c>
      <c r="DN38" t="e">
        <f>AND('GA55 Entry'!G31,"AAAAAGvk7nU=")</f>
        <v>#VALUE!</v>
      </c>
      <c r="DO38" t="e">
        <f>AND('GA55 Entry'!H31,"AAAAAGvk7nY=")</f>
        <v>#VALUE!</v>
      </c>
      <c r="DP38" t="e">
        <f>AND('GA55 Entry'!I31,"AAAAAGvk7nc=")</f>
        <v>#VALUE!</v>
      </c>
      <c r="DQ38" t="e">
        <f>AND('GA55 Entry'!J31,"AAAAAGvk7ng=")</f>
        <v>#VALUE!</v>
      </c>
      <c r="DR38" t="e">
        <f>AND('GA55 Entry'!#REF!,"AAAAAGvk7nk=")</f>
        <v>#REF!</v>
      </c>
      <c r="DS38" t="e">
        <f>AND('GA55 Entry'!K31,"AAAAAGvk7no=")</f>
        <v>#VALUE!</v>
      </c>
      <c r="DT38" t="e">
        <f>AND('GA55 Entry'!L31,"AAAAAGvk7ns=")</f>
        <v>#VALUE!</v>
      </c>
      <c r="DU38" t="e">
        <f>AND('GA55 Entry'!M31,"AAAAAGvk7nw=")</f>
        <v>#VALUE!</v>
      </c>
      <c r="DV38" t="e">
        <f>AND('GA55 Entry'!N31,"AAAAAGvk7n0=")</f>
        <v>#VALUE!</v>
      </c>
      <c r="DW38" t="e">
        <f>AND('GA55 Entry'!O31,"AAAAAGvk7n4=")</f>
        <v>#VALUE!</v>
      </c>
      <c r="DX38" t="e">
        <f>AND('GA55 Entry'!P31,"AAAAAGvk7n8=")</f>
        <v>#VALUE!</v>
      </c>
      <c r="DY38" t="e">
        <f>AND('GA55 Entry'!Q31,"AAAAAGvk7oA=")</f>
        <v>#VALUE!</v>
      </c>
      <c r="DZ38" t="e">
        <f>AND('GA55 Entry'!S31,"AAAAAGvk7oE=")</f>
        <v>#VALUE!</v>
      </c>
      <c r="EA38" t="e">
        <f>AND('GA55 Entry'!#REF!,"AAAAAGvk7oI=")</f>
        <v>#REF!</v>
      </c>
      <c r="EB38" t="e">
        <f>AND('GA55 Entry'!T31,"AAAAAGvk7oM=")</f>
        <v>#VALUE!</v>
      </c>
      <c r="EC38" t="e">
        <f>AND('GA55 Entry'!U31,"AAAAAGvk7oQ=")</f>
        <v>#VALUE!</v>
      </c>
      <c r="ED38" t="e">
        <f>AND('GA55 Entry'!V31,"AAAAAGvk7oU=")</f>
        <v>#VALUE!</v>
      </c>
      <c r="EE38" t="e">
        <f>AND('GA55 Entry'!#REF!,"AAAAAGvk7oY=")</f>
        <v>#REF!</v>
      </c>
      <c r="EF38" t="e">
        <f>AND('GA55 Entry'!#REF!,"AAAAAGvk7oc=")</f>
        <v>#REF!</v>
      </c>
      <c r="EG38" t="e">
        <f>AND('GA55 Entry'!X31,"AAAAAGvk7og=")</f>
        <v>#VALUE!</v>
      </c>
      <c r="EH38" t="e">
        <f>AND('GA55 Entry'!Y31,"AAAAAGvk7ok=")</f>
        <v>#VALUE!</v>
      </c>
      <c r="EI38" t="e">
        <f>AND('GA55 Entry'!#REF!,"AAAAAGvk7oo=")</f>
        <v>#REF!</v>
      </c>
      <c r="EJ38" t="e">
        <f>AND('GA55 Entry'!#REF!,"AAAAAGvk7os=")</f>
        <v>#REF!</v>
      </c>
      <c r="EK38" t="e">
        <f>AND('GA55 Entry'!#REF!,"AAAAAGvk7ow=")</f>
        <v>#REF!</v>
      </c>
      <c r="EL38" t="e">
        <f>AND('GA55 Entry'!#REF!,"AAAAAGvk7o0=")</f>
        <v>#REF!</v>
      </c>
      <c r="EM38" t="e">
        <f>AND('GA55 Entry'!#REF!,"AAAAAGvk7o4=")</f>
        <v>#REF!</v>
      </c>
      <c r="EN38" t="e">
        <f>AND('GA55 Entry'!#REF!,"AAAAAGvk7o8=")</f>
        <v>#REF!</v>
      </c>
      <c r="EO38" t="e">
        <f>AND('GA55 Entry'!#REF!,"AAAAAGvk7pA=")</f>
        <v>#REF!</v>
      </c>
      <c r="EP38" t="e">
        <f>AND('GA55 Entry'!#REF!,"AAAAAGvk7pE=")</f>
        <v>#REF!</v>
      </c>
      <c r="EQ38" t="e">
        <f>AND('GA55 Entry'!#REF!,"AAAAAGvk7pI=")</f>
        <v>#REF!</v>
      </c>
      <c r="ER38" t="e">
        <f>AND('GA55 Entry'!Z31,"AAAAAGvk7pM=")</f>
        <v>#VALUE!</v>
      </c>
      <c r="ES38" t="e">
        <f>AND('GA55 Entry'!AA31,"AAAAAGvk7pQ=")</f>
        <v>#VALUE!</v>
      </c>
      <c r="ET38" t="e">
        <f>AND('GA55 Entry'!#REF!,"AAAAAGvk7pU=")</f>
        <v>#REF!</v>
      </c>
      <c r="EU38" t="e">
        <f>AND('GA55 Entry'!#REF!,"AAAAAGvk7pY=")</f>
        <v>#REF!</v>
      </c>
      <c r="EV38" t="e">
        <f>AND('GA55 Entry'!#REF!,"AAAAAGvk7pc=")</f>
        <v>#REF!</v>
      </c>
      <c r="EW38" t="e">
        <f>AND('GA55 Entry'!AB31,"AAAAAGvk7pg=")</f>
        <v>#VALUE!</v>
      </c>
      <c r="EX38" t="e">
        <f>AND('GA55 Entry'!AC31,"AAAAAGvk7pk=")</f>
        <v>#VALUE!</v>
      </c>
      <c r="EY38" t="e">
        <f>AND('GA55 Entry'!#REF!,"AAAAAGvk7po=")</f>
        <v>#REF!</v>
      </c>
      <c r="EZ38">
        <f>IF('GA55 Entry'!32:32,"AAAAAGvk7ps=",0)</f>
        <v>0</v>
      </c>
      <c r="FA38" t="e">
        <f>AND('GA55 Entry'!B32,"AAAAAGvk7pw=")</f>
        <v>#VALUE!</v>
      </c>
      <c r="FB38" t="e">
        <f>AND('GA55 Entry'!#REF!,"AAAAAGvk7p0=")</f>
        <v>#REF!</v>
      </c>
      <c r="FC38" t="e">
        <f>AND('GA55 Entry'!C32,"AAAAAGvk7p4=")</f>
        <v>#VALUE!</v>
      </c>
      <c r="FD38" t="e">
        <f>AND('GA55 Entry'!#REF!,"AAAAAGvk7p8=")</f>
        <v>#REF!</v>
      </c>
      <c r="FE38" t="e">
        <f>AND('GA55 Entry'!#REF!,"AAAAAGvk7qA=")</f>
        <v>#REF!</v>
      </c>
      <c r="FF38" t="e">
        <f>AND('GA55 Entry'!#REF!,"AAAAAGvk7qE=")</f>
        <v>#REF!</v>
      </c>
      <c r="FG38" t="e">
        <f>AND('GA55 Entry'!#REF!,"AAAAAGvk7qI=")</f>
        <v>#REF!</v>
      </c>
      <c r="FH38" t="e">
        <f>AND('GA55 Entry'!#REF!,"AAAAAGvk7qM=")</f>
        <v>#REF!</v>
      </c>
      <c r="FI38" t="e">
        <f>AND('GA55 Entry'!D32,"AAAAAGvk7qQ=")</f>
        <v>#VALUE!</v>
      </c>
      <c r="FJ38" t="e">
        <f>AND('GA55 Entry'!#REF!,"AAAAAGvk7qU=")</f>
        <v>#REF!</v>
      </c>
      <c r="FK38" t="e">
        <f>AND('GA55 Entry'!E32,"AAAAAGvk7qY=")</f>
        <v>#VALUE!</v>
      </c>
      <c r="FL38" t="e">
        <f>AND('GA55 Entry'!F32,"AAAAAGvk7qc=")</f>
        <v>#VALUE!</v>
      </c>
      <c r="FM38" t="e">
        <f>AND('GA55 Entry'!G32,"AAAAAGvk7qg=")</f>
        <v>#VALUE!</v>
      </c>
      <c r="FN38" t="e">
        <f>AND('GA55 Entry'!H32,"AAAAAGvk7qk=")</f>
        <v>#VALUE!</v>
      </c>
      <c r="FO38" t="e">
        <f>AND('GA55 Entry'!I32,"AAAAAGvk7qo=")</f>
        <v>#VALUE!</v>
      </c>
      <c r="FP38" t="e">
        <f>AND('GA55 Entry'!J32,"AAAAAGvk7qs=")</f>
        <v>#VALUE!</v>
      </c>
      <c r="FQ38" t="e">
        <f>AND('GA55 Entry'!#REF!,"AAAAAGvk7qw=")</f>
        <v>#REF!</v>
      </c>
      <c r="FR38" t="e">
        <f>AND('GA55 Entry'!K32,"AAAAAGvk7q0=")</f>
        <v>#VALUE!</v>
      </c>
      <c r="FS38" t="e">
        <f>AND('GA55 Entry'!L32,"AAAAAGvk7q4=")</f>
        <v>#VALUE!</v>
      </c>
      <c r="FT38" t="e">
        <f>AND('GA55 Entry'!M32,"AAAAAGvk7q8=")</f>
        <v>#VALUE!</v>
      </c>
      <c r="FU38" t="e">
        <f>AND('GA55 Entry'!N32,"AAAAAGvk7rA=")</f>
        <v>#VALUE!</v>
      </c>
      <c r="FV38" t="e">
        <f>AND('GA55 Entry'!O32,"AAAAAGvk7rE=")</f>
        <v>#VALUE!</v>
      </c>
      <c r="FW38" t="e">
        <f>AND('GA55 Entry'!P32,"AAAAAGvk7rI=")</f>
        <v>#VALUE!</v>
      </c>
      <c r="FX38" t="e">
        <f>AND('GA55 Entry'!Q32,"AAAAAGvk7rM=")</f>
        <v>#VALUE!</v>
      </c>
      <c r="FY38" t="e">
        <f>AND('GA55 Entry'!S32,"AAAAAGvk7rQ=")</f>
        <v>#VALUE!</v>
      </c>
      <c r="FZ38" t="e">
        <f>AND('GA55 Entry'!#REF!,"AAAAAGvk7rU=")</f>
        <v>#REF!</v>
      </c>
      <c r="GA38" t="e">
        <f>AND('GA55 Entry'!T32,"AAAAAGvk7rY=")</f>
        <v>#VALUE!</v>
      </c>
      <c r="GB38" t="e">
        <f>AND('GA55 Entry'!U32,"AAAAAGvk7rc=")</f>
        <v>#VALUE!</v>
      </c>
      <c r="GC38" t="e">
        <f>AND('GA55 Entry'!V32,"AAAAAGvk7rg=")</f>
        <v>#VALUE!</v>
      </c>
      <c r="GD38" t="e">
        <f>AND('GA55 Entry'!#REF!,"AAAAAGvk7rk=")</f>
        <v>#REF!</v>
      </c>
      <c r="GE38" t="e">
        <f>AND('GA55 Entry'!#REF!,"AAAAAGvk7ro=")</f>
        <v>#REF!</v>
      </c>
      <c r="GF38" t="e">
        <f>AND('GA55 Entry'!X32,"AAAAAGvk7rs=")</f>
        <v>#VALUE!</v>
      </c>
      <c r="GG38" t="e">
        <f>AND('GA55 Entry'!Y32,"AAAAAGvk7rw=")</f>
        <v>#VALUE!</v>
      </c>
      <c r="GH38" t="e">
        <f>AND('GA55 Entry'!#REF!,"AAAAAGvk7r0=")</f>
        <v>#REF!</v>
      </c>
      <c r="GI38" t="e">
        <f>AND('GA55 Entry'!#REF!,"AAAAAGvk7r4=")</f>
        <v>#REF!</v>
      </c>
      <c r="GJ38" t="e">
        <f>AND('GA55 Entry'!#REF!,"AAAAAGvk7r8=")</f>
        <v>#REF!</v>
      </c>
      <c r="GK38" t="e">
        <f>AND('GA55 Entry'!#REF!,"AAAAAGvk7sA=")</f>
        <v>#REF!</v>
      </c>
      <c r="GL38" t="e">
        <f>AND('GA55 Entry'!#REF!,"AAAAAGvk7sE=")</f>
        <v>#REF!</v>
      </c>
      <c r="GM38" t="e">
        <f>AND('GA55 Entry'!#REF!,"AAAAAGvk7sI=")</f>
        <v>#REF!</v>
      </c>
      <c r="GN38" t="e">
        <f>AND('GA55 Entry'!#REF!,"AAAAAGvk7sM=")</f>
        <v>#REF!</v>
      </c>
      <c r="GO38" t="e">
        <f>AND('GA55 Entry'!#REF!,"AAAAAGvk7sQ=")</f>
        <v>#REF!</v>
      </c>
      <c r="GP38" t="e">
        <f>AND('GA55 Entry'!#REF!,"AAAAAGvk7sU=")</f>
        <v>#REF!</v>
      </c>
      <c r="GQ38" t="e">
        <f>AND('GA55 Entry'!Z32,"AAAAAGvk7sY=")</f>
        <v>#VALUE!</v>
      </c>
      <c r="GR38" t="e">
        <f>AND('GA55 Entry'!AA32,"AAAAAGvk7sc=")</f>
        <v>#VALUE!</v>
      </c>
      <c r="GS38" t="e">
        <f>AND('GA55 Entry'!#REF!,"AAAAAGvk7sg=")</f>
        <v>#REF!</v>
      </c>
      <c r="GT38" t="e">
        <f>AND('GA55 Entry'!#REF!,"AAAAAGvk7sk=")</f>
        <v>#REF!</v>
      </c>
      <c r="GU38" t="e">
        <f>AND('GA55 Entry'!#REF!,"AAAAAGvk7so=")</f>
        <v>#REF!</v>
      </c>
      <c r="GV38" t="e">
        <f>AND('GA55 Entry'!AB32,"AAAAAGvk7ss=")</f>
        <v>#VALUE!</v>
      </c>
      <c r="GW38" t="e">
        <f>AND('GA55 Entry'!AC32,"AAAAAGvk7sw=")</f>
        <v>#VALUE!</v>
      </c>
      <c r="GX38" t="e">
        <f>AND('GA55 Entry'!#REF!,"AAAAAGvk7s0=")</f>
        <v>#REF!</v>
      </c>
      <c r="GY38">
        <f>IF('GA55 Entry'!33:33,"AAAAAGvk7s4=",0)</f>
        <v>0</v>
      </c>
      <c r="GZ38" t="e">
        <f>AND('GA55 Entry'!B33,"AAAAAGvk7s8=")</f>
        <v>#VALUE!</v>
      </c>
      <c r="HA38" t="e">
        <f>AND('GA55 Entry'!#REF!,"AAAAAGvk7tA=")</f>
        <v>#REF!</v>
      </c>
      <c r="HB38" t="e">
        <f>AND('GA55 Entry'!C33,"AAAAAGvk7tE=")</f>
        <v>#VALUE!</v>
      </c>
      <c r="HC38" t="e">
        <f>AND('GA55 Entry'!#REF!,"AAAAAGvk7tI=")</f>
        <v>#REF!</v>
      </c>
      <c r="HD38" t="e">
        <f>AND('GA55 Entry'!#REF!,"AAAAAGvk7tM=")</f>
        <v>#REF!</v>
      </c>
      <c r="HE38" t="e">
        <f>AND('GA55 Entry'!#REF!,"AAAAAGvk7tQ=")</f>
        <v>#REF!</v>
      </c>
      <c r="HF38" t="e">
        <f>AND('GA55 Entry'!#REF!,"AAAAAGvk7tU=")</f>
        <v>#REF!</v>
      </c>
      <c r="HG38" t="e">
        <f>AND('GA55 Entry'!#REF!,"AAAAAGvk7tY=")</f>
        <v>#REF!</v>
      </c>
      <c r="HH38" t="e">
        <f>AND('GA55 Entry'!D33,"AAAAAGvk7tc=")</f>
        <v>#VALUE!</v>
      </c>
      <c r="HI38" t="e">
        <f>AND('GA55 Entry'!#REF!,"AAAAAGvk7tg=")</f>
        <v>#REF!</v>
      </c>
      <c r="HJ38" t="e">
        <f>AND('GA55 Entry'!E33,"AAAAAGvk7tk=")</f>
        <v>#VALUE!</v>
      </c>
      <c r="HK38" t="e">
        <f>AND('GA55 Entry'!F33,"AAAAAGvk7to=")</f>
        <v>#VALUE!</v>
      </c>
      <c r="HL38" t="e">
        <f>AND('GA55 Entry'!G33,"AAAAAGvk7ts=")</f>
        <v>#VALUE!</v>
      </c>
      <c r="HM38" t="e">
        <f>AND('GA55 Entry'!H33,"AAAAAGvk7tw=")</f>
        <v>#VALUE!</v>
      </c>
      <c r="HN38" t="e">
        <f>AND('GA55 Entry'!I33,"AAAAAGvk7t0=")</f>
        <v>#VALUE!</v>
      </c>
      <c r="HO38" t="e">
        <f>AND('GA55 Entry'!J33,"AAAAAGvk7t4=")</f>
        <v>#VALUE!</v>
      </c>
      <c r="HP38" t="e">
        <f>AND('GA55 Entry'!#REF!,"AAAAAGvk7t8=")</f>
        <v>#REF!</v>
      </c>
      <c r="HQ38" t="e">
        <f>AND('GA55 Entry'!K33,"AAAAAGvk7uA=")</f>
        <v>#VALUE!</v>
      </c>
      <c r="HR38" t="e">
        <f>AND('GA55 Entry'!L33,"AAAAAGvk7uE=")</f>
        <v>#VALUE!</v>
      </c>
      <c r="HS38" t="e">
        <f>AND('GA55 Entry'!M33,"AAAAAGvk7uI=")</f>
        <v>#VALUE!</v>
      </c>
      <c r="HT38" t="e">
        <f>AND('GA55 Entry'!N33,"AAAAAGvk7uM=")</f>
        <v>#VALUE!</v>
      </c>
      <c r="HU38" t="e">
        <f>AND('GA55 Entry'!O33,"AAAAAGvk7uQ=")</f>
        <v>#VALUE!</v>
      </c>
      <c r="HV38" t="e">
        <f>AND('GA55 Entry'!P33,"AAAAAGvk7uU=")</f>
        <v>#VALUE!</v>
      </c>
      <c r="HW38" t="e">
        <f>AND('GA55 Entry'!Q33,"AAAAAGvk7uY=")</f>
        <v>#VALUE!</v>
      </c>
      <c r="HX38" t="e">
        <f>AND('GA55 Entry'!S33,"AAAAAGvk7uc=")</f>
        <v>#VALUE!</v>
      </c>
      <c r="HY38" t="e">
        <f>AND('GA55 Entry'!#REF!,"AAAAAGvk7ug=")</f>
        <v>#REF!</v>
      </c>
      <c r="HZ38" t="e">
        <f>AND('GA55 Entry'!T33,"AAAAAGvk7uk=")</f>
        <v>#VALUE!</v>
      </c>
      <c r="IA38" t="e">
        <f>AND('GA55 Entry'!U33,"AAAAAGvk7uo=")</f>
        <v>#VALUE!</v>
      </c>
      <c r="IB38" t="e">
        <f>AND('GA55 Entry'!V33,"AAAAAGvk7us=")</f>
        <v>#VALUE!</v>
      </c>
      <c r="IC38" t="e">
        <f>AND('GA55 Entry'!#REF!,"AAAAAGvk7uw=")</f>
        <v>#REF!</v>
      </c>
      <c r="ID38" t="e">
        <f>AND('GA55 Entry'!#REF!,"AAAAAGvk7u0=")</f>
        <v>#REF!</v>
      </c>
      <c r="IE38" t="e">
        <f>AND('GA55 Entry'!X33,"AAAAAGvk7u4=")</f>
        <v>#VALUE!</v>
      </c>
      <c r="IF38" t="e">
        <f>AND('GA55 Entry'!Y33,"AAAAAGvk7u8=")</f>
        <v>#VALUE!</v>
      </c>
      <c r="IG38" t="e">
        <f>AND('GA55 Entry'!#REF!,"AAAAAGvk7vA=")</f>
        <v>#REF!</v>
      </c>
      <c r="IH38" t="e">
        <f>AND('GA55 Entry'!#REF!,"AAAAAGvk7vE=")</f>
        <v>#REF!</v>
      </c>
      <c r="II38" t="e">
        <f>AND('GA55 Entry'!#REF!,"AAAAAGvk7vI=")</f>
        <v>#REF!</v>
      </c>
      <c r="IJ38" t="e">
        <f>AND('GA55 Entry'!#REF!,"AAAAAGvk7vM=")</f>
        <v>#REF!</v>
      </c>
      <c r="IK38" t="e">
        <f>AND('GA55 Entry'!#REF!,"AAAAAGvk7vQ=")</f>
        <v>#REF!</v>
      </c>
      <c r="IL38" t="e">
        <f>AND('GA55 Entry'!#REF!,"AAAAAGvk7vU=")</f>
        <v>#REF!</v>
      </c>
      <c r="IM38" t="e">
        <f>AND('GA55 Entry'!#REF!,"AAAAAGvk7vY=")</f>
        <v>#REF!</v>
      </c>
      <c r="IN38" t="e">
        <f>AND('GA55 Entry'!#REF!,"AAAAAGvk7vc=")</f>
        <v>#REF!</v>
      </c>
      <c r="IO38" t="e">
        <f>AND('GA55 Entry'!#REF!,"AAAAAGvk7vg=")</f>
        <v>#REF!</v>
      </c>
      <c r="IP38" t="e">
        <f>AND('GA55 Entry'!Z33,"AAAAAGvk7vk=")</f>
        <v>#VALUE!</v>
      </c>
      <c r="IQ38" t="e">
        <f>AND('GA55 Entry'!AA33,"AAAAAGvk7vo=")</f>
        <v>#VALUE!</v>
      </c>
      <c r="IR38" t="e">
        <f>AND('GA55 Entry'!#REF!,"AAAAAGvk7vs=")</f>
        <v>#REF!</v>
      </c>
      <c r="IS38" t="e">
        <f>AND('GA55 Entry'!#REF!,"AAAAAGvk7vw=")</f>
        <v>#REF!</v>
      </c>
      <c r="IT38" t="e">
        <f>AND('GA55 Entry'!#REF!,"AAAAAGvk7v0=")</f>
        <v>#REF!</v>
      </c>
      <c r="IU38" t="e">
        <f>AND('GA55 Entry'!AB33,"AAAAAGvk7v4=")</f>
        <v>#VALUE!</v>
      </c>
      <c r="IV38" t="e">
        <f>AND('GA55 Entry'!AC33,"AAAAAGvk7v8=")</f>
        <v>#VALUE!</v>
      </c>
    </row>
    <row r="39" spans="1:256">
      <c r="A39" t="e">
        <f>AND('GA55 Entry'!#REF!,"AAAAAD8zdwA=")</f>
        <v>#REF!</v>
      </c>
      <c r="B39">
        <f>IF('GA55 Entry'!34:34,"AAAAAD8zdwE=",0)</f>
        <v>0</v>
      </c>
      <c r="C39" t="e">
        <f>AND('GA55 Entry'!B34,"AAAAAD8zdwI=")</f>
        <v>#VALUE!</v>
      </c>
      <c r="D39" t="e">
        <f>AND('GA55 Entry'!#REF!,"AAAAAD8zdwM=")</f>
        <v>#REF!</v>
      </c>
      <c r="E39" t="e">
        <f>AND('GA55 Entry'!C34,"AAAAAD8zdwQ=")</f>
        <v>#VALUE!</v>
      </c>
      <c r="F39" t="e">
        <f>AND('GA55 Entry'!#REF!,"AAAAAD8zdwU=")</f>
        <v>#REF!</v>
      </c>
      <c r="G39" t="e">
        <f>AND('GA55 Entry'!#REF!,"AAAAAD8zdwY=")</f>
        <v>#REF!</v>
      </c>
      <c r="H39" t="e">
        <f>AND('GA55 Entry'!#REF!,"AAAAAD8zdwc=")</f>
        <v>#REF!</v>
      </c>
      <c r="I39" t="e">
        <f>AND('GA55 Entry'!#REF!,"AAAAAD8zdwg=")</f>
        <v>#REF!</v>
      </c>
      <c r="J39" t="e">
        <f>AND('GA55 Entry'!#REF!,"AAAAAD8zdwk=")</f>
        <v>#REF!</v>
      </c>
      <c r="K39" t="e">
        <f>AND('GA55 Entry'!D34,"AAAAAD8zdwo=")</f>
        <v>#VALUE!</v>
      </c>
      <c r="L39" t="e">
        <f>AND('GA55 Entry'!#REF!,"AAAAAD8zdws=")</f>
        <v>#REF!</v>
      </c>
      <c r="M39" t="e">
        <f>AND('GA55 Entry'!E34,"AAAAAD8zdww=")</f>
        <v>#VALUE!</v>
      </c>
      <c r="N39" t="e">
        <f>AND('GA55 Entry'!F34,"AAAAAD8zdw0=")</f>
        <v>#VALUE!</v>
      </c>
      <c r="O39" t="e">
        <f>AND('GA55 Entry'!G34,"AAAAAD8zdw4=")</f>
        <v>#VALUE!</v>
      </c>
      <c r="P39" t="e">
        <f>AND('GA55 Entry'!H34,"AAAAAD8zdw8=")</f>
        <v>#VALUE!</v>
      </c>
      <c r="Q39" t="e">
        <f>AND('GA55 Entry'!I34,"AAAAAD8zdxA=")</f>
        <v>#VALUE!</v>
      </c>
      <c r="R39" t="e">
        <f>AND('GA55 Entry'!J34,"AAAAAD8zdxE=")</f>
        <v>#VALUE!</v>
      </c>
      <c r="S39" t="e">
        <f>AND('GA55 Entry'!#REF!,"AAAAAD8zdxI=")</f>
        <v>#REF!</v>
      </c>
      <c r="T39" t="e">
        <f>AND('GA55 Entry'!K34,"AAAAAD8zdxM=")</f>
        <v>#VALUE!</v>
      </c>
      <c r="U39" t="e">
        <f>AND('GA55 Entry'!L34,"AAAAAD8zdxQ=")</f>
        <v>#VALUE!</v>
      </c>
      <c r="V39" t="e">
        <f>AND('GA55 Entry'!M34,"AAAAAD8zdxU=")</f>
        <v>#VALUE!</v>
      </c>
      <c r="W39" t="e">
        <f>AND('GA55 Entry'!N34,"AAAAAD8zdxY=")</f>
        <v>#VALUE!</v>
      </c>
      <c r="X39" t="e">
        <f>AND('GA55 Entry'!O34,"AAAAAD8zdxc=")</f>
        <v>#VALUE!</v>
      </c>
      <c r="Y39" t="e">
        <f>AND('GA55 Entry'!P34,"AAAAAD8zdxg=")</f>
        <v>#VALUE!</v>
      </c>
      <c r="Z39" t="e">
        <f>AND('GA55 Entry'!Q34,"AAAAAD8zdxk=")</f>
        <v>#VALUE!</v>
      </c>
      <c r="AA39" t="e">
        <f>AND('GA55 Entry'!S34,"AAAAAD8zdxo=")</f>
        <v>#VALUE!</v>
      </c>
      <c r="AB39" t="e">
        <f>AND('GA55 Entry'!#REF!,"AAAAAD8zdxs=")</f>
        <v>#REF!</v>
      </c>
      <c r="AC39" t="e">
        <f>AND('GA55 Entry'!T34,"AAAAAD8zdxw=")</f>
        <v>#VALUE!</v>
      </c>
      <c r="AD39" t="e">
        <f>AND('GA55 Entry'!U34,"AAAAAD8zdx0=")</f>
        <v>#VALUE!</v>
      </c>
      <c r="AE39" t="e">
        <f>AND('GA55 Entry'!V34,"AAAAAD8zdx4=")</f>
        <v>#VALUE!</v>
      </c>
      <c r="AF39" t="e">
        <f>AND('GA55 Entry'!#REF!,"AAAAAD8zdx8=")</f>
        <v>#REF!</v>
      </c>
      <c r="AG39" t="e">
        <f>AND('GA55 Entry'!#REF!,"AAAAAD8zdyA=")</f>
        <v>#REF!</v>
      </c>
      <c r="AH39" t="e">
        <f>AND('GA55 Entry'!X34,"AAAAAD8zdyE=")</f>
        <v>#VALUE!</v>
      </c>
      <c r="AI39" t="e">
        <f>AND('GA55 Entry'!Y34,"AAAAAD8zdyI=")</f>
        <v>#VALUE!</v>
      </c>
      <c r="AJ39" t="e">
        <f>AND('GA55 Entry'!#REF!,"AAAAAD8zdyM=")</f>
        <v>#REF!</v>
      </c>
      <c r="AK39" t="e">
        <f>AND('GA55 Entry'!#REF!,"AAAAAD8zdyQ=")</f>
        <v>#REF!</v>
      </c>
      <c r="AL39" t="e">
        <f>AND('GA55 Entry'!#REF!,"AAAAAD8zdyU=")</f>
        <v>#REF!</v>
      </c>
      <c r="AM39" t="e">
        <f>AND('GA55 Entry'!#REF!,"AAAAAD8zdyY=")</f>
        <v>#REF!</v>
      </c>
      <c r="AN39" t="e">
        <f>AND('GA55 Entry'!#REF!,"AAAAAD8zdyc=")</f>
        <v>#REF!</v>
      </c>
      <c r="AO39" t="e">
        <f>AND('GA55 Entry'!#REF!,"AAAAAD8zdyg=")</f>
        <v>#REF!</v>
      </c>
      <c r="AP39" t="e">
        <f>AND('GA55 Entry'!#REF!,"AAAAAD8zdyk=")</f>
        <v>#REF!</v>
      </c>
      <c r="AQ39" t="e">
        <f>AND('GA55 Entry'!#REF!,"AAAAAD8zdyo=")</f>
        <v>#REF!</v>
      </c>
      <c r="AR39" t="e">
        <f>AND('GA55 Entry'!#REF!,"AAAAAD8zdys=")</f>
        <v>#REF!</v>
      </c>
      <c r="AS39" t="e">
        <f>AND('GA55 Entry'!Z34,"AAAAAD8zdyw=")</f>
        <v>#VALUE!</v>
      </c>
      <c r="AT39" t="e">
        <f>AND('GA55 Entry'!AA34,"AAAAAD8zdy0=")</f>
        <v>#VALUE!</v>
      </c>
      <c r="AU39" t="e">
        <f>AND('GA55 Entry'!#REF!,"AAAAAD8zdy4=")</f>
        <v>#REF!</v>
      </c>
      <c r="AV39" t="e">
        <f>AND('GA55 Entry'!#REF!,"AAAAAD8zdy8=")</f>
        <v>#REF!</v>
      </c>
      <c r="AW39" t="e">
        <f>AND('GA55 Entry'!#REF!,"AAAAAD8zdzA=")</f>
        <v>#REF!</v>
      </c>
      <c r="AX39" t="e">
        <f>AND('GA55 Entry'!AB34,"AAAAAD8zdzE=")</f>
        <v>#VALUE!</v>
      </c>
      <c r="AY39" t="e">
        <f>AND('GA55 Entry'!AC34,"AAAAAD8zdzI=")</f>
        <v>#VALUE!</v>
      </c>
      <c r="AZ39" t="e">
        <f>AND('GA55 Entry'!#REF!,"AAAAAD8zdzM=")</f>
        <v>#REF!</v>
      </c>
      <c r="BA39">
        <f>IF('GA55 Entry'!35:35,"AAAAAD8zdzQ=",0)</f>
        <v>0</v>
      </c>
      <c r="BB39" t="e">
        <f>AND('GA55 Entry'!B35,"AAAAAD8zdzU=")</f>
        <v>#VALUE!</v>
      </c>
      <c r="BC39" t="e">
        <f>AND('GA55 Entry'!#REF!,"AAAAAD8zdzY=")</f>
        <v>#REF!</v>
      </c>
      <c r="BD39" t="e">
        <f>AND('GA55 Entry'!C35,"AAAAAD8zdzc=")</f>
        <v>#VALUE!</v>
      </c>
      <c r="BE39" t="e">
        <f>AND('GA55 Entry'!#REF!,"AAAAAD8zdzg=")</f>
        <v>#REF!</v>
      </c>
      <c r="BF39" t="e">
        <f>AND('GA55 Entry'!#REF!,"AAAAAD8zdzk=")</f>
        <v>#REF!</v>
      </c>
      <c r="BG39" t="e">
        <f>AND('GA55 Entry'!#REF!,"AAAAAD8zdzo=")</f>
        <v>#REF!</v>
      </c>
      <c r="BH39" t="e">
        <f>AND('GA55 Entry'!#REF!,"AAAAAD8zdzs=")</f>
        <v>#REF!</v>
      </c>
      <c r="BI39" t="e">
        <f>AND('GA55 Entry'!#REF!,"AAAAAD8zdzw=")</f>
        <v>#REF!</v>
      </c>
      <c r="BJ39" t="e">
        <f>AND('GA55 Entry'!D35,"AAAAAD8zdz0=")</f>
        <v>#VALUE!</v>
      </c>
      <c r="BK39" t="e">
        <f>AND('GA55 Entry'!#REF!,"AAAAAD8zdz4=")</f>
        <v>#REF!</v>
      </c>
      <c r="BL39" t="e">
        <f>AND('GA55 Entry'!E35,"AAAAAD8zdz8=")</f>
        <v>#VALUE!</v>
      </c>
      <c r="BM39" t="e">
        <f>AND('GA55 Entry'!F35,"AAAAAD8zd0A=")</f>
        <v>#VALUE!</v>
      </c>
      <c r="BN39" t="e">
        <f>AND('GA55 Entry'!G35,"AAAAAD8zd0E=")</f>
        <v>#VALUE!</v>
      </c>
      <c r="BO39" t="e">
        <f>AND('GA55 Entry'!H35,"AAAAAD8zd0I=")</f>
        <v>#VALUE!</v>
      </c>
      <c r="BP39" t="e">
        <f>AND('GA55 Entry'!I35,"AAAAAD8zd0M=")</f>
        <v>#VALUE!</v>
      </c>
      <c r="BQ39" t="e">
        <f>AND('GA55 Entry'!J35,"AAAAAD8zd0Q=")</f>
        <v>#VALUE!</v>
      </c>
      <c r="BR39" t="e">
        <f>AND('GA55 Entry'!#REF!,"AAAAAD8zd0U=")</f>
        <v>#REF!</v>
      </c>
      <c r="BS39" t="e">
        <f>AND('GA55 Entry'!K35,"AAAAAD8zd0Y=")</f>
        <v>#VALUE!</v>
      </c>
      <c r="BT39" t="e">
        <f>AND('GA55 Entry'!L35,"AAAAAD8zd0c=")</f>
        <v>#VALUE!</v>
      </c>
      <c r="BU39" t="e">
        <f>AND('GA55 Entry'!M35,"AAAAAD8zd0g=")</f>
        <v>#VALUE!</v>
      </c>
      <c r="BV39" t="e">
        <f>AND('GA55 Entry'!N35,"AAAAAD8zd0k=")</f>
        <v>#VALUE!</v>
      </c>
      <c r="BW39" t="e">
        <f>AND('GA55 Entry'!O35,"AAAAAD8zd0o=")</f>
        <v>#VALUE!</v>
      </c>
      <c r="BX39" t="e">
        <f>AND('GA55 Entry'!P35,"AAAAAD8zd0s=")</f>
        <v>#VALUE!</v>
      </c>
      <c r="BY39" t="e">
        <f>AND('GA55 Entry'!Q35,"AAAAAD8zd0w=")</f>
        <v>#VALUE!</v>
      </c>
      <c r="BZ39" t="e">
        <f>AND('GA55 Entry'!S35,"AAAAAD8zd00=")</f>
        <v>#VALUE!</v>
      </c>
      <c r="CA39" t="e">
        <f>AND('GA55 Entry'!#REF!,"AAAAAD8zd04=")</f>
        <v>#REF!</v>
      </c>
      <c r="CB39" t="e">
        <f>AND('GA55 Entry'!T35,"AAAAAD8zd08=")</f>
        <v>#VALUE!</v>
      </c>
      <c r="CC39" t="e">
        <f>AND('GA55 Entry'!U35,"AAAAAD8zd1A=")</f>
        <v>#VALUE!</v>
      </c>
      <c r="CD39" t="e">
        <f>AND('GA55 Entry'!V35,"AAAAAD8zd1E=")</f>
        <v>#VALUE!</v>
      </c>
      <c r="CE39" t="e">
        <f>AND('GA55 Entry'!#REF!,"AAAAAD8zd1I=")</f>
        <v>#REF!</v>
      </c>
      <c r="CF39" t="e">
        <f>AND('GA55 Entry'!#REF!,"AAAAAD8zd1M=")</f>
        <v>#REF!</v>
      </c>
      <c r="CG39" t="e">
        <f>AND('GA55 Entry'!X35,"AAAAAD8zd1Q=")</f>
        <v>#VALUE!</v>
      </c>
      <c r="CH39" t="e">
        <f>AND('GA55 Entry'!Y35,"AAAAAD8zd1U=")</f>
        <v>#VALUE!</v>
      </c>
      <c r="CI39" t="e">
        <f>AND('GA55 Entry'!#REF!,"AAAAAD8zd1Y=")</f>
        <v>#REF!</v>
      </c>
      <c r="CJ39" t="e">
        <f>AND('GA55 Entry'!#REF!,"AAAAAD8zd1c=")</f>
        <v>#REF!</v>
      </c>
      <c r="CK39" t="e">
        <f>AND('GA55 Entry'!#REF!,"AAAAAD8zd1g=")</f>
        <v>#REF!</v>
      </c>
      <c r="CL39" t="e">
        <f>AND('GA55 Entry'!#REF!,"AAAAAD8zd1k=")</f>
        <v>#REF!</v>
      </c>
      <c r="CM39" t="e">
        <f>AND('GA55 Entry'!#REF!,"AAAAAD8zd1o=")</f>
        <v>#REF!</v>
      </c>
      <c r="CN39" t="e">
        <f>AND('GA55 Entry'!#REF!,"AAAAAD8zd1s=")</f>
        <v>#REF!</v>
      </c>
      <c r="CO39" t="e">
        <f>AND('GA55 Entry'!#REF!,"AAAAAD8zd1w=")</f>
        <v>#REF!</v>
      </c>
      <c r="CP39" t="e">
        <f>AND('GA55 Entry'!#REF!,"AAAAAD8zd10=")</f>
        <v>#REF!</v>
      </c>
      <c r="CQ39" t="e">
        <f>AND('GA55 Entry'!#REF!,"AAAAAD8zd14=")</f>
        <v>#REF!</v>
      </c>
      <c r="CR39" t="e">
        <f>AND('GA55 Entry'!Z35,"AAAAAD8zd18=")</f>
        <v>#VALUE!</v>
      </c>
      <c r="CS39" t="e">
        <f>AND('GA55 Entry'!AA35,"AAAAAD8zd2A=")</f>
        <v>#VALUE!</v>
      </c>
      <c r="CT39" t="e">
        <f>AND('GA55 Entry'!#REF!,"AAAAAD8zd2E=")</f>
        <v>#REF!</v>
      </c>
      <c r="CU39" t="e">
        <f>AND('GA55 Entry'!#REF!,"AAAAAD8zd2I=")</f>
        <v>#REF!</v>
      </c>
      <c r="CV39" t="e">
        <f>AND('GA55 Entry'!#REF!,"AAAAAD8zd2M=")</f>
        <v>#REF!</v>
      </c>
      <c r="CW39" t="e">
        <f>AND('GA55 Entry'!AB35,"AAAAAD8zd2Q=")</f>
        <v>#VALUE!</v>
      </c>
      <c r="CX39" t="e">
        <f>AND('GA55 Entry'!AC35,"AAAAAD8zd2U=")</f>
        <v>#VALUE!</v>
      </c>
      <c r="CY39" t="e">
        <f>AND('GA55 Entry'!#REF!,"AAAAAD8zd2Y=")</f>
        <v>#REF!</v>
      </c>
      <c r="CZ39">
        <f>IF('GA55 Entry'!36:36,"AAAAAD8zd2c=",0)</f>
        <v>0</v>
      </c>
      <c r="DA39" t="e">
        <f>AND('GA55 Entry'!B36,"AAAAAD8zd2g=")</f>
        <v>#VALUE!</v>
      </c>
      <c r="DB39" t="e">
        <f>AND('GA55 Entry'!#REF!,"AAAAAD8zd2k=")</f>
        <v>#REF!</v>
      </c>
      <c r="DC39" t="e">
        <f>AND('GA55 Entry'!C36,"AAAAAD8zd2o=")</f>
        <v>#VALUE!</v>
      </c>
      <c r="DD39" t="e">
        <f>AND('GA55 Entry'!#REF!,"AAAAAD8zd2s=")</f>
        <v>#REF!</v>
      </c>
      <c r="DE39" t="e">
        <f>AND('GA55 Entry'!#REF!,"AAAAAD8zd2w=")</f>
        <v>#REF!</v>
      </c>
      <c r="DF39" t="e">
        <f>AND('GA55 Entry'!#REF!,"AAAAAD8zd20=")</f>
        <v>#REF!</v>
      </c>
      <c r="DG39" t="e">
        <f>AND('GA55 Entry'!#REF!,"AAAAAD8zd24=")</f>
        <v>#REF!</v>
      </c>
      <c r="DH39" t="e">
        <f>AND('GA55 Entry'!#REF!,"AAAAAD8zd28=")</f>
        <v>#REF!</v>
      </c>
      <c r="DI39" t="e">
        <f>AND('GA55 Entry'!D36,"AAAAAD8zd3A=")</f>
        <v>#VALUE!</v>
      </c>
      <c r="DJ39" t="e">
        <f>AND('GA55 Entry'!#REF!,"AAAAAD8zd3E=")</f>
        <v>#REF!</v>
      </c>
      <c r="DK39" t="e">
        <f>AND('GA55 Entry'!E36,"AAAAAD8zd3I=")</f>
        <v>#VALUE!</v>
      </c>
      <c r="DL39" t="e">
        <f>AND('GA55 Entry'!F36,"AAAAAD8zd3M=")</f>
        <v>#VALUE!</v>
      </c>
      <c r="DM39" t="e">
        <f>AND('GA55 Entry'!G36,"AAAAAD8zd3Q=")</f>
        <v>#VALUE!</v>
      </c>
      <c r="DN39" t="e">
        <f>AND('GA55 Entry'!H36,"AAAAAD8zd3U=")</f>
        <v>#VALUE!</v>
      </c>
      <c r="DO39" t="e">
        <f>AND('GA55 Entry'!I36,"AAAAAD8zd3Y=")</f>
        <v>#VALUE!</v>
      </c>
      <c r="DP39" t="e">
        <f>AND('GA55 Entry'!J36,"AAAAAD8zd3c=")</f>
        <v>#VALUE!</v>
      </c>
      <c r="DQ39" t="e">
        <f>AND('GA55 Entry'!#REF!,"AAAAAD8zd3g=")</f>
        <v>#REF!</v>
      </c>
      <c r="DR39" t="e">
        <f>AND('GA55 Entry'!K36,"AAAAAD8zd3k=")</f>
        <v>#VALUE!</v>
      </c>
      <c r="DS39" t="e">
        <f>AND('GA55 Entry'!L36,"AAAAAD8zd3o=")</f>
        <v>#VALUE!</v>
      </c>
      <c r="DT39" t="e">
        <f>AND('GA55 Entry'!M36,"AAAAAD8zd3s=")</f>
        <v>#VALUE!</v>
      </c>
      <c r="DU39" t="e">
        <f>AND('GA55 Entry'!N36,"AAAAAD8zd3w=")</f>
        <v>#VALUE!</v>
      </c>
      <c r="DV39" t="e">
        <f>AND('GA55 Entry'!O36,"AAAAAD8zd30=")</f>
        <v>#VALUE!</v>
      </c>
      <c r="DW39" t="e">
        <f>AND('GA55 Entry'!P36,"AAAAAD8zd34=")</f>
        <v>#VALUE!</v>
      </c>
      <c r="DX39" t="e">
        <f>AND('GA55 Entry'!Q36,"AAAAAD8zd38=")</f>
        <v>#VALUE!</v>
      </c>
      <c r="DY39" t="e">
        <f>AND('GA55 Entry'!S36,"AAAAAD8zd4A=")</f>
        <v>#VALUE!</v>
      </c>
      <c r="DZ39" t="e">
        <f>AND('GA55 Entry'!#REF!,"AAAAAD8zd4E=")</f>
        <v>#REF!</v>
      </c>
      <c r="EA39" t="e">
        <f>AND('GA55 Entry'!T36,"AAAAAD8zd4I=")</f>
        <v>#VALUE!</v>
      </c>
      <c r="EB39" t="e">
        <f>AND('GA55 Entry'!U36,"AAAAAD8zd4M=")</f>
        <v>#VALUE!</v>
      </c>
      <c r="EC39" t="e">
        <f>AND('GA55 Entry'!V36,"AAAAAD8zd4Q=")</f>
        <v>#VALUE!</v>
      </c>
      <c r="ED39" t="e">
        <f>AND('GA55 Entry'!#REF!,"AAAAAD8zd4U=")</f>
        <v>#REF!</v>
      </c>
      <c r="EE39" t="e">
        <f>AND('GA55 Entry'!#REF!,"AAAAAD8zd4Y=")</f>
        <v>#REF!</v>
      </c>
      <c r="EF39" t="e">
        <f>AND('GA55 Entry'!X36,"AAAAAD8zd4c=")</f>
        <v>#VALUE!</v>
      </c>
      <c r="EG39" t="e">
        <f>AND('GA55 Entry'!Y36,"AAAAAD8zd4g=")</f>
        <v>#VALUE!</v>
      </c>
      <c r="EH39" t="e">
        <f>AND('GA55 Entry'!#REF!,"AAAAAD8zd4k=")</f>
        <v>#REF!</v>
      </c>
      <c r="EI39" t="e">
        <f>AND('GA55 Entry'!#REF!,"AAAAAD8zd4o=")</f>
        <v>#REF!</v>
      </c>
      <c r="EJ39" t="e">
        <f>AND('GA55 Entry'!#REF!,"AAAAAD8zd4s=")</f>
        <v>#REF!</v>
      </c>
      <c r="EK39" t="e">
        <f>AND('GA55 Entry'!#REF!,"AAAAAD8zd4w=")</f>
        <v>#REF!</v>
      </c>
      <c r="EL39" t="e">
        <f>AND('GA55 Entry'!#REF!,"AAAAAD8zd40=")</f>
        <v>#REF!</v>
      </c>
      <c r="EM39" t="e">
        <f>AND('GA55 Entry'!#REF!,"AAAAAD8zd44=")</f>
        <v>#REF!</v>
      </c>
      <c r="EN39" t="e">
        <f>AND('GA55 Entry'!#REF!,"AAAAAD8zd48=")</f>
        <v>#REF!</v>
      </c>
      <c r="EO39" t="e">
        <f>AND('GA55 Entry'!#REF!,"AAAAAD8zd5A=")</f>
        <v>#REF!</v>
      </c>
      <c r="EP39" t="e">
        <f>AND('GA55 Entry'!#REF!,"AAAAAD8zd5E=")</f>
        <v>#REF!</v>
      </c>
      <c r="EQ39" t="e">
        <f>AND('GA55 Entry'!Z36,"AAAAAD8zd5I=")</f>
        <v>#VALUE!</v>
      </c>
      <c r="ER39" t="e">
        <f>AND('GA55 Entry'!AA36,"AAAAAD8zd5M=")</f>
        <v>#VALUE!</v>
      </c>
      <c r="ES39" t="e">
        <f>AND('GA55 Entry'!#REF!,"AAAAAD8zd5Q=")</f>
        <v>#REF!</v>
      </c>
      <c r="ET39" t="e">
        <f>AND('GA55 Entry'!#REF!,"AAAAAD8zd5U=")</f>
        <v>#REF!</v>
      </c>
      <c r="EU39" t="e">
        <f>AND('GA55 Entry'!#REF!,"AAAAAD8zd5Y=")</f>
        <v>#REF!</v>
      </c>
      <c r="EV39" t="e">
        <f>AND('GA55 Entry'!AB36,"AAAAAD8zd5c=")</f>
        <v>#VALUE!</v>
      </c>
      <c r="EW39" t="e">
        <f>AND('GA55 Entry'!AC36,"AAAAAD8zd5g=")</f>
        <v>#VALUE!</v>
      </c>
      <c r="EX39" t="e">
        <f>AND('GA55 Entry'!#REF!,"AAAAAD8zd5k=")</f>
        <v>#REF!</v>
      </c>
      <c r="EY39">
        <f>IF('GA55 Entry'!37:37,"AAAAAD8zd5o=",0)</f>
        <v>0</v>
      </c>
      <c r="EZ39" t="e">
        <f>AND('GA55 Entry'!B37,"AAAAAD8zd5s=")</f>
        <v>#VALUE!</v>
      </c>
      <c r="FA39" t="e">
        <f>AND('GA55 Entry'!#REF!,"AAAAAD8zd5w=")</f>
        <v>#REF!</v>
      </c>
      <c r="FB39" t="e">
        <f>AND('GA55 Entry'!C37,"AAAAAD8zd50=")</f>
        <v>#VALUE!</v>
      </c>
      <c r="FC39" t="e">
        <f>AND('GA55 Entry'!#REF!,"AAAAAD8zd54=")</f>
        <v>#REF!</v>
      </c>
      <c r="FD39" t="e">
        <f>AND('GA55 Entry'!#REF!,"AAAAAD8zd58=")</f>
        <v>#REF!</v>
      </c>
      <c r="FE39" t="e">
        <f>AND('GA55 Entry'!#REF!,"AAAAAD8zd6A=")</f>
        <v>#REF!</v>
      </c>
      <c r="FF39" t="e">
        <f>AND('GA55 Entry'!#REF!,"AAAAAD8zd6E=")</f>
        <v>#REF!</v>
      </c>
      <c r="FG39" t="e">
        <f>AND('GA55 Entry'!#REF!,"AAAAAD8zd6I=")</f>
        <v>#REF!</v>
      </c>
      <c r="FH39" t="e">
        <f>AND('GA55 Entry'!D37,"AAAAAD8zd6M=")</f>
        <v>#VALUE!</v>
      </c>
      <c r="FI39" t="e">
        <f>AND('GA55 Entry'!#REF!,"AAAAAD8zd6Q=")</f>
        <v>#REF!</v>
      </c>
      <c r="FJ39" t="e">
        <f>AND('GA55 Entry'!E37,"AAAAAD8zd6U=")</f>
        <v>#VALUE!</v>
      </c>
      <c r="FK39" t="e">
        <f>AND('GA55 Entry'!F37,"AAAAAD8zd6Y=")</f>
        <v>#VALUE!</v>
      </c>
      <c r="FL39" t="e">
        <f>AND('GA55 Entry'!G37,"AAAAAD8zd6c=")</f>
        <v>#VALUE!</v>
      </c>
      <c r="FM39" t="e">
        <f>AND('GA55 Entry'!H37,"AAAAAD8zd6g=")</f>
        <v>#VALUE!</v>
      </c>
      <c r="FN39" t="e">
        <f>AND('GA55 Entry'!I37,"AAAAAD8zd6k=")</f>
        <v>#VALUE!</v>
      </c>
      <c r="FO39" t="e">
        <f>AND('GA55 Entry'!J37,"AAAAAD8zd6o=")</f>
        <v>#VALUE!</v>
      </c>
      <c r="FP39" t="e">
        <f>AND('GA55 Entry'!#REF!,"AAAAAD8zd6s=")</f>
        <v>#REF!</v>
      </c>
      <c r="FQ39" t="e">
        <f>AND('GA55 Entry'!K37,"AAAAAD8zd6w=")</f>
        <v>#VALUE!</v>
      </c>
      <c r="FR39" t="e">
        <f>AND('GA55 Entry'!L37,"AAAAAD8zd60=")</f>
        <v>#VALUE!</v>
      </c>
      <c r="FS39" t="e">
        <f>AND('GA55 Entry'!M37,"AAAAAD8zd64=")</f>
        <v>#VALUE!</v>
      </c>
      <c r="FT39" t="e">
        <f>AND('GA55 Entry'!N37,"AAAAAD8zd68=")</f>
        <v>#VALUE!</v>
      </c>
      <c r="FU39" t="e">
        <f>AND('GA55 Entry'!O37,"AAAAAD8zd7A=")</f>
        <v>#VALUE!</v>
      </c>
      <c r="FV39" t="e">
        <f>AND('GA55 Entry'!P37,"AAAAAD8zd7E=")</f>
        <v>#VALUE!</v>
      </c>
      <c r="FW39" t="e">
        <f>AND('GA55 Entry'!Q37,"AAAAAD8zd7I=")</f>
        <v>#VALUE!</v>
      </c>
      <c r="FX39" t="e">
        <f>AND('GA55 Entry'!S37,"AAAAAD8zd7M=")</f>
        <v>#VALUE!</v>
      </c>
      <c r="FY39" t="e">
        <f>AND('GA55 Entry'!#REF!,"AAAAAD8zd7Q=")</f>
        <v>#REF!</v>
      </c>
      <c r="FZ39" t="e">
        <f>AND('GA55 Entry'!T37,"AAAAAD8zd7U=")</f>
        <v>#VALUE!</v>
      </c>
      <c r="GA39" t="e">
        <f>AND('GA55 Entry'!U37,"AAAAAD8zd7Y=")</f>
        <v>#VALUE!</v>
      </c>
      <c r="GB39" t="e">
        <f>AND('GA55 Entry'!V37,"AAAAAD8zd7c=")</f>
        <v>#VALUE!</v>
      </c>
      <c r="GC39" t="e">
        <f>AND('GA55 Entry'!#REF!,"AAAAAD8zd7g=")</f>
        <v>#REF!</v>
      </c>
      <c r="GD39" t="e">
        <f>AND('GA55 Entry'!#REF!,"AAAAAD8zd7k=")</f>
        <v>#REF!</v>
      </c>
      <c r="GE39" t="e">
        <f>AND('GA55 Entry'!X37,"AAAAAD8zd7o=")</f>
        <v>#VALUE!</v>
      </c>
      <c r="GF39" t="e">
        <f>AND('GA55 Entry'!Y37,"AAAAAD8zd7s=")</f>
        <v>#VALUE!</v>
      </c>
      <c r="GG39" t="e">
        <f>AND('GA55 Entry'!#REF!,"AAAAAD8zd7w=")</f>
        <v>#REF!</v>
      </c>
      <c r="GH39" t="e">
        <f>AND('GA55 Entry'!#REF!,"AAAAAD8zd70=")</f>
        <v>#REF!</v>
      </c>
      <c r="GI39" t="e">
        <f>AND('GA55 Entry'!#REF!,"AAAAAD8zd74=")</f>
        <v>#REF!</v>
      </c>
      <c r="GJ39" t="e">
        <f>AND('GA55 Entry'!#REF!,"AAAAAD8zd78=")</f>
        <v>#REF!</v>
      </c>
      <c r="GK39" t="e">
        <f>AND('GA55 Entry'!#REF!,"AAAAAD8zd8A=")</f>
        <v>#REF!</v>
      </c>
      <c r="GL39" t="e">
        <f>AND('GA55 Entry'!#REF!,"AAAAAD8zd8E=")</f>
        <v>#REF!</v>
      </c>
      <c r="GM39" t="e">
        <f>AND('GA55 Entry'!#REF!,"AAAAAD8zd8I=")</f>
        <v>#REF!</v>
      </c>
      <c r="GN39" t="e">
        <f>AND('GA55 Entry'!#REF!,"AAAAAD8zd8M=")</f>
        <v>#REF!</v>
      </c>
      <c r="GO39" t="e">
        <f>AND('GA55 Entry'!#REF!,"AAAAAD8zd8Q=")</f>
        <v>#REF!</v>
      </c>
      <c r="GP39" t="e">
        <f>AND('GA55 Entry'!Z37,"AAAAAD8zd8U=")</f>
        <v>#VALUE!</v>
      </c>
      <c r="GQ39" t="e">
        <f>AND('GA55 Entry'!AA37,"AAAAAD8zd8Y=")</f>
        <v>#VALUE!</v>
      </c>
      <c r="GR39" t="e">
        <f>AND('GA55 Entry'!#REF!,"AAAAAD8zd8c=")</f>
        <v>#REF!</v>
      </c>
      <c r="GS39" t="e">
        <f>AND('GA55 Entry'!#REF!,"AAAAAD8zd8g=")</f>
        <v>#REF!</v>
      </c>
      <c r="GT39" t="e">
        <f>AND('GA55 Entry'!#REF!,"AAAAAD8zd8k=")</f>
        <v>#REF!</v>
      </c>
      <c r="GU39" t="e">
        <f>AND('GA55 Entry'!AB37,"AAAAAD8zd8o=")</f>
        <v>#VALUE!</v>
      </c>
      <c r="GV39" t="e">
        <f>AND('GA55 Entry'!AC37,"AAAAAD8zd8s=")</f>
        <v>#VALUE!</v>
      </c>
      <c r="GW39" t="e">
        <f>AND('GA55 Entry'!#REF!,"AAAAAD8zd8w=")</f>
        <v>#REF!</v>
      </c>
      <c r="GX39">
        <f>IF('GA55 Entry'!38:38,"AAAAAD8zd80=",0)</f>
        <v>0</v>
      </c>
      <c r="GY39" t="e">
        <f>AND('GA55 Entry'!B38,"AAAAAD8zd84=")</f>
        <v>#VALUE!</v>
      </c>
      <c r="GZ39" t="e">
        <f>AND('GA55 Entry'!#REF!,"AAAAAD8zd88=")</f>
        <v>#REF!</v>
      </c>
      <c r="HA39" t="e">
        <f>AND('GA55 Entry'!C38,"AAAAAD8zd9A=")</f>
        <v>#VALUE!</v>
      </c>
      <c r="HB39" t="e">
        <f>AND('GA55 Entry'!#REF!,"AAAAAD8zd9E=")</f>
        <v>#REF!</v>
      </c>
      <c r="HC39" t="e">
        <f>AND('GA55 Entry'!#REF!,"AAAAAD8zd9I=")</f>
        <v>#REF!</v>
      </c>
      <c r="HD39" t="e">
        <f>AND('GA55 Entry'!#REF!,"AAAAAD8zd9M=")</f>
        <v>#REF!</v>
      </c>
      <c r="HE39" t="e">
        <f>AND('GA55 Entry'!#REF!,"AAAAAD8zd9Q=")</f>
        <v>#REF!</v>
      </c>
      <c r="HF39" t="e">
        <f>AND('GA55 Entry'!#REF!,"AAAAAD8zd9U=")</f>
        <v>#REF!</v>
      </c>
      <c r="HG39" t="e">
        <f>AND('GA55 Entry'!D38,"AAAAAD8zd9Y=")</f>
        <v>#VALUE!</v>
      </c>
      <c r="HH39" t="e">
        <f>AND('GA55 Entry'!#REF!,"AAAAAD8zd9c=")</f>
        <v>#REF!</v>
      </c>
      <c r="HI39" t="e">
        <f>AND('GA55 Entry'!E38,"AAAAAD8zd9g=")</f>
        <v>#VALUE!</v>
      </c>
      <c r="HJ39" t="e">
        <f>AND('GA55 Entry'!F38,"AAAAAD8zd9k=")</f>
        <v>#VALUE!</v>
      </c>
      <c r="HK39" t="e">
        <f>AND('GA55 Entry'!G38,"AAAAAD8zd9o=")</f>
        <v>#VALUE!</v>
      </c>
      <c r="HL39" t="e">
        <f>AND('GA55 Entry'!H38,"AAAAAD8zd9s=")</f>
        <v>#VALUE!</v>
      </c>
      <c r="HM39" t="e">
        <f>AND('GA55 Entry'!I38,"AAAAAD8zd9w=")</f>
        <v>#VALUE!</v>
      </c>
      <c r="HN39" t="e">
        <f>AND('GA55 Entry'!J38,"AAAAAD8zd90=")</f>
        <v>#VALUE!</v>
      </c>
      <c r="HO39" t="e">
        <f>AND('GA55 Entry'!#REF!,"AAAAAD8zd94=")</f>
        <v>#REF!</v>
      </c>
      <c r="HP39" t="e">
        <f>AND('GA55 Entry'!K38,"AAAAAD8zd98=")</f>
        <v>#VALUE!</v>
      </c>
      <c r="HQ39" t="e">
        <f>AND('GA55 Entry'!L38,"AAAAAD8zd+A=")</f>
        <v>#VALUE!</v>
      </c>
      <c r="HR39" t="e">
        <f>AND('GA55 Entry'!M38,"AAAAAD8zd+E=")</f>
        <v>#VALUE!</v>
      </c>
      <c r="HS39" t="e">
        <f>AND('GA55 Entry'!N38,"AAAAAD8zd+I=")</f>
        <v>#VALUE!</v>
      </c>
      <c r="HT39" t="e">
        <f>AND('GA55 Entry'!O38,"AAAAAD8zd+M=")</f>
        <v>#VALUE!</v>
      </c>
      <c r="HU39" t="e">
        <f>AND('GA55 Entry'!P38,"AAAAAD8zd+Q=")</f>
        <v>#VALUE!</v>
      </c>
      <c r="HV39" t="e">
        <f>AND('GA55 Entry'!Q38,"AAAAAD8zd+U=")</f>
        <v>#VALUE!</v>
      </c>
      <c r="HW39" t="e">
        <f>AND('GA55 Entry'!S38,"AAAAAD8zd+Y=")</f>
        <v>#VALUE!</v>
      </c>
      <c r="HX39" t="e">
        <f>AND('GA55 Entry'!#REF!,"AAAAAD8zd+c=")</f>
        <v>#REF!</v>
      </c>
      <c r="HY39" t="e">
        <f>AND('GA55 Entry'!T38,"AAAAAD8zd+g=")</f>
        <v>#VALUE!</v>
      </c>
      <c r="HZ39" t="e">
        <f>AND('GA55 Entry'!U38,"AAAAAD8zd+k=")</f>
        <v>#VALUE!</v>
      </c>
      <c r="IA39" t="e">
        <f>AND('GA55 Entry'!V38,"AAAAAD8zd+o=")</f>
        <v>#VALUE!</v>
      </c>
      <c r="IB39" t="e">
        <f>AND('GA55 Entry'!#REF!,"AAAAAD8zd+s=")</f>
        <v>#REF!</v>
      </c>
      <c r="IC39" t="e">
        <f>AND('GA55 Entry'!#REF!,"AAAAAD8zd+w=")</f>
        <v>#REF!</v>
      </c>
      <c r="ID39" t="e">
        <f>AND('GA55 Entry'!X38,"AAAAAD8zd+0=")</f>
        <v>#VALUE!</v>
      </c>
      <c r="IE39" t="e">
        <f>AND('GA55 Entry'!Y38,"AAAAAD8zd+4=")</f>
        <v>#VALUE!</v>
      </c>
      <c r="IF39" t="e">
        <f>AND('GA55 Entry'!#REF!,"AAAAAD8zd+8=")</f>
        <v>#REF!</v>
      </c>
      <c r="IG39" t="e">
        <f>AND('GA55 Entry'!#REF!,"AAAAAD8zd/A=")</f>
        <v>#REF!</v>
      </c>
      <c r="IH39" t="e">
        <f>AND('GA55 Entry'!#REF!,"AAAAAD8zd/E=")</f>
        <v>#REF!</v>
      </c>
      <c r="II39" t="e">
        <f>AND('GA55 Entry'!#REF!,"AAAAAD8zd/I=")</f>
        <v>#REF!</v>
      </c>
      <c r="IJ39" t="e">
        <f>AND('GA55 Entry'!#REF!,"AAAAAD8zd/M=")</f>
        <v>#REF!</v>
      </c>
      <c r="IK39" t="e">
        <f>AND('GA55 Entry'!#REF!,"AAAAAD8zd/Q=")</f>
        <v>#REF!</v>
      </c>
      <c r="IL39" t="e">
        <f>AND('GA55 Entry'!#REF!,"AAAAAD8zd/U=")</f>
        <v>#REF!</v>
      </c>
      <c r="IM39" t="e">
        <f>AND('GA55 Entry'!#REF!,"AAAAAD8zd/Y=")</f>
        <v>#REF!</v>
      </c>
      <c r="IN39" t="e">
        <f>AND('GA55 Entry'!#REF!,"AAAAAD8zd/c=")</f>
        <v>#REF!</v>
      </c>
      <c r="IO39" t="e">
        <f>AND('GA55 Entry'!Z38,"AAAAAD8zd/g=")</f>
        <v>#VALUE!</v>
      </c>
      <c r="IP39" t="e">
        <f>AND('GA55 Entry'!AA38,"AAAAAD8zd/k=")</f>
        <v>#VALUE!</v>
      </c>
      <c r="IQ39" t="e">
        <f>AND('GA55 Entry'!#REF!,"AAAAAD8zd/o=")</f>
        <v>#REF!</v>
      </c>
      <c r="IR39" t="e">
        <f>AND('GA55 Entry'!#REF!,"AAAAAD8zd/s=")</f>
        <v>#REF!</v>
      </c>
      <c r="IS39" t="e">
        <f>AND('GA55 Entry'!#REF!,"AAAAAD8zd/w=")</f>
        <v>#REF!</v>
      </c>
      <c r="IT39" t="e">
        <f>AND('GA55 Entry'!AB38,"AAAAAD8zd/0=")</f>
        <v>#VALUE!</v>
      </c>
      <c r="IU39" t="e">
        <f>AND('GA55 Entry'!AC38,"AAAAAD8zd/4=")</f>
        <v>#VALUE!</v>
      </c>
      <c r="IV39" t="e">
        <f>AND('GA55 Entry'!#REF!,"AAAAAD8zd/8=")</f>
        <v>#REF!</v>
      </c>
    </row>
    <row r="40" spans="1:256">
      <c r="A40">
        <f>IF('GA55 Entry'!39:39,"AAAAADqr6AA=",0)</f>
        <v>0</v>
      </c>
      <c r="B40" t="e">
        <f>AND('GA55 Entry'!B39,"AAAAADqr6AE=")</f>
        <v>#VALUE!</v>
      </c>
      <c r="C40" t="e">
        <f>AND('GA55 Entry'!#REF!,"AAAAADqr6AI=")</f>
        <v>#REF!</v>
      </c>
      <c r="D40" t="e">
        <f>AND('GA55 Entry'!C39,"AAAAADqr6AM=")</f>
        <v>#VALUE!</v>
      </c>
      <c r="E40" t="e">
        <f>AND('GA55 Entry'!#REF!,"AAAAADqr6AQ=")</f>
        <v>#REF!</v>
      </c>
      <c r="F40" t="e">
        <f>AND('GA55 Entry'!#REF!,"AAAAADqr6AU=")</f>
        <v>#REF!</v>
      </c>
      <c r="G40" t="e">
        <f>AND('GA55 Entry'!#REF!,"AAAAADqr6AY=")</f>
        <v>#REF!</v>
      </c>
      <c r="H40" t="e">
        <f>AND('GA55 Entry'!#REF!,"AAAAADqr6Ac=")</f>
        <v>#REF!</v>
      </c>
      <c r="I40" t="e">
        <f>AND('GA55 Entry'!#REF!,"AAAAADqr6Ag=")</f>
        <v>#REF!</v>
      </c>
      <c r="J40" t="e">
        <f>AND('GA55 Entry'!D39,"AAAAADqr6Ak=")</f>
        <v>#VALUE!</v>
      </c>
      <c r="K40" t="e">
        <f>AND('GA55 Entry'!#REF!,"AAAAADqr6Ao=")</f>
        <v>#REF!</v>
      </c>
      <c r="L40" t="e">
        <f>AND('GA55 Entry'!E39,"AAAAADqr6As=")</f>
        <v>#VALUE!</v>
      </c>
      <c r="M40" t="e">
        <f>AND('GA55 Entry'!F39,"AAAAADqr6Aw=")</f>
        <v>#VALUE!</v>
      </c>
      <c r="N40" t="e">
        <f>AND('GA55 Entry'!G39,"AAAAADqr6A0=")</f>
        <v>#VALUE!</v>
      </c>
      <c r="O40" t="e">
        <f>AND('GA55 Entry'!H39,"AAAAADqr6A4=")</f>
        <v>#VALUE!</v>
      </c>
      <c r="P40" t="e">
        <f>AND('GA55 Entry'!I39,"AAAAADqr6A8=")</f>
        <v>#VALUE!</v>
      </c>
      <c r="Q40" t="e">
        <f>AND('GA55 Entry'!J39,"AAAAADqr6BA=")</f>
        <v>#VALUE!</v>
      </c>
      <c r="R40" t="e">
        <f>AND('GA55 Entry'!#REF!,"AAAAADqr6BE=")</f>
        <v>#REF!</v>
      </c>
      <c r="S40" t="e">
        <f>AND('GA55 Entry'!K39,"AAAAADqr6BI=")</f>
        <v>#VALUE!</v>
      </c>
      <c r="T40" t="e">
        <f>AND('GA55 Entry'!L39,"AAAAADqr6BM=")</f>
        <v>#VALUE!</v>
      </c>
      <c r="U40" t="e">
        <f>AND('GA55 Entry'!M39,"AAAAADqr6BQ=")</f>
        <v>#VALUE!</v>
      </c>
      <c r="V40" t="e">
        <f>AND('GA55 Entry'!N39,"AAAAADqr6BU=")</f>
        <v>#VALUE!</v>
      </c>
      <c r="W40" t="e">
        <f>AND('GA55 Entry'!O39,"AAAAADqr6BY=")</f>
        <v>#VALUE!</v>
      </c>
      <c r="X40" t="e">
        <f>AND('GA55 Entry'!P39,"AAAAADqr6Bc=")</f>
        <v>#VALUE!</v>
      </c>
      <c r="Y40" t="e">
        <f>AND('GA55 Entry'!Q39,"AAAAADqr6Bg=")</f>
        <v>#VALUE!</v>
      </c>
      <c r="Z40" t="e">
        <f>AND('GA55 Entry'!S39,"AAAAADqr6Bk=")</f>
        <v>#VALUE!</v>
      </c>
      <c r="AA40" t="e">
        <f>AND('GA55 Entry'!#REF!,"AAAAADqr6Bo=")</f>
        <v>#REF!</v>
      </c>
      <c r="AB40" t="e">
        <f>AND('GA55 Entry'!T39,"AAAAADqr6Bs=")</f>
        <v>#VALUE!</v>
      </c>
      <c r="AC40" t="e">
        <f>AND('GA55 Entry'!U39,"AAAAADqr6Bw=")</f>
        <v>#VALUE!</v>
      </c>
      <c r="AD40" t="e">
        <f>AND('GA55 Entry'!V39,"AAAAADqr6B0=")</f>
        <v>#VALUE!</v>
      </c>
      <c r="AE40" t="e">
        <f>AND('GA55 Entry'!#REF!,"AAAAADqr6B4=")</f>
        <v>#REF!</v>
      </c>
      <c r="AF40" t="e">
        <f>AND('GA55 Entry'!#REF!,"AAAAADqr6B8=")</f>
        <v>#REF!</v>
      </c>
      <c r="AG40" t="e">
        <f>AND('GA55 Entry'!X39,"AAAAADqr6CA=")</f>
        <v>#VALUE!</v>
      </c>
      <c r="AH40" t="e">
        <f>AND('GA55 Entry'!Y39,"AAAAADqr6CE=")</f>
        <v>#VALUE!</v>
      </c>
      <c r="AI40" t="e">
        <f>AND('GA55 Entry'!#REF!,"AAAAADqr6CI=")</f>
        <v>#REF!</v>
      </c>
      <c r="AJ40" t="e">
        <f>AND('GA55 Entry'!#REF!,"AAAAADqr6CM=")</f>
        <v>#REF!</v>
      </c>
      <c r="AK40" t="e">
        <f>AND('GA55 Entry'!#REF!,"AAAAADqr6CQ=")</f>
        <v>#REF!</v>
      </c>
      <c r="AL40" t="e">
        <f>AND('GA55 Entry'!#REF!,"AAAAADqr6CU=")</f>
        <v>#REF!</v>
      </c>
      <c r="AM40" t="e">
        <f>AND('GA55 Entry'!#REF!,"AAAAADqr6CY=")</f>
        <v>#REF!</v>
      </c>
      <c r="AN40" t="e">
        <f>AND('GA55 Entry'!#REF!,"AAAAADqr6Cc=")</f>
        <v>#REF!</v>
      </c>
      <c r="AO40" t="e">
        <f>AND('GA55 Entry'!#REF!,"AAAAADqr6Cg=")</f>
        <v>#REF!</v>
      </c>
      <c r="AP40" t="e">
        <f>AND('GA55 Entry'!#REF!,"AAAAADqr6Ck=")</f>
        <v>#REF!</v>
      </c>
      <c r="AQ40" t="e">
        <f>AND('GA55 Entry'!#REF!,"AAAAADqr6Co=")</f>
        <v>#REF!</v>
      </c>
      <c r="AR40" t="e">
        <f>AND('GA55 Entry'!Z39,"AAAAADqr6Cs=")</f>
        <v>#VALUE!</v>
      </c>
      <c r="AS40" t="e">
        <f>AND('GA55 Entry'!AA39,"AAAAADqr6Cw=")</f>
        <v>#VALUE!</v>
      </c>
      <c r="AT40" t="e">
        <f>AND('GA55 Entry'!#REF!,"AAAAADqr6C0=")</f>
        <v>#REF!</v>
      </c>
      <c r="AU40" t="e">
        <f>AND('GA55 Entry'!#REF!,"AAAAADqr6C4=")</f>
        <v>#REF!</v>
      </c>
      <c r="AV40" t="e">
        <f>AND('GA55 Entry'!#REF!,"AAAAADqr6C8=")</f>
        <v>#REF!</v>
      </c>
      <c r="AW40" t="e">
        <f>AND('GA55 Entry'!AB39,"AAAAADqr6DA=")</f>
        <v>#VALUE!</v>
      </c>
      <c r="AX40" t="e">
        <f>AND('GA55 Entry'!AC39,"AAAAADqr6DE=")</f>
        <v>#VALUE!</v>
      </c>
      <c r="AY40" t="e">
        <f>AND('GA55 Entry'!#REF!,"AAAAADqr6DI=")</f>
        <v>#REF!</v>
      </c>
      <c r="AZ40">
        <f>IF('GA55 Entry'!40:40,"AAAAADqr6DM=",0)</f>
        <v>0</v>
      </c>
      <c r="BA40" t="e">
        <f>AND('GA55 Entry'!B40,"AAAAADqr6DQ=")</f>
        <v>#VALUE!</v>
      </c>
      <c r="BB40" t="e">
        <f>AND('GA55 Entry'!#REF!,"AAAAADqr6DU=")</f>
        <v>#REF!</v>
      </c>
      <c r="BC40" t="e">
        <f>AND('GA55 Entry'!C40,"AAAAADqr6DY=")</f>
        <v>#VALUE!</v>
      </c>
      <c r="BD40" t="e">
        <f>AND('GA55 Entry'!#REF!,"AAAAADqr6Dc=")</f>
        <v>#REF!</v>
      </c>
      <c r="BE40" t="e">
        <f>AND('GA55 Entry'!#REF!,"AAAAADqr6Dg=")</f>
        <v>#REF!</v>
      </c>
      <c r="BF40" t="e">
        <f>AND('GA55 Entry'!#REF!,"AAAAADqr6Dk=")</f>
        <v>#REF!</v>
      </c>
      <c r="BG40" t="e">
        <f>AND('GA55 Entry'!#REF!,"AAAAADqr6Do=")</f>
        <v>#REF!</v>
      </c>
      <c r="BH40" t="e">
        <f>AND('GA55 Entry'!#REF!,"AAAAADqr6Ds=")</f>
        <v>#REF!</v>
      </c>
      <c r="BI40" t="e">
        <f>AND('GA55 Entry'!D40,"AAAAADqr6Dw=")</f>
        <v>#VALUE!</v>
      </c>
      <c r="BJ40" t="e">
        <f>AND('GA55 Entry'!#REF!,"AAAAADqr6D0=")</f>
        <v>#REF!</v>
      </c>
      <c r="BK40" t="e">
        <f>AND('GA55 Entry'!E40,"AAAAADqr6D4=")</f>
        <v>#VALUE!</v>
      </c>
      <c r="BL40" t="e">
        <f>AND('GA55 Entry'!F40,"AAAAADqr6D8=")</f>
        <v>#VALUE!</v>
      </c>
      <c r="BM40" t="e">
        <f>AND('GA55 Entry'!G40,"AAAAADqr6EA=")</f>
        <v>#VALUE!</v>
      </c>
      <c r="BN40" t="e">
        <f>AND('GA55 Entry'!H40,"AAAAADqr6EE=")</f>
        <v>#VALUE!</v>
      </c>
      <c r="BO40" t="e">
        <f>AND('GA55 Entry'!I40,"AAAAADqr6EI=")</f>
        <v>#VALUE!</v>
      </c>
      <c r="BP40" t="e">
        <f>AND('GA55 Entry'!J40,"AAAAADqr6EM=")</f>
        <v>#VALUE!</v>
      </c>
      <c r="BQ40" t="e">
        <f>AND('GA55 Entry'!#REF!,"AAAAADqr6EQ=")</f>
        <v>#REF!</v>
      </c>
      <c r="BR40" t="e">
        <f>AND('GA55 Entry'!K40,"AAAAADqr6EU=")</f>
        <v>#VALUE!</v>
      </c>
      <c r="BS40" t="e">
        <f>AND('GA55 Entry'!L40,"AAAAADqr6EY=")</f>
        <v>#VALUE!</v>
      </c>
      <c r="BT40" t="e">
        <f>AND('GA55 Entry'!M40,"AAAAADqr6Ec=")</f>
        <v>#VALUE!</v>
      </c>
      <c r="BU40" t="e">
        <f>AND('GA55 Entry'!N40,"AAAAADqr6Eg=")</f>
        <v>#VALUE!</v>
      </c>
      <c r="BV40" t="e">
        <f>AND('GA55 Entry'!O40,"AAAAADqr6Ek=")</f>
        <v>#VALUE!</v>
      </c>
      <c r="BW40" t="e">
        <f>AND('GA55 Entry'!P40,"AAAAADqr6Eo=")</f>
        <v>#VALUE!</v>
      </c>
      <c r="BX40" t="e">
        <f>AND('GA55 Entry'!Q40,"AAAAADqr6Es=")</f>
        <v>#VALUE!</v>
      </c>
      <c r="BY40" t="e">
        <f>AND('GA55 Entry'!S40,"AAAAADqr6Ew=")</f>
        <v>#VALUE!</v>
      </c>
      <c r="BZ40" t="e">
        <f>AND('GA55 Entry'!#REF!,"AAAAADqr6E0=")</f>
        <v>#REF!</v>
      </c>
      <c r="CA40" t="e">
        <f>AND('GA55 Entry'!T40,"AAAAADqr6E4=")</f>
        <v>#VALUE!</v>
      </c>
      <c r="CB40" t="e">
        <f>AND('GA55 Entry'!U40,"AAAAADqr6E8=")</f>
        <v>#VALUE!</v>
      </c>
      <c r="CC40" t="e">
        <f>AND('GA55 Entry'!V40,"AAAAADqr6FA=")</f>
        <v>#VALUE!</v>
      </c>
      <c r="CD40" t="e">
        <f>AND('GA55 Entry'!#REF!,"AAAAADqr6FE=")</f>
        <v>#REF!</v>
      </c>
      <c r="CE40" t="e">
        <f>AND('GA55 Entry'!#REF!,"AAAAADqr6FI=")</f>
        <v>#REF!</v>
      </c>
      <c r="CF40" t="e">
        <f>AND('GA55 Entry'!X40,"AAAAADqr6FM=")</f>
        <v>#VALUE!</v>
      </c>
      <c r="CG40" t="e">
        <f>AND('GA55 Entry'!Y40,"AAAAADqr6FQ=")</f>
        <v>#VALUE!</v>
      </c>
      <c r="CH40" t="e">
        <f>AND('GA55 Entry'!#REF!,"AAAAADqr6FU=")</f>
        <v>#REF!</v>
      </c>
      <c r="CI40" t="e">
        <f>AND('GA55 Entry'!#REF!,"AAAAADqr6FY=")</f>
        <v>#REF!</v>
      </c>
      <c r="CJ40" t="e">
        <f>AND('GA55 Entry'!#REF!,"AAAAADqr6Fc=")</f>
        <v>#REF!</v>
      </c>
      <c r="CK40" t="e">
        <f>AND('GA55 Entry'!#REF!,"AAAAADqr6Fg=")</f>
        <v>#REF!</v>
      </c>
      <c r="CL40" t="e">
        <f>AND('GA55 Entry'!#REF!,"AAAAADqr6Fk=")</f>
        <v>#REF!</v>
      </c>
      <c r="CM40" t="e">
        <f>AND('GA55 Entry'!#REF!,"AAAAADqr6Fo=")</f>
        <v>#REF!</v>
      </c>
      <c r="CN40" t="e">
        <f>AND('GA55 Entry'!#REF!,"AAAAADqr6Fs=")</f>
        <v>#REF!</v>
      </c>
      <c r="CO40" t="e">
        <f>AND('GA55 Entry'!#REF!,"AAAAADqr6Fw=")</f>
        <v>#REF!</v>
      </c>
      <c r="CP40" t="e">
        <f>AND('GA55 Entry'!#REF!,"AAAAADqr6F0=")</f>
        <v>#REF!</v>
      </c>
      <c r="CQ40" t="e">
        <f>AND('GA55 Entry'!Z40,"AAAAADqr6F4=")</f>
        <v>#VALUE!</v>
      </c>
      <c r="CR40" t="e">
        <f>AND('GA55 Entry'!AA40,"AAAAADqr6F8=")</f>
        <v>#VALUE!</v>
      </c>
      <c r="CS40" t="e">
        <f>AND('GA55 Entry'!#REF!,"AAAAADqr6GA=")</f>
        <v>#REF!</v>
      </c>
      <c r="CT40" t="e">
        <f>AND('GA55 Entry'!#REF!,"AAAAADqr6GE=")</f>
        <v>#REF!</v>
      </c>
      <c r="CU40" t="e">
        <f>AND('GA55 Entry'!#REF!,"AAAAADqr6GI=")</f>
        <v>#REF!</v>
      </c>
      <c r="CV40" t="e">
        <f>AND('GA55 Entry'!AB40,"AAAAADqr6GM=")</f>
        <v>#VALUE!</v>
      </c>
      <c r="CW40" t="e">
        <f>AND('GA55 Entry'!AC40,"AAAAADqr6GQ=")</f>
        <v>#VALUE!</v>
      </c>
      <c r="CX40" t="e">
        <f>AND('GA55 Entry'!#REF!,"AAAAADqr6GU=")</f>
        <v>#REF!</v>
      </c>
      <c r="CY40">
        <f>IF('GA55 Entry'!41:41,"AAAAADqr6GY=",0)</f>
        <v>0</v>
      </c>
      <c r="CZ40" t="e">
        <f>AND('GA55 Entry'!B41,"AAAAADqr6Gc=")</f>
        <v>#VALUE!</v>
      </c>
      <c r="DA40" t="e">
        <f>AND('GA55 Entry'!#REF!,"AAAAADqr6Gg=")</f>
        <v>#REF!</v>
      </c>
      <c r="DB40" t="e">
        <f>AND('GA55 Entry'!C41,"AAAAADqr6Gk=")</f>
        <v>#VALUE!</v>
      </c>
      <c r="DC40" t="e">
        <f>AND('GA55 Entry'!#REF!,"AAAAADqr6Go=")</f>
        <v>#REF!</v>
      </c>
      <c r="DD40" t="e">
        <f>AND('GA55 Entry'!#REF!,"AAAAADqr6Gs=")</f>
        <v>#REF!</v>
      </c>
      <c r="DE40" t="e">
        <f>AND('GA55 Entry'!#REF!,"AAAAADqr6Gw=")</f>
        <v>#REF!</v>
      </c>
      <c r="DF40" t="e">
        <f>AND('GA55 Entry'!#REF!,"AAAAADqr6G0=")</f>
        <v>#REF!</v>
      </c>
      <c r="DG40" t="e">
        <f>AND('GA55 Entry'!#REF!,"AAAAADqr6G4=")</f>
        <v>#REF!</v>
      </c>
      <c r="DH40" t="e">
        <f>AND('GA55 Entry'!D41,"AAAAADqr6G8=")</f>
        <v>#VALUE!</v>
      </c>
      <c r="DI40" t="e">
        <f>AND('GA55 Entry'!#REF!,"AAAAADqr6HA=")</f>
        <v>#REF!</v>
      </c>
      <c r="DJ40" t="e">
        <f>AND('GA55 Entry'!E41,"AAAAADqr6HE=")</f>
        <v>#VALUE!</v>
      </c>
      <c r="DK40" t="e">
        <f>AND('GA55 Entry'!F41,"AAAAADqr6HI=")</f>
        <v>#VALUE!</v>
      </c>
      <c r="DL40" t="e">
        <f>AND('GA55 Entry'!G41,"AAAAADqr6HM=")</f>
        <v>#VALUE!</v>
      </c>
      <c r="DM40" t="e">
        <f>AND('GA55 Entry'!H41,"AAAAADqr6HQ=")</f>
        <v>#VALUE!</v>
      </c>
      <c r="DN40" t="e">
        <f>AND('GA55 Entry'!I41,"AAAAADqr6HU=")</f>
        <v>#VALUE!</v>
      </c>
      <c r="DO40" t="e">
        <f>AND('GA55 Entry'!J41,"AAAAADqr6HY=")</f>
        <v>#VALUE!</v>
      </c>
      <c r="DP40" t="e">
        <f>AND('GA55 Entry'!#REF!,"AAAAADqr6Hc=")</f>
        <v>#REF!</v>
      </c>
      <c r="DQ40" t="e">
        <f>AND('GA55 Entry'!K41,"AAAAADqr6Hg=")</f>
        <v>#VALUE!</v>
      </c>
      <c r="DR40" t="e">
        <f>AND('GA55 Entry'!L41,"AAAAADqr6Hk=")</f>
        <v>#VALUE!</v>
      </c>
      <c r="DS40" t="e">
        <f>AND('GA55 Entry'!M41,"AAAAADqr6Ho=")</f>
        <v>#VALUE!</v>
      </c>
      <c r="DT40" t="e">
        <f>AND('GA55 Entry'!N41,"AAAAADqr6Hs=")</f>
        <v>#VALUE!</v>
      </c>
      <c r="DU40" t="e">
        <f>AND('GA55 Entry'!O41,"AAAAADqr6Hw=")</f>
        <v>#VALUE!</v>
      </c>
      <c r="DV40" t="e">
        <f>AND('GA55 Entry'!P41,"AAAAADqr6H0=")</f>
        <v>#VALUE!</v>
      </c>
      <c r="DW40" t="e">
        <f>AND('GA55 Entry'!Q41,"AAAAADqr6H4=")</f>
        <v>#VALUE!</v>
      </c>
      <c r="DX40" t="e">
        <f>AND('GA55 Entry'!S41,"AAAAADqr6H8=")</f>
        <v>#VALUE!</v>
      </c>
      <c r="DY40" t="e">
        <f>AND('GA55 Entry'!#REF!,"AAAAADqr6IA=")</f>
        <v>#REF!</v>
      </c>
      <c r="DZ40" t="e">
        <f>AND('GA55 Entry'!T41,"AAAAADqr6IE=")</f>
        <v>#VALUE!</v>
      </c>
      <c r="EA40" t="e">
        <f>AND('GA55 Entry'!U41,"AAAAADqr6II=")</f>
        <v>#VALUE!</v>
      </c>
      <c r="EB40" t="e">
        <f>AND('GA55 Entry'!V41,"AAAAADqr6IM=")</f>
        <v>#VALUE!</v>
      </c>
      <c r="EC40" t="e">
        <f>AND('GA55 Entry'!#REF!,"AAAAADqr6IQ=")</f>
        <v>#REF!</v>
      </c>
      <c r="ED40" t="e">
        <f>AND('GA55 Entry'!#REF!,"AAAAADqr6IU=")</f>
        <v>#REF!</v>
      </c>
      <c r="EE40" t="e">
        <f>AND('GA55 Entry'!X41,"AAAAADqr6IY=")</f>
        <v>#VALUE!</v>
      </c>
      <c r="EF40" t="e">
        <f>AND('GA55 Entry'!Y41,"AAAAADqr6Ic=")</f>
        <v>#VALUE!</v>
      </c>
      <c r="EG40" t="e">
        <f>AND('GA55 Entry'!#REF!,"AAAAADqr6Ig=")</f>
        <v>#REF!</v>
      </c>
      <c r="EH40" t="e">
        <f>AND('GA55 Entry'!#REF!,"AAAAADqr6Ik=")</f>
        <v>#REF!</v>
      </c>
      <c r="EI40" t="e">
        <f>AND('GA55 Entry'!#REF!,"AAAAADqr6Io=")</f>
        <v>#REF!</v>
      </c>
      <c r="EJ40" t="e">
        <f>AND('GA55 Entry'!#REF!,"AAAAADqr6Is=")</f>
        <v>#REF!</v>
      </c>
      <c r="EK40" t="e">
        <f>AND('GA55 Entry'!#REF!,"AAAAADqr6Iw=")</f>
        <v>#REF!</v>
      </c>
      <c r="EL40" t="e">
        <f>AND('GA55 Entry'!#REF!,"AAAAADqr6I0=")</f>
        <v>#REF!</v>
      </c>
      <c r="EM40" t="e">
        <f>AND('GA55 Entry'!#REF!,"AAAAADqr6I4=")</f>
        <v>#REF!</v>
      </c>
      <c r="EN40" t="e">
        <f>AND('GA55 Entry'!#REF!,"AAAAADqr6I8=")</f>
        <v>#REF!</v>
      </c>
      <c r="EO40" t="e">
        <f>AND('GA55 Entry'!#REF!,"AAAAADqr6JA=")</f>
        <v>#REF!</v>
      </c>
      <c r="EP40" t="e">
        <f>AND('GA55 Entry'!Z41,"AAAAADqr6JE=")</f>
        <v>#VALUE!</v>
      </c>
      <c r="EQ40" t="e">
        <f>AND('GA55 Entry'!AA41,"AAAAADqr6JI=")</f>
        <v>#VALUE!</v>
      </c>
      <c r="ER40" t="e">
        <f>AND('GA55 Entry'!#REF!,"AAAAADqr6JM=")</f>
        <v>#REF!</v>
      </c>
      <c r="ES40" t="e">
        <f>AND('GA55 Entry'!#REF!,"AAAAADqr6JQ=")</f>
        <v>#REF!</v>
      </c>
      <c r="ET40" t="e">
        <f>AND('GA55 Entry'!#REF!,"AAAAADqr6JU=")</f>
        <v>#REF!</v>
      </c>
      <c r="EU40" t="e">
        <f>AND('GA55 Entry'!AB41,"AAAAADqr6JY=")</f>
        <v>#VALUE!</v>
      </c>
      <c r="EV40" t="e">
        <f>AND('GA55 Entry'!AC41,"AAAAADqr6Jc=")</f>
        <v>#VALUE!</v>
      </c>
      <c r="EW40" t="e">
        <f>AND('GA55 Entry'!#REF!,"AAAAADqr6Jg=")</f>
        <v>#REF!</v>
      </c>
      <c r="EX40">
        <f>IF('GA55 Entry'!42:42,"AAAAADqr6Jk=",0)</f>
        <v>0</v>
      </c>
      <c r="EY40" t="e">
        <f>AND('GA55 Entry'!B42,"AAAAADqr6Jo=")</f>
        <v>#VALUE!</v>
      </c>
      <c r="EZ40" t="e">
        <f>AND('GA55 Entry'!#REF!,"AAAAADqr6Js=")</f>
        <v>#REF!</v>
      </c>
      <c r="FA40" t="e">
        <f>AND('GA55 Entry'!C42,"AAAAADqr6Jw=")</f>
        <v>#VALUE!</v>
      </c>
      <c r="FB40" t="e">
        <f>AND('GA55 Entry'!#REF!,"AAAAADqr6J0=")</f>
        <v>#REF!</v>
      </c>
      <c r="FC40" t="e">
        <f>AND('GA55 Entry'!#REF!,"AAAAADqr6J4=")</f>
        <v>#REF!</v>
      </c>
      <c r="FD40" t="e">
        <f>AND('GA55 Entry'!#REF!,"AAAAADqr6J8=")</f>
        <v>#REF!</v>
      </c>
      <c r="FE40" t="e">
        <f>AND('GA55 Entry'!#REF!,"AAAAADqr6KA=")</f>
        <v>#REF!</v>
      </c>
      <c r="FF40" t="e">
        <f>AND('GA55 Entry'!#REF!,"AAAAADqr6KE=")</f>
        <v>#REF!</v>
      </c>
      <c r="FG40" t="e">
        <f>AND('GA55 Entry'!D42,"AAAAADqr6KI=")</f>
        <v>#VALUE!</v>
      </c>
      <c r="FH40" t="e">
        <f>AND('GA55 Entry'!#REF!,"AAAAADqr6KM=")</f>
        <v>#REF!</v>
      </c>
      <c r="FI40" t="e">
        <f>AND('GA55 Entry'!E42,"AAAAADqr6KQ=")</f>
        <v>#VALUE!</v>
      </c>
      <c r="FJ40" t="e">
        <f>AND('GA55 Entry'!F42,"AAAAADqr6KU=")</f>
        <v>#VALUE!</v>
      </c>
      <c r="FK40" t="e">
        <f>AND('GA55 Entry'!G42,"AAAAADqr6KY=")</f>
        <v>#VALUE!</v>
      </c>
      <c r="FL40" t="e">
        <f>AND('GA55 Entry'!H42,"AAAAADqr6Kc=")</f>
        <v>#VALUE!</v>
      </c>
      <c r="FM40" t="e">
        <f>AND('GA55 Entry'!I42,"AAAAADqr6Kg=")</f>
        <v>#VALUE!</v>
      </c>
      <c r="FN40" t="e">
        <f>AND('GA55 Entry'!J42,"AAAAADqr6Kk=")</f>
        <v>#VALUE!</v>
      </c>
      <c r="FO40" t="e">
        <f>AND('GA55 Entry'!#REF!,"AAAAADqr6Ko=")</f>
        <v>#REF!</v>
      </c>
      <c r="FP40" t="e">
        <f>AND('GA55 Entry'!K42,"AAAAADqr6Ks=")</f>
        <v>#VALUE!</v>
      </c>
      <c r="FQ40" t="e">
        <f>AND('GA55 Entry'!L42,"AAAAADqr6Kw=")</f>
        <v>#VALUE!</v>
      </c>
      <c r="FR40" t="e">
        <f>AND('GA55 Entry'!M42,"AAAAADqr6K0=")</f>
        <v>#VALUE!</v>
      </c>
      <c r="FS40" t="e">
        <f>AND('GA55 Entry'!N42,"AAAAADqr6K4=")</f>
        <v>#VALUE!</v>
      </c>
      <c r="FT40" t="e">
        <f>AND('GA55 Entry'!O42,"AAAAADqr6K8=")</f>
        <v>#VALUE!</v>
      </c>
      <c r="FU40" t="e">
        <f>AND('GA55 Entry'!P42,"AAAAADqr6LA=")</f>
        <v>#VALUE!</v>
      </c>
      <c r="FV40" t="e">
        <f>AND('GA55 Entry'!Q42,"AAAAADqr6LE=")</f>
        <v>#VALUE!</v>
      </c>
      <c r="FW40" t="e">
        <f>AND('GA55 Entry'!S42,"AAAAADqr6LI=")</f>
        <v>#VALUE!</v>
      </c>
      <c r="FX40" t="e">
        <f>AND('GA55 Entry'!#REF!,"AAAAADqr6LM=")</f>
        <v>#REF!</v>
      </c>
      <c r="FY40" t="e">
        <f>AND('GA55 Entry'!T42,"AAAAADqr6LQ=")</f>
        <v>#VALUE!</v>
      </c>
      <c r="FZ40" t="e">
        <f>AND('GA55 Entry'!U42,"AAAAADqr6LU=")</f>
        <v>#VALUE!</v>
      </c>
      <c r="GA40" t="e">
        <f>AND('GA55 Entry'!V42,"AAAAADqr6LY=")</f>
        <v>#VALUE!</v>
      </c>
      <c r="GB40" t="e">
        <f>AND('GA55 Entry'!#REF!,"AAAAADqr6Lc=")</f>
        <v>#REF!</v>
      </c>
      <c r="GC40" t="e">
        <f>AND('GA55 Entry'!#REF!,"AAAAADqr6Lg=")</f>
        <v>#REF!</v>
      </c>
      <c r="GD40" t="e">
        <f>AND('GA55 Entry'!X42,"AAAAADqr6Lk=")</f>
        <v>#VALUE!</v>
      </c>
      <c r="GE40" t="e">
        <f>AND('GA55 Entry'!Y42,"AAAAADqr6Lo=")</f>
        <v>#VALUE!</v>
      </c>
      <c r="GF40" t="e">
        <f>AND('GA55 Entry'!#REF!,"AAAAADqr6Ls=")</f>
        <v>#REF!</v>
      </c>
      <c r="GG40" t="e">
        <f>AND('GA55 Entry'!#REF!,"AAAAADqr6Lw=")</f>
        <v>#REF!</v>
      </c>
      <c r="GH40" t="e">
        <f>AND('GA55 Entry'!#REF!,"AAAAADqr6L0=")</f>
        <v>#REF!</v>
      </c>
      <c r="GI40" t="e">
        <f>AND('GA55 Entry'!#REF!,"AAAAADqr6L4=")</f>
        <v>#REF!</v>
      </c>
      <c r="GJ40" t="e">
        <f>AND('GA55 Entry'!#REF!,"AAAAADqr6L8=")</f>
        <v>#REF!</v>
      </c>
      <c r="GK40" t="e">
        <f>AND('GA55 Entry'!#REF!,"AAAAADqr6MA=")</f>
        <v>#REF!</v>
      </c>
      <c r="GL40" t="e">
        <f>AND('GA55 Entry'!#REF!,"AAAAADqr6ME=")</f>
        <v>#REF!</v>
      </c>
      <c r="GM40" t="e">
        <f>AND('GA55 Entry'!#REF!,"AAAAADqr6MI=")</f>
        <v>#REF!</v>
      </c>
      <c r="GN40" t="e">
        <f>AND('GA55 Entry'!#REF!,"AAAAADqr6MM=")</f>
        <v>#REF!</v>
      </c>
      <c r="GO40" t="e">
        <f>AND('GA55 Entry'!Z42,"AAAAADqr6MQ=")</f>
        <v>#VALUE!</v>
      </c>
      <c r="GP40" t="e">
        <f>AND('GA55 Entry'!AA42,"AAAAADqr6MU=")</f>
        <v>#VALUE!</v>
      </c>
      <c r="GQ40" t="e">
        <f>AND('GA55 Entry'!#REF!,"AAAAADqr6MY=")</f>
        <v>#REF!</v>
      </c>
      <c r="GR40" t="e">
        <f>AND('GA55 Entry'!#REF!,"AAAAADqr6Mc=")</f>
        <v>#REF!</v>
      </c>
      <c r="GS40" t="e">
        <f>AND('GA55 Entry'!#REF!,"AAAAADqr6Mg=")</f>
        <v>#REF!</v>
      </c>
      <c r="GT40" t="e">
        <f>AND('GA55 Entry'!AB42,"AAAAADqr6Mk=")</f>
        <v>#VALUE!</v>
      </c>
      <c r="GU40" t="e">
        <f>AND('GA55 Entry'!AC42,"AAAAADqr6Mo=")</f>
        <v>#VALUE!</v>
      </c>
      <c r="GV40" t="e">
        <f>AND('GA55 Entry'!#REF!,"AAAAADqr6Ms=")</f>
        <v>#REF!</v>
      </c>
      <c r="GW40">
        <f>IF('GA55 Entry'!43:43,"AAAAADqr6Mw=",0)</f>
        <v>0</v>
      </c>
      <c r="GX40" t="e">
        <f>AND('GA55 Entry'!B43,"AAAAADqr6M0=")</f>
        <v>#VALUE!</v>
      </c>
      <c r="GY40" t="e">
        <f>AND('GA55 Entry'!#REF!,"AAAAADqr6M4=")</f>
        <v>#REF!</v>
      </c>
      <c r="GZ40" t="e">
        <f>AND('GA55 Entry'!C43,"AAAAADqr6M8=")</f>
        <v>#VALUE!</v>
      </c>
      <c r="HA40" t="e">
        <f>AND('GA55 Entry'!#REF!,"AAAAADqr6NA=")</f>
        <v>#REF!</v>
      </c>
      <c r="HB40" t="e">
        <f>AND('GA55 Entry'!#REF!,"AAAAADqr6NE=")</f>
        <v>#REF!</v>
      </c>
      <c r="HC40" t="e">
        <f>AND('GA55 Entry'!#REF!,"AAAAADqr6NI=")</f>
        <v>#REF!</v>
      </c>
      <c r="HD40" t="e">
        <f>AND('GA55 Entry'!#REF!,"AAAAADqr6NM=")</f>
        <v>#REF!</v>
      </c>
      <c r="HE40" t="e">
        <f>AND('GA55 Entry'!#REF!,"AAAAADqr6NQ=")</f>
        <v>#REF!</v>
      </c>
      <c r="HF40" t="e">
        <f>AND('GA55 Entry'!D43,"AAAAADqr6NU=")</f>
        <v>#VALUE!</v>
      </c>
      <c r="HG40" t="e">
        <f>AND('GA55 Entry'!#REF!,"AAAAADqr6NY=")</f>
        <v>#REF!</v>
      </c>
      <c r="HH40" t="e">
        <f>AND('GA55 Entry'!E43,"AAAAADqr6Nc=")</f>
        <v>#VALUE!</v>
      </c>
      <c r="HI40" t="e">
        <f>AND('GA55 Entry'!F43,"AAAAADqr6Ng=")</f>
        <v>#VALUE!</v>
      </c>
      <c r="HJ40" t="e">
        <f>AND('GA55 Entry'!G43,"AAAAADqr6Nk=")</f>
        <v>#VALUE!</v>
      </c>
      <c r="HK40" t="e">
        <f>AND('GA55 Entry'!H43,"AAAAADqr6No=")</f>
        <v>#VALUE!</v>
      </c>
      <c r="HL40" t="e">
        <f>AND('GA55 Entry'!I43,"AAAAADqr6Ns=")</f>
        <v>#VALUE!</v>
      </c>
      <c r="HM40" t="e">
        <f>AND('GA55 Entry'!J43,"AAAAADqr6Nw=")</f>
        <v>#VALUE!</v>
      </c>
      <c r="HN40" t="e">
        <f>AND('GA55 Entry'!#REF!,"AAAAADqr6N0=")</f>
        <v>#REF!</v>
      </c>
      <c r="HO40" t="e">
        <f>AND('GA55 Entry'!K43,"AAAAADqr6N4=")</f>
        <v>#VALUE!</v>
      </c>
      <c r="HP40" t="e">
        <f>AND('GA55 Entry'!L43,"AAAAADqr6N8=")</f>
        <v>#VALUE!</v>
      </c>
      <c r="HQ40" t="e">
        <f>AND('GA55 Entry'!M43,"AAAAADqr6OA=")</f>
        <v>#VALUE!</v>
      </c>
      <c r="HR40" t="e">
        <f>AND('GA55 Entry'!N43,"AAAAADqr6OE=")</f>
        <v>#VALUE!</v>
      </c>
      <c r="HS40" t="e">
        <f>AND('GA55 Entry'!O43,"AAAAADqr6OI=")</f>
        <v>#VALUE!</v>
      </c>
      <c r="HT40" t="e">
        <f>AND('GA55 Entry'!P43,"AAAAADqr6OM=")</f>
        <v>#VALUE!</v>
      </c>
      <c r="HU40" t="e">
        <f>AND('GA55 Entry'!Q43,"AAAAADqr6OQ=")</f>
        <v>#VALUE!</v>
      </c>
      <c r="HV40" t="e">
        <f>AND('GA55 Entry'!S43,"AAAAADqr6OU=")</f>
        <v>#VALUE!</v>
      </c>
      <c r="HW40" t="e">
        <f>AND('GA55 Entry'!#REF!,"AAAAADqr6OY=")</f>
        <v>#REF!</v>
      </c>
      <c r="HX40" t="e">
        <f>AND('GA55 Entry'!T43,"AAAAADqr6Oc=")</f>
        <v>#VALUE!</v>
      </c>
      <c r="HY40" t="e">
        <f>AND('GA55 Entry'!U43,"AAAAADqr6Og=")</f>
        <v>#VALUE!</v>
      </c>
      <c r="HZ40" t="e">
        <f>AND('GA55 Entry'!V43,"AAAAADqr6Ok=")</f>
        <v>#VALUE!</v>
      </c>
      <c r="IA40" t="e">
        <f>AND('GA55 Entry'!#REF!,"AAAAADqr6Oo=")</f>
        <v>#REF!</v>
      </c>
      <c r="IB40" t="e">
        <f>AND('GA55 Entry'!#REF!,"AAAAADqr6Os=")</f>
        <v>#REF!</v>
      </c>
      <c r="IC40" t="e">
        <f>AND('GA55 Entry'!X43,"AAAAADqr6Ow=")</f>
        <v>#VALUE!</v>
      </c>
      <c r="ID40" t="e">
        <f>AND('GA55 Entry'!Y43,"AAAAADqr6O0=")</f>
        <v>#VALUE!</v>
      </c>
      <c r="IE40" t="e">
        <f>AND('GA55 Entry'!#REF!,"AAAAADqr6O4=")</f>
        <v>#REF!</v>
      </c>
      <c r="IF40" t="e">
        <f>AND('GA55 Entry'!#REF!,"AAAAADqr6O8=")</f>
        <v>#REF!</v>
      </c>
      <c r="IG40" t="e">
        <f>AND('GA55 Entry'!#REF!,"AAAAADqr6PA=")</f>
        <v>#REF!</v>
      </c>
      <c r="IH40" t="e">
        <f>AND('GA55 Entry'!#REF!,"AAAAADqr6PE=")</f>
        <v>#REF!</v>
      </c>
      <c r="II40" t="e">
        <f>AND('GA55 Entry'!#REF!,"AAAAADqr6PI=")</f>
        <v>#REF!</v>
      </c>
      <c r="IJ40" t="e">
        <f>AND('GA55 Entry'!#REF!,"AAAAADqr6PM=")</f>
        <v>#REF!</v>
      </c>
      <c r="IK40" t="e">
        <f>AND('GA55 Entry'!#REF!,"AAAAADqr6PQ=")</f>
        <v>#REF!</v>
      </c>
      <c r="IL40" t="e">
        <f>AND('GA55 Entry'!#REF!,"AAAAADqr6PU=")</f>
        <v>#REF!</v>
      </c>
      <c r="IM40" t="e">
        <f>AND('GA55 Entry'!#REF!,"AAAAADqr6PY=")</f>
        <v>#REF!</v>
      </c>
      <c r="IN40" t="e">
        <f>AND('GA55 Entry'!Z43,"AAAAADqr6Pc=")</f>
        <v>#VALUE!</v>
      </c>
      <c r="IO40" t="e">
        <f>AND('GA55 Entry'!AA43,"AAAAADqr6Pg=")</f>
        <v>#VALUE!</v>
      </c>
      <c r="IP40" t="e">
        <f>AND('GA55 Entry'!#REF!,"AAAAADqr6Pk=")</f>
        <v>#REF!</v>
      </c>
      <c r="IQ40" t="e">
        <f>AND('GA55 Entry'!#REF!,"AAAAADqr6Po=")</f>
        <v>#REF!</v>
      </c>
      <c r="IR40" t="e">
        <f>AND('GA55 Entry'!#REF!,"AAAAADqr6Ps=")</f>
        <v>#REF!</v>
      </c>
      <c r="IS40" t="e">
        <f>AND('GA55 Entry'!AB43,"AAAAADqr6Pw=")</f>
        <v>#VALUE!</v>
      </c>
      <c r="IT40" t="e">
        <f>AND('GA55 Entry'!AC43,"AAAAADqr6P0=")</f>
        <v>#VALUE!</v>
      </c>
      <c r="IU40" t="e">
        <f>AND('GA55 Entry'!#REF!,"AAAAADqr6P4=")</f>
        <v>#REF!</v>
      </c>
      <c r="IV40" t="e">
        <f>IF('GA55 Entry'!#REF!,"AAAAADqr6P8=",0)</f>
        <v>#REF!</v>
      </c>
    </row>
    <row r="41" spans="1:256">
      <c r="A41" t="e">
        <f>AND('GA55 Entry'!#REF!,"AAAAAH3/+wA=")</f>
        <v>#REF!</v>
      </c>
      <c r="B41" t="e">
        <f>AND('GA55 Entry'!#REF!,"AAAAAH3/+wE=")</f>
        <v>#REF!</v>
      </c>
      <c r="C41" t="e">
        <f>AND('GA55 Entry'!#REF!,"AAAAAH3/+wI=")</f>
        <v>#REF!</v>
      </c>
      <c r="D41" t="e">
        <f>AND('GA55 Entry'!#REF!,"AAAAAH3/+wM=")</f>
        <v>#REF!</v>
      </c>
      <c r="E41" t="e">
        <f>AND('GA55 Entry'!#REF!,"AAAAAH3/+wQ=")</f>
        <v>#REF!</v>
      </c>
      <c r="F41" t="e">
        <f>AND('GA55 Entry'!#REF!,"AAAAAH3/+wU=")</f>
        <v>#REF!</v>
      </c>
      <c r="G41" t="e">
        <f>AND('GA55 Entry'!#REF!,"AAAAAH3/+wY=")</f>
        <v>#REF!</v>
      </c>
      <c r="H41" t="e">
        <f>AND('GA55 Entry'!#REF!,"AAAAAH3/+wc=")</f>
        <v>#REF!</v>
      </c>
      <c r="I41" t="e">
        <f>AND('GA55 Entry'!#REF!,"AAAAAH3/+wg=")</f>
        <v>#REF!</v>
      </c>
      <c r="J41" t="e">
        <f>AND('GA55 Entry'!#REF!,"AAAAAH3/+wk=")</f>
        <v>#REF!</v>
      </c>
      <c r="K41" t="e">
        <f>AND('GA55 Entry'!#REF!,"AAAAAH3/+wo=")</f>
        <v>#REF!</v>
      </c>
      <c r="L41" t="e">
        <f>AND('GA55 Entry'!#REF!,"AAAAAH3/+ws=")</f>
        <v>#REF!</v>
      </c>
      <c r="M41" t="e">
        <f>AND('GA55 Entry'!#REF!,"AAAAAH3/+ww=")</f>
        <v>#REF!</v>
      </c>
      <c r="N41" t="e">
        <f>AND('GA55 Entry'!#REF!,"AAAAAH3/+w0=")</f>
        <v>#REF!</v>
      </c>
      <c r="O41" t="e">
        <f>AND('GA55 Entry'!#REF!,"AAAAAH3/+w4=")</f>
        <v>#REF!</v>
      </c>
      <c r="P41" t="e">
        <f>AND('GA55 Entry'!#REF!,"AAAAAH3/+w8=")</f>
        <v>#REF!</v>
      </c>
      <c r="Q41" t="e">
        <f>AND('GA55 Entry'!#REF!,"AAAAAH3/+xA=")</f>
        <v>#REF!</v>
      </c>
      <c r="R41" t="e">
        <f>AND('GA55 Entry'!#REF!,"AAAAAH3/+xE=")</f>
        <v>#REF!</v>
      </c>
      <c r="S41" t="e">
        <f>AND('GA55 Entry'!#REF!,"AAAAAH3/+xI=")</f>
        <v>#REF!</v>
      </c>
      <c r="T41" t="e">
        <f>AND('GA55 Entry'!#REF!,"AAAAAH3/+xM=")</f>
        <v>#REF!</v>
      </c>
      <c r="U41" t="e">
        <f>AND('GA55 Entry'!#REF!,"AAAAAH3/+xQ=")</f>
        <v>#REF!</v>
      </c>
      <c r="V41" t="e">
        <f>AND('GA55 Entry'!#REF!,"AAAAAH3/+xU=")</f>
        <v>#REF!</v>
      </c>
      <c r="W41" t="e">
        <f>AND('GA55 Entry'!#REF!,"AAAAAH3/+xY=")</f>
        <v>#REF!</v>
      </c>
      <c r="X41" t="e">
        <f>AND('GA55 Entry'!#REF!,"AAAAAH3/+xc=")</f>
        <v>#REF!</v>
      </c>
      <c r="Y41" t="e">
        <f>AND('GA55 Entry'!#REF!,"AAAAAH3/+xg=")</f>
        <v>#REF!</v>
      </c>
      <c r="Z41" t="e">
        <f>AND('GA55 Entry'!#REF!,"AAAAAH3/+xk=")</f>
        <v>#REF!</v>
      </c>
      <c r="AA41" t="e">
        <f>AND('GA55 Entry'!#REF!,"AAAAAH3/+xo=")</f>
        <v>#REF!</v>
      </c>
      <c r="AB41" t="e">
        <f>AND('GA55 Entry'!#REF!,"AAAAAH3/+xs=")</f>
        <v>#REF!</v>
      </c>
      <c r="AC41" t="e">
        <f>AND('GA55 Entry'!#REF!,"AAAAAH3/+xw=")</f>
        <v>#REF!</v>
      </c>
      <c r="AD41" t="e">
        <f>AND('GA55 Entry'!#REF!,"AAAAAH3/+x0=")</f>
        <v>#REF!</v>
      </c>
      <c r="AE41" t="e">
        <f>AND('GA55 Entry'!#REF!,"AAAAAH3/+x4=")</f>
        <v>#REF!</v>
      </c>
      <c r="AF41" t="e">
        <f>AND('GA55 Entry'!#REF!,"AAAAAH3/+x8=")</f>
        <v>#REF!</v>
      </c>
      <c r="AG41" t="e">
        <f>AND('GA55 Entry'!#REF!,"AAAAAH3/+yA=")</f>
        <v>#REF!</v>
      </c>
      <c r="AH41" t="e">
        <f>AND('GA55 Entry'!#REF!,"AAAAAH3/+yE=")</f>
        <v>#REF!</v>
      </c>
      <c r="AI41" t="e">
        <f>AND('GA55 Entry'!#REF!,"AAAAAH3/+yI=")</f>
        <v>#REF!</v>
      </c>
      <c r="AJ41" t="e">
        <f>AND('GA55 Entry'!#REF!,"AAAAAH3/+yM=")</f>
        <v>#REF!</v>
      </c>
      <c r="AK41" t="e">
        <f>AND('GA55 Entry'!#REF!,"AAAAAH3/+yQ=")</f>
        <v>#REF!</v>
      </c>
      <c r="AL41" t="e">
        <f>AND('GA55 Entry'!#REF!,"AAAAAH3/+yU=")</f>
        <v>#REF!</v>
      </c>
      <c r="AM41" t="e">
        <f>AND('GA55 Entry'!#REF!,"AAAAAH3/+yY=")</f>
        <v>#REF!</v>
      </c>
      <c r="AN41" t="e">
        <f>AND('GA55 Entry'!#REF!,"AAAAAH3/+yc=")</f>
        <v>#REF!</v>
      </c>
      <c r="AO41" t="e">
        <f>AND('GA55 Entry'!#REF!,"AAAAAH3/+yg=")</f>
        <v>#REF!</v>
      </c>
      <c r="AP41" t="e">
        <f>AND('GA55 Entry'!#REF!,"AAAAAH3/+yk=")</f>
        <v>#REF!</v>
      </c>
      <c r="AQ41" t="e">
        <f>AND('GA55 Entry'!#REF!,"AAAAAH3/+yo=")</f>
        <v>#REF!</v>
      </c>
      <c r="AR41" t="e">
        <f>AND('GA55 Entry'!#REF!,"AAAAAH3/+ys=")</f>
        <v>#REF!</v>
      </c>
      <c r="AS41" t="e">
        <f>AND('GA55 Entry'!#REF!,"AAAAAH3/+yw=")</f>
        <v>#REF!</v>
      </c>
      <c r="AT41" t="e">
        <f>AND('GA55 Entry'!#REF!,"AAAAAH3/+y0=")</f>
        <v>#REF!</v>
      </c>
      <c r="AU41" t="e">
        <f>AND('GA55 Entry'!#REF!,"AAAAAH3/+y4=")</f>
        <v>#REF!</v>
      </c>
      <c r="AV41" t="e">
        <f>AND('GA55 Entry'!#REF!,"AAAAAH3/+y8=")</f>
        <v>#REF!</v>
      </c>
      <c r="AW41" t="e">
        <f>AND('GA55 Entry'!#REF!,"AAAAAH3/+zA=")</f>
        <v>#REF!</v>
      </c>
      <c r="AX41" t="e">
        <f>AND('GA55 Entry'!#REF!,"AAAAAH3/+zE=")</f>
        <v>#REF!</v>
      </c>
      <c r="AY41" t="e">
        <f>IF('GA55 Entry'!#REF!,"AAAAAH3/+zI=",0)</f>
        <v>#REF!</v>
      </c>
      <c r="AZ41" t="e">
        <f>AND('GA55 Entry'!#REF!,"AAAAAH3/+zM=")</f>
        <v>#REF!</v>
      </c>
      <c r="BA41" t="e">
        <f>AND('GA55 Entry'!#REF!,"AAAAAH3/+zQ=")</f>
        <v>#REF!</v>
      </c>
      <c r="BB41" t="e">
        <f>AND('GA55 Entry'!#REF!,"AAAAAH3/+zU=")</f>
        <v>#REF!</v>
      </c>
      <c r="BC41" t="e">
        <f>AND('GA55 Entry'!#REF!,"AAAAAH3/+zY=")</f>
        <v>#REF!</v>
      </c>
      <c r="BD41" t="e">
        <f>AND('GA55 Entry'!#REF!,"AAAAAH3/+zc=")</f>
        <v>#REF!</v>
      </c>
      <c r="BE41" t="e">
        <f>AND('GA55 Entry'!#REF!,"AAAAAH3/+zg=")</f>
        <v>#REF!</v>
      </c>
      <c r="BF41" t="e">
        <f>AND('GA55 Entry'!#REF!,"AAAAAH3/+zk=")</f>
        <v>#REF!</v>
      </c>
      <c r="BG41" t="e">
        <f>AND('GA55 Entry'!#REF!,"AAAAAH3/+zo=")</f>
        <v>#REF!</v>
      </c>
      <c r="BH41" t="e">
        <f>AND('GA55 Entry'!#REF!,"AAAAAH3/+zs=")</f>
        <v>#REF!</v>
      </c>
      <c r="BI41" t="e">
        <f>AND('GA55 Entry'!#REF!,"AAAAAH3/+zw=")</f>
        <v>#REF!</v>
      </c>
      <c r="BJ41" t="e">
        <f>AND('GA55 Entry'!#REF!,"AAAAAH3/+z0=")</f>
        <v>#REF!</v>
      </c>
      <c r="BK41" t="e">
        <f>AND('GA55 Entry'!#REF!,"AAAAAH3/+z4=")</f>
        <v>#REF!</v>
      </c>
      <c r="BL41" t="e">
        <f>AND('GA55 Entry'!#REF!,"AAAAAH3/+z8=")</f>
        <v>#REF!</v>
      </c>
      <c r="BM41" t="e">
        <f>AND('GA55 Entry'!#REF!,"AAAAAH3/+0A=")</f>
        <v>#REF!</v>
      </c>
      <c r="BN41" t="e">
        <f>AND('GA55 Entry'!#REF!,"AAAAAH3/+0E=")</f>
        <v>#REF!</v>
      </c>
      <c r="BO41" t="e">
        <f>AND('GA55 Entry'!#REF!,"AAAAAH3/+0I=")</f>
        <v>#REF!</v>
      </c>
      <c r="BP41" t="e">
        <f>AND('GA55 Entry'!#REF!,"AAAAAH3/+0M=")</f>
        <v>#REF!</v>
      </c>
      <c r="BQ41" t="e">
        <f>AND('GA55 Entry'!#REF!,"AAAAAH3/+0Q=")</f>
        <v>#REF!</v>
      </c>
      <c r="BR41" t="e">
        <f>AND('GA55 Entry'!#REF!,"AAAAAH3/+0U=")</f>
        <v>#REF!</v>
      </c>
      <c r="BS41" t="e">
        <f>AND('GA55 Entry'!#REF!,"AAAAAH3/+0Y=")</f>
        <v>#REF!</v>
      </c>
      <c r="BT41" t="e">
        <f>AND('GA55 Entry'!#REF!,"AAAAAH3/+0c=")</f>
        <v>#REF!</v>
      </c>
      <c r="BU41" t="e">
        <f>AND('GA55 Entry'!#REF!,"AAAAAH3/+0g=")</f>
        <v>#REF!</v>
      </c>
      <c r="BV41" t="e">
        <f>AND('GA55 Entry'!#REF!,"AAAAAH3/+0k=")</f>
        <v>#REF!</v>
      </c>
      <c r="BW41" t="e">
        <f>AND('GA55 Entry'!#REF!,"AAAAAH3/+0o=")</f>
        <v>#REF!</v>
      </c>
      <c r="BX41" t="e">
        <f>AND('GA55 Entry'!#REF!,"AAAAAH3/+0s=")</f>
        <v>#REF!</v>
      </c>
      <c r="BY41" t="e">
        <f>AND('GA55 Entry'!#REF!,"AAAAAH3/+0w=")</f>
        <v>#REF!</v>
      </c>
      <c r="BZ41" t="e">
        <f>AND('GA55 Entry'!#REF!,"AAAAAH3/+00=")</f>
        <v>#REF!</v>
      </c>
      <c r="CA41" t="e">
        <f>AND('GA55 Entry'!#REF!,"AAAAAH3/+04=")</f>
        <v>#REF!</v>
      </c>
      <c r="CB41" t="e">
        <f>AND('GA55 Entry'!#REF!,"AAAAAH3/+08=")</f>
        <v>#REF!</v>
      </c>
      <c r="CC41" t="e">
        <f>AND('GA55 Entry'!#REF!,"AAAAAH3/+1A=")</f>
        <v>#REF!</v>
      </c>
      <c r="CD41" t="e">
        <f>AND('GA55 Entry'!#REF!,"AAAAAH3/+1E=")</f>
        <v>#REF!</v>
      </c>
      <c r="CE41" t="e">
        <f>AND('GA55 Entry'!#REF!,"AAAAAH3/+1I=")</f>
        <v>#REF!</v>
      </c>
      <c r="CF41" t="e">
        <f>AND('GA55 Entry'!#REF!,"AAAAAH3/+1M=")</f>
        <v>#REF!</v>
      </c>
      <c r="CG41" t="e">
        <f>AND('GA55 Entry'!#REF!,"AAAAAH3/+1Q=")</f>
        <v>#REF!</v>
      </c>
      <c r="CH41" t="e">
        <f>AND('GA55 Entry'!#REF!,"AAAAAH3/+1U=")</f>
        <v>#REF!</v>
      </c>
      <c r="CI41" t="e">
        <f>AND('GA55 Entry'!#REF!,"AAAAAH3/+1Y=")</f>
        <v>#REF!</v>
      </c>
      <c r="CJ41" t="e">
        <f>AND('GA55 Entry'!#REF!,"AAAAAH3/+1c=")</f>
        <v>#REF!</v>
      </c>
      <c r="CK41" t="e">
        <f>AND('GA55 Entry'!#REF!,"AAAAAH3/+1g=")</f>
        <v>#REF!</v>
      </c>
      <c r="CL41" t="e">
        <f>AND('GA55 Entry'!#REF!,"AAAAAH3/+1k=")</f>
        <v>#REF!</v>
      </c>
      <c r="CM41" t="e">
        <f>AND('GA55 Entry'!#REF!,"AAAAAH3/+1o=")</f>
        <v>#REF!</v>
      </c>
      <c r="CN41" t="e">
        <f>AND('GA55 Entry'!#REF!,"AAAAAH3/+1s=")</f>
        <v>#REF!</v>
      </c>
      <c r="CO41" t="e">
        <f>AND('GA55 Entry'!#REF!,"AAAAAH3/+1w=")</f>
        <v>#REF!</v>
      </c>
      <c r="CP41" t="e">
        <f>AND('GA55 Entry'!#REF!,"AAAAAH3/+10=")</f>
        <v>#REF!</v>
      </c>
      <c r="CQ41" t="e">
        <f>AND('GA55 Entry'!#REF!,"AAAAAH3/+14=")</f>
        <v>#REF!</v>
      </c>
      <c r="CR41" t="e">
        <f>AND('GA55 Entry'!#REF!,"AAAAAH3/+18=")</f>
        <v>#REF!</v>
      </c>
      <c r="CS41" t="e">
        <f>AND('GA55 Entry'!#REF!,"AAAAAH3/+2A=")</f>
        <v>#REF!</v>
      </c>
      <c r="CT41" t="e">
        <f>AND('GA55 Entry'!#REF!,"AAAAAH3/+2E=")</f>
        <v>#REF!</v>
      </c>
      <c r="CU41" t="e">
        <f>AND('GA55 Entry'!#REF!,"AAAAAH3/+2I=")</f>
        <v>#REF!</v>
      </c>
      <c r="CV41" t="e">
        <f>AND('GA55 Entry'!#REF!,"AAAAAH3/+2M=")</f>
        <v>#REF!</v>
      </c>
      <c r="CW41" t="e">
        <f>AND('GA55 Entry'!#REF!,"AAAAAH3/+2Q=")</f>
        <v>#REF!</v>
      </c>
      <c r="CX41" t="e">
        <f>IF('GA55 Entry'!#REF!,"AAAAAH3/+2U=",0)</f>
        <v>#REF!</v>
      </c>
      <c r="CY41" t="e">
        <f>AND('GA55 Entry'!#REF!,"AAAAAH3/+2Y=")</f>
        <v>#REF!</v>
      </c>
      <c r="CZ41" t="e">
        <f>AND('GA55 Entry'!#REF!,"AAAAAH3/+2c=")</f>
        <v>#REF!</v>
      </c>
      <c r="DA41" t="e">
        <f>AND('GA55 Entry'!#REF!,"AAAAAH3/+2g=")</f>
        <v>#REF!</v>
      </c>
      <c r="DB41" t="e">
        <f>AND('GA55 Entry'!#REF!,"AAAAAH3/+2k=")</f>
        <v>#REF!</v>
      </c>
      <c r="DC41" t="e">
        <f>AND('GA55 Entry'!#REF!,"AAAAAH3/+2o=")</f>
        <v>#REF!</v>
      </c>
      <c r="DD41" t="e">
        <f>AND('GA55 Entry'!#REF!,"AAAAAH3/+2s=")</f>
        <v>#REF!</v>
      </c>
      <c r="DE41" t="e">
        <f>AND('GA55 Entry'!#REF!,"AAAAAH3/+2w=")</f>
        <v>#REF!</v>
      </c>
      <c r="DF41" t="e">
        <f>AND('GA55 Entry'!#REF!,"AAAAAH3/+20=")</f>
        <v>#REF!</v>
      </c>
      <c r="DG41" t="e">
        <f>AND('GA55 Entry'!#REF!,"AAAAAH3/+24=")</f>
        <v>#REF!</v>
      </c>
      <c r="DH41" t="e">
        <f>AND('GA55 Entry'!#REF!,"AAAAAH3/+28=")</f>
        <v>#REF!</v>
      </c>
      <c r="DI41" t="e">
        <f>AND('GA55 Entry'!#REF!,"AAAAAH3/+3A=")</f>
        <v>#REF!</v>
      </c>
      <c r="DJ41" t="e">
        <f>AND('GA55 Entry'!#REF!,"AAAAAH3/+3E=")</f>
        <v>#REF!</v>
      </c>
      <c r="DK41" t="e">
        <f>AND('GA55 Entry'!#REF!,"AAAAAH3/+3I=")</f>
        <v>#REF!</v>
      </c>
      <c r="DL41" t="e">
        <f>AND('GA55 Entry'!#REF!,"AAAAAH3/+3M=")</f>
        <v>#REF!</v>
      </c>
      <c r="DM41" t="e">
        <f>AND('GA55 Entry'!#REF!,"AAAAAH3/+3Q=")</f>
        <v>#REF!</v>
      </c>
      <c r="DN41" t="e">
        <f>AND('GA55 Entry'!#REF!,"AAAAAH3/+3U=")</f>
        <v>#REF!</v>
      </c>
      <c r="DO41" t="e">
        <f>AND('GA55 Entry'!#REF!,"AAAAAH3/+3Y=")</f>
        <v>#REF!</v>
      </c>
      <c r="DP41" t="e">
        <f>AND('GA55 Entry'!#REF!,"AAAAAH3/+3c=")</f>
        <v>#REF!</v>
      </c>
      <c r="DQ41" t="e">
        <f>AND('GA55 Entry'!#REF!,"AAAAAH3/+3g=")</f>
        <v>#REF!</v>
      </c>
      <c r="DR41" t="e">
        <f>AND('GA55 Entry'!#REF!,"AAAAAH3/+3k=")</f>
        <v>#REF!</v>
      </c>
      <c r="DS41" t="e">
        <f>AND('GA55 Entry'!#REF!,"AAAAAH3/+3o=")</f>
        <v>#REF!</v>
      </c>
      <c r="DT41" t="e">
        <f>AND('GA55 Entry'!#REF!,"AAAAAH3/+3s=")</f>
        <v>#REF!</v>
      </c>
      <c r="DU41" t="e">
        <f>AND('GA55 Entry'!#REF!,"AAAAAH3/+3w=")</f>
        <v>#REF!</v>
      </c>
      <c r="DV41" t="e">
        <f>AND('GA55 Entry'!#REF!,"AAAAAH3/+30=")</f>
        <v>#REF!</v>
      </c>
      <c r="DW41" t="e">
        <f>AND('GA55 Entry'!#REF!,"AAAAAH3/+34=")</f>
        <v>#REF!</v>
      </c>
      <c r="DX41" t="e">
        <f>AND('GA55 Entry'!#REF!,"AAAAAH3/+38=")</f>
        <v>#REF!</v>
      </c>
      <c r="DY41" t="e">
        <f>AND('GA55 Entry'!#REF!,"AAAAAH3/+4A=")</f>
        <v>#REF!</v>
      </c>
      <c r="DZ41" t="e">
        <f>AND('GA55 Entry'!#REF!,"AAAAAH3/+4E=")</f>
        <v>#REF!</v>
      </c>
      <c r="EA41" t="e">
        <f>AND('GA55 Entry'!#REF!,"AAAAAH3/+4I=")</f>
        <v>#REF!</v>
      </c>
      <c r="EB41" t="e">
        <f>AND('GA55 Entry'!#REF!,"AAAAAH3/+4M=")</f>
        <v>#REF!</v>
      </c>
      <c r="EC41" t="e">
        <f>AND('GA55 Entry'!#REF!,"AAAAAH3/+4Q=")</f>
        <v>#REF!</v>
      </c>
      <c r="ED41" t="e">
        <f>AND('GA55 Entry'!#REF!,"AAAAAH3/+4U=")</f>
        <v>#REF!</v>
      </c>
      <c r="EE41" t="e">
        <f>AND('GA55 Entry'!#REF!,"AAAAAH3/+4Y=")</f>
        <v>#REF!</v>
      </c>
      <c r="EF41" t="e">
        <f>AND('GA55 Entry'!#REF!,"AAAAAH3/+4c=")</f>
        <v>#REF!</v>
      </c>
      <c r="EG41" t="e">
        <f>AND('GA55 Entry'!#REF!,"AAAAAH3/+4g=")</f>
        <v>#REF!</v>
      </c>
      <c r="EH41" t="e">
        <f>AND('GA55 Entry'!#REF!,"AAAAAH3/+4k=")</f>
        <v>#REF!</v>
      </c>
      <c r="EI41" t="e">
        <f>AND('GA55 Entry'!#REF!,"AAAAAH3/+4o=")</f>
        <v>#REF!</v>
      </c>
      <c r="EJ41" t="e">
        <f>AND('GA55 Entry'!#REF!,"AAAAAH3/+4s=")</f>
        <v>#REF!</v>
      </c>
      <c r="EK41" t="e">
        <f>AND('GA55 Entry'!#REF!,"AAAAAH3/+4w=")</f>
        <v>#REF!</v>
      </c>
      <c r="EL41" t="e">
        <f>AND('GA55 Entry'!#REF!,"AAAAAH3/+40=")</f>
        <v>#REF!</v>
      </c>
      <c r="EM41" t="e">
        <f>AND('GA55 Entry'!#REF!,"AAAAAH3/+44=")</f>
        <v>#REF!</v>
      </c>
      <c r="EN41" t="e">
        <f>AND('GA55 Entry'!#REF!,"AAAAAH3/+48=")</f>
        <v>#REF!</v>
      </c>
      <c r="EO41" t="e">
        <f>AND('GA55 Entry'!#REF!,"AAAAAH3/+5A=")</f>
        <v>#REF!</v>
      </c>
      <c r="EP41" t="e">
        <f>AND('GA55 Entry'!#REF!,"AAAAAH3/+5E=")</f>
        <v>#REF!</v>
      </c>
      <c r="EQ41" t="e">
        <f>AND('GA55 Entry'!#REF!,"AAAAAH3/+5I=")</f>
        <v>#REF!</v>
      </c>
      <c r="ER41" t="e">
        <f>AND('GA55 Entry'!#REF!,"AAAAAH3/+5M=")</f>
        <v>#REF!</v>
      </c>
      <c r="ES41" t="e">
        <f>AND('GA55 Entry'!#REF!,"AAAAAH3/+5Q=")</f>
        <v>#REF!</v>
      </c>
      <c r="ET41" t="e">
        <f>AND('GA55 Entry'!#REF!,"AAAAAH3/+5U=")</f>
        <v>#REF!</v>
      </c>
      <c r="EU41" t="e">
        <f>AND('GA55 Entry'!#REF!,"AAAAAH3/+5Y=")</f>
        <v>#REF!</v>
      </c>
      <c r="EV41" t="e">
        <f>AND('GA55 Entry'!#REF!,"AAAAAH3/+5c=")</f>
        <v>#REF!</v>
      </c>
      <c r="EW41" t="e">
        <f>IF('GA55 Entry'!#REF!,"AAAAAH3/+5g=",0)</f>
        <v>#REF!</v>
      </c>
      <c r="EX41" t="e">
        <f>AND('GA55 Entry'!#REF!,"AAAAAH3/+5k=")</f>
        <v>#REF!</v>
      </c>
      <c r="EY41" t="e">
        <f>AND('GA55 Entry'!#REF!,"AAAAAH3/+5o=")</f>
        <v>#REF!</v>
      </c>
      <c r="EZ41" t="e">
        <f>AND('GA55 Entry'!#REF!,"AAAAAH3/+5s=")</f>
        <v>#REF!</v>
      </c>
      <c r="FA41" t="e">
        <f>AND('GA55 Entry'!#REF!,"AAAAAH3/+5w=")</f>
        <v>#REF!</v>
      </c>
      <c r="FB41" t="e">
        <f>AND('GA55 Entry'!#REF!,"AAAAAH3/+50=")</f>
        <v>#REF!</v>
      </c>
      <c r="FC41" t="e">
        <f>AND('GA55 Entry'!#REF!,"AAAAAH3/+54=")</f>
        <v>#REF!</v>
      </c>
      <c r="FD41" t="e">
        <f>AND('GA55 Entry'!#REF!,"AAAAAH3/+58=")</f>
        <v>#REF!</v>
      </c>
      <c r="FE41" t="e">
        <f>AND('GA55 Entry'!#REF!,"AAAAAH3/+6A=")</f>
        <v>#REF!</v>
      </c>
      <c r="FF41" t="e">
        <f>AND('GA55 Entry'!#REF!,"AAAAAH3/+6E=")</f>
        <v>#REF!</v>
      </c>
      <c r="FG41" t="e">
        <f>AND('GA55 Entry'!#REF!,"AAAAAH3/+6I=")</f>
        <v>#REF!</v>
      </c>
      <c r="FH41" t="e">
        <f>AND('GA55 Entry'!#REF!,"AAAAAH3/+6M=")</f>
        <v>#REF!</v>
      </c>
      <c r="FI41" t="e">
        <f>AND('GA55 Entry'!#REF!,"AAAAAH3/+6Q=")</f>
        <v>#REF!</v>
      </c>
      <c r="FJ41" t="e">
        <f>AND('GA55 Entry'!#REF!,"AAAAAH3/+6U=")</f>
        <v>#REF!</v>
      </c>
      <c r="FK41" t="e">
        <f>AND('GA55 Entry'!#REF!,"AAAAAH3/+6Y=")</f>
        <v>#REF!</v>
      </c>
      <c r="FL41" t="e">
        <f>AND('GA55 Entry'!#REF!,"AAAAAH3/+6c=")</f>
        <v>#REF!</v>
      </c>
      <c r="FM41" t="e">
        <f>AND('GA55 Entry'!#REF!,"AAAAAH3/+6g=")</f>
        <v>#REF!</v>
      </c>
      <c r="FN41" t="e">
        <f>AND('GA55 Entry'!#REF!,"AAAAAH3/+6k=")</f>
        <v>#REF!</v>
      </c>
      <c r="FO41" t="e">
        <f>AND('GA55 Entry'!#REF!,"AAAAAH3/+6o=")</f>
        <v>#REF!</v>
      </c>
      <c r="FP41" t="e">
        <f>AND('GA55 Entry'!#REF!,"AAAAAH3/+6s=")</f>
        <v>#REF!</v>
      </c>
      <c r="FQ41" t="e">
        <f>AND('GA55 Entry'!#REF!,"AAAAAH3/+6w=")</f>
        <v>#REF!</v>
      </c>
      <c r="FR41" t="e">
        <f>AND('GA55 Entry'!#REF!,"AAAAAH3/+60=")</f>
        <v>#REF!</v>
      </c>
      <c r="FS41" t="e">
        <f>AND('GA55 Entry'!#REF!,"AAAAAH3/+64=")</f>
        <v>#REF!</v>
      </c>
      <c r="FT41" t="e">
        <f>AND('GA55 Entry'!#REF!,"AAAAAH3/+68=")</f>
        <v>#REF!</v>
      </c>
      <c r="FU41" t="e">
        <f>AND('GA55 Entry'!#REF!,"AAAAAH3/+7A=")</f>
        <v>#REF!</v>
      </c>
      <c r="FV41" t="e">
        <f>AND('GA55 Entry'!#REF!,"AAAAAH3/+7E=")</f>
        <v>#REF!</v>
      </c>
      <c r="FW41" t="e">
        <f>AND('GA55 Entry'!#REF!,"AAAAAH3/+7I=")</f>
        <v>#REF!</v>
      </c>
      <c r="FX41" t="e">
        <f>AND('GA55 Entry'!#REF!,"AAAAAH3/+7M=")</f>
        <v>#REF!</v>
      </c>
      <c r="FY41" t="e">
        <f>AND('GA55 Entry'!#REF!,"AAAAAH3/+7Q=")</f>
        <v>#REF!</v>
      </c>
      <c r="FZ41" t="e">
        <f>AND('GA55 Entry'!#REF!,"AAAAAH3/+7U=")</f>
        <v>#REF!</v>
      </c>
      <c r="GA41" t="e">
        <f>AND('GA55 Entry'!#REF!,"AAAAAH3/+7Y=")</f>
        <v>#REF!</v>
      </c>
      <c r="GB41" t="e">
        <f>AND('GA55 Entry'!#REF!,"AAAAAH3/+7c=")</f>
        <v>#REF!</v>
      </c>
      <c r="GC41" t="e">
        <f>AND('GA55 Entry'!#REF!,"AAAAAH3/+7g=")</f>
        <v>#REF!</v>
      </c>
      <c r="GD41" t="e">
        <f>AND('GA55 Entry'!#REF!,"AAAAAH3/+7k=")</f>
        <v>#REF!</v>
      </c>
      <c r="GE41" t="e">
        <f>AND('GA55 Entry'!#REF!,"AAAAAH3/+7o=")</f>
        <v>#REF!</v>
      </c>
      <c r="GF41" t="e">
        <f>AND('GA55 Entry'!#REF!,"AAAAAH3/+7s=")</f>
        <v>#REF!</v>
      </c>
      <c r="GG41" t="e">
        <f>AND('GA55 Entry'!#REF!,"AAAAAH3/+7w=")</f>
        <v>#REF!</v>
      </c>
      <c r="GH41" t="e">
        <f>AND('GA55 Entry'!#REF!,"AAAAAH3/+70=")</f>
        <v>#REF!</v>
      </c>
      <c r="GI41" t="e">
        <f>AND('GA55 Entry'!#REF!,"AAAAAH3/+74=")</f>
        <v>#REF!</v>
      </c>
      <c r="GJ41" t="e">
        <f>AND('GA55 Entry'!#REF!,"AAAAAH3/+78=")</f>
        <v>#REF!</v>
      </c>
      <c r="GK41" t="e">
        <f>AND('GA55 Entry'!#REF!,"AAAAAH3/+8A=")</f>
        <v>#REF!</v>
      </c>
      <c r="GL41" t="e">
        <f>AND('GA55 Entry'!#REF!,"AAAAAH3/+8E=")</f>
        <v>#REF!</v>
      </c>
      <c r="GM41" t="e">
        <f>AND('GA55 Entry'!#REF!,"AAAAAH3/+8I=")</f>
        <v>#REF!</v>
      </c>
      <c r="GN41" t="e">
        <f>AND('GA55 Entry'!#REF!,"AAAAAH3/+8M=")</f>
        <v>#REF!</v>
      </c>
      <c r="GO41" t="e">
        <f>AND('GA55 Entry'!#REF!,"AAAAAH3/+8Q=")</f>
        <v>#REF!</v>
      </c>
      <c r="GP41" t="e">
        <f>AND('GA55 Entry'!#REF!,"AAAAAH3/+8U=")</f>
        <v>#REF!</v>
      </c>
      <c r="GQ41" t="e">
        <f>AND('GA55 Entry'!#REF!,"AAAAAH3/+8Y=")</f>
        <v>#REF!</v>
      </c>
      <c r="GR41" t="e">
        <f>AND('GA55 Entry'!#REF!,"AAAAAH3/+8c=")</f>
        <v>#REF!</v>
      </c>
      <c r="GS41" t="e">
        <f>AND('GA55 Entry'!#REF!,"AAAAAH3/+8g=")</f>
        <v>#REF!</v>
      </c>
      <c r="GT41" t="e">
        <f>AND('GA55 Entry'!#REF!,"AAAAAH3/+8k=")</f>
        <v>#REF!</v>
      </c>
      <c r="GU41" t="e">
        <f>AND('GA55 Entry'!#REF!,"AAAAAH3/+8o=")</f>
        <v>#REF!</v>
      </c>
      <c r="GV41" t="e">
        <f>IF('GA55 Entry'!#REF!,"AAAAAH3/+8s=",0)</f>
        <v>#REF!</v>
      </c>
      <c r="GW41" t="e">
        <f>AND('GA55 Entry'!#REF!,"AAAAAH3/+8w=")</f>
        <v>#REF!</v>
      </c>
      <c r="GX41" t="e">
        <f>AND('GA55 Entry'!#REF!,"AAAAAH3/+80=")</f>
        <v>#REF!</v>
      </c>
      <c r="GY41" t="e">
        <f>AND('GA55 Entry'!#REF!,"AAAAAH3/+84=")</f>
        <v>#REF!</v>
      </c>
      <c r="GZ41" t="e">
        <f>AND('GA55 Entry'!#REF!,"AAAAAH3/+88=")</f>
        <v>#REF!</v>
      </c>
      <c r="HA41" t="e">
        <f>AND('GA55 Entry'!#REF!,"AAAAAH3/+9A=")</f>
        <v>#REF!</v>
      </c>
      <c r="HB41" t="e">
        <f>AND('GA55 Entry'!#REF!,"AAAAAH3/+9E=")</f>
        <v>#REF!</v>
      </c>
      <c r="HC41" t="e">
        <f>AND('GA55 Entry'!#REF!,"AAAAAH3/+9I=")</f>
        <v>#REF!</v>
      </c>
      <c r="HD41" t="e">
        <f>AND('GA55 Entry'!#REF!,"AAAAAH3/+9M=")</f>
        <v>#REF!</v>
      </c>
      <c r="HE41" t="e">
        <f>AND('GA55 Entry'!#REF!,"AAAAAH3/+9Q=")</f>
        <v>#REF!</v>
      </c>
      <c r="HF41" t="e">
        <f>AND('GA55 Entry'!#REF!,"AAAAAH3/+9U=")</f>
        <v>#REF!</v>
      </c>
      <c r="HG41" t="e">
        <f>AND('GA55 Entry'!#REF!,"AAAAAH3/+9Y=")</f>
        <v>#REF!</v>
      </c>
      <c r="HH41" t="e">
        <f>AND('GA55 Entry'!#REF!,"AAAAAH3/+9c=")</f>
        <v>#REF!</v>
      </c>
      <c r="HI41" t="e">
        <f>AND('GA55 Entry'!#REF!,"AAAAAH3/+9g=")</f>
        <v>#REF!</v>
      </c>
      <c r="HJ41" t="e">
        <f>AND('GA55 Entry'!#REF!,"AAAAAH3/+9k=")</f>
        <v>#REF!</v>
      </c>
      <c r="HK41" t="e">
        <f>AND('GA55 Entry'!#REF!,"AAAAAH3/+9o=")</f>
        <v>#REF!</v>
      </c>
      <c r="HL41" t="e">
        <f>AND('GA55 Entry'!#REF!,"AAAAAH3/+9s=")</f>
        <v>#REF!</v>
      </c>
      <c r="HM41" t="e">
        <f>AND('GA55 Entry'!#REF!,"AAAAAH3/+9w=")</f>
        <v>#REF!</v>
      </c>
      <c r="HN41" t="e">
        <f>AND('GA55 Entry'!#REF!,"AAAAAH3/+90=")</f>
        <v>#REF!</v>
      </c>
      <c r="HO41" t="e">
        <f>AND('GA55 Entry'!#REF!,"AAAAAH3/+94=")</f>
        <v>#REF!</v>
      </c>
      <c r="HP41" t="e">
        <f>AND('GA55 Entry'!#REF!,"AAAAAH3/+98=")</f>
        <v>#REF!</v>
      </c>
      <c r="HQ41" t="e">
        <f>AND('GA55 Entry'!#REF!,"AAAAAH3/++A=")</f>
        <v>#REF!</v>
      </c>
      <c r="HR41" t="e">
        <f>AND('GA55 Entry'!#REF!,"AAAAAH3/++E=")</f>
        <v>#REF!</v>
      </c>
      <c r="HS41" t="e">
        <f>AND('GA55 Entry'!#REF!,"AAAAAH3/++I=")</f>
        <v>#REF!</v>
      </c>
      <c r="HT41" t="e">
        <f>AND('GA55 Entry'!#REF!,"AAAAAH3/++M=")</f>
        <v>#REF!</v>
      </c>
      <c r="HU41" t="e">
        <f>AND('GA55 Entry'!#REF!,"AAAAAH3/++Q=")</f>
        <v>#REF!</v>
      </c>
      <c r="HV41" t="e">
        <f>AND('GA55 Entry'!#REF!,"AAAAAH3/++U=")</f>
        <v>#REF!</v>
      </c>
      <c r="HW41" t="e">
        <f>AND('GA55 Entry'!#REF!,"AAAAAH3/++Y=")</f>
        <v>#REF!</v>
      </c>
      <c r="HX41" t="e">
        <f>AND('GA55 Entry'!#REF!,"AAAAAH3/++c=")</f>
        <v>#REF!</v>
      </c>
      <c r="HY41" t="e">
        <f>AND('GA55 Entry'!#REF!,"AAAAAH3/++g=")</f>
        <v>#REF!</v>
      </c>
      <c r="HZ41" t="e">
        <f>AND('GA55 Entry'!#REF!,"AAAAAH3/++k=")</f>
        <v>#REF!</v>
      </c>
      <c r="IA41" t="e">
        <f>AND('GA55 Entry'!#REF!,"AAAAAH3/++o=")</f>
        <v>#REF!</v>
      </c>
      <c r="IB41" t="e">
        <f>AND('GA55 Entry'!#REF!,"AAAAAH3/++s=")</f>
        <v>#REF!</v>
      </c>
      <c r="IC41" t="e">
        <f>AND('GA55 Entry'!#REF!,"AAAAAH3/++w=")</f>
        <v>#REF!</v>
      </c>
      <c r="ID41" t="e">
        <f>AND('GA55 Entry'!#REF!,"AAAAAH3/++0=")</f>
        <v>#REF!</v>
      </c>
      <c r="IE41" t="e">
        <f>AND('GA55 Entry'!#REF!,"AAAAAH3/++4=")</f>
        <v>#REF!</v>
      </c>
      <c r="IF41" t="e">
        <f>AND('GA55 Entry'!#REF!,"AAAAAH3/++8=")</f>
        <v>#REF!</v>
      </c>
      <c r="IG41" t="e">
        <f>AND('GA55 Entry'!#REF!,"AAAAAH3/+/A=")</f>
        <v>#REF!</v>
      </c>
      <c r="IH41" t="e">
        <f>AND('GA55 Entry'!#REF!,"AAAAAH3/+/E=")</f>
        <v>#REF!</v>
      </c>
      <c r="II41" t="e">
        <f>AND('GA55 Entry'!#REF!,"AAAAAH3/+/I=")</f>
        <v>#REF!</v>
      </c>
      <c r="IJ41" t="e">
        <f>AND('GA55 Entry'!#REF!,"AAAAAH3/+/M=")</f>
        <v>#REF!</v>
      </c>
      <c r="IK41" t="e">
        <f>AND('GA55 Entry'!#REF!,"AAAAAH3/+/Q=")</f>
        <v>#REF!</v>
      </c>
      <c r="IL41" t="e">
        <f>AND('GA55 Entry'!#REF!,"AAAAAH3/+/U=")</f>
        <v>#REF!</v>
      </c>
      <c r="IM41" t="e">
        <f>AND('GA55 Entry'!#REF!,"AAAAAH3/+/Y=")</f>
        <v>#REF!</v>
      </c>
      <c r="IN41" t="e">
        <f>AND('GA55 Entry'!#REF!,"AAAAAH3/+/c=")</f>
        <v>#REF!</v>
      </c>
      <c r="IO41" t="e">
        <f>AND('GA55 Entry'!#REF!,"AAAAAH3/+/g=")</f>
        <v>#REF!</v>
      </c>
      <c r="IP41" t="e">
        <f>AND('GA55 Entry'!#REF!,"AAAAAH3/+/k=")</f>
        <v>#REF!</v>
      </c>
      <c r="IQ41" t="e">
        <f>AND('GA55 Entry'!#REF!,"AAAAAH3/+/o=")</f>
        <v>#REF!</v>
      </c>
      <c r="IR41" t="e">
        <f>AND('GA55 Entry'!#REF!,"AAAAAH3/+/s=")</f>
        <v>#REF!</v>
      </c>
      <c r="IS41" t="e">
        <f>AND('GA55 Entry'!#REF!,"AAAAAH3/+/w=")</f>
        <v>#REF!</v>
      </c>
      <c r="IT41" t="e">
        <f>AND('GA55 Entry'!#REF!,"AAAAAH3/+/0=")</f>
        <v>#REF!</v>
      </c>
      <c r="IU41" t="e">
        <f>IF('GA55 Entry'!#REF!,"AAAAAH3/+/4=",0)</f>
        <v>#REF!</v>
      </c>
      <c r="IV41" t="e">
        <f>AND('GA55 Entry'!#REF!,"AAAAAH3/+/8=")</f>
        <v>#REF!</v>
      </c>
    </row>
    <row r="42" spans="1:256">
      <c r="A42" t="e">
        <f>AND('GA55 Entry'!#REF!,"AAAAAEdf3wA=")</f>
        <v>#REF!</v>
      </c>
      <c r="B42" t="e">
        <f>AND('GA55 Entry'!#REF!,"AAAAAEdf3wE=")</f>
        <v>#REF!</v>
      </c>
      <c r="C42" t="e">
        <f>AND('GA55 Entry'!#REF!,"AAAAAEdf3wI=")</f>
        <v>#REF!</v>
      </c>
      <c r="D42" t="e">
        <f>AND('GA55 Entry'!#REF!,"AAAAAEdf3wM=")</f>
        <v>#REF!</v>
      </c>
      <c r="E42" t="e">
        <f>AND('GA55 Entry'!#REF!,"AAAAAEdf3wQ=")</f>
        <v>#REF!</v>
      </c>
      <c r="F42" t="e">
        <f>AND('GA55 Entry'!#REF!,"AAAAAEdf3wU=")</f>
        <v>#REF!</v>
      </c>
      <c r="G42" t="e">
        <f>AND('GA55 Entry'!#REF!,"AAAAAEdf3wY=")</f>
        <v>#REF!</v>
      </c>
      <c r="H42" t="e">
        <f>AND('GA55 Entry'!#REF!,"AAAAAEdf3wc=")</f>
        <v>#REF!</v>
      </c>
      <c r="I42" t="e">
        <f>AND('GA55 Entry'!#REF!,"AAAAAEdf3wg=")</f>
        <v>#REF!</v>
      </c>
      <c r="J42" t="e">
        <f>AND('GA55 Entry'!#REF!,"AAAAAEdf3wk=")</f>
        <v>#REF!</v>
      </c>
      <c r="K42" t="e">
        <f>AND('GA55 Entry'!#REF!,"AAAAAEdf3wo=")</f>
        <v>#REF!</v>
      </c>
      <c r="L42" t="e">
        <f>AND('GA55 Entry'!#REF!,"AAAAAEdf3ws=")</f>
        <v>#REF!</v>
      </c>
      <c r="M42" t="e">
        <f>AND('GA55 Entry'!#REF!,"AAAAAEdf3ww=")</f>
        <v>#REF!</v>
      </c>
      <c r="N42" t="e">
        <f>AND('GA55 Entry'!#REF!,"AAAAAEdf3w0=")</f>
        <v>#REF!</v>
      </c>
      <c r="O42" t="e">
        <f>AND('GA55 Entry'!#REF!,"AAAAAEdf3w4=")</f>
        <v>#REF!</v>
      </c>
      <c r="P42" t="e">
        <f>AND('GA55 Entry'!#REF!,"AAAAAEdf3w8=")</f>
        <v>#REF!</v>
      </c>
      <c r="Q42" t="e">
        <f>AND('GA55 Entry'!#REF!,"AAAAAEdf3xA=")</f>
        <v>#REF!</v>
      </c>
      <c r="R42" t="e">
        <f>AND('GA55 Entry'!#REF!,"AAAAAEdf3xE=")</f>
        <v>#REF!</v>
      </c>
      <c r="S42" t="e">
        <f>AND('GA55 Entry'!#REF!,"AAAAAEdf3xI=")</f>
        <v>#REF!</v>
      </c>
      <c r="T42" t="e">
        <f>AND('GA55 Entry'!#REF!,"AAAAAEdf3xM=")</f>
        <v>#REF!</v>
      </c>
      <c r="U42" t="e">
        <f>AND('GA55 Entry'!#REF!,"AAAAAEdf3xQ=")</f>
        <v>#REF!</v>
      </c>
      <c r="V42" t="e">
        <f>AND('GA55 Entry'!#REF!,"AAAAAEdf3xU=")</f>
        <v>#REF!</v>
      </c>
      <c r="W42" t="e">
        <f>AND('GA55 Entry'!#REF!,"AAAAAEdf3xY=")</f>
        <v>#REF!</v>
      </c>
      <c r="X42" t="e">
        <f>AND('GA55 Entry'!#REF!,"AAAAAEdf3xc=")</f>
        <v>#REF!</v>
      </c>
      <c r="Y42" t="e">
        <f>AND('GA55 Entry'!#REF!,"AAAAAEdf3xg=")</f>
        <v>#REF!</v>
      </c>
      <c r="Z42" t="e">
        <f>AND('GA55 Entry'!#REF!,"AAAAAEdf3xk=")</f>
        <v>#REF!</v>
      </c>
      <c r="AA42" t="e">
        <f>AND('GA55 Entry'!#REF!,"AAAAAEdf3xo=")</f>
        <v>#REF!</v>
      </c>
      <c r="AB42" t="e">
        <f>AND('GA55 Entry'!#REF!,"AAAAAEdf3xs=")</f>
        <v>#REF!</v>
      </c>
      <c r="AC42" t="e">
        <f>AND('GA55 Entry'!#REF!,"AAAAAEdf3xw=")</f>
        <v>#REF!</v>
      </c>
      <c r="AD42" t="e">
        <f>AND('GA55 Entry'!#REF!,"AAAAAEdf3x0=")</f>
        <v>#REF!</v>
      </c>
      <c r="AE42" t="e">
        <f>AND('GA55 Entry'!#REF!,"AAAAAEdf3x4=")</f>
        <v>#REF!</v>
      </c>
      <c r="AF42" t="e">
        <f>AND('GA55 Entry'!#REF!,"AAAAAEdf3x8=")</f>
        <v>#REF!</v>
      </c>
      <c r="AG42" t="e">
        <f>AND('GA55 Entry'!#REF!,"AAAAAEdf3yA=")</f>
        <v>#REF!</v>
      </c>
      <c r="AH42" t="e">
        <f>AND('GA55 Entry'!#REF!,"AAAAAEdf3yE=")</f>
        <v>#REF!</v>
      </c>
      <c r="AI42" t="e">
        <f>AND('GA55 Entry'!#REF!,"AAAAAEdf3yI=")</f>
        <v>#REF!</v>
      </c>
      <c r="AJ42" t="e">
        <f>AND('GA55 Entry'!#REF!,"AAAAAEdf3yM=")</f>
        <v>#REF!</v>
      </c>
      <c r="AK42" t="e">
        <f>AND('GA55 Entry'!#REF!,"AAAAAEdf3yQ=")</f>
        <v>#REF!</v>
      </c>
      <c r="AL42" t="e">
        <f>AND('GA55 Entry'!#REF!,"AAAAAEdf3yU=")</f>
        <v>#REF!</v>
      </c>
      <c r="AM42" t="e">
        <f>AND('GA55 Entry'!#REF!,"AAAAAEdf3yY=")</f>
        <v>#REF!</v>
      </c>
      <c r="AN42" t="e">
        <f>AND('GA55 Entry'!#REF!,"AAAAAEdf3yc=")</f>
        <v>#REF!</v>
      </c>
      <c r="AO42" t="e">
        <f>AND('GA55 Entry'!#REF!,"AAAAAEdf3yg=")</f>
        <v>#REF!</v>
      </c>
      <c r="AP42" t="e">
        <f>AND('GA55 Entry'!#REF!,"AAAAAEdf3yk=")</f>
        <v>#REF!</v>
      </c>
      <c r="AQ42" t="e">
        <f>AND('GA55 Entry'!#REF!,"AAAAAEdf3yo=")</f>
        <v>#REF!</v>
      </c>
      <c r="AR42" t="e">
        <f>AND('GA55 Entry'!#REF!,"AAAAAEdf3ys=")</f>
        <v>#REF!</v>
      </c>
      <c r="AS42" t="e">
        <f>AND('GA55 Entry'!#REF!,"AAAAAEdf3yw=")</f>
        <v>#REF!</v>
      </c>
      <c r="AT42" t="e">
        <f>AND('GA55 Entry'!#REF!,"AAAAAEdf3y0=")</f>
        <v>#REF!</v>
      </c>
      <c r="AU42" t="e">
        <f>AND('GA55 Entry'!#REF!,"AAAAAEdf3y4=")</f>
        <v>#REF!</v>
      </c>
      <c r="AV42" t="e">
        <f>AND('GA55 Entry'!#REF!,"AAAAAEdf3y8=")</f>
        <v>#REF!</v>
      </c>
      <c r="AW42" t="e">
        <f>AND('GA55 Entry'!#REF!,"AAAAAEdf3zA=")</f>
        <v>#REF!</v>
      </c>
      <c r="AX42" t="e">
        <f>IF('GA55 Entry'!#REF!,"AAAAAEdf3zE=",0)</f>
        <v>#REF!</v>
      </c>
      <c r="AY42" t="e">
        <f>AND('GA55 Entry'!#REF!,"AAAAAEdf3zI=")</f>
        <v>#REF!</v>
      </c>
      <c r="AZ42" t="e">
        <f>AND('GA55 Entry'!#REF!,"AAAAAEdf3zM=")</f>
        <v>#REF!</v>
      </c>
      <c r="BA42" t="e">
        <f>AND('GA55 Entry'!#REF!,"AAAAAEdf3zQ=")</f>
        <v>#REF!</v>
      </c>
      <c r="BB42" t="e">
        <f>AND('GA55 Entry'!#REF!,"AAAAAEdf3zU=")</f>
        <v>#REF!</v>
      </c>
      <c r="BC42" t="e">
        <f>AND('GA55 Entry'!#REF!,"AAAAAEdf3zY=")</f>
        <v>#REF!</v>
      </c>
      <c r="BD42" t="e">
        <f>AND('GA55 Entry'!#REF!,"AAAAAEdf3zc=")</f>
        <v>#REF!</v>
      </c>
      <c r="BE42" t="e">
        <f>AND('GA55 Entry'!#REF!,"AAAAAEdf3zg=")</f>
        <v>#REF!</v>
      </c>
      <c r="BF42" t="e">
        <f>AND('GA55 Entry'!#REF!,"AAAAAEdf3zk=")</f>
        <v>#REF!</v>
      </c>
      <c r="BG42" t="e">
        <f>AND('GA55 Entry'!#REF!,"AAAAAEdf3zo=")</f>
        <v>#REF!</v>
      </c>
      <c r="BH42" t="e">
        <f>AND('GA55 Entry'!#REF!,"AAAAAEdf3zs=")</f>
        <v>#REF!</v>
      </c>
      <c r="BI42" t="e">
        <f>AND('GA55 Entry'!#REF!,"AAAAAEdf3zw=")</f>
        <v>#REF!</v>
      </c>
      <c r="BJ42" t="e">
        <f>AND('GA55 Entry'!#REF!,"AAAAAEdf3z0=")</f>
        <v>#REF!</v>
      </c>
      <c r="BK42" t="e">
        <f>AND('GA55 Entry'!#REF!,"AAAAAEdf3z4=")</f>
        <v>#REF!</v>
      </c>
      <c r="BL42" t="e">
        <f>AND('GA55 Entry'!#REF!,"AAAAAEdf3z8=")</f>
        <v>#REF!</v>
      </c>
      <c r="BM42" t="e">
        <f>AND('GA55 Entry'!#REF!,"AAAAAEdf30A=")</f>
        <v>#REF!</v>
      </c>
      <c r="BN42" t="e">
        <f>AND('GA55 Entry'!#REF!,"AAAAAEdf30E=")</f>
        <v>#REF!</v>
      </c>
      <c r="BO42" t="e">
        <f>AND('GA55 Entry'!#REF!,"AAAAAEdf30I=")</f>
        <v>#REF!</v>
      </c>
      <c r="BP42" t="e">
        <f>AND('GA55 Entry'!#REF!,"AAAAAEdf30M=")</f>
        <v>#REF!</v>
      </c>
      <c r="BQ42" t="e">
        <f>AND('GA55 Entry'!#REF!,"AAAAAEdf30Q=")</f>
        <v>#REF!</v>
      </c>
      <c r="BR42" t="e">
        <f>AND('GA55 Entry'!#REF!,"AAAAAEdf30U=")</f>
        <v>#REF!</v>
      </c>
      <c r="BS42" t="e">
        <f>AND('GA55 Entry'!#REF!,"AAAAAEdf30Y=")</f>
        <v>#REF!</v>
      </c>
      <c r="BT42" t="e">
        <f>AND('GA55 Entry'!#REF!,"AAAAAEdf30c=")</f>
        <v>#REF!</v>
      </c>
      <c r="BU42" t="e">
        <f>AND('GA55 Entry'!#REF!,"AAAAAEdf30g=")</f>
        <v>#REF!</v>
      </c>
      <c r="BV42" t="e">
        <f>AND('GA55 Entry'!#REF!,"AAAAAEdf30k=")</f>
        <v>#REF!</v>
      </c>
      <c r="BW42" t="e">
        <f>AND('GA55 Entry'!#REF!,"AAAAAEdf30o=")</f>
        <v>#REF!</v>
      </c>
      <c r="BX42" t="e">
        <f>AND('GA55 Entry'!#REF!,"AAAAAEdf30s=")</f>
        <v>#REF!</v>
      </c>
      <c r="BY42" t="e">
        <f>AND('GA55 Entry'!#REF!,"AAAAAEdf30w=")</f>
        <v>#REF!</v>
      </c>
      <c r="BZ42" t="e">
        <f>AND('GA55 Entry'!#REF!,"AAAAAEdf300=")</f>
        <v>#REF!</v>
      </c>
      <c r="CA42" t="e">
        <f>AND('GA55 Entry'!#REF!,"AAAAAEdf304=")</f>
        <v>#REF!</v>
      </c>
      <c r="CB42" t="e">
        <f>AND('GA55 Entry'!#REF!,"AAAAAEdf308=")</f>
        <v>#REF!</v>
      </c>
      <c r="CC42" t="e">
        <f>AND('GA55 Entry'!#REF!,"AAAAAEdf31A=")</f>
        <v>#REF!</v>
      </c>
      <c r="CD42" t="e">
        <f>AND('GA55 Entry'!#REF!,"AAAAAEdf31E=")</f>
        <v>#REF!</v>
      </c>
      <c r="CE42" t="e">
        <f>AND('GA55 Entry'!#REF!,"AAAAAEdf31I=")</f>
        <v>#REF!</v>
      </c>
      <c r="CF42" t="e">
        <f>AND('GA55 Entry'!#REF!,"AAAAAEdf31M=")</f>
        <v>#REF!</v>
      </c>
      <c r="CG42" t="e">
        <f>AND('GA55 Entry'!#REF!,"AAAAAEdf31Q=")</f>
        <v>#REF!</v>
      </c>
      <c r="CH42" t="e">
        <f>AND('GA55 Entry'!#REF!,"AAAAAEdf31U=")</f>
        <v>#REF!</v>
      </c>
      <c r="CI42" t="e">
        <f>AND('GA55 Entry'!#REF!,"AAAAAEdf31Y=")</f>
        <v>#REF!</v>
      </c>
      <c r="CJ42" t="e">
        <f>AND('GA55 Entry'!#REF!,"AAAAAEdf31c=")</f>
        <v>#REF!</v>
      </c>
      <c r="CK42" t="e">
        <f>AND('GA55 Entry'!#REF!,"AAAAAEdf31g=")</f>
        <v>#REF!</v>
      </c>
      <c r="CL42" t="e">
        <f>AND('GA55 Entry'!#REF!,"AAAAAEdf31k=")</f>
        <v>#REF!</v>
      </c>
      <c r="CM42" t="e">
        <f>AND('GA55 Entry'!#REF!,"AAAAAEdf31o=")</f>
        <v>#REF!</v>
      </c>
      <c r="CN42" t="e">
        <f>AND('GA55 Entry'!#REF!,"AAAAAEdf31s=")</f>
        <v>#REF!</v>
      </c>
      <c r="CO42" t="e">
        <f>AND('GA55 Entry'!#REF!,"AAAAAEdf31w=")</f>
        <v>#REF!</v>
      </c>
      <c r="CP42" t="e">
        <f>AND('GA55 Entry'!#REF!,"AAAAAEdf310=")</f>
        <v>#REF!</v>
      </c>
      <c r="CQ42" t="e">
        <f>AND('GA55 Entry'!#REF!,"AAAAAEdf314=")</f>
        <v>#REF!</v>
      </c>
      <c r="CR42" t="e">
        <f>AND('GA55 Entry'!#REF!,"AAAAAEdf318=")</f>
        <v>#REF!</v>
      </c>
      <c r="CS42" t="e">
        <f>AND('GA55 Entry'!#REF!,"AAAAAEdf32A=")</f>
        <v>#REF!</v>
      </c>
      <c r="CT42" t="e">
        <f>AND('GA55 Entry'!#REF!,"AAAAAEdf32E=")</f>
        <v>#REF!</v>
      </c>
      <c r="CU42" t="e">
        <f>AND('GA55 Entry'!#REF!,"AAAAAEdf32I=")</f>
        <v>#REF!</v>
      </c>
      <c r="CV42" t="e">
        <f>AND('GA55 Entry'!#REF!,"AAAAAEdf32M=")</f>
        <v>#REF!</v>
      </c>
      <c r="CW42" t="e">
        <f>IF('GA55 Entry'!#REF!,"AAAAAEdf32Q=",0)</f>
        <v>#REF!</v>
      </c>
      <c r="CX42" t="e">
        <f>AND('GA55 Entry'!#REF!,"AAAAAEdf32U=")</f>
        <v>#REF!</v>
      </c>
      <c r="CY42" t="e">
        <f>AND('GA55 Entry'!#REF!,"AAAAAEdf32Y=")</f>
        <v>#REF!</v>
      </c>
      <c r="CZ42" t="e">
        <f>AND('GA55 Entry'!#REF!,"AAAAAEdf32c=")</f>
        <v>#REF!</v>
      </c>
      <c r="DA42" t="e">
        <f>AND('GA55 Entry'!#REF!,"AAAAAEdf32g=")</f>
        <v>#REF!</v>
      </c>
      <c r="DB42" t="e">
        <f>AND('GA55 Entry'!#REF!,"AAAAAEdf32k=")</f>
        <v>#REF!</v>
      </c>
      <c r="DC42" t="e">
        <f>AND('GA55 Entry'!#REF!,"AAAAAEdf32o=")</f>
        <v>#REF!</v>
      </c>
      <c r="DD42" t="e">
        <f>AND('GA55 Entry'!#REF!,"AAAAAEdf32s=")</f>
        <v>#REF!</v>
      </c>
      <c r="DE42" t="e">
        <f>AND('GA55 Entry'!#REF!,"AAAAAEdf32w=")</f>
        <v>#REF!</v>
      </c>
      <c r="DF42" t="e">
        <f>AND('GA55 Entry'!#REF!,"AAAAAEdf320=")</f>
        <v>#REF!</v>
      </c>
      <c r="DG42" t="e">
        <f>AND('GA55 Entry'!#REF!,"AAAAAEdf324=")</f>
        <v>#REF!</v>
      </c>
      <c r="DH42" t="e">
        <f>AND('GA55 Entry'!#REF!,"AAAAAEdf328=")</f>
        <v>#REF!</v>
      </c>
      <c r="DI42" t="e">
        <f>AND('GA55 Entry'!#REF!,"AAAAAEdf33A=")</f>
        <v>#REF!</v>
      </c>
      <c r="DJ42" t="e">
        <f>AND('GA55 Entry'!#REF!,"AAAAAEdf33E=")</f>
        <v>#REF!</v>
      </c>
      <c r="DK42" t="e">
        <f>AND('GA55 Entry'!#REF!,"AAAAAEdf33I=")</f>
        <v>#REF!</v>
      </c>
      <c r="DL42" t="e">
        <f>AND('GA55 Entry'!#REF!,"AAAAAEdf33M=")</f>
        <v>#REF!</v>
      </c>
      <c r="DM42" t="e">
        <f>AND('GA55 Entry'!#REF!,"AAAAAEdf33Q=")</f>
        <v>#REF!</v>
      </c>
      <c r="DN42" t="e">
        <f>AND('GA55 Entry'!#REF!,"AAAAAEdf33U=")</f>
        <v>#REF!</v>
      </c>
      <c r="DO42" t="e">
        <f>AND('GA55 Entry'!#REF!,"AAAAAEdf33Y=")</f>
        <v>#REF!</v>
      </c>
      <c r="DP42" t="e">
        <f>AND('GA55 Entry'!#REF!,"AAAAAEdf33c=")</f>
        <v>#REF!</v>
      </c>
      <c r="DQ42" t="e">
        <f>AND('GA55 Entry'!#REF!,"AAAAAEdf33g=")</f>
        <v>#REF!</v>
      </c>
      <c r="DR42" t="e">
        <f>AND('GA55 Entry'!#REF!,"AAAAAEdf33k=")</f>
        <v>#REF!</v>
      </c>
      <c r="DS42" t="e">
        <f>AND('GA55 Entry'!#REF!,"AAAAAEdf33o=")</f>
        <v>#REF!</v>
      </c>
      <c r="DT42" t="e">
        <f>AND('GA55 Entry'!#REF!,"AAAAAEdf33s=")</f>
        <v>#REF!</v>
      </c>
      <c r="DU42" t="e">
        <f>AND('GA55 Entry'!#REF!,"AAAAAEdf33w=")</f>
        <v>#REF!</v>
      </c>
      <c r="DV42" t="e">
        <f>AND('GA55 Entry'!#REF!,"AAAAAEdf330=")</f>
        <v>#REF!</v>
      </c>
      <c r="DW42" t="e">
        <f>AND('GA55 Entry'!#REF!,"AAAAAEdf334=")</f>
        <v>#REF!</v>
      </c>
      <c r="DX42" t="e">
        <f>AND('GA55 Entry'!#REF!,"AAAAAEdf338=")</f>
        <v>#REF!</v>
      </c>
      <c r="DY42" t="e">
        <f>AND('GA55 Entry'!#REF!,"AAAAAEdf34A=")</f>
        <v>#REF!</v>
      </c>
      <c r="DZ42" t="e">
        <f>AND('GA55 Entry'!#REF!,"AAAAAEdf34E=")</f>
        <v>#REF!</v>
      </c>
      <c r="EA42" t="e">
        <f>AND('GA55 Entry'!#REF!,"AAAAAEdf34I=")</f>
        <v>#REF!</v>
      </c>
      <c r="EB42" t="e">
        <f>AND('GA55 Entry'!#REF!,"AAAAAEdf34M=")</f>
        <v>#REF!</v>
      </c>
      <c r="EC42" t="e">
        <f>AND('GA55 Entry'!#REF!,"AAAAAEdf34Q=")</f>
        <v>#REF!</v>
      </c>
      <c r="ED42" t="e">
        <f>AND('GA55 Entry'!#REF!,"AAAAAEdf34U=")</f>
        <v>#REF!</v>
      </c>
      <c r="EE42" t="e">
        <f>AND('GA55 Entry'!#REF!,"AAAAAEdf34Y=")</f>
        <v>#REF!</v>
      </c>
      <c r="EF42" t="e">
        <f>AND('GA55 Entry'!#REF!,"AAAAAEdf34c=")</f>
        <v>#REF!</v>
      </c>
      <c r="EG42" t="e">
        <f>AND('GA55 Entry'!#REF!,"AAAAAEdf34g=")</f>
        <v>#REF!</v>
      </c>
      <c r="EH42" t="e">
        <f>AND('GA55 Entry'!#REF!,"AAAAAEdf34k=")</f>
        <v>#REF!</v>
      </c>
      <c r="EI42" t="e">
        <f>AND('GA55 Entry'!#REF!,"AAAAAEdf34o=")</f>
        <v>#REF!</v>
      </c>
      <c r="EJ42" t="e">
        <f>AND('GA55 Entry'!#REF!,"AAAAAEdf34s=")</f>
        <v>#REF!</v>
      </c>
      <c r="EK42" t="e">
        <f>AND('GA55 Entry'!#REF!,"AAAAAEdf34w=")</f>
        <v>#REF!</v>
      </c>
      <c r="EL42" t="e">
        <f>AND('GA55 Entry'!#REF!,"AAAAAEdf340=")</f>
        <v>#REF!</v>
      </c>
      <c r="EM42" t="e">
        <f>AND('GA55 Entry'!#REF!,"AAAAAEdf344=")</f>
        <v>#REF!</v>
      </c>
      <c r="EN42" t="e">
        <f>AND('GA55 Entry'!#REF!,"AAAAAEdf348=")</f>
        <v>#REF!</v>
      </c>
      <c r="EO42" t="e">
        <f>AND('GA55 Entry'!#REF!,"AAAAAEdf35A=")</f>
        <v>#REF!</v>
      </c>
      <c r="EP42" t="e">
        <f>AND('GA55 Entry'!#REF!,"AAAAAEdf35E=")</f>
        <v>#REF!</v>
      </c>
      <c r="EQ42" t="e">
        <f>AND('GA55 Entry'!#REF!,"AAAAAEdf35I=")</f>
        <v>#REF!</v>
      </c>
      <c r="ER42" t="e">
        <f>AND('GA55 Entry'!#REF!,"AAAAAEdf35M=")</f>
        <v>#REF!</v>
      </c>
      <c r="ES42" t="e">
        <f>AND('GA55 Entry'!#REF!,"AAAAAEdf35Q=")</f>
        <v>#REF!</v>
      </c>
      <c r="ET42" t="e">
        <f>AND('GA55 Entry'!#REF!,"AAAAAEdf35U=")</f>
        <v>#REF!</v>
      </c>
      <c r="EU42" t="e">
        <f>AND('GA55 Entry'!#REF!,"AAAAAEdf35Y=")</f>
        <v>#REF!</v>
      </c>
      <c r="EV42" t="e">
        <f>IF('GA55 Entry'!#REF!,"AAAAAEdf35c=",0)</f>
        <v>#REF!</v>
      </c>
      <c r="EW42" t="e">
        <f>AND('GA55 Entry'!#REF!,"AAAAAEdf35g=")</f>
        <v>#REF!</v>
      </c>
      <c r="EX42" t="e">
        <f>AND('GA55 Entry'!#REF!,"AAAAAEdf35k=")</f>
        <v>#REF!</v>
      </c>
      <c r="EY42" t="e">
        <f>AND('GA55 Entry'!#REF!,"AAAAAEdf35o=")</f>
        <v>#REF!</v>
      </c>
      <c r="EZ42" t="e">
        <f>AND('GA55 Entry'!#REF!,"AAAAAEdf35s=")</f>
        <v>#REF!</v>
      </c>
      <c r="FA42" t="e">
        <f>AND('GA55 Entry'!#REF!,"AAAAAEdf35w=")</f>
        <v>#REF!</v>
      </c>
      <c r="FB42" t="e">
        <f>AND('GA55 Entry'!#REF!,"AAAAAEdf350=")</f>
        <v>#REF!</v>
      </c>
      <c r="FC42" t="e">
        <f>AND('GA55 Entry'!#REF!,"AAAAAEdf354=")</f>
        <v>#REF!</v>
      </c>
      <c r="FD42" t="e">
        <f>AND('GA55 Entry'!#REF!,"AAAAAEdf358=")</f>
        <v>#REF!</v>
      </c>
      <c r="FE42" t="e">
        <f>AND('GA55 Entry'!#REF!,"AAAAAEdf36A=")</f>
        <v>#REF!</v>
      </c>
      <c r="FF42" t="e">
        <f>AND('GA55 Entry'!#REF!,"AAAAAEdf36E=")</f>
        <v>#REF!</v>
      </c>
      <c r="FG42" t="e">
        <f>AND('GA55 Entry'!#REF!,"AAAAAEdf36I=")</f>
        <v>#REF!</v>
      </c>
      <c r="FH42" t="e">
        <f>AND('GA55 Entry'!#REF!,"AAAAAEdf36M=")</f>
        <v>#REF!</v>
      </c>
      <c r="FI42" t="e">
        <f>AND('GA55 Entry'!#REF!,"AAAAAEdf36Q=")</f>
        <v>#REF!</v>
      </c>
      <c r="FJ42" t="e">
        <f>AND('GA55 Entry'!#REF!,"AAAAAEdf36U=")</f>
        <v>#REF!</v>
      </c>
      <c r="FK42" t="e">
        <f>AND('GA55 Entry'!#REF!,"AAAAAEdf36Y=")</f>
        <v>#REF!</v>
      </c>
      <c r="FL42" t="e">
        <f>AND('GA55 Entry'!#REF!,"AAAAAEdf36c=")</f>
        <v>#REF!</v>
      </c>
      <c r="FM42" t="e">
        <f>AND('GA55 Entry'!#REF!,"AAAAAEdf36g=")</f>
        <v>#REF!</v>
      </c>
      <c r="FN42" t="e">
        <f>AND('GA55 Entry'!#REF!,"AAAAAEdf36k=")</f>
        <v>#REF!</v>
      </c>
      <c r="FO42" t="e">
        <f>AND('GA55 Entry'!#REF!,"AAAAAEdf36o=")</f>
        <v>#REF!</v>
      </c>
      <c r="FP42" t="e">
        <f>AND('GA55 Entry'!#REF!,"AAAAAEdf36s=")</f>
        <v>#REF!</v>
      </c>
      <c r="FQ42" t="e">
        <f>AND('GA55 Entry'!#REF!,"AAAAAEdf36w=")</f>
        <v>#REF!</v>
      </c>
      <c r="FR42" t="e">
        <f>AND('GA55 Entry'!#REF!,"AAAAAEdf360=")</f>
        <v>#REF!</v>
      </c>
      <c r="FS42" t="e">
        <f>AND('GA55 Entry'!#REF!,"AAAAAEdf364=")</f>
        <v>#REF!</v>
      </c>
      <c r="FT42" t="e">
        <f>AND('GA55 Entry'!#REF!,"AAAAAEdf368=")</f>
        <v>#REF!</v>
      </c>
      <c r="FU42" t="e">
        <f>AND('GA55 Entry'!#REF!,"AAAAAEdf37A=")</f>
        <v>#REF!</v>
      </c>
      <c r="FV42" t="e">
        <f>AND('GA55 Entry'!#REF!,"AAAAAEdf37E=")</f>
        <v>#REF!</v>
      </c>
      <c r="FW42" t="e">
        <f>AND('GA55 Entry'!#REF!,"AAAAAEdf37I=")</f>
        <v>#REF!</v>
      </c>
      <c r="FX42" t="e">
        <f>AND('GA55 Entry'!#REF!,"AAAAAEdf37M=")</f>
        <v>#REF!</v>
      </c>
      <c r="FY42" t="e">
        <f>AND('GA55 Entry'!#REF!,"AAAAAEdf37Q=")</f>
        <v>#REF!</v>
      </c>
      <c r="FZ42" t="e">
        <f>AND('GA55 Entry'!#REF!,"AAAAAEdf37U=")</f>
        <v>#REF!</v>
      </c>
      <c r="GA42" t="e">
        <f>AND('GA55 Entry'!#REF!,"AAAAAEdf37Y=")</f>
        <v>#REF!</v>
      </c>
      <c r="GB42" t="e">
        <f>AND('GA55 Entry'!#REF!,"AAAAAEdf37c=")</f>
        <v>#REF!</v>
      </c>
      <c r="GC42" t="e">
        <f>AND('GA55 Entry'!#REF!,"AAAAAEdf37g=")</f>
        <v>#REF!</v>
      </c>
      <c r="GD42" t="e">
        <f>AND('GA55 Entry'!#REF!,"AAAAAEdf37k=")</f>
        <v>#REF!</v>
      </c>
      <c r="GE42" t="e">
        <f>AND('GA55 Entry'!#REF!,"AAAAAEdf37o=")</f>
        <v>#REF!</v>
      </c>
      <c r="GF42" t="e">
        <f>AND('GA55 Entry'!#REF!,"AAAAAEdf37s=")</f>
        <v>#REF!</v>
      </c>
      <c r="GG42" t="e">
        <f>AND('GA55 Entry'!#REF!,"AAAAAEdf37w=")</f>
        <v>#REF!</v>
      </c>
      <c r="GH42" t="e">
        <f>AND('GA55 Entry'!#REF!,"AAAAAEdf370=")</f>
        <v>#REF!</v>
      </c>
      <c r="GI42" t="e">
        <f>AND('GA55 Entry'!#REF!,"AAAAAEdf374=")</f>
        <v>#REF!</v>
      </c>
      <c r="GJ42" t="e">
        <f>AND('GA55 Entry'!#REF!,"AAAAAEdf378=")</f>
        <v>#REF!</v>
      </c>
      <c r="GK42" t="e">
        <f>AND('GA55 Entry'!#REF!,"AAAAAEdf38A=")</f>
        <v>#REF!</v>
      </c>
      <c r="GL42" t="e">
        <f>AND('GA55 Entry'!#REF!,"AAAAAEdf38E=")</f>
        <v>#REF!</v>
      </c>
      <c r="GM42" t="e">
        <f>AND('GA55 Entry'!#REF!,"AAAAAEdf38I=")</f>
        <v>#REF!</v>
      </c>
      <c r="GN42" t="e">
        <f>AND('GA55 Entry'!#REF!,"AAAAAEdf38M=")</f>
        <v>#REF!</v>
      </c>
      <c r="GO42" t="e">
        <f>AND('GA55 Entry'!#REF!,"AAAAAEdf38Q=")</f>
        <v>#REF!</v>
      </c>
      <c r="GP42" t="e">
        <f>AND('GA55 Entry'!#REF!,"AAAAAEdf38U=")</f>
        <v>#REF!</v>
      </c>
      <c r="GQ42" t="e">
        <f>AND('GA55 Entry'!#REF!,"AAAAAEdf38Y=")</f>
        <v>#REF!</v>
      </c>
      <c r="GR42" t="e">
        <f>AND('GA55 Entry'!#REF!,"AAAAAEdf38c=")</f>
        <v>#REF!</v>
      </c>
      <c r="GS42" t="e">
        <f>AND('GA55 Entry'!#REF!,"AAAAAEdf38g=")</f>
        <v>#REF!</v>
      </c>
      <c r="GT42" t="e">
        <f>AND('GA55 Entry'!#REF!,"AAAAAEdf38k=")</f>
        <v>#REF!</v>
      </c>
      <c r="GU42" t="e">
        <f>IF('GA55 Entry'!#REF!,"AAAAAEdf38o=",0)</f>
        <v>#REF!</v>
      </c>
      <c r="GV42" t="e">
        <f>AND('GA55 Entry'!#REF!,"AAAAAEdf38s=")</f>
        <v>#REF!</v>
      </c>
      <c r="GW42" t="e">
        <f>AND('GA55 Entry'!#REF!,"AAAAAEdf38w=")</f>
        <v>#REF!</v>
      </c>
      <c r="GX42" t="e">
        <f>AND('GA55 Entry'!#REF!,"AAAAAEdf380=")</f>
        <v>#REF!</v>
      </c>
      <c r="GY42" t="e">
        <f>AND('GA55 Entry'!#REF!,"AAAAAEdf384=")</f>
        <v>#REF!</v>
      </c>
      <c r="GZ42" t="e">
        <f>AND('GA55 Entry'!#REF!,"AAAAAEdf388=")</f>
        <v>#REF!</v>
      </c>
      <c r="HA42" t="e">
        <f>AND('GA55 Entry'!#REF!,"AAAAAEdf39A=")</f>
        <v>#REF!</v>
      </c>
      <c r="HB42" t="e">
        <f>AND('GA55 Entry'!#REF!,"AAAAAEdf39E=")</f>
        <v>#REF!</v>
      </c>
      <c r="HC42" t="e">
        <f>AND('GA55 Entry'!#REF!,"AAAAAEdf39I=")</f>
        <v>#REF!</v>
      </c>
      <c r="HD42" t="e">
        <f>AND('GA55 Entry'!#REF!,"AAAAAEdf39M=")</f>
        <v>#REF!</v>
      </c>
      <c r="HE42" t="e">
        <f>AND('GA55 Entry'!#REF!,"AAAAAEdf39Q=")</f>
        <v>#REF!</v>
      </c>
      <c r="HF42" t="e">
        <f>AND('GA55 Entry'!#REF!,"AAAAAEdf39U=")</f>
        <v>#REF!</v>
      </c>
      <c r="HG42" t="e">
        <f>AND('GA55 Entry'!#REF!,"AAAAAEdf39Y=")</f>
        <v>#REF!</v>
      </c>
      <c r="HH42" t="e">
        <f>AND('GA55 Entry'!#REF!,"AAAAAEdf39c=")</f>
        <v>#REF!</v>
      </c>
      <c r="HI42" t="e">
        <f>AND('GA55 Entry'!#REF!,"AAAAAEdf39g=")</f>
        <v>#REF!</v>
      </c>
      <c r="HJ42" t="e">
        <f>AND('GA55 Entry'!#REF!,"AAAAAEdf39k=")</f>
        <v>#REF!</v>
      </c>
      <c r="HK42" t="e">
        <f>AND('GA55 Entry'!#REF!,"AAAAAEdf39o=")</f>
        <v>#REF!</v>
      </c>
      <c r="HL42" t="e">
        <f>AND('GA55 Entry'!#REF!,"AAAAAEdf39s=")</f>
        <v>#REF!</v>
      </c>
      <c r="HM42" t="e">
        <f>AND('GA55 Entry'!#REF!,"AAAAAEdf39w=")</f>
        <v>#REF!</v>
      </c>
      <c r="HN42" t="e">
        <f>AND('GA55 Entry'!#REF!,"AAAAAEdf390=")</f>
        <v>#REF!</v>
      </c>
      <c r="HO42" t="e">
        <f>AND('GA55 Entry'!#REF!,"AAAAAEdf394=")</f>
        <v>#REF!</v>
      </c>
      <c r="HP42" t="e">
        <f>AND('GA55 Entry'!#REF!,"AAAAAEdf398=")</f>
        <v>#REF!</v>
      </c>
      <c r="HQ42" t="e">
        <f>AND('GA55 Entry'!#REF!,"AAAAAEdf3+A=")</f>
        <v>#REF!</v>
      </c>
      <c r="HR42" t="e">
        <f>AND('GA55 Entry'!#REF!,"AAAAAEdf3+E=")</f>
        <v>#REF!</v>
      </c>
      <c r="HS42" t="e">
        <f>AND('GA55 Entry'!#REF!,"AAAAAEdf3+I=")</f>
        <v>#REF!</v>
      </c>
      <c r="HT42" t="e">
        <f>AND('GA55 Entry'!#REF!,"AAAAAEdf3+M=")</f>
        <v>#REF!</v>
      </c>
      <c r="HU42" t="e">
        <f>AND('GA55 Entry'!#REF!,"AAAAAEdf3+Q=")</f>
        <v>#REF!</v>
      </c>
      <c r="HV42" t="e">
        <f>AND('GA55 Entry'!#REF!,"AAAAAEdf3+U=")</f>
        <v>#REF!</v>
      </c>
      <c r="HW42" t="e">
        <f>AND('GA55 Entry'!#REF!,"AAAAAEdf3+Y=")</f>
        <v>#REF!</v>
      </c>
      <c r="HX42" t="e">
        <f>AND('GA55 Entry'!#REF!,"AAAAAEdf3+c=")</f>
        <v>#REF!</v>
      </c>
      <c r="HY42" t="e">
        <f>AND('GA55 Entry'!#REF!,"AAAAAEdf3+g=")</f>
        <v>#REF!</v>
      </c>
      <c r="HZ42" t="e">
        <f>AND('GA55 Entry'!#REF!,"AAAAAEdf3+k=")</f>
        <v>#REF!</v>
      </c>
      <c r="IA42" t="e">
        <f>AND('GA55 Entry'!#REF!,"AAAAAEdf3+o=")</f>
        <v>#REF!</v>
      </c>
      <c r="IB42" t="e">
        <f>AND('GA55 Entry'!#REF!,"AAAAAEdf3+s=")</f>
        <v>#REF!</v>
      </c>
      <c r="IC42" t="e">
        <f>AND('GA55 Entry'!#REF!,"AAAAAEdf3+w=")</f>
        <v>#REF!</v>
      </c>
      <c r="ID42" t="e">
        <f>AND('GA55 Entry'!#REF!,"AAAAAEdf3+0=")</f>
        <v>#REF!</v>
      </c>
      <c r="IE42" t="e">
        <f>AND('GA55 Entry'!#REF!,"AAAAAEdf3+4=")</f>
        <v>#REF!</v>
      </c>
      <c r="IF42" t="e">
        <f>AND('GA55 Entry'!#REF!,"AAAAAEdf3+8=")</f>
        <v>#REF!</v>
      </c>
      <c r="IG42" t="e">
        <f>AND('GA55 Entry'!#REF!,"AAAAAEdf3/A=")</f>
        <v>#REF!</v>
      </c>
      <c r="IH42" t="e">
        <f>AND('GA55 Entry'!#REF!,"AAAAAEdf3/E=")</f>
        <v>#REF!</v>
      </c>
      <c r="II42" t="e">
        <f>AND('GA55 Entry'!#REF!,"AAAAAEdf3/I=")</f>
        <v>#REF!</v>
      </c>
      <c r="IJ42" t="e">
        <f>AND('GA55 Entry'!#REF!,"AAAAAEdf3/M=")</f>
        <v>#REF!</v>
      </c>
      <c r="IK42" t="e">
        <f>AND('GA55 Entry'!#REF!,"AAAAAEdf3/Q=")</f>
        <v>#REF!</v>
      </c>
      <c r="IL42" t="e">
        <f>AND('GA55 Entry'!#REF!,"AAAAAEdf3/U=")</f>
        <v>#REF!</v>
      </c>
      <c r="IM42" t="e">
        <f>AND('GA55 Entry'!#REF!,"AAAAAEdf3/Y=")</f>
        <v>#REF!</v>
      </c>
      <c r="IN42" t="e">
        <f>AND('GA55 Entry'!#REF!,"AAAAAEdf3/c=")</f>
        <v>#REF!</v>
      </c>
      <c r="IO42" t="e">
        <f>AND('GA55 Entry'!#REF!,"AAAAAEdf3/g=")</f>
        <v>#REF!</v>
      </c>
      <c r="IP42" t="e">
        <f>AND('GA55 Entry'!#REF!,"AAAAAEdf3/k=")</f>
        <v>#REF!</v>
      </c>
      <c r="IQ42" t="e">
        <f>AND('GA55 Entry'!#REF!,"AAAAAEdf3/o=")</f>
        <v>#REF!</v>
      </c>
      <c r="IR42" t="e">
        <f>AND('GA55 Entry'!#REF!,"AAAAAEdf3/s=")</f>
        <v>#REF!</v>
      </c>
      <c r="IS42" t="e">
        <f>AND('GA55 Entry'!#REF!,"AAAAAEdf3/w=")</f>
        <v>#REF!</v>
      </c>
      <c r="IT42" t="e">
        <f>IF('GA55 Entry'!#REF!,"AAAAAEdf3/0=",0)</f>
        <v>#REF!</v>
      </c>
      <c r="IU42" t="e">
        <f>AND('GA55 Entry'!#REF!,"AAAAAEdf3/4=")</f>
        <v>#REF!</v>
      </c>
      <c r="IV42" t="e">
        <f>AND('GA55 Entry'!#REF!,"AAAAAEdf3/8=")</f>
        <v>#REF!</v>
      </c>
    </row>
    <row r="43" spans="1:256">
      <c r="A43" t="e">
        <f>AND('GA55 Entry'!#REF!,"AAAAAD99mQA=")</f>
        <v>#REF!</v>
      </c>
      <c r="B43" t="e">
        <f>AND('GA55 Entry'!#REF!,"AAAAAD99mQE=")</f>
        <v>#REF!</v>
      </c>
      <c r="C43" t="e">
        <f>AND('GA55 Entry'!#REF!,"AAAAAD99mQI=")</f>
        <v>#REF!</v>
      </c>
      <c r="D43" t="e">
        <f>AND('GA55 Entry'!#REF!,"AAAAAD99mQM=")</f>
        <v>#REF!</v>
      </c>
      <c r="E43" t="e">
        <f>AND('GA55 Entry'!#REF!,"AAAAAD99mQQ=")</f>
        <v>#REF!</v>
      </c>
      <c r="F43" t="e">
        <f>AND('GA55 Entry'!#REF!,"AAAAAD99mQU=")</f>
        <v>#REF!</v>
      </c>
      <c r="G43" t="e">
        <f>AND('GA55 Entry'!#REF!,"AAAAAD99mQY=")</f>
        <v>#REF!</v>
      </c>
      <c r="H43" t="e">
        <f>AND('GA55 Entry'!#REF!,"AAAAAD99mQc=")</f>
        <v>#REF!</v>
      </c>
      <c r="I43" t="e">
        <f>AND('GA55 Entry'!#REF!,"AAAAAD99mQg=")</f>
        <v>#REF!</v>
      </c>
      <c r="J43" t="e">
        <f>AND('GA55 Entry'!#REF!,"AAAAAD99mQk=")</f>
        <v>#REF!</v>
      </c>
      <c r="K43" t="e">
        <f>AND('GA55 Entry'!#REF!,"AAAAAD99mQo=")</f>
        <v>#REF!</v>
      </c>
      <c r="L43" t="e">
        <f>AND('GA55 Entry'!#REF!,"AAAAAD99mQs=")</f>
        <v>#REF!</v>
      </c>
      <c r="M43" t="e">
        <f>AND('GA55 Entry'!#REF!,"AAAAAD99mQw=")</f>
        <v>#REF!</v>
      </c>
      <c r="N43" t="e">
        <f>AND('GA55 Entry'!#REF!,"AAAAAD99mQ0=")</f>
        <v>#REF!</v>
      </c>
      <c r="O43" t="e">
        <f>AND('GA55 Entry'!#REF!,"AAAAAD99mQ4=")</f>
        <v>#REF!</v>
      </c>
      <c r="P43" t="e">
        <f>AND('GA55 Entry'!#REF!,"AAAAAD99mQ8=")</f>
        <v>#REF!</v>
      </c>
      <c r="Q43" t="e">
        <f>AND('GA55 Entry'!#REF!,"AAAAAD99mRA=")</f>
        <v>#REF!</v>
      </c>
      <c r="R43" t="e">
        <f>AND('GA55 Entry'!#REF!,"AAAAAD99mRE=")</f>
        <v>#REF!</v>
      </c>
      <c r="S43" t="e">
        <f>AND('GA55 Entry'!#REF!,"AAAAAD99mRI=")</f>
        <v>#REF!</v>
      </c>
      <c r="T43" t="e">
        <f>AND('GA55 Entry'!#REF!,"AAAAAD99mRM=")</f>
        <v>#REF!</v>
      </c>
      <c r="U43" t="e">
        <f>AND('GA55 Entry'!#REF!,"AAAAAD99mRQ=")</f>
        <v>#REF!</v>
      </c>
      <c r="V43" t="e">
        <f>AND('GA55 Entry'!#REF!,"AAAAAD99mRU=")</f>
        <v>#REF!</v>
      </c>
      <c r="W43" t="e">
        <f>AND('GA55 Entry'!#REF!,"AAAAAD99mRY=")</f>
        <v>#REF!</v>
      </c>
      <c r="X43" t="e">
        <f>AND('GA55 Entry'!#REF!,"AAAAAD99mRc=")</f>
        <v>#REF!</v>
      </c>
      <c r="Y43" t="e">
        <f>AND('GA55 Entry'!#REF!,"AAAAAD99mRg=")</f>
        <v>#REF!</v>
      </c>
      <c r="Z43" t="e">
        <f>AND('GA55 Entry'!#REF!,"AAAAAD99mRk=")</f>
        <v>#REF!</v>
      </c>
      <c r="AA43" t="e">
        <f>AND('GA55 Entry'!#REF!,"AAAAAD99mRo=")</f>
        <v>#REF!</v>
      </c>
      <c r="AB43" t="e">
        <f>AND('GA55 Entry'!#REF!,"AAAAAD99mRs=")</f>
        <v>#REF!</v>
      </c>
      <c r="AC43" t="e">
        <f>AND('GA55 Entry'!#REF!,"AAAAAD99mRw=")</f>
        <v>#REF!</v>
      </c>
      <c r="AD43" t="e">
        <f>AND('GA55 Entry'!#REF!,"AAAAAD99mR0=")</f>
        <v>#REF!</v>
      </c>
      <c r="AE43" t="e">
        <f>AND('GA55 Entry'!#REF!,"AAAAAD99mR4=")</f>
        <v>#REF!</v>
      </c>
      <c r="AF43" t="e">
        <f>AND('GA55 Entry'!#REF!,"AAAAAD99mR8=")</f>
        <v>#REF!</v>
      </c>
      <c r="AG43" t="e">
        <f>AND('GA55 Entry'!#REF!,"AAAAAD99mSA=")</f>
        <v>#REF!</v>
      </c>
      <c r="AH43" t="e">
        <f>AND('GA55 Entry'!#REF!,"AAAAAD99mSE=")</f>
        <v>#REF!</v>
      </c>
      <c r="AI43" t="e">
        <f>AND('GA55 Entry'!#REF!,"AAAAAD99mSI=")</f>
        <v>#REF!</v>
      </c>
      <c r="AJ43" t="e">
        <f>AND('GA55 Entry'!#REF!,"AAAAAD99mSM=")</f>
        <v>#REF!</v>
      </c>
      <c r="AK43" t="e">
        <f>AND('GA55 Entry'!#REF!,"AAAAAD99mSQ=")</f>
        <v>#REF!</v>
      </c>
      <c r="AL43" t="e">
        <f>AND('GA55 Entry'!#REF!,"AAAAAD99mSU=")</f>
        <v>#REF!</v>
      </c>
      <c r="AM43" t="e">
        <f>AND('GA55 Entry'!#REF!,"AAAAAD99mSY=")</f>
        <v>#REF!</v>
      </c>
      <c r="AN43" t="e">
        <f>AND('GA55 Entry'!#REF!,"AAAAAD99mSc=")</f>
        <v>#REF!</v>
      </c>
      <c r="AO43" t="e">
        <f>AND('GA55 Entry'!#REF!,"AAAAAD99mSg=")</f>
        <v>#REF!</v>
      </c>
      <c r="AP43" t="e">
        <f>AND('GA55 Entry'!#REF!,"AAAAAD99mSk=")</f>
        <v>#REF!</v>
      </c>
      <c r="AQ43" t="e">
        <f>AND('GA55 Entry'!#REF!,"AAAAAD99mSo=")</f>
        <v>#REF!</v>
      </c>
      <c r="AR43" t="e">
        <f>AND('GA55 Entry'!#REF!,"AAAAAD99mSs=")</f>
        <v>#REF!</v>
      </c>
      <c r="AS43" t="e">
        <f>AND('GA55 Entry'!#REF!,"AAAAAD99mSw=")</f>
        <v>#REF!</v>
      </c>
      <c r="AT43" t="e">
        <f>AND('GA55 Entry'!#REF!,"AAAAAD99mS0=")</f>
        <v>#REF!</v>
      </c>
      <c r="AU43" t="e">
        <f>AND('GA55 Entry'!#REF!,"AAAAAD99mS4=")</f>
        <v>#REF!</v>
      </c>
      <c r="AV43" t="e">
        <f>AND('GA55 Entry'!#REF!,"AAAAAD99mS8=")</f>
        <v>#REF!</v>
      </c>
      <c r="AW43" t="e">
        <f>IF('GA55 Entry'!#REF!,"AAAAAD99mTA=",0)</f>
        <v>#REF!</v>
      </c>
      <c r="AX43" t="e">
        <f>AND('GA55 Entry'!#REF!,"AAAAAD99mTE=")</f>
        <v>#REF!</v>
      </c>
      <c r="AY43" t="e">
        <f>AND('GA55 Entry'!#REF!,"AAAAAD99mTI=")</f>
        <v>#REF!</v>
      </c>
      <c r="AZ43" t="e">
        <f>AND('GA55 Entry'!#REF!,"AAAAAD99mTM=")</f>
        <v>#REF!</v>
      </c>
      <c r="BA43" t="e">
        <f>AND('GA55 Entry'!#REF!,"AAAAAD99mTQ=")</f>
        <v>#REF!</v>
      </c>
      <c r="BB43" t="e">
        <f>AND('GA55 Entry'!#REF!,"AAAAAD99mTU=")</f>
        <v>#REF!</v>
      </c>
      <c r="BC43" t="e">
        <f>AND('GA55 Entry'!#REF!,"AAAAAD99mTY=")</f>
        <v>#REF!</v>
      </c>
      <c r="BD43" t="e">
        <f>AND('GA55 Entry'!#REF!,"AAAAAD99mTc=")</f>
        <v>#REF!</v>
      </c>
      <c r="BE43" t="e">
        <f>AND('GA55 Entry'!#REF!,"AAAAAD99mTg=")</f>
        <v>#REF!</v>
      </c>
      <c r="BF43" t="e">
        <f>AND('GA55 Entry'!#REF!,"AAAAAD99mTk=")</f>
        <v>#REF!</v>
      </c>
      <c r="BG43" t="e">
        <f>AND('GA55 Entry'!#REF!,"AAAAAD99mTo=")</f>
        <v>#REF!</v>
      </c>
      <c r="BH43" t="e">
        <f>AND('GA55 Entry'!#REF!,"AAAAAD99mTs=")</f>
        <v>#REF!</v>
      </c>
      <c r="BI43" t="e">
        <f>AND('GA55 Entry'!#REF!,"AAAAAD99mTw=")</f>
        <v>#REF!</v>
      </c>
      <c r="BJ43" t="e">
        <f>AND('GA55 Entry'!#REF!,"AAAAAD99mT0=")</f>
        <v>#REF!</v>
      </c>
      <c r="BK43" t="e">
        <f>AND('GA55 Entry'!#REF!,"AAAAAD99mT4=")</f>
        <v>#REF!</v>
      </c>
      <c r="BL43" t="e">
        <f>AND('GA55 Entry'!#REF!,"AAAAAD99mT8=")</f>
        <v>#REF!</v>
      </c>
      <c r="BM43" t="e">
        <f>AND('GA55 Entry'!#REF!,"AAAAAD99mUA=")</f>
        <v>#REF!</v>
      </c>
      <c r="BN43" t="e">
        <f>AND('GA55 Entry'!#REF!,"AAAAAD99mUE=")</f>
        <v>#REF!</v>
      </c>
      <c r="BO43" t="e">
        <f>AND('GA55 Entry'!#REF!,"AAAAAD99mUI=")</f>
        <v>#REF!</v>
      </c>
      <c r="BP43" t="e">
        <f>AND('GA55 Entry'!#REF!,"AAAAAD99mUM=")</f>
        <v>#REF!</v>
      </c>
      <c r="BQ43" t="e">
        <f>AND('GA55 Entry'!#REF!,"AAAAAD99mUQ=")</f>
        <v>#REF!</v>
      </c>
      <c r="BR43" t="e">
        <f>AND('GA55 Entry'!#REF!,"AAAAAD99mUU=")</f>
        <v>#REF!</v>
      </c>
      <c r="BS43" t="e">
        <f>AND('GA55 Entry'!#REF!,"AAAAAD99mUY=")</f>
        <v>#REF!</v>
      </c>
      <c r="BT43" t="e">
        <f>AND('GA55 Entry'!#REF!,"AAAAAD99mUc=")</f>
        <v>#REF!</v>
      </c>
      <c r="BU43" t="e">
        <f>AND('GA55 Entry'!#REF!,"AAAAAD99mUg=")</f>
        <v>#REF!</v>
      </c>
      <c r="BV43" t="e">
        <f>AND('GA55 Entry'!#REF!,"AAAAAD99mUk=")</f>
        <v>#REF!</v>
      </c>
      <c r="BW43" t="e">
        <f>AND('GA55 Entry'!#REF!,"AAAAAD99mUo=")</f>
        <v>#REF!</v>
      </c>
      <c r="BX43" t="e">
        <f>AND('GA55 Entry'!#REF!,"AAAAAD99mUs=")</f>
        <v>#REF!</v>
      </c>
      <c r="BY43" t="e">
        <f>AND('GA55 Entry'!#REF!,"AAAAAD99mUw=")</f>
        <v>#REF!</v>
      </c>
      <c r="BZ43" t="e">
        <f>AND('GA55 Entry'!#REF!,"AAAAAD99mU0=")</f>
        <v>#REF!</v>
      </c>
      <c r="CA43" t="e">
        <f>AND('GA55 Entry'!#REF!,"AAAAAD99mU4=")</f>
        <v>#REF!</v>
      </c>
      <c r="CB43" t="e">
        <f>AND('GA55 Entry'!#REF!,"AAAAAD99mU8=")</f>
        <v>#REF!</v>
      </c>
      <c r="CC43" t="e">
        <f>AND('GA55 Entry'!#REF!,"AAAAAD99mVA=")</f>
        <v>#REF!</v>
      </c>
      <c r="CD43" t="e">
        <f>AND('GA55 Entry'!#REF!,"AAAAAD99mVE=")</f>
        <v>#REF!</v>
      </c>
      <c r="CE43" t="e">
        <f>AND('GA55 Entry'!#REF!,"AAAAAD99mVI=")</f>
        <v>#REF!</v>
      </c>
      <c r="CF43" t="e">
        <f>AND('GA55 Entry'!#REF!,"AAAAAD99mVM=")</f>
        <v>#REF!</v>
      </c>
      <c r="CG43" t="e">
        <f>AND('GA55 Entry'!#REF!,"AAAAAD99mVQ=")</f>
        <v>#REF!</v>
      </c>
      <c r="CH43" t="e">
        <f>AND('GA55 Entry'!#REF!,"AAAAAD99mVU=")</f>
        <v>#REF!</v>
      </c>
      <c r="CI43" t="e">
        <f>AND('GA55 Entry'!#REF!,"AAAAAD99mVY=")</f>
        <v>#REF!</v>
      </c>
      <c r="CJ43" t="e">
        <f>AND('GA55 Entry'!#REF!,"AAAAAD99mVc=")</f>
        <v>#REF!</v>
      </c>
      <c r="CK43" t="e">
        <f>AND('GA55 Entry'!#REF!,"AAAAAD99mVg=")</f>
        <v>#REF!</v>
      </c>
      <c r="CL43" t="e">
        <f>AND('GA55 Entry'!#REF!,"AAAAAD99mVk=")</f>
        <v>#REF!</v>
      </c>
      <c r="CM43" t="e">
        <f>AND('GA55 Entry'!#REF!,"AAAAAD99mVo=")</f>
        <v>#REF!</v>
      </c>
      <c r="CN43" t="e">
        <f>AND('GA55 Entry'!#REF!,"AAAAAD99mVs=")</f>
        <v>#REF!</v>
      </c>
      <c r="CO43" t="e">
        <f>AND('GA55 Entry'!#REF!,"AAAAAD99mVw=")</f>
        <v>#REF!</v>
      </c>
      <c r="CP43" t="e">
        <f>AND('GA55 Entry'!#REF!,"AAAAAD99mV0=")</f>
        <v>#REF!</v>
      </c>
      <c r="CQ43" t="e">
        <f>AND('GA55 Entry'!#REF!,"AAAAAD99mV4=")</f>
        <v>#REF!</v>
      </c>
      <c r="CR43" t="e">
        <f>AND('GA55 Entry'!#REF!,"AAAAAD99mV8=")</f>
        <v>#REF!</v>
      </c>
      <c r="CS43" t="e">
        <f>AND('GA55 Entry'!#REF!,"AAAAAD99mWA=")</f>
        <v>#REF!</v>
      </c>
      <c r="CT43" t="e">
        <f>AND('GA55 Entry'!#REF!,"AAAAAD99mWE=")</f>
        <v>#REF!</v>
      </c>
      <c r="CU43" t="e">
        <f>AND('GA55 Entry'!#REF!,"AAAAAD99mWI=")</f>
        <v>#REF!</v>
      </c>
      <c r="CV43" t="e">
        <f>IF('GA55 Entry'!#REF!,"AAAAAD99mWM=",0)</f>
        <v>#REF!</v>
      </c>
      <c r="CW43" t="e">
        <f>AND('GA55 Entry'!#REF!,"AAAAAD99mWQ=")</f>
        <v>#REF!</v>
      </c>
      <c r="CX43" t="e">
        <f>AND('GA55 Entry'!#REF!,"AAAAAD99mWU=")</f>
        <v>#REF!</v>
      </c>
      <c r="CY43" t="e">
        <f>AND('GA55 Entry'!#REF!,"AAAAAD99mWY=")</f>
        <v>#REF!</v>
      </c>
      <c r="CZ43" t="e">
        <f>AND('GA55 Entry'!#REF!,"AAAAAD99mWc=")</f>
        <v>#REF!</v>
      </c>
      <c r="DA43" t="e">
        <f>AND('GA55 Entry'!#REF!,"AAAAAD99mWg=")</f>
        <v>#REF!</v>
      </c>
      <c r="DB43" t="e">
        <f>AND('GA55 Entry'!#REF!,"AAAAAD99mWk=")</f>
        <v>#REF!</v>
      </c>
      <c r="DC43" t="e">
        <f>AND('GA55 Entry'!#REF!,"AAAAAD99mWo=")</f>
        <v>#REF!</v>
      </c>
      <c r="DD43" t="e">
        <f>AND('GA55 Entry'!#REF!,"AAAAAD99mWs=")</f>
        <v>#REF!</v>
      </c>
      <c r="DE43" t="e">
        <f>AND('GA55 Entry'!#REF!,"AAAAAD99mWw=")</f>
        <v>#REF!</v>
      </c>
      <c r="DF43" t="e">
        <f>AND('GA55 Entry'!#REF!,"AAAAAD99mW0=")</f>
        <v>#REF!</v>
      </c>
      <c r="DG43" t="e">
        <f>AND('GA55 Entry'!#REF!,"AAAAAD99mW4=")</f>
        <v>#REF!</v>
      </c>
      <c r="DH43" t="e">
        <f>AND('GA55 Entry'!#REF!,"AAAAAD99mW8=")</f>
        <v>#REF!</v>
      </c>
      <c r="DI43" t="e">
        <f>AND('GA55 Entry'!#REF!,"AAAAAD99mXA=")</f>
        <v>#REF!</v>
      </c>
      <c r="DJ43" t="e">
        <f>AND('GA55 Entry'!#REF!,"AAAAAD99mXE=")</f>
        <v>#REF!</v>
      </c>
      <c r="DK43" t="e">
        <f>AND('GA55 Entry'!#REF!,"AAAAAD99mXI=")</f>
        <v>#REF!</v>
      </c>
      <c r="DL43" t="e">
        <f>AND('GA55 Entry'!#REF!,"AAAAAD99mXM=")</f>
        <v>#REF!</v>
      </c>
      <c r="DM43" t="e">
        <f>AND('GA55 Entry'!#REF!,"AAAAAD99mXQ=")</f>
        <v>#REF!</v>
      </c>
      <c r="DN43" t="e">
        <f>AND('GA55 Entry'!#REF!,"AAAAAD99mXU=")</f>
        <v>#REF!</v>
      </c>
      <c r="DO43" t="e">
        <f>AND('GA55 Entry'!#REF!,"AAAAAD99mXY=")</f>
        <v>#REF!</v>
      </c>
      <c r="DP43" t="e">
        <f>AND('GA55 Entry'!#REF!,"AAAAAD99mXc=")</f>
        <v>#REF!</v>
      </c>
      <c r="DQ43" t="e">
        <f>AND('GA55 Entry'!#REF!,"AAAAAD99mXg=")</f>
        <v>#REF!</v>
      </c>
      <c r="DR43" t="e">
        <f>AND('GA55 Entry'!#REF!,"AAAAAD99mXk=")</f>
        <v>#REF!</v>
      </c>
      <c r="DS43" t="e">
        <f>AND('GA55 Entry'!#REF!,"AAAAAD99mXo=")</f>
        <v>#REF!</v>
      </c>
      <c r="DT43" t="e">
        <f>AND('GA55 Entry'!#REF!,"AAAAAD99mXs=")</f>
        <v>#REF!</v>
      </c>
      <c r="DU43" t="e">
        <f>AND('GA55 Entry'!#REF!,"AAAAAD99mXw=")</f>
        <v>#REF!</v>
      </c>
      <c r="DV43" t="e">
        <f>AND('GA55 Entry'!#REF!,"AAAAAD99mX0=")</f>
        <v>#REF!</v>
      </c>
      <c r="DW43" t="e">
        <f>AND('GA55 Entry'!#REF!,"AAAAAD99mX4=")</f>
        <v>#REF!</v>
      </c>
      <c r="DX43" t="e">
        <f>AND('GA55 Entry'!#REF!,"AAAAAD99mX8=")</f>
        <v>#REF!</v>
      </c>
      <c r="DY43" t="e">
        <f>AND('GA55 Entry'!#REF!,"AAAAAD99mYA=")</f>
        <v>#REF!</v>
      </c>
      <c r="DZ43" t="e">
        <f>AND('GA55 Entry'!#REF!,"AAAAAD99mYE=")</f>
        <v>#REF!</v>
      </c>
      <c r="EA43" t="e">
        <f>AND('GA55 Entry'!#REF!,"AAAAAD99mYI=")</f>
        <v>#REF!</v>
      </c>
      <c r="EB43" t="e">
        <f>AND('GA55 Entry'!#REF!,"AAAAAD99mYM=")</f>
        <v>#REF!</v>
      </c>
      <c r="EC43" t="e">
        <f>AND('GA55 Entry'!#REF!,"AAAAAD99mYQ=")</f>
        <v>#REF!</v>
      </c>
      <c r="ED43" t="e">
        <f>AND('GA55 Entry'!#REF!,"AAAAAD99mYU=")</f>
        <v>#REF!</v>
      </c>
      <c r="EE43" t="e">
        <f>AND('GA55 Entry'!#REF!,"AAAAAD99mYY=")</f>
        <v>#REF!</v>
      </c>
      <c r="EF43" t="e">
        <f>AND('GA55 Entry'!#REF!,"AAAAAD99mYc=")</f>
        <v>#REF!</v>
      </c>
      <c r="EG43" t="e">
        <f>AND('GA55 Entry'!#REF!,"AAAAAD99mYg=")</f>
        <v>#REF!</v>
      </c>
      <c r="EH43" t="e">
        <f>AND('GA55 Entry'!#REF!,"AAAAAD99mYk=")</f>
        <v>#REF!</v>
      </c>
      <c r="EI43" t="e">
        <f>AND('GA55 Entry'!#REF!,"AAAAAD99mYo=")</f>
        <v>#REF!</v>
      </c>
      <c r="EJ43" t="e">
        <f>AND('GA55 Entry'!#REF!,"AAAAAD99mYs=")</f>
        <v>#REF!</v>
      </c>
      <c r="EK43" t="e">
        <f>AND('GA55 Entry'!#REF!,"AAAAAD99mYw=")</f>
        <v>#REF!</v>
      </c>
      <c r="EL43" t="e">
        <f>AND('GA55 Entry'!#REF!,"AAAAAD99mY0=")</f>
        <v>#REF!</v>
      </c>
      <c r="EM43" t="e">
        <f>AND('GA55 Entry'!#REF!,"AAAAAD99mY4=")</f>
        <v>#REF!</v>
      </c>
      <c r="EN43" t="e">
        <f>AND('GA55 Entry'!#REF!,"AAAAAD99mY8=")</f>
        <v>#REF!</v>
      </c>
      <c r="EO43" t="e">
        <f>AND('GA55 Entry'!#REF!,"AAAAAD99mZA=")</f>
        <v>#REF!</v>
      </c>
      <c r="EP43" t="e">
        <f>AND('GA55 Entry'!#REF!,"AAAAAD99mZE=")</f>
        <v>#REF!</v>
      </c>
      <c r="EQ43" t="e">
        <f>AND('GA55 Entry'!#REF!,"AAAAAD99mZI=")</f>
        <v>#REF!</v>
      </c>
      <c r="ER43" t="e">
        <f>AND('GA55 Entry'!#REF!,"AAAAAD99mZM=")</f>
        <v>#REF!</v>
      </c>
      <c r="ES43" t="e">
        <f>AND('GA55 Entry'!#REF!,"AAAAAD99mZQ=")</f>
        <v>#REF!</v>
      </c>
      <c r="ET43" t="e">
        <f>AND('GA55 Entry'!#REF!,"AAAAAD99mZU=")</f>
        <v>#REF!</v>
      </c>
      <c r="EU43" t="e">
        <f>IF('GA55 Entry'!#REF!,"AAAAAD99mZY=",0)</f>
        <v>#REF!</v>
      </c>
      <c r="EV43" t="e">
        <f>AND('GA55 Entry'!#REF!,"AAAAAD99mZc=")</f>
        <v>#REF!</v>
      </c>
      <c r="EW43" t="e">
        <f>AND('GA55 Entry'!#REF!,"AAAAAD99mZg=")</f>
        <v>#REF!</v>
      </c>
      <c r="EX43" t="e">
        <f>AND('GA55 Entry'!#REF!,"AAAAAD99mZk=")</f>
        <v>#REF!</v>
      </c>
      <c r="EY43" t="e">
        <f>AND('GA55 Entry'!#REF!,"AAAAAD99mZo=")</f>
        <v>#REF!</v>
      </c>
      <c r="EZ43" t="e">
        <f>AND('GA55 Entry'!#REF!,"AAAAAD99mZs=")</f>
        <v>#REF!</v>
      </c>
      <c r="FA43" t="e">
        <f>AND('GA55 Entry'!#REF!,"AAAAAD99mZw=")</f>
        <v>#REF!</v>
      </c>
      <c r="FB43" t="e">
        <f>AND('GA55 Entry'!#REF!,"AAAAAD99mZ0=")</f>
        <v>#REF!</v>
      </c>
      <c r="FC43" t="e">
        <f>AND('GA55 Entry'!#REF!,"AAAAAD99mZ4=")</f>
        <v>#REF!</v>
      </c>
      <c r="FD43" t="e">
        <f>AND('GA55 Entry'!#REF!,"AAAAAD99mZ8=")</f>
        <v>#REF!</v>
      </c>
      <c r="FE43" t="e">
        <f>AND('GA55 Entry'!#REF!,"AAAAAD99maA=")</f>
        <v>#REF!</v>
      </c>
      <c r="FF43" t="e">
        <f>AND('GA55 Entry'!#REF!,"AAAAAD99maE=")</f>
        <v>#REF!</v>
      </c>
      <c r="FG43" t="e">
        <f>AND('GA55 Entry'!#REF!,"AAAAAD99maI=")</f>
        <v>#REF!</v>
      </c>
      <c r="FH43" t="e">
        <f>AND('GA55 Entry'!#REF!,"AAAAAD99maM=")</f>
        <v>#REF!</v>
      </c>
      <c r="FI43" t="e">
        <f>AND('GA55 Entry'!#REF!,"AAAAAD99maQ=")</f>
        <v>#REF!</v>
      </c>
      <c r="FJ43" t="e">
        <f>AND('GA55 Entry'!#REF!,"AAAAAD99maU=")</f>
        <v>#REF!</v>
      </c>
      <c r="FK43" t="e">
        <f>AND('GA55 Entry'!#REF!,"AAAAAD99maY=")</f>
        <v>#REF!</v>
      </c>
      <c r="FL43" t="e">
        <f>AND('GA55 Entry'!#REF!,"AAAAAD99mac=")</f>
        <v>#REF!</v>
      </c>
      <c r="FM43" t="e">
        <f>AND('GA55 Entry'!#REF!,"AAAAAD99mag=")</f>
        <v>#REF!</v>
      </c>
      <c r="FN43" t="e">
        <f>AND('GA55 Entry'!#REF!,"AAAAAD99mak=")</f>
        <v>#REF!</v>
      </c>
      <c r="FO43" t="e">
        <f>AND('GA55 Entry'!#REF!,"AAAAAD99mao=")</f>
        <v>#REF!</v>
      </c>
      <c r="FP43" t="e">
        <f>AND('GA55 Entry'!#REF!,"AAAAAD99mas=")</f>
        <v>#REF!</v>
      </c>
      <c r="FQ43" t="e">
        <f>AND('GA55 Entry'!#REF!,"AAAAAD99maw=")</f>
        <v>#REF!</v>
      </c>
      <c r="FR43" t="e">
        <f>AND('GA55 Entry'!#REF!,"AAAAAD99ma0=")</f>
        <v>#REF!</v>
      </c>
      <c r="FS43" t="e">
        <f>AND('GA55 Entry'!#REF!,"AAAAAD99ma4=")</f>
        <v>#REF!</v>
      </c>
      <c r="FT43" t="e">
        <f>AND('GA55 Entry'!#REF!,"AAAAAD99ma8=")</f>
        <v>#REF!</v>
      </c>
      <c r="FU43" t="e">
        <f>AND('GA55 Entry'!#REF!,"AAAAAD99mbA=")</f>
        <v>#REF!</v>
      </c>
      <c r="FV43" t="e">
        <f>AND('GA55 Entry'!#REF!,"AAAAAD99mbE=")</f>
        <v>#REF!</v>
      </c>
      <c r="FW43" t="e">
        <f>AND('GA55 Entry'!#REF!,"AAAAAD99mbI=")</f>
        <v>#REF!</v>
      </c>
      <c r="FX43" t="e">
        <f>AND('GA55 Entry'!#REF!,"AAAAAD99mbM=")</f>
        <v>#REF!</v>
      </c>
      <c r="FY43" t="e">
        <f>AND('GA55 Entry'!#REF!,"AAAAAD99mbQ=")</f>
        <v>#REF!</v>
      </c>
      <c r="FZ43" t="e">
        <f>AND('GA55 Entry'!#REF!,"AAAAAD99mbU=")</f>
        <v>#REF!</v>
      </c>
      <c r="GA43" t="e">
        <f>AND('GA55 Entry'!#REF!,"AAAAAD99mbY=")</f>
        <v>#REF!</v>
      </c>
      <c r="GB43" t="e">
        <f>AND('GA55 Entry'!#REF!,"AAAAAD99mbc=")</f>
        <v>#REF!</v>
      </c>
      <c r="GC43" t="e">
        <f>AND('GA55 Entry'!#REF!,"AAAAAD99mbg=")</f>
        <v>#REF!</v>
      </c>
      <c r="GD43" t="e">
        <f>AND('GA55 Entry'!#REF!,"AAAAAD99mbk=")</f>
        <v>#REF!</v>
      </c>
      <c r="GE43" t="e">
        <f>AND('GA55 Entry'!#REF!,"AAAAAD99mbo=")</f>
        <v>#REF!</v>
      </c>
      <c r="GF43" t="e">
        <f>AND('GA55 Entry'!#REF!,"AAAAAD99mbs=")</f>
        <v>#REF!</v>
      </c>
      <c r="GG43" t="e">
        <f>AND('GA55 Entry'!#REF!,"AAAAAD99mbw=")</f>
        <v>#REF!</v>
      </c>
      <c r="GH43" t="e">
        <f>AND('GA55 Entry'!#REF!,"AAAAAD99mb0=")</f>
        <v>#REF!</v>
      </c>
      <c r="GI43" t="e">
        <f>AND('GA55 Entry'!#REF!,"AAAAAD99mb4=")</f>
        <v>#REF!</v>
      </c>
      <c r="GJ43" t="e">
        <f>AND('GA55 Entry'!#REF!,"AAAAAD99mb8=")</f>
        <v>#REF!</v>
      </c>
      <c r="GK43" t="e">
        <f>AND('GA55 Entry'!#REF!,"AAAAAD99mcA=")</f>
        <v>#REF!</v>
      </c>
      <c r="GL43" t="e">
        <f>AND('GA55 Entry'!#REF!,"AAAAAD99mcE=")</f>
        <v>#REF!</v>
      </c>
      <c r="GM43" t="e">
        <f>AND('GA55 Entry'!#REF!,"AAAAAD99mcI=")</f>
        <v>#REF!</v>
      </c>
      <c r="GN43" t="e">
        <f>AND('GA55 Entry'!#REF!,"AAAAAD99mcM=")</f>
        <v>#REF!</v>
      </c>
      <c r="GO43" t="e">
        <f>AND('GA55 Entry'!#REF!,"AAAAAD99mcQ=")</f>
        <v>#REF!</v>
      </c>
      <c r="GP43" t="e">
        <f>AND('GA55 Entry'!#REF!,"AAAAAD99mcU=")</f>
        <v>#REF!</v>
      </c>
      <c r="GQ43" t="e">
        <f>AND('GA55 Entry'!#REF!,"AAAAAD99mcY=")</f>
        <v>#REF!</v>
      </c>
      <c r="GR43" t="e">
        <f>AND('GA55 Entry'!#REF!,"AAAAAD99mcc=")</f>
        <v>#REF!</v>
      </c>
      <c r="GS43" t="e">
        <f>AND('GA55 Entry'!#REF!,"AAAAAD99mcg=")</f>
        <v>#REF!</v>
      </c>
      <c r="GT43" t="e">
        <f>IF('GA55 Entry'!#REF!,"AAAAAD99mck=",0)</f>
        <v>#REF!</v>
      </c>
      <c r="GU43" t="e">
        <f>AND('GA55 Entry'!#REF!,"AAAAAD99mco=")</f>
        <v>#REF!</v>
      </c>
      <c r="GV43" t="e">
        <f>AND('GA55 Entry'!#REF!,"AAAAAD99mcs=")</f>
        <v>#REF!</v>
      </c>
      <c r="GW43" t="e">
        <f>AND('GA55 Entry'!#REF!,"AAAAAD99mcw=")</f>
        <v>#REF!</v>
      </c>
      <c r="GX43" t="e">
        <f>AND('GA55 Entry'!#REF!,"AAAAAD99mc0=")</f>
        <v>#REF!</v>
      </c>
      <c r="GY43" t="e">
        <f>AND('GA55 Entry'!#REF!,"AAAAAD99mc4=")</f>
        <v>#REF!</v>
      </c>
      <c r="GZ43" t="e">
        <f>AND('GA55 Entry'!#REF!,"AAAAAD99mc8=")</f>
        <v>#REF!</v>
      </c>
      <c r="HA43" t="e">
        <f>AND('GA55 Entry'!#REF!,"AAAAAD99mdA=")</f>
        <v>#REF!</v>
      </c>
      <c r="HB43" t="e">
        <f>AND('GA55 Entry'!#REF!,"AAAAAD99mdE=")</f>
        <v>#REF!</v>
      </c>
      <c r="HC43" t="e">
        <f>AND('GA55 Entry'!#REF!,"AAAAAD99mdI=")</f>
        <v>#REF!</v>
      </c>
      <c r="HD43" t="e">
        <f>AND('GA55 Entry'!#REF!,"AAAAAD99mdM=")</f>
        <v>#REF!</v>
      </c>
      <c r="HE43" t="e">
        <f>AND('GA55 Entry'!#REF!,"AAAAAD99mdQ=")</f>
        <v>#REF!</v>
      </c>
      <c r="HF43" t="e">
        <f>AND('GA55 Entry'!#REF!,"AAAAAD99mdU=")</f>
        <v>#REF!</v>
      </c>
      <c r="HG43" t="e">
        <f>AND('GA55 Entry'!#REF!,"AAAAAD99mdY=")</f>
        <v>#REF!</v>
      </c>
      <c r="HH43" t="e">
        <f>AND('GA55 Entry'!#REF!,"AAAAAD99mdc=")</f>
        <v>#REF!</v>
      </c>
      <c r="HI43" t="e">
        <f>AND('GA55 Entry'!#REF!,"AAAAAD99mdg=")</f>
        <v>#REF!</v>
      </c>
      <c r="HJ43" t="e">
        <f>AND('GA55 Entry'!#REF!,"AAAAAD99mdk=")</f>
        <v>#REF!</v>
      </c>
      <c r="HK43" t="e">
        <f>AND('GA55 Entry'!#REF!,"AAAAAD99mdo=")</f>
        <v>#REF!</v>
      </c>
      <c r="HL43" t="e">
        <f>AND('GA55 Entry'!#REF!,"AAAAAD99mds=")</f>
        <v>#REF!</v>
      </c>
      <c r="HM43" t="e">
        <f>AND('GA55 Entry'!#REF!,"AAAAAD99mdw=")</f>
        <v>#REF!</v>
      </c>
      <c r="HN43" t="e">
        <f>AND('GA55 Entry'!#REF!,"AAAAAD99md0=")</f>
        <v>#REF!</v>
      </c>
      <c r="HO43" t="e">
        <f>AND('GA55 Entry'!#REF!,"AAAAAD99md4=")</f>
        <v>#REF!</v>
      </c>
      <c r="HP43" t="e">
        <f>AND('GA55 Entry'!#REF!,"AAAAAD99md8=")</f>
        <v>#REF!</v>
      </c>
      <c r="HQ43" t="e">
        <f>AND('GA55 Entry'!#REF!,"AAAAAD99meA=")</f>
        <v>#REF!</v>
      </c>
      <c r="HR43" t="e">
        <f>AND('GA55 Entry'!#REF!,"AAAAAD99meE=")</f>
        <v>#REF!</v>
      </c>
      <c r="HS43" t="e">
        <f>AND('GA55 Entry'!#REF!,"AAAAAD99meI=")</f>
        <v>#REF!</v>
      </c>
      <c r="HT43" t="e">
        <f>AND('GA55 Entry'!#REF!,"AAAAAD99meM=")</f>
        <v>#REF!</v>
      </c>
      <c r="HU43" t="e">
        <f>AND('GA55 Entry'!#REF!,"AAAAAD99meQ=")</f>
        <v>#REF!</v>
      </c>
      <c r="HV43" t="e">
        <f>AND('GA55 Entry'!#REF!,"AAAAAD99meU=")</f>
        <v>#REF!</v>
      </c>
      <c r="HW43" t="e">
        <f>AND('GA55 Entry'!#REF!,"AAAAAD99meY=")</f>
        <v>#REF!</v>
      </c>
      <c r="HX43" t="e">
        <f>AND('GA55 Entry'!#REF!,"AAAAAD99mec=")</f>
        <v>#REF!</v>
      </c>
      <c r="HY43" t="e">
        <f>AND('GA55 Entry'!#REF!,"AAAAAD99meg=")</f>
        <v>#REF!</v>
      </c>
      <c r="HZ43" t="e">
        <f>AND('GA55 Entry'!#REF!,"AAAAAD99mek=")</f>
        <v>#REF!</v>
      </c>
      <c r="IA43" t="e">
        <f>AND('GA55 Entry'!#REF!,"AAAAAD99meo=")</f>
        <v>#REF!</v>
      </c>
      <c r="IB43" t="e">
        <f>AND('GA55 Entry'!#REF!,"AAAAAD99mes=")</f>
        <v>#REF!</v>
      </c>
      <c r="IC43" t="e">
        <f>AND('GA55 Entry'!#REF!,"AAAAAD99mew=")</f>
        <v>#REF!</v>
      </c>
      <c r="ID43" t="e">
        <f>AND('GA55 Entry'!#REF!,"AAAAAD99me0=")</f>
        <v>#REF!</v>
      </c>
      <c r="IE43" t="e">
        <f>AND('GA55 Entry'!#REF!,"AAAAAD99me4=")</f>
        <v>#REF!</v>
      </c>
      <c r="IF43" t="e">
        <f>AND('GA55 Entry'!#REF!,"AAAAAD99me8=")</f>
        <v>#REF!</v>
      </c>
      <c r="IG43" t="e">
        <f>AND('GA55 Entry'!#REF!,"AAAAAD99mfA=")</f>
        <v>#REF!</v>
      </c>
      <c r="IH43" t="e">
        <f>AND('GA55 Entry'!#REF!,"AAAAAD99mfE=")</f>
        <v>#REF!</v>
      </c>
      <c r="II43" t="e">
        <f>AND('GA55 Entry'!#REF!,"AAAAAD99mfI=")</f>
        <v>#REF!</v>
      </c>
      <c r="IJ43" t="e">
        <f>AND('GA55 Entry'!#REF!,"AAAAAD99mfM=")</f>
        <v>#REF!</v>
      </c>
      <c r="IK43" t="e">
        <f>AND('GA55 Entry'!#REF!,"AAAAAD99mfQ=")</f>
        <v>#REF!</v>
      </c>
      <c r="IL43" t="e">
        <f>AND('GA55 Entry'!#REF!,"AAAAAD99mfU=")</f>
        <v>#REF!</v>
      </c>
      <c r="IM43" t="e">
        <f>AND('GA55 Entry'!#REF!,"AAAAAD99mfY=")</f>
        <v>#REF!</v>
      </c>
      <c r="IN43" t="e">
        <f>AND('GA55 Entry'!#REF!,"AAAAAD99mfc=")</f>
        <v>#REF!</v>
      </c>
      <c r="IO43" t="e">
        <f>AND('GA55 Entry'!#REF!,"AAAAAD99mfg=")</f>
        <v>#REF!</v>
      </c>
      <c r="IP43" t="e">
        <f>AND('GA55 Entry'!#REF!,"AAAAAD99mfk=")</f>
        <v>#REF!</v>
      </c>
      <c r="IQ43" t="e">
        <f>AND('GA55 Entry'!#REF!,"AAAAAD99mfo=")</f>
        <v>#REF!</v>
      </c>
      <c r="IR43" t="e">
        <f>AND('GA55 Entry'!#REF!,"AAAAAD99mfs=")</f>
        <v>#REF!</v>
      </c>
      <c r="IS43" t="e">
        <f>IF('GA55 Entry'!#REF!,"AAAAAD99mfw=",0)</f>
        <v>#REF!</v>
      </c>
      <c r="IT43" t="e">
        <f>AND('GA55 Entry'!#REF!,"AAAAAD99mf0=")</f>
        <v>#REF!</v>
      </c>
      <c r="IU43" t="e">
        <f>AND('GA55 Entry'!#REF!,"AAAAAD99mf4=")</f>
        <v>#REF!</v>
      </c>
      <c r="IV43" t="e">
        <f>AND('GA55 Entry'!#REF!,"AAAAAD99mf8=")</f>
        <v>#REF!</v>
      </c>
    </row>
    <row r="44" spans="1:256">
      <c r="A44" t="e">
        <f>AND('GA55 Entry'!#REF!,"AAAAAHt/+wA=")</f>
        <v>#REF!</v>
      </c>
      <c r="B44" t="e">
        <f>AND('GA55 Entry'!#REF!,"AAAAAHt/+wE=")</f>
        <v>#REF!</v>
      </c>
      <c r="C44" t="e">
        <f>AND('GA55 Entry'!#REF!,"AAAAAHt/+wI=")</f>
        <v>#REF!</v>
      </c>
      <c r="D44" t="e">
        <f>AND('GA55 Entry'!#REF!,"AAAAAHt/+wM=")</f>
        <v>#REF!</v>
      </c>
      <c r="E44" t="e">
        <f>AND('GA55 Entry'!#REF!,"AAAAAHt/+wQ=")</f>
        <v>#REF!</v>
      </c>
      <c r="F44" t="e">
        <f>AND('GA55 Entry'!#REF!,"AAAAAHt/+wU=")</f>
        <v>#REF!</v>
      </c>
      <c r="G44" t="e">
        <f>AND('GA55 Entry'!#REF!,"AAAAAHt/+wY=")</f>
        <v>#REF!</v>
      </c>
      <c r="H44" t="e">
        <f>AND('GA55 Entry'!#REF!,"AAAAAHt/+wc=")</f>
        <v>#REF!</v>
      </c>
      <c r="I44" t="e">
        <f>AND('GA55 Entry'!#REF!,"AAAAAHt/+wg=")</f>
        <v>#REF!</v>
      </c>
      <c r="J44" t="e">
        <f>AND('GA55 Entry'!#REF!,"AAAAAHt/+wk=")</f>
        <v>#REF!</v>
      </c>
      <c r="K44" t="e">
        <f>AND('GA55 Entry'!#REF!,"AAAAAHt/+wo=")</f>
        <v>#REF!</v>
      </c>
      <c r="L44" t="e">
        <f>AND('GA55 Entry'!#REF!,"AAAAAHt/+ws=")</f>
        <v>#REF!</v>
      </c>
      <c r="M44" t="e">
        <f>AND('GA55 Entry'!#REF!,"AAAAAHt/+ww=")</f>
        <v>#REF!</v>
      </c>
      <c r="N44" t="e">
        <f>AND('GA55 Entry'!#REF!,"AAAAAHt/+w0=")</f>
        <v>#REF!</v>
      </c>
      <c r="O44" t="e">
        <f>AND('GA55 Entry'!#REF!,"AAAAAHt/+w4=")</f>
        <v>#REF!</v>
      </c>
      <c r="P44" t="e">
        <f>AND('GA55 Entry'!#REF!,"AAAAAHt/+w8=")</f>
        <v>#REF!</v>
      </c>
      <c r="Q44" t="e">
        <f>AND('GA55 Entry'!#REF!,"AAAAAHt/+xA=")</f>
        <v>#REF!</v>
      </c>
      <c r="R44" t="e">
        <f>AND('GA55 Entry'!#REF!,"AAAAAHt/+xE=")</f>
        <v>#REF!</v>
      </c>
      <c r="S44" t="e">
        <f>AND('GA55 Entry'!#REF!,"AAAAAHt/+xI=")</f>
        <v>#REF!</v>
      </c>
      <c r="T44" t="e">
        <f>AND('GA55 Entry'!#REF!,"AAAAAHt/+xM=")</f>
        <v>#REF!</v>
      </c>
      <c r="U44" t="e">
        <f>AND('GA55 Entry'!#REF!,"AAAAAHt/+xQ=")</f>
        <v>#REF!</v>
      </c>
      <c r="V44" t="e">
        <f>AND('GA55 Entry'!#REF!,"AAAAAHt/+xU=")</f>
        <v>#REF!</v>
      </c>
      <c r="W44" t="e">
        <f>AND('GA55 Entry'!#REF!,"AAAAAHt/+xY=")</f>
        <v>#REF!</v>
      </c>
      <c r="X44" t="e">
        <f>AND('GA55 Entry'!#REF!,"AAAAAHt/+xc=")</f>
        <v>#REF!</v>
      </c>
      <c r="Y44" t="e">
        <f>AND('GA55 Entry'!#REF!,"AAAAAHt/+xg=")</f>
        <v>#REF!</v>
      </c>
      <c r="Z44" t="e">
        <f>AND('GA55 Entry'!#REF!,"AAAAAHt/+xk=")</f>
        <v>#REF!</v>
      </c>
      <c r="AA44" t="e">
        <f>AND('GA55 Entry'!#REF!,"AAAAAHt/+xo=")</f>
        <v>#REF!</v>
      </c>
      <c r="AB44" t="e">
        <f>AND('GA55 Entry'!#REF!,"AAAAAHt/+xs=")</f>
        <v>#REF!</v>
      </c>
      <c r="AC44" t="e">
        <f>AND('GA55 Entry'!#REF!,"AAAAAHt/+xw=")</f>
        <v>#REF!</v>
      </c>
      <c r="AD44" t="e">
        <f>AND('GA55 Entry'!#REF!,"AAAAAHt/+x0=")</f>
        <v>#REF!</v>
      </c>
      <c r="AE44" t="e">
        <f>AND('GA55 Entry'!#REF!,"AAAAAHt/+x4=")</f>
        <v>#REF!</v>
      </c>
      <c r="AF44" t="e">
        <f>AND('GA55 Entry'!#REF!,"AAAAAHt/+x8=")</f>
        <v>#REF!</v>
      </c>
      <c r="AG44" t="e">
        <f>AND('GA55 Entry'!#REF!,"AAAAAHt/+yA=")</f>
        <v>#REF!</v>
      </c>
      <c r="AH44" t="e">
        <f>AND('GA55 Entry'!#REF!,"AAAAAHt/+yE=")</f>
        <v>#REF!</v>
      </c>
      <c r="AI44" t="e">
        <f>AND('GA55 Entry'!#REF!,"AAAAAHt/+yI=")</f>
        <v>#REF!</v>
      </c>
      <c r="AJ44" t="e">
        <f>AND('GA55 Entry'!#REF!,"AAAAAHt/+yM=")</f>
        <v>#REF!</v>
      </c>
      <c r="AK44" t="e">
        <f>AND('GA55 Entry'!#REF!,"AAAAAHt/+yQ=")</f>
        <v>#REF!</v>
      </c>
      <c r="AL44" t="e">
        <f>AND('GA55 Entry'!#REF!,"AAAAAHt/+yU=")</f>
        <v>#REF!</v>
      </c>
      <c r="AM44" t="e">
        <f>AND('GA55 Entry'!#REF!,"AAAAAHt/+yY=")</f>
        <v>#REF!</v>
      </c>
      <c r="AN44" t="e">
        <f>AND('GA55 Entry'!#REF!,"AAAAAHt/+yc=")</f>
        <v>#REF!</v>
      </c>
      <c r="AO44" t="e">
        <f>AND('GA55 Entry'!#REF!,"AAAAAHt/+yg=")</f>
        <v>#REF!</v>
      </c>
      <c r="AP44" t="e">
        <f>AND('GA55 Entry'!#REF!,"AAAAAHt/+yk=")</f>
        <v>#REF!</v>
      </c>
      <c r="AQ44" t="e">
        <f>AND('GA55 Entry'!#REF!,"AAAAAHt/+yo=")</f>
        <v>#REF!</v>
      </c>
      <c r="AR44" t="e">
        <f>AND('GA55 Entry'!#REF!,"AAAAAHt/+ys=")</f>
        <v>#REF!</v>
      </c>
      <c r="AS44" t="e">
        <f>AND('GA55 Entry'!#REF!,"AAAAAHt/+yw=")</f>
        <v>#REF!</v>
      </c>
      <c r="AT44" t="e">
        <f>AND('GA55 Entry'!#REF!,"AAAAAHt/+y0=")</f>
        <v>#REF!</v>
      </c>
      <c r="AU44" t="e">
        <f>AND('GA55 Entry'!#REF!,"AAAAAHt/+y4=")</f>
        <v>#REF!</v>
      </c>
      <c r="AV44" t="e">
        <f>IF('GA55 Entry'!#REF!,"AAAAAHt/+y8=",0)</f>
        <v>#REF!</v>
      </c>
      <c r="AW44" t="e">
        <f>AND('GA55 Entry'!#REF!,"AAAAAHt/+zA=")</f>
        <v>#REF!</v>
      </c>
      <c r="AX44" t="e">
        <f>AND('GA55 Entry'!#REF!,"AAAAAHt/+zE=")</f>
        <v>#REF!</v>
      </c>
      <c r="AY44" t="e">
        <f>AND('GA55 Entry'!#REF!,"AAAAAHt/+zI=")</f>
        <v>#REF!</v>
      </c>
      <c r="AZ44" t="e">
        <f>AND('GA55 Entry'!#REF!,"AAAAAHt/+zM=")</f>
        <v>#REF!</v>
      </c>
      <c r="BA44" t="e">
        <f>AND('GA55 Entry'!#REF!,"AAAAAHt/+zQ=")</f>
        <v>#REF!</v>
      </c>
      <c r="BB44" t="e">
        <f>AND('GA55 Entry'!#REF!,"AAAAAHt/+zU=")</f>
        <v>#REF!</v>
      </c>
      <c r="BC44" t="e">
        <f>AND('GA55 Entry'!#REF!,"AAAAAHt/+zY=")</f>
        <v>#REF!</v>
      </c>
      <c r="BD44" t="e">
        <f>AND('GA55 Entry'!#REF!,"AAAAAHt/+zc=")</f>
        <v>#REF!</v>
      </c>
      <c r="BE44" t="e">
        <f>AND('GA55 Entry'!#REF!,"AAAAAHt/+zg=")</f>
        <v>#REF!</v>
      </c>
      <c r="BF44" t="e">
        <f>AND('GA55 Entry'!#REF!,"AAAAAHt/+zk=")</f>
        <v>#REF!</v>
      </c>
      <c r="BG44" t="e">
        <f>AND('GA55 Entry'!#REF!,"AAAAAHt/+zo=")</f>
        <v>#REF!</v>
      </c>
      <c r="BH44" t="e">
        <f>AND('GA55 Entry'!#REF!,"AAAAAHt/+zs=")</f>
        <v>#REF!</v>
      </c>
      <c r="BI44" t="e">
        <f>AND('GA55 Entry'!#REF!,"AAAAAHt/+zw=")</f>
        <v>#REF!</v>
      </c>
      <c r="BJ44" t="e">
        <f>AND('GA55 Entry'!#REF!,"AAAAAHt/+z0=")</f>
        <v>#REF!</v>
      </c>
      <c r="BK44" t="e">
        <f>AND('GA55 Entry'!#REF!,"AAAAAHt/+z4=")</f>
        <v>#REF!</v>
      </c>
      <c r="BL44" t="e">
        <f>AND('GA55 Entry'!#REF!,"AAAAAHt/+z8=")</f>
        <v>#REF!</v>
      </c>
      <c r="BM44" t="e">
        <f>AND('GA55 Entry'!#REF!,"AAAAAHt/+0A=")</f>
        <v>#REF!</v>
      </c>
      <c r="BN44" t="e">
        <f>AND('GA55 Entry'!#REF!,"AAAAAHt/+0E=")</f>
        <v>#REF!</v>
      </c>
      <c r="BO44" t="e">
        <f>AND('GA55 Entry'!#REF!,"AAAAAHt/+0I=")</f>
        <v>#REF!</v>
      </c>
      <c r="BP44" t="e">
        <f>AND('GA55 Entry'!#REF!,"AAAAAHt/+0M=")</f>
        <v>#REF!</v>
      </c>
      <c r="BQ44" t="e">
        <f>AND('GA55 Entry'!#REF!,"AAAAAHt/+0Q=")</f>
        <v>#REF!</v>
      </c>
      <c r="BR44" t="e">
        <f>AND('GA55 Entry'!#REF!,"AAAAAHt/+0U=")</f>
        <v>#REF!</v>
      </c>
      <c r="BS44" t="e">
        <f>AND('GA55 Entry'!#REF!,"AAAAAHt/+0Y=")</f>
        <v>#REF!</v>
      </c>
      <c r="BT44" t="e">
        <f>AND('GA55 Entry'!#REF!,"AAAAAHt/+0c=")</f>
        <v>#REF!</v>
      </c>
      <c r="BU44" t="e">
        <f>AND('GA55 Entry'!#REF!,"AAAAAHt/+0g=")</f>
        <v>#REF!</v>
      </c>
      <c r="BV44" t="e">
        <f>AND('GA55 Entry'!#REF!,"AAAAAHt/+0k=")</f>
        <v>#REF!</v>
      </c>
      <c r="BW44" t="e">
        <f>AND('GA55 Entry'!#REF!,"AAAAAHt/+0o=")</f>
        <v>#REF!</v>
      </c>
      <c r="BX44" t="e">
        <f>AND('GA55 Entry'!#REF!,"AAAAAHt/+0s=")</f>
        <v>#REF!</v>
      </c>
      <c r="BY44" t="e">
        <f>AND('GA55 Entry'!#REF!,"AAAAAHt/+0w=")</f>
        <v>#REF!</v>
      </c>
      <c r="BZ44" t="e">
        <f>AND('GA55 Entry'!#REF!,"AAAAAHt/+00=")</f>
        <v>#REF!</v>
      </c>
      <c r="CA44" t="e">
        <f>AND('GA55 Entry'!#REF!,"AAAAAHt/+04=")</f>
        <v>#REF!</v>
      </c>
      <c r="CB44" t="e">
        <f>AND('GA55 Entry'!#REF!,"AAAAAHt/+08=")</f>
        <v>#REF!</v>
      </c>
      <c r="CC44" t="e">
        <f>AND('GA55 Entry'!#REF!,"AAAAAHt/+1A=")</f>
        <v>#REF!</v>
      </c>
      <c r="CD44" t="e">
        <f>AND('GA55 Entry'!#REF!,"AAAAAHt/+1E=")</f>
        <v>#REF!</v>
      </c>
      <c r="CE44" t="e">
        <f>AND('GA55 Entry'!#REF!,"AAAAAHt/+1I=")</f>
        <v>#REF!</v>
      </c>
      <c r="CF44" t="e">
        <f>AND('GA55 Entry'!#REF!,"AAAAAHt/+1M=")</f>
        <v>#REF!</v>
      </c>
      <c r="CG44" t="e">
        <f>AND('GA55 Entry'!#REF!,"AAAAAHt/+1Q=")</f>
        <v>#REF!</v>
      </c>
      <c r="CH44" t="e">
        <f>AND('GA55 Entry'!#REF!,"AAAAAHt/+1U=")</f>
        <v>#REF!</v>
      </c>
      <c r="CI44" t="e">
        <f>AND('GA55 Entry'!#REF!,"AAAAAHt/+1Y=")</f>
        <v>#REF!</v>
      </c>
      <c r="CJ44" t="e">
        <f>AND('GA55 Entry'!#REF!,"AAAAAHt/+1c=")</f>
        <v>#REF!</v>
      </c>
      <c r="CK44" t="e">
        <f>AND('GA55 Entry'!#REF!,"AAAAAHt/+1g=")</f>
        <v>#REF!</v>
      </c>
      <c r="CL44" t="e">
        <f>AND('GA55 Entry'!#REF!,"AAAAAHt/+1k=")</f>
        <v>#REF!</v>
      </c>
      <c r="CM44" t="e">
        <f>AND('GA55 Entry'!#REF!,"AAAAAHt/+1o=")</f>
        <v>#REF!</v>
      </c>
      <c r="CN44" t="e">
        <f>AND('GA55 Entry'!#REF!,"AAAAAHt/+1s=")</f>
        <v>#REF!</v>
      </c>
      <c r="CO44" t="e">
        <f>AND('GA55 Entry'!#REF!,"AAAAAHt/+1w=")</f>
        <v>#REF!</v>
      </c>
      <c r="CP44" t="e">
        <f>AND('GA55 Entry'!#REF!,"AAAAAHt/+10=")</f>
        <v>#REF!</v>
      </c>
      <c r="CQ44" t="e">
        <f>AND('GA55 Entry'!#REF!,"AAAAAHt/+14=")</f>
        <v>#REF!</v>
      </c>
      <c r="CR44" t="e">
        <f>AND('GA55 Entry'!#REF!,"AAAAAHt/+18=")</f>
        <v>#REF!</v>
      </c>
      <c r="CS44" t="e">
        <f>AND('GA55 Entry'!#REF!,"AAAAAHt/+2A=")</f>
        <v>#REF!</v>
      </c>
      <c r="CT44" t="e">
        <f>AND('GA55 Entry'!#REF!,"AAAAAHt/+2E=")</f>
        <v>#REF!</v>
      </c>
      <c r="CU44" t="e">
        <f>IF('GA55 Entry'!#REF!,"AAAAAHt/+2I=",0)</f>
        <v>#REF!</v>
      </c>
      <c r="CV44" t="e">
        <f>AND('GA55 Entry'!#REF!,"AAAAAHt/+2M=")</f>
        <v>#REF!</v>
      </c>
      <c r="CW44" t="e">
        <f>AND('GA55 Entry'!#REF!,"AAAAAHt/+2Q=")</f>
        <v>#REF!</v>
      </c>
      <c r="CX44" t="e">
        <f>AND('GA55 Entry'!#REF!,"AAAAAHt/+2U=")</f>
        <v>#REF!</v>
      </c>
      <c r="CY44" t="e">
        <f>AND('GA55 Entry'!#REF!,"AAAAAHt/+2Y=")</f>
        <v>#REF!</v>
      </c>
      <c r="CZ44" t="e">
        <f>AND('GA55 Entry'!#REF!,"AAAAAHt/+2c=")</f>
        <v>#REF!</v>
      </c>
      <c r="DA44" t="e">
        <f>AND('GA55 Entry'!#REF!,"AAAAAHt/+2g=")</f>
        <v>#REF!</v>
      </c>
      <c r="DB44" t="e">
        <f>AND('GA55 Entry'!#REF!,"AAAAAHt/+2k=")</f>
        <v>#REF!</v>
      </c>
      <c r="DC44" t="e">
        <f>AND('GA55 Entry'!#REF!,"AAAAAHt/+2o=")</f>
        <v>#REF!</v>
      </c>
      <c r="DD44" t="e">
        <f>AND('GA55 Entry'!#REF!,"AAAAAHt/+2s=")</f>
        <v>#REF!</v>
      </c>
      <c r="DE44" t="e">
        <f>AND('GA55 Entry'!#REF!,"AAAAAHt/+2w=")</f>
        <v>#REF!</v>
      </c>
      <c r="DF44" t="e">
        <f>AND('GA55 Entry'!#REF!,"AAAAAHt/+20=")</f>
        <v>#REF!</v>
      </c>
      <c r="DG44" t="e">
        <f>AND('GA55 Entry'!#REF!,"AAAAAHt/+24=")</f>
        <v>#REF!</v>
      </c>
      <c r="DH44" t="e">
        <f>AND('GA55 Entry'!#REF!,"AAAAAHt/+28=")</f>
        <v>#REF!</v>
      </c>
      <c r="DI44" t="e">
        <f>AND('GA55 Entry'!#REF!,"AAAAAHt/+3A=")</f>
        <v>#REF!</v>
      </c>
      <c r="DJ44" t="e">
        <f>AND('GA55 Entry'!#REF!,"AAAAAHt/+3E=")</f>
        <v>#REF!</v>
      </c>
      <c r="DK44" t="e">
        <f>AND('GA55 Entry'!#REF!,"AAAAAHt/+3I=")</f>
        <v>#REF!</v>
      </c>
      <c r="DL44" t="e">
        <f>AND('GA55 Entry'!#REF!,"AAAAAHt/+3M=")</f>
        <v>#REF!</v>
      </c>
      <c r="DM44" t="e">
        <f>AND('GA55 Entry'!#REF!,"AAAAAHt/+3Q=")</f>
        <v>#REF!</v>
      </c>
      <c r="DN44" t="e">
        <f>AND('GA55 Entry'!#REF!,"AAAAAHt/+3U=")</f>
        <v>#REF!</v>
      </c>
      <c r="DO44" t="e">
        <f>AND('GA55 Entry'!#REF!,"AAAAAHt/+3Y=")</f>
        <v>#REF!</v>
      </c>
      <c r="DP44" t="e">
        <f>AND('GA55 Entry'!#REF!,"AAAAAHt/+3c=")</f>
        <v>#REF!</v>
      </c>
      <c r="DQ44" t="e">
        <f>AND('GA55 Entry'!#REF!,"AAAAAHt/+3g=")</f>
        <v>#REF!</v>
      </c>
      <c r="DR44" t="e">
        <f>AND('GA55 Entry'!#REF!,"AAAAAHt/+3k=")</f>
        <v>#REF!</v>
      </c>
      <c r="DS44" t="e">
        <f>AND('GA55 Entry'!#REF!,"AAAAAHt/+3o=")</f>
        <v>#REF!</v>
      </c>
      <c r="DT44" t="e">
        <f>AND('GA55 Entry'!#REF!,"AAAAAHt/+3s=")</f>
        <v>#REF!</v>
      </c>
      <c r="DU44" t="e">
        <f>AND('GA55 Entry'!#REF!,"AAAAAHt/+3w=")</f>
        <v>#REF!</v>
      </c>
      <c r="DV44" t="e">
        <f>AND('GA55 Entry'!#REF!,"AAAAAHt/+30=")</f>
        <v>#REF!</v>
      </c>
      <c r="DW44" t="e">
        <f>AND('GA55 Entry'!#REF!,"AAAAAHt/+34=")</f>
        <v>#REF!</v>
      </c>
      <c r="DX44" t="e">
        <f>AND('GA55 Entry'!#REF!,"AAAAAHt/+38=")</f>
        <v>#REF!</v>
      </c>
      <c r="DY44" t="e">
        <f>AND('GA55 Entry'!#REF!,"AAAAAHt/+4A=")</f>
        <v>#REF!</v>
      </c>
      <c r="DZ44" t="e">
        <f>AND('GA55 Entry'!#REF!,"AAAAAHt/+4E=")</f>
        <v>#REF!</v>
      </c>
      <c r="EA44" t="e">
        <f>AND('GA55 Entry'!#REF!,"AAAAAHt/+4I=")</f>
        <v>#REF!</v>
      </c>
      <c r="EB44" t="e">
        <f>AND('GA55 Entry'!#REF!,"AAAAAHt/+4M=")</f>
        <v>#REF!</v>
      </c>
      <c r="EC44" t="e">
        <f>AND('GA55 Entry'!#REF!,"AAAAAHt/+4Q=")</f>
        <v>#REF!</v>
      </c>
      <c r="ED44" t="e">
        <f>AND('GA55 Entry'!#REF!,"AAAAAHt/+4U=")</f>
        <v>#REF!</v>
      </c>
      <c r="EE44" t="e">
        <f>AND('GA55 Entry'!#REF!,"AAAAAHt/+4Y=")</f>
        <v>#REF!</v>
      </c>
      <c r="EF44" t="e">
        <f>AND('GA55 Entry'!#REF!,"AAAAAHt/+4c=")</f>
        <v>#REF!</v>
      </c>
      <c r="EG44" t="e">
        <f>AND('GA55 Entry'!#REF!,"AAAAAHt/+4g=")</f>
        <v>#REF!</v>
      </c>
      <c r="EH44" t="e">
        <f>AND('GA55 Entry'!#REF!,"AAAAAHt/+4k=")</f>
        <v>#REF!</v>
      </c>
      <c r="EI44" t="e">
        <f>AND('GA55 Entry'!#REF!,"AAAAAHt/+4o=")</f>
        <v>#REF!</v>
      </c>
      <c r="EJ44" t="e">
        <f>AND('GA55 Entry'!#REF!,"AAAAAHt/+4s=")</f>
        <v>#REF!</v>
      </c>
      <c r="EK44" t="e">
        <f>AND('GA55 Entry'!#REF!,"AAAAAHt/+4w=")</f>
        <v>#REF!</v>
      </c>
      <c r="EL44" t="e">
        <f>AND('GA55 Entry'!#REF!,"AAAAAHt/+40=")</f>
        <v>#REF!</v>
      </c>
      <c r="EM44" t="e">
        <f>AND('GA55 Entry'!#REF!,"AAAAAHt/+44=")</f>
        <v>#REF!</v>
      </c>
      <c r="EN44" t="e">
        <f>AND('GA55 Entry'!#REF!,"AAAAAHt/+48=")</f>
        <v>#REF!</v>
      </c>
      <c r="EO44" t="e">
        <f>AND('GA55 Entry'!#REF!,"AAAAAHt/+5A=")</f>
        <v>#REF!</v>
      </c>
      <c r="EP44" t="e">
        <f>AND('GA55 Entry'!#REF!,"AAAAAHt/+5E=")</f>
        <v>#REF!</v>
      </c>
      <c r="EQ44" t="e">
        <f>AND('GA55 Entry'!#REF!,"AAAAAHt/+5I=")</f>
        <v>#REF!</v>
      </c>
      <c r="ER44" t="e">
        <f>AND('GA55 Entry'!#REF!,"AAAAAHt/+5M=")</f>
        <v>#REF!</v>
      </c>
      <c r="ES44" t="e">
        <f>AND('GA55 Entry'!#REF!,"AAAAAHt/+5Q=")</f>
        <v>#REF!</v>
      </c>
      <c r="ET44" t="e">
        <f>IF('GA55 Entry'!#REF!,"AAAAAHt/+5U=",0)</f>
        <v>#REF!</v>
      </c>
      <c r="EU44" t="e">
        <f>AND('GA55 Entry'!#REF!,"AAAAAHt/+5Y=")</f>
        <v>#REF!</v>
      </c>
      <c r="EV44" t="e">
        <f>AND('GA55 Entry'!#REF!,"AAAAAHt/+5c=")</f>
        <v>#REF!</v>
      </c>
      <c r="EW44" t="e">
        <f>AND('GA55 Entry'!#REF!,"AAAAAHt/+5g=")</f>
        <v>#REF!</v>
      </c>
      <c r="EX44" t="e">
        <f>AND('GA55 Entry'!#REF!,"AAAAAHt/+5k=")</f>
        <v>#REF!</v>
      </c>
      <c r="EY44" t="e">
        <f>AND('GA55 Entry'!#REF!,"AAAAAHt/+5o=")</f>
        <v>#REF!</v>
      </c>
      <c r="EZ44" t="e">
        <f>AND('GA55 Entry'!#REF!,"AAAAAHt/+5s=")</f>
        <v>#REF!</v>
      </c>
      <c r="FA44" t="e">
        <f>AND('GA55 Entry'!#REF!,"AAAAAHt/+5w=")</f>
        <v>#REF!</v>
      </c>
      <c r="FB44" t="e">
        <f>AND('GA55 Entry'!#REF!,"AAAAAHt/+50=")</f>
        <v>#REF!</v>
      </c>
      <c r="FC44" t="e">
        <f>AND('GA55 Entry'!#REF!,"AAAAAHt/+54=")</f>
        <v>#REF!</v>
      </c>
      <c r="FD44" t="e">
        <f>AND('GA55 Entry'!#REF!,"AAAAAHt/+58=")</f>
        <v>#REF!</v>
      </c>
      <c r="FE44" t="e">
        <f>AND('GA55 Entry'!#REF!,"AAAAAHt/+6A=")</f>
        <v>#REF!</v>
      </c>
      <c r="FF44" t="e">
        <f>AND('GA55 Entry'!#REF!,"AAAAAHt/+6E=")</f>
        <v>#REF!</v>
      </c>
      <c r="FG44" t="e">
        <f>AND('GA55 Entry'!#REF!,"AAAAAHt/+6I=")</f>
        <v>#REF!</v>
      </c>
      <c r="FH44" t="e">
        <f>AND('GA55 Entry'!#REF!,"AAAAAHt/+6M=")</f>
        <v>#REF!</v>
      </c>
      <c r="FI44" t="e">
        <f>AND('GA55 Entry'!#REF!,"AAAAAHt/+6Q=")</f>
        <v>#REF!</v>
      </c>
      <c r="FJ44" t="e">
        <f>AND('GA55 Entry'!#REF!,"AAAAAHt/+6U=")</f>
        <v>#REF!</v>
      </c>
      <c r="FK44" t="e">
        <f>AND('GA55 Entry'!#REF!,"AAAAAHt/+6Y=")</f>
        <v>#REF!</v>
      </c>
      <c r="FL44" t="e">
        <f>AND('GA55 Entry'!#REF!,"AAAAAHt/+6c=")</f>
        <v>#REF!</v>
      </c>
      <c r="FM44" t="e">
        <f>AND('GA55 Entry'!#REF!,"AAAAAHt/+6g=")</f>
        <v>#REF!</v>
      </c>
      <c r="FN44" t="e">
        <f>AND('GA55 Entry'!#REF!,"AAAAAHt/+6k=")</f>
        <v>#REF!</v>
      </c>
      <c r="FO44" t="e">
        <f>AND('GA55 Entry'!#REF!,"AAAAAHt/+6o=")</f>
        <v>#REF!</v>
      </c>
      <c r="FP44" t="e">
        <f>AND('GA55 Entry'!#REF!,"AAAAAHt/+6s=")</f>
        <v>#REF!</v>
      </c>
      <c r="FQ44" t="e">
        <f>AND('GA55 Entry'!#REF!,"AAAAAHt/+6w=")</f>
        <v>#REF!</v>
      </c>
      <c r="FR44" t="e">
        <f>AND('GA55 Entry'!#REF!,"AAAAAHt/+60=")</f>
        <v>#REF!</v>
      </c>
      <c r="FS44" t="e">
        <f>AND('GA55 Entry'!#REF!,"AAAAAHt/+64=")</f>
        <v>#REF!</v>
      </c>
      <c r="FT44" t="e">
        <f>AND('GA55 Entry'!#REF!,"AAAAAHt/+68=")</f>
        <v>#REF!</v>
      </c>
      <c r="FU44" t="e">
        <f>AND('GA55 Entry'!#REF!,"AAAAAHt/+7A=")</f>
        <v>#REF!</v>
      </c>
      <c r="FV44" t="e">
        <f>AND('GA55 Entry'!#REF!,"AAAAAHt/+7E=")</f>
        <v>#REF!</v>
      </c>
      <c r="FW44" t="e">
        <f>AND('GA55 Entry'!#REF!,"AAAAAHt/+7I=")</f>
        <v>#REF!</v>
      </c>
      <c r="FX44" t="e">
        <f>AND('GA55 Entry'!#REF!,"AAAAAHt/+7M=")</f>
        <v>#REF!</v>
      </c>
      <c r="FY44" t="e">
        <f>AND('GA55 Entry'!#REF!,"AAAAAHt/+7Q=")</f>
        <v>#REF!</v>
      </c>
      <c r="FZ44" t="e">
        <f>AND('GA55 Entry'!#REF!,"AAAAAHt/+7U=")</f>
        <v>#REF!</v>
      </c>
      <c r="GA44" t="e">
        <f>AND('GA55 Entry'!#REF!,"AAAAAHt/+7Y=")</f>
        <v>#REF!</v>
      </c>
      <c r="GB44" t="e">
        <f>AND('GA55 Entry'!#REF!,"AAAAAHt/+7c=")</f>
        <v>#REF!</v>
      </c>
      <c r="GC44" t="e">
        <f>AND('GA55 Entry'!#REF!,"AAAAAHt/+7g=")</f>
        <v>#REF!</v>
      </c>
      <c r="GD44" t="e">
        <f>AND('GA55 Entry'!#REF!,"AAAAAHt/+7k=")</f>
        <v>#REF!</v>
      </c>
      <c r="GE44" t="e">
        <f>AND('GA55 Entry'!#REF!,"AAAAAHt/+7o=")</f>
        <v>#REF!</v>
      </c>
      <c r="GF44" t="e">
        <f>AND('GA55 Entry'!#REF!,"AAAAAHt/+7s=")</f>
        <v>#REF!</v>
      </c>
      <c r="GG44" t="e">
        <f>AND('GA55 Entry'!#REF!,"AAAAAHt/+7w=")</f>
        <v>#REF!</v>
      </c>
      <c r="GH44" t="e">
        <f>AND('GA55 Entry'!#REF!,"AAAAAHt/+70=")</f>
        <v>#REF!</v>
      </c>
      <c r="GI44" t="e">
        <f>AND('GA55 Entry'!#REF!,"AAAAAHt/+74=")</f>
        <v>#REF!</v>
      </c>
      <c r="GJ44" t="e">
        <f>AND('GA55 Entry'!#REF!,"AAAAAHt/+78=")</f>
        <v>#REF!</v>
      </c>
      <c r="GK44" t="e">
        <f>AND('GA55 Entry'!#REF!,"AAAAAHt/+8A=")</f>
        <v>#REF!</v>
      </c>
      <c r="GL44" t="e">
        <f>AND('GA55 Entry'!#REF!,"AAAAAHt/+8E=")</f>
        <v>#REF!</v>
      </c>
      <c r="GM44" t="e">
        <f>AND('GA55 Entry'!#REF!,"AAAAAHt/+8I=")</f>
        <v>#REF!</v>
      </c>
      <c r="GN44" t="e">
        <f>AND('GA55 Entry'!#REF!,"AAAAAHt/+8M=")</f>
        <v>#REF!</v>
      </c>
      <c r="GO44" t="e">
        <f>AND('GA55 Entry'!#REF!,"AAAAAHt/+8Q=")</f>
        <v>#REF!</v>
      </c>
      <c r="GP44" t="e">
        <f>AND('GA55 Entry'!#REF!,"AAAAAHt/+8U=")</f>
        <v>#REF!</v>
      </c>
      <c r="GQ44" t="e">
        <f>AND('GA55 Entry'!#REF!,"AAAAAHt/+8Y=")</f>
        <v>#REF!</v>
      </c>
      <c r="GR44" t="e">
        <f>AND('GA55 Entry'!#REF!,"AAAAAHt/+8c=")</f>
        <v>#REF!</v>
      </c>
      <c r="GS44" t="e">
        <f>IF('GA55 Entry'!#REF!,"AAAAAHt/+8g=",0)</f>
        <v>#REF!</v>
      </c>
      <c r="GT44" t="e">
        <f>AND('GA55 Entry'!#REF!,"AAAAAHt/+8k=")</f>
        <v>#REF!</v>
      </c>
      <c r="GU44" t="e">
        <f>AND('GA55 Entry'!#REF!,"AAAAAHt/+8o=")</f>
        <v>#REF!</v>
      </c>
      <c r="GV44" t="e">
        <f>AND('GA55 Entry'!#REF!,"AAAAAHt/+8s=")</f>
        <v>#REF!</v>
      </c>
      <c r="GW44" t="e">
        <f>AND('GA55 Entry'!#REF!,"AAAAAHt/+8w=")</f>
        <v>#REF!</v>
      </c>
      <c r="GX44" t="e">
        <f>AND('GA55 Entry'!#REF!,"AAAAAHt/+80=")</f>
        <v>#REF!</v>
      </c>
      <c r="GY44" t="e">
        <f>AND('GA55 Entry'!#REF!,"AAAAAHt/+84=")</f>
        <v>#REF!</v>
      </c>
      <c r="GZ44" t="e">
        <f>AND('GA55 Entry'!#REF!,"AAAAAHt/+88=")</f>
        <v>#REF!</v>
      </c>
      <c r="HA44" t="e">
        <f>AND('GA55 Entry'!#REF!,"AAAAAHt/+9A=")</f>
        <v>#REF!</v>
      </c>
      <c r="HB44" t="e">
        <f>AND('GA55 Entry'!#REF!,"AAAAAHt/+9E=")</f>
        <v>#REF!</v>
      </c>
      <c r="HC44" t="e">
        <f>AND('GA55 Entry'!#REF!,"AAAAAHt/+9I=")</f>
        <v>#REF!</v>
      </c>
      <c r="HD44" t="e">
        <f>AND('GA55 Entry'!#REF!,"AAAAAHt/+9M=")</f>
        <v>#REF!</v>
      </c>
      <c r="HE44" t="e">
        <f>AND('GA55 Entry'!#REF!,"AAAAAHt/+9Q=")</f>
        <v>#REF!</v>
      </c>
      <c r="HF44" t="e">
        <f>AND('GA55 Entry'!#REF!,"AAAAAHt/+9U=")</f>
        <v>#REF!</v>
      </c>
      <c r="HG44" t="e">
        <f>AND('GA55 Entry'!#REF!,"AAAAAHt/+9Y=")</f>
        <v>#REF!</v>
      </c>
      <c r="HH44" t="e">
        <f>AND('GA55 Entry'!#REF!,"AAAAAHt/+9c=")</f>
        <v>#REF!</v>
      </c>
      <c r="HI44" t="e">
        <f>AND('GA55 Entry'!#REF!,"AAAAAHt/+9g=")</f>
        <v>#REF!</v>
      </c>
      <c r="HJ44" t="e">
        <f>AND('GA55 Entry'!#REF!,"AAAAAHt/+9k=")</f>
        <v>#REF!</v>
      </c>
      <c r="HK44" t="e">
        <f>AND('GA55 Entry'!#REF!,"AAAAAHt/+9o=")</f>
        <v>#REF!</v>
      </c>
      <c r="HL44" t="e">
        <f>AND('GA55 Entry'!#REF!,"AAAAAHt/+9s=")</f>
        <v>#REF!</v>
      </c>
      <c r="HM44" t="e">
        <f>AND('GA55 Entry'!#REF!,"AAAAAHt/+9w=")</f>
        <v>#REF!</v>
      </c>
      <c r="HN44" t="e">
        <f>AND('GA55 Entry'!#REF!,"AAAAAHt/+90=")</f>
        <v>#REF!</v>
      </c>
      <c r="HO44" t="e">
        <f>AND('GA55 Entry'!#REF!,"AAAAAHt/+94=")</f>
        <v>#REF!</v>
      </c>
      <c r="HP44" t="e">
        <f>AND('GA55 Entry'!#REF!,"AAAAAHt/+98=")</f>
        <v>#REF!</v>
      </c>
      <c r="HQ44" t="e">
        <f>AND('GA55 Entry'!#REF!,"AAAAAHt/++A=")</f>
        <v>#REF!</v>
      </c>
      <c r="HR44" t="e">
        <f>AND('GA55 Entry'!#REF!,"AAAAAHt/++E=")</f>
        <v>#REF!</v>
      </c>
      <c r="HS44" t="e">
        <f>AND('GA55 Entry'!#REF!,"AAAAAHt/++I=")</f>
        <v>#REF!</v>
      </c>
      <c r="HT44" t="e">
        <f>AND('GA55 Entry'!#REF!,"AAAAAHt/++M=")</f>
        <v>#REF!</v>
      </c>
      <c r="HU44" t="e">
        <f>AND('GA55 Entry'!#REF!,"AAAAAHt/++Q=")</f>
        <v>#REF!</v>
      </c>
      <c r="HV44" t="e">
        <f>AND('GA55 Entry'!#REF!,"AAAAAHt/++U=")</f>
        <v>#REF!</v>
      </c>
      <c r="HW44" t="e">
        <f>AND('GA55 Entry'!#REF!,"AAAAAHt/++Y=")</f>
        <v>#REF!</v>
      </c>
      <c r="HX44" t="e">
        <f>AND('GA55 Entry'!#REF!,"AAAAAHt/++c=")</f>
        <v>#REF!</v>
      </c>
      <c r="HY44" t="e">
        <f>AND('GA55 Entry'!#REF!,"AAAAAHt/++g=")</f>
        <v>#REF!</v>
      </c>
      <c r="HZ44" t="e">
        <f>AND('GA55 Entry'!#REF!,"AAAAAHt/++k=")</f>
        <v>#REF!</v>
      </c>
      <c r="IA44" t="e">
        <f>AND('GA55 Entry'!#REF!,"AAAAAHt/++o=")</f>
        <v>#REF!</v>
      </c>
      <c r="IB44" t="e">
        <f>AND('GA55 Entry'!#REF!,"AAAAAHt/++s=")</f>
        <v>#REF!</v>
      </c>
      <c r="IC44" t="e">
        <f>AND('GA55 Entry'!#REF!,"AAAAAHt/++w=")</f>
        <v>#REF!</v>
      </c>
      <c r="ID44" t="e">
        <f>AND('GA55 Entry'!#REF!,"AAAAAHt/++0=")</f>
        <v>#REF!</v>
      </c>
      <c r="IE44" t="e">
        <f>AND('GA55 Entry'!#REF!,"AAAAAHt/++4=")</f>
        <v>#REF!</v>
      </c>
      <c r="IF44" t="e">
        <f>AND('GA55 Entry'!#REF!,"AAAAAHt/++8=")</f>
        <v>#REF!</v>
      </c>
      <c r="IG44" t="e">
        <f>AND('GA55 Entry'!#REF!,"AAAAAHt/+/A=")</f>
        <v>#REF!</v>
      </c>
      <c r="IH44" t="e">
        <f>AND('GA55 Entry'!#REF!,"AAAAAHt/+/E=")</f>
        <v>#REF!</v>
      </c>
      <c r="II44" t="e">
        <f>AND('GA55 Entry'!#REF!,"AAAAAHt/+/I=")</f>
        <v>#REF!</v>
      </c>
      <c r="IJ44" t="e">
        <f>AND('GA55 Entry'!#REF!,"AAAAAHt/+/M=")</f>
        <v>#REF!</v>
      </c>
      <c r="IK44" t="e">
        <f>AND('GA55 Entry'!#REF!,"AAAAAHt/+/Q=")</f>
        <v>#REF!</v>
      </c>
      <c r="IL44" t="e">
        <f>AND('GA55 Entry'!#REF!,"AAAAAHt/+/U=")</f>
        <v>#REF!</v>
      </c>
      <c r="IM44" t="e">
        <f>AND('GA55 Entry'!#REF!,"AAAAAHt/+/Y=")</f>
        <v>#REF!</v>
      </c>
      <c r="IN44" t="e">
        <f>AND('GA55 Entry'!#REF!,"AAAAAHt/+/c=")</f>
        <v>#REF!</v>
      </c>
      <c r="IO44" t="e">
        <f>AND('GA55 Entry'!#REF!,"AAAAAHt/+/g=")</f>
        <v>#REF!</v>
      </c>
      <c r="IP44" t="e">
        <f>AND('GA55 Entry'!#REF!,"AAAAAHt/+/k=")</f>
        <v>#REF!</v>
      </c>
      <c r="IQ44" t="e">
        <f>AND('GA55 Entry'!#REF!,"AAAAAHt/+/o=")</f>
        <v>#REF!</v>
      </c>
      <c r="IR44" t="e">
        <f>IF('GA55 Entry'!#REF!,"AAAAAHt/+/s=",0)</f>
        <v>#REF!</v>
      </c>
      <c r="IS44" t="e">
        <f>AND('GA55 Entry'!#REF!,"AAAAAHt/+/w=")</f>
        <v>#REF!</v>
      </c>
      <c r="IT44" t="e">
        <f>AND('GA55 Entry'!#REF!,"AAAAAHt/+/0=")</f>
        <v>#REF!</v>
      </c>
      <c r="IU44" t="e">
        <f>AND('GA55 Entry'!#REF!,"AAAAAHt/+/4=")</f>
        <v>#REF!</v>
      </c>
      <c r="IV44" t="e">
        <f>AND('GA55 Entry'!#REF!,"AAAAAHt/+/8=")</f>
        <v>#REF!</v>
      </c>
    </row>
    <row r="45" spans="1:256">
      <c r="A45" t="e">
        <f>AND('GA55 Entry'!#REF!,"AAAAACsvvwA=")</f>
        <v>#REF!</v>
      </c>
      <c r="B45" t="e">
        <f>AND('GA55 Entry'!#REF!,"AAAAACsvvwE=")</f>
        <v>#REF!</v>
      </c>
      <c r="C45" t="e">
        <f>AND('GA55 Entry'!#REF!,"AAAAACsvvwI=")</f>
        <v>#REF!</v>
      </c>
      <c r="D45" t="e">
        <f>AND('GA55 Entry'!#REF!,"AAAAACsvvwM=")</f>
        <v>#REF!</v>
      </c>
      <c r="E45" t="e">
        <f>AND('GA55 Entry'!#REF!,"AAAAACsvvwQ=")</f>
        <v>#REF!</v>
      </c>
      <c r="F45" t="e">
        <f>AND('GA55 Entry'!#REF!,"AAAAACsvvwU=")</f>
        <v>#REF!</v>
      </c>
      <c r="G45" t="e">
        <f>AND('GA55 Entry'!#REF!,"AAAAACsvvwY=")</f>
        <v>#REF!</v>
      </c>
      <c r="H45" t="e">
        <f>AND('GA55 Entry'!#REF!,"AAAAACsvvwc=")</f>
        <v>#REF!</v>
      </c>
      <c r="I45" t="e">
        <f>AND('GA55 Entry'!#REF!,"AAAAACsvvwg=")</f>
        <v>#REF!</v>
      </c>
      <c r="J45" t="e">
        <f>AND('GA55 Entry'!#REF!,"AAAAACsvvwk=")</f>
        <v>#REF!</v>
      </c>
      <c r="K45" t="e">
        <f>AND('GA55 Entry'!#REF!,"AAAAACsvvwo=")</f>
        <v>#REF!</v>
      </c>
      <c r="L45" t="e">
        <f>AND('GA55 Entry'!#REF!,"AAAAACsvvws=")</f>
        <v>#REF!</v>
      </c>
      <c r="M45" t="e">
        <f>AND('GA55 Entry'!#REF!,"AAAAACsvvww=")</f>
        <v>#REF!</v>
      </c>
      <c r="N45" t="e">
        <f>AND('GA55 Entry'!#REF!,"AAAAACsvvw0=")</f>
        <v>#REF!</v>
      </c>
      <c r="O45" t="e">
        <f>AND('GA55 Entry'!#REF!,"AAAAACsvvw4=")</f>
        <v>#REF!</v>
      </c>
      <c r="P45" t="e">
        <f>AND('GA55 Entry'!#REF!,"AAAAACsvvw8=")</f>
        <v>#REF!</v>
      </c>
      <c r="Q45" t="e">
        <f>AND('GA55 Entry'!#REF!,"AAAAACsvvxA=")</f>
        <v>#REF!</v>
      </c>
      <c r="R45" t="e">
        <f>AND('GA55 Entry'!#REF!,"AAAAACsvvxE=")</f>
        <v>#REF!</v>
      </c>
      <c r="S45" t="e">
        <f>AND('GA55 Entry'!#REF!,"AAAAACsvvxI=")</f>
        <v>#REF!</v>
      </c>
      <c r="T45" t="e">
        <f>AND('GA55 Entry'!#REF!,"AAAAACsvvxM=")</f>
        <v>#REF!</v>
      </c>
      <c r="U45" t="e">
        <f>AND('GA55 Entry'!#REF!,"AAAAACsvvxQ=")</f>
        <v>#REF!</v>
      </c>
      <c r="V45" t="e">
        <f>AND('GA55 Entry'!#REF!,"AAAAACsvvxU=")</f>
        <v>#REF!</v>
      </c>
      <c r="W45" t="e">
        <f>AND('GA55 Entry'!#REF!,"AAAAACsvvxY=")</f>
        <v>#REF!</v>
      </c>
      <c r="X45" t="e">
        <f>AND('GA55 Entry'!#REF!,"AAAAACsvvxc=")</f>
        <v>#REF!</v>
      </c>
      <c r="Y45" t="e">
        <f>AND('GA55 Entry'!#REF!,"AAAAACsvvxg=")</f>
        <v>#REF!</v>
      </c>
      <c r="Z45" t="e">
        <f>AND('GA55 Entry'!#REF!,"AAAAACsvvxk=")</f>
        <v>#REF!</v>
      </c>
      <c r="AA45" t="e">
        <f>AND('GA55 Entry'!#REF!,"AAAAACsvvxo=")</f>
        <v>#REF!</v>
      </c>
      <c r="AB45" t="e">
        <f>AND('GA55 Entry'!#REF!,"AAAAACsvvxs=")</f>
        <v>#REF!</v>
      </c>
      <c r="AC45" t="e">
        <f>AND('GA55 Entry'!#REF!,"AAAAACsvvxw=")</f>
        <v>#REF!</v>
      </c>
      <c r="AD45" t="e">
        <f>AND('GA55 Entry'!#REF!,"AAAAACsvvx0=")</f>
        <v>#REF!</v>
      </c>
      <c r="AE45" t="e">
        <f>AND('GA55 Entry'!#REF!,"AAAAACsvvx4=")</f>
        <v>#REF!</v>
      </c>
      <c r="AF45" t="e">
        <f>AND('GA55 Entry'!#REF!,"AAAAACsvvx8=")</f>
        <v>#REF!</v>
      </c>
      <c r="AG45" t="e">
        <f>AND('GA55 Entry'!#REF!,"AAAAACsvvyA=")</f>
        <v>#REF!</v>
      </c>
      <c r="AH45" t="e">
        <f>AND('GA55 Entry'!#REF!,"AAAAACsvvyE=")</f>
        <v>#REF!</v>
      </c>
      <c r="AI45" t="e">
        <f>AND('GA55 Entry'!#REF!,"AAAAACsvvyI=")</f>
        <v>#REF!</v>
      </c>
      <c r="AJ45" t="e">
        <f>AND('GA55 Entry'!#REF!,"AAAAACsvvyM=")</f>
        <v>#REF!</v>
      </c>
      <c r="AK45" t="e">
        <f>AND('GA55 Entry'!#REF!,"AAAAACsvvyQ=")</f>
        <v>#REF!</v>
      </c>
      <c r="AL45" t="e">
        <f>AND('GA55 Entry'!#REF!,"AAAAACsvvyU=")</f>
        <v>#REF!</v>
      </c>
      <c r="AM45" t="e">
        <f>AND('GA55 Entry'!#REF!,"AAAAACsvvyY=")</f>
        <v>#REF!</v>
      </c>
      <c r="AN45" t="e">
        <f>AND('GA55 Entry'!#REF!,"AAAAACsvvyc=")</f>
        <v>#REF!</v>
      </c>
      <c r="AO45" t="e">
        <f>AND('GA55 Entry'!#REF!,"AAAAACsvvyg=")</f>
        <v>#REF!</v>
      </c>
      <c r="AP45" t="e">
        <f>AND('GA55 Entry'!#REF!,"AAAAACsvvyk=")</f>
        <v>#REF!</v>
      </c>
      <c r="AQ45" t="e">
        <f>AND('GA55 Entry'!#REF!,"AAAAACsvvyo=")</f>
        <v>#REF!</v>
      </c>
      <c r="AR45" t="e">
        <f>AND('GA55 Entry'!#REF!,"AAAAACsvvys=")</f>
        <v>#REF!</v>
      </c>
      <c r="AS45" t="e">
        <f>AND('GA55 Entry'!#REF!,"AAAAACsvvyw=")</f>
        <v>#REF!</v>
      </c>
      <c r="AT45" t="e">
        <f>AND('GA55 Entry'!#REF!,"AAAAACsvvy0=")</f>
        <v>#REF!</v>
      </c>
      <c r="AU45" t="e">
        <f>IF('GA55 Entry'!#REF!,"AAAAACsvvy4=",0)</f>
        <v>#REF!</v>
      </c>
      <c r="AV45" t="e">
        <f>AND('GA55 Entry'!#REF!,"AAAAACsvvy8=")</f>
        <v>#REF!</v>
      </c>
      <c r="AW45" t="e">
        <f>AND('GA55 Entry'!#REF!,"AAAAACsvvzA=")</f>
        <v>#REF!</v>
      </c>
      <c r="AX45" t="e">
        <f>AND('GA55 Entry'!#REF!,"AAAAACsvvzE=")</f>
        <v>#REF!</v>
      </c>
      <c r="AY45" t="e">
        <f>AND('GA55 Entry'!#REF!,"AAAAACsvvzI=")</f>
        <v>#REF!</v>
      </c>
      <c r="AZ45" t="e">
        <f>AND('GA55 Entry'!#REF!,"AAAAACsvvzM=")</f>
        <v>#REF!</v>
      </c>
      <c r="BA45" t="e">
        <f>AND('GA55 Entry'!#REF!,"AAAAACsvvzQ=")</f>
        <v>#REF!</v>
      </c>
      <c r="BB45" t="e">
        <f>AND('GA55 Entry'!#REF!,"AAAAACsvvzU=")</f>
        <v>#REF!</v>
      </c>
      <c r="BC45" t="e">
        <f>AND('GA55 Entry'!#REF!,"AAAAACsvvzY=")</f>
        <v>#REF!</v>
      </c>
      <c r="BD45" t="e">
        <f>AND('GA55 Entry'!#REF!,"AAAAACsvvzc=")</f>
        <v>#REF!</v>
      </c>
      <c r="BE45" t="e">
        <f>AND('GA55 Entry'!#REF!,"AAAAACsvvzg=")</f>
        <v>#REF!</v>
      </c>
      <c r="BF45" t="e">
        <f>AND('GA55 Entry'!#REF!,"AAAAACsvvzk=")</f>
        <v>#REF!</v>
      </c>
      <c r="BG45" t="e">
        <f>AND('GA55 Entry'!#REF!,"AAAAACsvvzo=")</f>
        <v>#REF!</v>
      </c>
      <c r="BH45" t="e">
        <f>AND('GA55 Entry'!#REF!,"AAAAACsvvzs=")</f>
        <v>#REF!</v>
      </c>
      <c r="BI45" t="e">
        <f>AND('GA55 Entry'!#REF!,"AAAAACsvvzw=")</f>
        <v>#REF!</v>
      </c>
      <c r="BJ45" t="e">
        <f>AND('GA55 Entry'!#REF!,"AAAAACsvvz0=")</f>
        <v>#REF!</v>
      </c>
      <c r="BK45" t="e">
        <f>AND('GA55 Entry'!#REF!,"AAAAACsvvz4=")</f>
        <v>#REF!</v>
      </c>
      <c r="BL45" t="e">
        <f>AND('GA55 Entry'!#REF!,"AAAAACsvvz8=")</f>
        <v>#REF!</v>
      </c>
      <c r="BM45" t="e">
        <f>AND('GA55 Entry'!#REF!,"AAAAACsvv0A=")</f>
        <v>#REF!</v>
      </c>
      <c r="BN45" t="e">
        <f>AND('GA55 Entry'!#REF!,"AAAAACsvv0E=")</f>
        <v>#REF!</v>
      </c>
      <c r="BO45" t="e">
        <f>AND('GA55 Entry'!#REF!,"AAAAACsvv0I=")</f>
        <v>#REF!</v>
      </c>
      <c r="BP45" t="e">
        <f>AND('GA55 Entry'!#REF!,"AAAAACsvv0M=")</f>
        <v>#REF!</v>
      </c>
      <c r="BQ45" t="e">
        <f>AND('GA55 Entry'!#REF!,"AAAAACsvv0Q=")</f>
        <v>#REF!</v>
      </c>
      <c r="BR45" t="e">
        <f>AND('GA55 Entry'!#REF!,"AAAAACsvv0U=")</f>
        <v>#REF!</v>
      </c>
      <c r="BS45" t="e">
        <f>AND('GA55 Entry'!#REF!,"AAAAACsvv0Y=")</f>
        <v>#REF!</v>
      </c>
      <c r="BT45" t="e">
        <f>AND('GA55 Entry'!#REF!,"AAAAACsvv0c=")</f>
        <v>#REF!</v>
      </c>
      <c r="BU45" t="e">
        <f>AND('GA55 Entry'!#REF!,"AAAAACsvv0g=")</f>
        <v>#REF!</v>
      </c>
      <c r="BV45" t="e">
        <f>AND('GA55 Entry'!#REF!,"AAAAACsvv0k=")</f>
        <v>#REF!</v>
      </c>
      <c r="BW45" t="e">
        <f>AND('GA55 Entry'!#REF!,"AAAAACsvv0o=")</f>
        <v>#REF!</v>
      </c>
      <c r="BX45" t="e">
        <f>AND('GA55 Entry'!#REF!,"AAAAACsvv0s=")</f>
        <v>#REF!</v>
      </c>
      <c r="BY45" t="e">
        <f>AND('GA55 Entry'!#REF!,"AAAAACsvv0w=")</f>
        <v>#REF!</v>
      </c>
      <c r="BZ45" t="e">
        <f>AND('GA55 Entry'!#REF!,"AAAAACsvv00=")</f>
        <v>#REF!</v>
      </c>
      <c r="CA45" t="e">
        <f>AND('GA55 Entry'!#REF!,"AAAAACsvv04=")</f>
        <v>#REF!</v>
      </c>
      <c r="CB45" t="e">
        <f>AND('GA55 Entry'!#REF!,"AAAAACsvv08=")</f>
        <v>#REF!</v>
      </c>
      <c r="CC45" t="e">
        <f>AND('GA55 Entry'!#REF!,"AAAAACsvv1A=")</f>
        <v>#REF!</v>
      </c>
      <c r="CD45" t="e">
        <f>AND('GA55 Entry'!#REF!,"AAAAACsvv1E=")</f>
        <v>#REF!</v>
      </c>
      <c r="CE45" t="e">
        <f>AND('GA55 Entry'!#REF!,"AAAAACsvv1I=")</f>
        <v>#REF!</v>
      </c>
      <c r="CF45" t="e">
        <f>AND('GA55 Entry'!#REF!,"AAAAACsvv1M=")</f>
        <v>#REF!</v>
      </c>
      <c r="CG45" t="e">
        <f>AND('GA55 Entry'!#REF!,"AAAAACsvv1Q=")</f>
        <v>#REF!</v>
      </c>
      <c r="CH45" t="e">
        <f>AND('GA55 Entry'!#REF!,"AAAAACsvv1U=")</f>
        <v>#REF!</v>
      </c>
      <c r="CI45" t="e">
        <f>AND('GA55 Entry'!#REF!,"AAAAACsvv1Y=")</f>
        <v>#REF!</v>
      </c>
      <c r="CJ45" t="e">
        <f>AND('GA55 Entry'!#REF!,"AAAAACsvv1c=")</f>
        <v>#REF!</v>
      </c>
      <c r="CK45" t="e">
        <f>AND('GA55 Entry'!#REF!,"AAAAACsvv1g=")</f>
        <v>#REF!</v>
      </c>
      <c r="CL45" t="e">
        <f>AND('GA55 Entry'!#REF!,"AAAAACsvv1k=")</f>
        <v>#REF!</v>
      </c>
      <c r="CM45" t="e">
        <f>AND('GA55 Entry'!#REF!,"AAAAACsvv1o=")</f>
        <v>#REF!</v>
      </c>
      <c r="CN45" t="e">
        <f>AND('GA55 Entry'!#REF!,"AAAAACsvv1s=")</f>
        <v>#REF!</v>
      </c>
      <c r="CO45" t="e">
        <f>AND('GA55 Entry'!#REF!,"AAAAACsvv1w=")</f>
        <v>#REF!</v>
      </c>
      <c r="CP45" t="e">
        <f>AND('GA55 Entry'!#REF!,"AAAAACsvv10=")</f>
        <v>#REF!</v>
      </c>
      <c r="CQ45" t="e">
        <f>AND('GA55 Entry'!#REF!,"AAAAACsvv14=")</f>
        <v>#REF!</v>
      </c>
      <c r="CR45" t="e">
        <f>AND('GA55 Entry'!#REF!,"AAAAACsvv18=")</f>
        <v>#REF!</v>
      </c>
      <c r="CS45" t="e">
        <f>AND('GA55 Entry'!#REF!,"AAAAACsvv2A=")</f>
        <v>#REF!</v>
      </c>
      <c r="CT45" t="e">
        <f>IF('GA55 Entry'!#REF!,"AAAAACsvv2E=",0)</f>
        <v>#REF!</v>
      </c>
      <c r="CU45" t="e">
        <f>AND('GA55 Entry'!#REF!,"AAAAACsvv2I=")</f>
        <v>#REF!</v>
      </c>
      <c r="CV45" t="e">
        <f>AND('GA55 Entry'!#REF!,"AAAAACsvv2M=")</f>
        <v>#REF!</v>
      </c>
      <c r="CW45" t="e">
        <f>AND('GA55 Entry'!#REF!,"AAAAACsvv2Q=")</f>
        <v>#REF!</v>
      </c>
      <c r="CX45" t="e">
        <f>AND('GA55 Entry'!#REF!,"AAAAACsvv2U=")</f>
        <v>#REF!</v>
      </c>
      <c r="CY45" t="e">
        <f>AND('GA55 Entry'!#REF!,"AAAAACsvv2Y=")</f>
        <v>#REF!</v>
      </c>
      <c r="CZ45" t="e">
        <f>AND('GA55 Entry'!#REF!,"AAAAACsvv2c=")</f>
        <v>#REF!</v>
      </c>
      <c r="DA45" t="e">
        <f>AND('GA55 Entry'!#REF!,"AAAAACsvv2g=")</f>
        <v>#REF!</v>
      </c>
      <c r="DB45" t="e">
        <f>AND('GA55 Entry'!#REF!,"AAAAACsvv2k=")</f>
        <v>#REF!</v>
      </c>
      <c r="DC45" t="e">
        <f>AND('GA55 Entry'!#REF!,"AAAAACsvv2o=")</f>
        <v>#REF!</v>
      </c>
      <c r="DD45" t="e">
        <f>AND('GA55 Entry'!#REF!,"AAAAACsvv2s=")</f>
        <v>#REF!</v>
      </c>
      <c r="DE45" t="e">
        <f>AND('GA55 Entry'!#REF!,"AAAAACsvv2w=")</f>
        <v>#REF!</v>
      </c>
      <c r="DF45" t="e">
        <f>AND('GA55 Entry'!#REF!,"AAAAACsvv20=")</f>
        <v>#REF!</v>
      </c>
      <c r="DG45" t="e">
        <f>AND('GA55 Entry'!#REF!,"AAAAACsvv24=")</f>
        <v>#REF!</v>
      </c>
      <c r="DH45" t="e">
        <f>AND('GA55 Entry'!#REF!,"AAAAACsvv28=")</f>
        <v>#REF!</v>
      </c>
      <c r="DI45" t="e">
        <f>AND('GA55 Entry'!#REF!,"AAAAACsvv3A=")</f>
        <v>#REF!</v>
      </c>
      <c r="DJ45" t="e">
        <f>AND('GA55 Entry'!#REF!,"AAAAACsvv3E=")</f>
        <v>#REF!</v>
      </c>
      <c r="DK45" t="e">
        <f>AND('GA55 Entry'!#REF!,"AAAAACsvv3I=")</f>
        <v>#REF!</v>
      </c>
      <c r="DL45" t="e">
        <f>AND('GA55 Entry'!#REF!,"AAAAACsvv3M=")</f>
        <v>#REF!</v>
      </c>
      <c r="DM45" t="e">
        <f>AND('GA55 Entry'!#REF!,"AAAAACsvv3Q=")</f>
        <v>#REF!</v>
      </c>
      <c r="DN45" t="e">
        <f>AND('GA55 Entry'!#REF!,"AAAAACsvv3U=")</f>
        <v>#REF!</v>
      </c>
      <c r="DO45" t="e">
        <f>AND('GA55 Entry'!#REF!,"AAAAACsvv3Y=")</f>
        <v>#REF!</v>
      </c>
      <c r="DP45" t="e">
        <f>AND('GA55 Entry'!#REF!,"AAAAACsvv3c=")</f>
        <v>#REF!</v>
      </c>
      <c r="DQ45" t="e">
        <f>AND('GA55 Entry'!#REF!,"AAAAACsvv3g=")</f>
        <v>#REF!</v>
      </c>
      <c r="DR45" t="e">
        <f>AND('GA55 Entry'!#REF!,"AAAAACsvv3k=")</f>
        <v>#REF!</v>
      </c>
      <c r="DS45" t="e">
        <f>AND('GA55 Entry'!#REF!,"AAAAACsvv3o=")</f>
        <v>#REF!</v>
      </c>
      <c r="DT45" t="e">
        <f>AND('GA55 Entry'!#REF!,"AAAAACsvv3s=")</f>
        <v>#REF!</v>
      </c>
      <c r="DU45" t="e">
        <f>AND('GA55 Entry'!#REF!,"AAAAACsvv3w=")</f>
        <v>#REF!</v>
      </c>
      <c r="DV45" t="e">
        <f>AND('GA55 Entry'!#REF!,"AAAAACsvv30=")</f>
        <v>#REF!</v>
      </c>
      <c r="DW45" t="e">
        <f>AND('GA55 Entry'!#REF!,"AAAAACsvv34=")</f>
        <v>#REF!</v>
      </c>
      <c r="DX45" t="e">
        <f>AND('GA55 Entry'!#REF!,"AAAAACsvv38=")</f>
        <v>#REF!</v>
      </c>
      <c r="DY45" t="e">
        <f>AND('GA55 Entry'!#REF!,"AAAAACsvv4A=")</f>
        <v>#REF!</v>
      </c>
      <c r="DZ45" t="e">
        <f>AND('GA55 Entry'!#REF!,"AAAAACsvv4E=")</f>
        <v>#REF!</v>
      </c>
      <c r="EA45" t="e">
        <f>AND('GA55 Entry'!#REF!,"AAAAACsvv4I=")</f>
        <v>#REF!</v>
      </c>
      <c r="EB45" t="e">
        <f>AND('GA55 Entry'!#REF!,"AAAAACsvv4M=")</f>
        <v>#REF!</v>
      </c>
      <c r="EC45" t="e">
        <f>AND('GA55 Entry'!#REF!,"AAAAACsvv4Q=")</f>
        <v>#REF!</v>
      </c>
      <c r="ED45" t="e">
        <f>AND('GA55 Entry'!#REF!,"AAAAACsvv4U=")</f>
        <v>#REF!</v>
      </c>
      <c r="EE45" t="e">
        <f>AND('GA55 Entry'!#REF!,"AAAAACsvv4Y=")</f>
        <v>#REF!</v>
      </c>
      <c r="EF45" t="e">
        <f>AND('GA55 Entry'!#REF!,"AAAAACsvv4c=")</f>
        <v>#REF!</v>
      </c>
      <c r="EG45" t="e">
        <f>AND('GA55 Entry'!#REF!,"AAAAACsvv4g=")</f>
        <v>#REF!</v>
      </c>
      <c r="EH45" t="e">
        <f>AND('GA55 Entry'!#REF!,"AAAAACsvv4k=")</f>
        <v>#REF!</v>
      </c>
      <c r="EI45" t="e">
        <f>AND('GA55 Entry'!#REF!,"AAAAACsvv4o=")</f>
        <v>#REF!</v>
      </c>
      <c r="EJ45" t="e">
        <f>AND('GA55 Entry'!#REF!,"AAAAACsvv4s=")</f>
        <v>#REF!</v>
      </c>
      <c r="EK45" t="e">
        <f>AND('GA55 Entry'!#REF!,"AAAAACsvv4w=")</f>
        <v>#REF!</v>
      </c>
      <c r="EL45" t="e">
        <f>AND('GA55 Entry'!#REF!,"AAAAACsvv40=")</f>
        <v>#REF!</v>
      </c>
      <c r="EM45" t="e">
        <f>AND('GA55 Entry'!#REF!,"AAAAACsvv44=")</f>
        <v>#REF!</v>
      </c>
      <c r="EN45" t="e">
        <f>AND('GA55 Entry'!#REF!,"AAAAACsvv48=")</f>
        <v>#REF!</v>
      </c>
      <c r="EO45" t="e">
        <f>AND('GA55 Entry'!#REF!,"AAAAACsvv5A=")</f>
        <v>#REF!</v>
      </c>
      <c r="EP45" t="e">
        <f>AND('GA55 Entry'!#REF!,"AAAAACsvv5E=")</f>
        <v>#REF!</v>
      </c>
      <c r="EQ45" t="e">
        <f>AND('GA55 Entry'!#REF!,"AAAAACsvv5I=")</f>
        <v>#REF!</v>
      </c>
      <c r="ER45" t="e">
        <f>AND('GA55 Entry'!#REF!,"AAAAACsvv5M=")</f>
        <v>#REF!</v>
      </c>
      <c r="ES45" t="e">
        <f>IF('GA55 Entry'!#REF!,"AAAAACsvv5Q=",0)</f>
        <v>#REF!</v>
      </c>
      <c r="ET45" t="e">
        <f>AND('GA55 Entry'!#REF!,"AAAAACsvv5U=")</f>
        <v>#REF!</v>
      </c>
      <c r="EU45" t="e">
        <f>AND('GA55 Entry'!#REF!,"AAAAACsvv5Y=")</f>
        <v>#REF!</v>
      </c>
      <c r="EV45" t="e">
        <f>AND('GA55 Entry'!#REF!,"AAAAACsvv5c=")</f>
        <v>#REF!</v>
      </c>
      <c r="EW45" t="e">
        <f>AND('GA55 Entry'!#REF!,"AAAAACsvv5g=")</f>
        <v>#REF!</v>
      </c>
      <c r="EX45" t="e">
        <f>AND('GA55 Entry'!#REF!,"AAAAACsvv5k=")</f>
        <v>#REF!</v>
      </c>
      <c r="EY45" t="e">
        <f>AND('GA55 Entry'!#REF!,"AAAAACsvv5o=")</f>
        <v>#REF!</v>
      </c>
      <c r="EZ45" t="e">
        <f>AND('GA55 Entry'!#REF!,"AAAAACsvv5s=")</f>
        <v>#REF!</v>
      </c>
      <c r="FA45" t="e">
        <f>AND('GA55 Entry'!#REF!,"AAAAACsvv5w=")</f>
        <v>#REF!</v>
      </c>
      <c r="FB45" t="e">
        <f>AND('GA55 Entry'!#REF!,"AAAAACsvv50=")</f>
        <v>#REF!</v>
      </c>
      <c r="FC45" t="e">
        <f>AND('GA55 Entry'!#REF!,"AAAAACsvv54=")</f>
        <v>#REF!</v>
      </c>
      <c r="FD45" t="e">
        <f>AND('GA55 Entry'!#REF!,"AAAAACsvv58=")</f>
        <v>#REF!</v>
      </c>
      <c r="FE45" t="e">
        <f>AND('GA55 Entry'!#REF!,"AAAAACsvv6A=")</f>
        <v>#REF!</v>
      </c>
      <c r="FF45" t="e">
        <f>AND('GA55 Entry'!#REF!,"AAAAACsvv6E=")</f>
        <v>#REF!</v>
      </c>
      <c r="FG45" t="e">
        <f>AND('GA55 Entry'!#REF!,"AAAAACsvv6I=")</f>
        <v>#REF!</v>
      </c>
      <c r="FH45" t="e">
        <f>AND('GA55 Entry'!#REF!,"AAAAACsvv6M=")</f>
        <v>#REF!</v>
      </c>
      <c r="FI45" t="e">
        <f>AND('GA55 Entry'!#REF!,"AAAAACsvv6Q=")</f>
        <v>#REF!</v>
      </c>
      <c r="FJ45" t="e">
        <f>AND('GA55 Entry'!#REF!,"AAAAACsvv6U=")</f>
        <v>#REF!</v>
      </c>
      <c r="FK45" t="e">
        <f>AND('GA55 Entry'!#REF!,"AAAAACsvv6Y=")</f>
        <v>#REF!</v>
      </c>
      <c r="FL45" t="e">
        <f>AND('GA55 Entry'!#REF!,"AAAAACsvv6c=")</f>
        <v>#REF!</v>
      </c>
      <c r="FM45" t="e">
        <f>AND('GA55 Entry'!#REF!,"AAAAACsvv6g=")</f>
        <v>#REF!</v>
      </c>
      <c r="FN45" t="e">
        <f>AND('GA55 Entry'!#REF!,"AAAAACsvv6k=")</f>
        <v>#REF!</v>
      </c>
      <c r="FO45" t="e">
        <f>AND('GA55 Entry'!#REF!,"AAAAACsvv6o=")</f>
        <v>#REF!</v>
      </c>
      <c r="FP45" t="e">
        <f>AND('GA55 Entry'!#REF!,"AAAAACsvv6s=")</f>
        <v>#REF!</v>
      </c>
      <c r="FQ45" t="e">
        <f>AND('GA55 Entry'!#REF!,"AAAAACsvv6w=")</f>
        <v>#REF!</v>
      </c>
      <c r="FR45" t="e">
        <f>AND('GA55 Entry'!#REF!,"AAAAACsvv60=")</f>
        <v>#REF!</v>
      </c>
      <c r="FS45" t="e">
        <f>AND('GA55 Entry'!#REF!,"AAAAACsvv64=")</f>
        <v>#REF!</v>
      </c>
      <c r="FT45" t="e">
        <f>AND('GA55 Entry'!#REF!,"AAAAACsvv68=")</f>
        <v>#REF!</v>
      </c>
      <c r="FU45" t="e">
        <f>AND('GA55 Entry'!#REF!,"AAAAACsvv7A=")</f>
        <v>#REF!</v>
      </c>
      <c r="FV45" t="e">
        <f>AND('GA55 Entry'!#REF!,"AAAAACsvv7E=")</f>
        <v>#REF!</v>
      </c>
      <c r="FW45" t="e">
        <f>AND('GA55 Entry'!#REF!,"AAAAACsvv7I=")</f>
        <v>#REF!</v>
      </c>
      <c r="FX45" t="e">
        <f>AND('GA55 Entry'!#REF!,"AAAAACsvv7M=")</f>
        <v>#REF!</v>
      </c>
      <c r="FY45" t="e">
        <f>AND('GA55 Entry'!#REF!,"AAAAACsvv7Q=")</f>
        <v>#REF!</v>
      </c>
      <c r="FZ45" t="e">
        <f>AND('GA55 Entry'!#REF!,"AAAAACsvv7U=")</f>
        <v>#REF!</v>
      </c>
      <c r="GA45" t="e">
        <f>AND('GA55 Entry'!#REF!,"AAAAACsvv7Y=")</f>
        <v>#REF!</v>
      </c>
      <c r="GB45" t="e">
        <f>AND('GA55 Entry'!#REF!,"AAAAACsvv7c=")</f>
        <v>#REF!</v>
      </c>
      <c r="GC45" t="e">
        <f>AND('GA55 Entry'!#REF!,"AAAAACsvv7g=")</f>
        <v>#REF!</v>
      </c>
      <c r="GD45" t="e">
        <f>AND('GA55 Entry'!#REF!,"AAAAACsvv7k=")</f>
        <v>#REF!</v>
      </c>
      <c r="GE45" t="e">
        <f>AND('GA55 Entry'!#REF!,"AAAAACsvv7o=")</f>
        <v>#REF!</v>
      </c>
      <c r="GF45" t="e">
        <f>AND('GA55 Entry'!#REF!,"AAAAACsvv7s=")</f>
        <v>#REF!</v>
      </c>
      <c r="GG45" t="e">
        <f>AND('GA55 Entry'!#REF!,"AAAAACsvv7w=")</f>
        <v>#REF!</v>
      </c>
      <c r="GH45" t="e">
        <f>AND('GA55 Entry'!#REF!,"AAAAACsvv70=")</f>
        <v>#REF!</v>
      </c>
      <c r="GI45" t="e">
        <f>AND('GA55 Entry'!#REF!,"AAAAACsvv74=")</f>
        <v>#REF!</v>
      </c>
      <c r="GJ45" t="e">
        <f>AND('GA55 Entry'!#REF!,"AAAAACsvv78=")</f>
        <v>#REF!</v>
      </c>
      <c r="GK45" t="e">
        <f>AND('GA55 Entry'!#REF!,"AAAAACsvv8A=")</f>
        <v>#REF!</v>
      </c>
      <c r="GL45" t="e">
        <f>AND('GA55 Entry'!#REF!,"AAAAACsvv8E=")</f>
        <v>#REF!</v>
      </c>
      <c r="GM45" t="e">
        <f>AND('GA55 Entry'!#REF!,"AAAAACsvv8I=")</f>
        <v>#REF!</v>
      </c>
      <c r="GN45" t="e">
        <f>AND('GA55 Entry'!#REF!,"AAAAACsvv8M=")</f>
        <v>#REF!</v>
      </c>
      <c r="GO45" t="e">
        <f>AND('GA55 Entry'!#REF!,"AAAAACsvv8Q=")</f>
        <v>#REF!</v>
      </c>
      <c r="GP45" t="e">
        <f>AND('GA55 Entry'!#REF!,"AAAAACsvv8U=")</f>
        <v>#REF!</v>
      </c>
      <c r="GQ45" t="e">
        <f>AND('GA55 Entry'!#REF!,"AAAAACsvv8Y=")</f>
        <v>#REF!</v>
      </c>
      <c r="GR45" t="e">
        <f>IF('GA55 Entry'!#REF!,"AAAAACsvv8c=",0)</f>
        <v>#REF!</v>
      </c>
      <c r="GS45" t="e">
        <f>AND('GA55 Entry'!#REF!,"AAAAACsvv8g=")</f>
        <v>#REF!</v>
      </c>
      <c r="GT45" t="e">
        <f>AND('GA55 Entry'!#REF!,"AAAAACsvv8k=")</f>
        <v>#REF!</v>
      </c>
      <c r="GU45" t="e">
        <f>AND('GA55 Entry'!#REF!,"AAAAACsvv8o=")</f>
        <v>#REF!</v>
      </c>
      <c r="GV45" t="e">
        <f>AND('GA55 Entry'!#REF!,"AAAAACsvv8s=")</f>
        <v>#REF!</v>
      </c>
      <c r="GW45" t="e">
        <f>AND('GA55 Entry'!#REF!,"AAAAACsvv8w=")</f>
        <v>#REF!</v>
      </c>
      <c r="GX45" t="e">
        <f>AND('GA55 Entry'!#REF!,"AAAAACsvv80=")</f>
        <v>#REF!</v>
      </c>
      <c r="GY45" t="e">
        <f>AND('GA55 Entry'!#REF!,"AAAAACsvv84=")</f>
        <v>#REF!</v>
      </c>
      <c r="GZ45" t="e">
        <f>AND('GA55 Entry'!#REF!,"AAAAACsvv88=")</f>
        <v>#REF!</v>
      </c>
      <c r="HA45" t="e">
        <f>AND('GA55 Entry'!#REF!,"AAAAACsvv9A=")</f>
        <v>#REF!</v>
      </c>
      <c r="HB45" t="e">
        <f>AND('GA55 Entry'!#REF!,"AAAAACsvv9E=")</f>
        <v>#REF!</v>
      </c>
      <c r="HC45" t="e">
        <f>AND('GA55 Entry'!#REF!,"AAAAACsvv9I=")</f>
        <v>#REF!</v>
      </c>
      <c r="HD45" t="e">
        <f>AND('GA55 Entry'!#REF!,"AAAAACsvv9M=")</f>
        <v>#REF!</v>
      </c>
      <c r="HE45" t="e">
        <f>AND('GA55 Entry'!#REF!,"AAAAACsvv9Q=")</f>
        <v>#REF!</v>
      </c>
      <c r="HF45" t="e">
        <f>AND('GA55 Entry'!#REF!,"AAAAACsvv9U=")</f>
        <v>#REF!</v>
      </c>
      <c r="HG45" t="e">
        <f>AND('GA55 Entry'!#REF!,"AAAAACsvv9Y=")</f>
        <v>#REF!</v>
      </c>
      <c r="HH45" t="e">
        <f>AND('GA55 Entry'!#REF!,"AAAAACsvv9c=")</f>
        <v>#REF!</v>
      </c>
      <c r="HI45" t="e">
        <f>AND('GA55 Entry'!#REF!,"AAAAACsvv9g=")</f>
        <v>#REF!</v>
      </c>
      <c r="HJ45" t="e">
        <f>AND('GA55 Entry'!#REF!,"AAAAACsvv9k=")</f>
        <v>#REF!</v>
      </c>
      <c r="HK45" t="e">
        <f>AND('GA55 Entry'!#REF!,"AAAAACsvv9o=")</f>
        <v>#REF!</v>
      </c>
      <c r="HL45" t="e">
        <f>AND('GA55 Entry'!#REF!,"AAAAACsvv9s=")</f>
        <v>#REF!</v>
      </c>
      <c r="HM45" t="e">
        <f>AND('GA55 Entry'!#REF!,"AAAAACsvv9w=")</f>
        <v>#REF!</v>
      </c>
      <c r="HN45" t="e">
        <f>AND('GA55 Entry'!#REF!,"AAAAACsvv90=")</f>
        <v>#REF!</v>
      </c>
      <c r="HO45" t="e">
        <f>AND('GA55 Entry'!#REF!,"AAAAACsvv94=")</f>
        <v>#REF!</v>
      </c>
      <c r="HP45" t="e">
        <f>AND('GA55 Entry'!#REF!,"AAAAACsvv98=")</f>
        <v>#REF!</v>
      </c>
      <c r="HQ45" t="e">
        <f>AND('GA55 Entry'!#REF!,"AAAAACsvv+A=")</f>
        <v>#REF!</v>
      </c>
      <c r="HR45" t="e">
        <f>AND('GA55 Entry'!#REF!,"AAAAACsvv+E=")</f>
        <v>#REF!</v>
      </c>
      <c r="HS45" t="e">
        <f>AND('GA55 Entry'!#REF!,"AAAAACsvv+I=")</f>
        <v>#REF!</v>
      </c>
      <c r="HT45" t="e">
        <f>AND('GA55 Entry'!#REF!,"AAAAACsvv+M=")</f>
        <v>#REF!</v>
      </c>
      <c r="HU45" t="e">
        <f>AND('GA55 Entry'!#REF!,"AAAAACsvv+Q=")</f>
        <v>#REF!</v>
      </c>
      <c r="HV45" t="e">
        <f>AND('GA55 Entry'!#REF!,"AAAAACsvv+U=")</f>
        <v>#REF!</v>
      </c>
      <c r="HW45" t="e">
        <f>AND('GA55 Entry'!#REF!,"AAAAACsvv+Y=")</f>
        <v>#REF!</v>
      </c>
      <c r="HX45" t="e">
        <f>AND('GA55 Entry'!#REF!,"AAAAACsvv+c=")</f>
        <v>#REF!</v>
      </c>
      <c r="HY45" t="e">
        <f>AND('GA55 Entry'!#REF!,"AAAAACsvv+g=")</f>
        <v>#REF!</v>
      </c>
      <c r="HZ45" t="e">
        <f>AND('GA55 Entry'!#REF!,"AAAAACsvv+k=")</f>
        <v>#REF!</v>
      </c>
      <c r="IA45" t="e">
        <f>AND('GA55 Entry'!#REF!,"AAAAACsvv+o=")</f>
        <v>#REF!</v>
      </c>
      <c r="IB45" t="e">
        <f>AND('GA55 Entry'!#REF!,"AAAAACsvv+s=")</f>
        <v>#REF!</v>
      </c>
      <c r="IC45" t="e">
        <f>AND('GA55 Entry'!#REF!,"AAAAACsvv+w=")</f>
        <v>#REF!</v>
      </c>
      <c r="ID45" t="e">
        <f>AND('GA55 Entry'!#REF!,"AAAAACsvv+0=")</f>
        <v>#REF!</v>
      </c>
      <c r="IE45" t="e">
        <f>AND('GA55 Entry'!#REF!,"AAAAACsvv+4=")</f>
        <v>#REF!</v>
      </c>
      <c r="IF45" t="e">
        <f>AND('GA55 Entry'!#REF!,"AAAAACsvv+8=")</f>
        <v>#REF!</v>
      </c>
      <c r="IG45" t="e">
        <f>AND('GA55 Entry'!#REF!,"AAAAACsvv/A=")</f>
        <v>#REF!</v>
      </c>
      <c r="IH45" t="e">
        <f>AND('GA55 Entry'!#REF!,"AAAAACsvv/E=")</f>
        <v>#REF!</v>
      </c>
      <c r="II45" t="e">
        <f>AND('GA55 Entry'!#REF!,"AAAAACsvv/I=")</f>
        <v>#REF!</v>
      </c>
      <c r="IJ45" t="e">
        <f>AND('GA55 Entry'!#REF!,"AAAAACsvv/M=")</f>
        <v>#REF!</v>
      </c>
      <c r="IK45" t="e">
        <f>AND('GA55 Entry'!#REF!,"AAAAACsvv/Q=")</f>
        <v>#REF!</v>
      </c>
      <c r="IL45" t="e">
        <f>AND('GA55 Entry'!#REF!,"AAAAACsvv/U=")</f>
        <v>#REF!</v>
      </c>
      <c r="IM45" t="e">
        <f>AND('GA55 Entry'!#REF!,"AAAAACsvv/Y=")</f>
        <v>#REF!</v>
      </c>
      <c r="IN45" t="e">
        <f>AND('GA55 Entry'!#REF!,"AAAAACsvv/c=")</f>
        <v>#REF!</v>
      </c>
      <c r="IO45" t="e">
        <f>AND('GA55 Entry'!#REF!,"AAAAACsvv/g=")</f>
        <v>#REF!</v>
      </c>
      <c r="IP45" t="e">
        <f>AND('GA55 Entry'!#REF!,"AAAAACsvv/k=")</f>
        <v>#REF!</v>
      </c>
      <c r="IQ45" t="e">
        <f>IF('GA55 Entry'!#REF!,"AAAAACsvv/o=",0)</f>
        <v>#REF!</v>
      </c>
      <c r="IR45" t="e">
        <f>AND('GA55 Entry'!#REF!,"AAAAACsvv/s=")</f>
        <v>#REF!</v>
      </c>
      <c r="IS45" t="e">
        <f>AND('GA55 Entry'!#REF!,"AAAAACsvv/w=")</f>
        <v>#REF!</v>
      </c>
      <c r="IT45" t="e">
        <f>AND('GA55 Entry'!#REF!,"AAAAACsvv/0=")</f>
        <v>#REF!</v>
      </c>
      <c r="IU45" t="e">
        <f>AND('GA55 Entry'!#REF!,"AAAAACsvv/4=")</f>
        <v>#REF!</v>
      </c>
      <c r="IV45" t="e">
        <f>AND('GA55 Entry'!#REF!,"AAAAACsvv/8=")</f>
        <v>#REF!</v>
      </c>
    </row>
    <row r="46" spans="1:256">
      <c r="A46" t="e">
        <f>AND('GA55 Entry'!#REF!,"AAAAAHm9fAA=")</f>
        <v>#REF!</v>
      </c>
      <c r="B46" t="e">
        <f>AND('GA55 Entry'!#REF!,"AAAAAHm9fAE=")</f>
        <v>#REF!</v>
      </c>
      <c r="C46" t="e">
        <f>AND('GA55 Entry'!#REF!,"AAAAAHm9fAI=")</f>
        <v>#REF!</v>
      </c>
      <c r="D46" t="e">
        <f>AND('GA55 Entry'!#REF!,"AAAAAHm9fAM=")</f>
        <v>#REF!</v>
      </c>
      <c r="E46" t="e">
        <f>AND('GA55 Entry'!#REF!,"AAAAAHm9fAQ=")</f>
        <v>#REF!</v>
      </c>
      <c r="F46" t="e">
        <f>AND('GA55 Entry'!#REF!,"AAAAAHm9fAU=")</f>
        <v>#REF!</v>
      </c>
      <c r="G46" t="e">
        <f>AND('GA55 Entry'!#REF!,"AAAAAHm9fAY=")</f>
        <v>#REF!</v>
      </c>
      <c r="H46" t="e">
        <f>AND('GA55 Entry'!#REF!,"AAAAAHm9fAc=")</f>
        <v>#REF!</v>
      </c>
      <c r="I46" t="e">
        <f>AND('GA55 Entry'!#REF!,"AAAAAHm9fAg=")</f>
        <v>#REF!</v>
      </c>
      <c r="J46" t="e">
        <f>AND('GA55 Entry'!#REF!,"AAAAAHm9fAk=")</f>
        <v>#REF!</v>
      </c>
      <c r="K46" t="e">
        <f>AND('GA55 Entry'!#REF!,"AAAAAHm9fAo=")</f>
        <v>#REF!</v>
      </c>
      <c r="L46" t="e">
        <f>AND('GA55 Entry'!#REF!,"AAAAAHm9fAs=")</f>
        <v>#REF!</v>
      </c>
      <c r="M46" t="e">
        <f>AND('GA55 Entry'!#REF!,"AAAAAHm9fAw=")</f>
        <v>#REF!</v>
      </c>
      <c r="N46" t="e">
        <f>AND('GA55 Entry'!#REF!,"AAAAAHm9fA0=")</f>
        <v>#REF!</v>
      </c>
      <c r="O46" t="e">
        <f>AND('GA55 Entry'!#REF!,"AAAAAHm9fA4=")</f>
        <v>#REF!</v>
      </c>
      <c r="P46" t="e">
        <f>AND('GA55 Entry'!#REF!,"AAAAAHm9fA8=")</f>
        <v>#REF!</v>
      </c>
      <c r="Q46" t="e">
        <f>AND('GA55 Entry'!#REF!,"AAAAAHm9fBA=")</f>
        <v>#REF!</v>
      </c>
      <c r="R46" t="e">
        <f>AND('GA55 Entry'!#REF!,"AAAAAHm9fBE=")</f>
        <v>#REF!</v>
      </c>
      <c r="S46" t="e">
        <f>AND('GA55 Entry'!#REF!,"AAAAAHm9fBI=")</f>
        <v>#REF!</v>
      </c>
      <c r="T46" t="e">
        <f>AND('GA55 Entry'!#REF!,"AAAAAHm9fBM=")</f>
        <v>#REF!</v>
      </c>
      <c r="U46" t="e">
        <f>AND('GA55 Entry'!#REF!,"AAAAAHm9fBQ=")</f>
        <v>#REF!</v>
      </c>
      <c r="V46" t="e">
        <f>AND('GA55 Entry'!#REF!,"AAAAAHm9fBU=")</f>
        <v>#REF!</v>
      </c>
      <c r="W46" t="e">
        <f>AND('GA55 Entry'!#REF!,"AAAAAHm9fBY=")</f>
        <v>#REF!</v>
      </c>
      <c r="X46" t="e">
        <f>AND('GA55 Entry'!#REF!,"AAAAAHm9fBc=")</f>
        <v>#REF!</v>
      </c>
      <c r="Y46" t="e">
        <f>AND('GA55 Entry'!#REF!,"AAAAAHm9fBg=")</f>
        <v>#REF!</v>
      </c>
      <c r="Z46" t="e">
        <f>AND('GA55 Entry'!#REF!,"AAAAAHm9fBk=")</f>
        <v>#REF!</v>
      </c>
      <c r="AA46" t="e">
        <f>AND('GA55 Entry'!#REF!,"AAAAAHm9fBo=")</f>
        <v>#REF!</v>
      </c>
      <c r="AB46" t="e">
        <f>AND('GA55 Entry'!#REF!,"AAAAAHm9fBs=")</f>
        <v>#REF!</v>
      </c>
      <c r="AC46" t="e">
        <f>AND('GA55 Entry'!#REF!,"AAAAAHm9fBw=")</f>
        <v>#REF!</v>
      </c>
      <c r="AD46" t="e">
        <f>AND('GA55 Entry'!#REF!,"AAAAAHm9fB0=")</f>
        <v>#REF!</v>
      </c>
      <c r="AE46" t="e">
        <f>AND('GA55 Entry'!#REF!,"AAAAAHm9fB4=")</f>
        <v>#REF!</v>
      </c>
      <c r="AF46" t="e">
        <f>AND('GA55 Entry'!#REF!,"AAAAAHm9fB8=")</f>
        <v>#REF!</v>
      </c>
      <c r="AG46" t="e">
        <f>AND('GA55 Entry'!#REF!,"AAAAAHm9fCA=")</f>
        <v>#REF!</v>
      </c>
      <c r="AH46" t="e">
        <f>AND('GA55 Entry'!#REF!,"AAAAAHm9fCE=")</f>
        <v>#REF!</v>
      </c>
      <c r="AI46" t="e">
        <f>AND('GA55 Entry'!#REF!,"AAAAAHm9fCI=")</f>
        <v>#REF!</v>
      </c>
      <c r="AJ46" t="e">
        <f>AND('GA55 Entry'!#REF!,"AAAAAHm9fCM=")</f>
        <v>#REF!</v>
      </c>
      <c r="AK46" t="e">
        <f>AND('GA55 Entry'!#REF!,"AAAAAHm9fCQ=")</f>
        <v>#REF!</v>
      </c>
      <c r="AL46" t="e">
        <f>AND('GA55 Entry'!#REF!,"AAAAAHm9fCU=")</f>
        <v>#REF!</v>
      </c>
      <c r="AM46" t="e">
        <f>AND('GA55 Entry'!#REF!,"AAAAAHm9fCY=")</f>
        <v>#REF!</v>
      </c>
      <c r="AN46" t="e">
        <f>AND('GA55 Entry'!#REF!,"AAAAAHm9fCc=")</f>
        <v>#REF!</v>
      </c>
      <c r="AO46" t="e">
        <f>AND('GA55 Entry'!#REF!,"AAAAAHm9fCg=")</f>
        <v>#REF!</v>
      </c>
      <c r="AP46" t="e">
        <f>AND('GA55 Entry'!#REF!,"AAAAAHm9fCk=")</f>
        <v>#REF!</v>
      </c>
      <c r="AQ46" t="e">
        <f>AND('GA55 Entry'!#REF!,"AAAAAHm9fCo=")</f>
        <v>#REF!</v>
      </c>
      <c r="AR46" t="e">
        <f>AND('GA55 Entry'!#REF!,"AAAAAHm9fCs=")</f>
        <v>#REF!</v>
      </c>
      <c r="AS46" t="e">
        <f>AND('GA55 Entry'!#REF!,"AAAAAHm9fCw=")</f>
        <v>#REF!</v>
      </c>
      <c r="AT46" t="e">
        <f>IF('GA55 Entry'!#REF!,"AAAAAHm9fC0=",0)</f>
        <v>#REF!</v>
      </c>
      <c r="AU46" t="e">
        <f>AND('GA55 Entry'!#REF!,"AAAAAHm9fC4=")</f>
        <v>#REF!</v>
      </c>
      <c r="AV46" t="e">
        <f>AND('GA55 Entry'!#REF!,"AAAAAHm9fC8=")</f>
        <v>#REF!</v>
      </c>
      <c r="AW46" t="e">
        <f>AND('GA55 Entry'!#REF!,"AAAAAHm9fDA=")</f>
        <v>#REF!</v>
      </c>
      <c r="AX46" t="e">
        <f>AND('GA55 Entry'!#REF!,"AAAAAHm9fDE=")</f>
        <v>#REF!</v>
      </c>
      <c r="AY46" t="e">
        <f>AND('GA55 Entry'!#REF!,"AAAAAHm9fDI=")</f>
        <v>#REF!</v>
      </c>
      <c r="AZ46" t="e">
        <f>AND('GA55 Entry'!#REF!,"AAAAAHm9fDM=")</f>
        <v>#REF!</v>
      </c>
      <c r="BA46" t="e">
        <f>AND('GA55 Entry'!#REF!,"AAAAAHm9fDQ=")</f>
        <v>#REF!</v>
      </c>
      <c r="BB46" t="e">
        <f>AND('GA55 Entry'!#REF!,"AAAAAHm9fDU=")</f>
        <v>#REF!</v>
      </c>
      <c r="BC46" t="e">
        <f>AND('GA55 Entry'!#REF!,"AAAAAHm9fDY=")</f>
        <v>#REF!</v>
      </c>
      <c r="BD46" t="e">
        <f>AND('GA55 Entry'!#REF!,"AAAAAHm9fDc=")</f>
        <v>#REF!</v>
      </c>
      <c r="BE46" t="e">
        <f>AND('GA55 Entry'!#REF!,"AAAAAHm9fDg=")</f>
        <v>#REF!</v>
      </c>
      <c r="BF46" t="e">
        <f>AND('GA55 Entry'!#REF!,"AAAAAHm9fDk=")</f>
        <v>#REF!</v>
      </c>
      <c r="BG46" t="e">
        <f>AND('GA55 Entry'!#REF!,"AAAAAHm9fDo=")</f>
        <v>#REF!</v>
      </c>
      <c r="BH46" t="e">
        <f>AND('GA55 Entry'!#REF!,"AAAAAHm9fDs=")</f>
        <v>#REF!</v>
      </c>
      <c r="BI46" t="e">
        <f>AND('GA55 Entry'!#REF!,"AAAAAHm9fDw=")</f>
        <v>#REF!</v>
      </c>
      <c r="BJ46" t="e">
        <f>AND('GA55 Entry'!#REF!,"AAAAAHm9fD0=")</f>
        <v>#REF!</v>
      </c>
      <c r="BK46" t="e">
        <f>AND('GA55 Entry'!#REF!,"AAAAAHm9fD4=")</f>
        <v>#REF!</v>
      </c>
      <c r="BL46" t="e">
        <f>AND('GA55 Entry'!#REF!,"AAAAAHm9fD8=")</f>
        <v>#REF!</v>
      </c>
      <c r="BM46" t="e">
        <f>AND('GA55 Entry'!#REF!,"AAAAAHm9fEA=")</f>
        <v>#REF!</v>
      </c>
      <c r="BN46" t="e">
        <f>AND('GA55 Entry'!#REF!,"AAAAAHm9fEE=")</f>
        <v>#REF!</v>
      </c>
      <c r="BO46" t="e">
        <f>AND('GA55 Entry'!#REF!,"AAAAAHm9fEI=")</f>
        <v>#REF!</v>
      </c>
      <c r="BP46" t="e">
        <f>AND('GA55 Entry'!#REF!,"AAAAAHm9fEM=")</f>
        <v>#REF!</v>
      </c>
      <c r="BQ46" t="e">
        <f>AND('GA55 Entry'!#REF!,"AAAAAHm9fEQ=")</f>
        <v>#REF!</v>
      </c>
      <c r="BR46" t="e">
        <f>AND('GA55 Entry'!#REF!,"AAAAAHm9fEU=")</f>
        <v>#REF!</v>
      </c>
      <c r="BS46" t="e">
        <f>AND('GA55 Entry'!#REF!,"AAAAAHm9fEY=")</f>
        <v>#REF!</v>
      </c>
      <c r="BT46" t="e">
        <f>AND('GA55 Entry'!#REF!,"AAAAAHm9fEc=")</f>
        <v>#REF!</v>
      </c>
      <c r="BU46" t="e">
        <f>AND('GA55 Entry'!#REF!,"AAAAAHm9fEg=")</f>
        <v>#REF!</v>
      </c>
      <c r="BV46" t="e">
        <f>AND('GA55 Entry'!#REF!,"AAAAAHm9fEk=")</f>
        <v>#REF!</v>
      </c>
      <c r="BW46" t="e">
        <f>AND('GA55 Entry'!#REF!,"AAAAAHm9fEo=")</f>
        <v>#REF!</v>
      </c>
      <c r="BX46" t="e">
        <f>AND('GA55 Entry'!#REF!,"AAAAAHm9fEs=")</f>
        <v>#REF!</v>
      </c>
      <c r="BY46" t="e">
        <f>AND('GA55 Entry'!#REF!,"AAAAAHm9fEw=")</f>
        <v>#REF!</v>
      </c>
      <c r="BZ46" t="e">
        <f>AND('GA55 Entry'!#REF!,"AAAAAHm9fE0=")</f>
        <v>#REF!</v>
      </c>
      <c r="CA46" t="e">
        <f>AND('GA55 Entry'!#REF!,"AAAAAHm9fE4=")</f>
        <v>#REF!</v>
      </c>
      <c r="CB46" t="e">
        <f>AND('GA55 Entry'!#REF!,"AAAAAHm9fE8=")</f>
        <v>#REF!</v>
      </c>
      <c r="CC46" t="e">
        <f>AND('GA55 Entry'!#REF!,"AAAAAHm9fFA=")</f>
        <v>#REF!</v>
      </c>
      <c r="CD46" t="e">
        <f>AND('GA55 Entry'!#REF!,"AAAAAHm9fFE=")</f>
        <v>#REF!</v>
      </c>
      <c r="CE46" t="e">
        <f>AND('GA55 Entry'!#REF!,"AAAAAHm9fFI=")</f>
        <v>#REF!</v>
      </c>
      <c r="CF46" t="e">
        <f>AND('GA55 Entry'!#REF!,"AAAAAHm9fFM=")</f>
        <v>#REF!</v>
      </c>
      <c r="CG46" t="e">
        <f>AND('GA55 Entry'!#REF!,"AAAAAHm9fFQ=")</f>
        <v>#REF!</v>
      </c>
      <c r="CH46" t="e">
        <f>AND('GA55 Entry'!#REF!,"AAAAAHm9fFU=")</f>
        <v>#REF!</v>
      </c>
      <c r="CI46" t="e">
        <f>AND('GA55 Entry'!#REF!,"AAAAAHm9fFY=")</f>
        <v>#REF!</v>
      </c>
      <c r="CJ46" t="e">
        <f>AND('GA55 Entry'!#REF!,"AAAAAHm9fFc=")</f>
        <v>#REF!</v>
      </c>
      <c r="CK46" t="e">
        <f>AND('GA55 Entry'!#REF!,"AAAAAHm9fFg=")</f>
        <v>#REF!</v>
      </c>
      <c r="CL46" t="e">
        <f>AND('GA55 Entry'!#REF!,"AAAAAHm9fFk=")</f>
        <v>#REF!</v>
      </c>
      <c r="CM46" t="e">
        <f>AND('GA55 Entry'!#REF!,"AAAAAHm9fFo=")</f>
        <v>#REF!</v>
      </c>
      <c r="CN46" t="e">
        <f>AND('GA55 Entry'!#REF!,"AAAAAHm9fFs=")</f>
        <v>#REF!</v>
      </c>
      <c r="CO46" t="e">
        <f>AND('GA55 Entry'!#REF!,"AAAAAHm9fFw=")</f>
        <v>#REF!</v>
      </c>
      <c r="CP46" t="e">
        <f>AND('GA55 Entry'!#REF!,"AAAAAHm9fF0=")</f>
        <v>#REF!</v>
      </c>
      <c r="CQ46" t="e">
        <f>AND('GA55 Entry'!#REF!,"AAAAAHm9fF4=")</f>
        <v>#REF!</v>
      </c>
      <c r="CR46" t="e">
        <f>AND('GA55 Entry'!#REF!,"AAAAAHm9fF8=")</f>
        <v>#REF!</v>
      </c>
      <c r="CS46" t="e">
        <f>IF('GA55 Entry'!#REF!,"AAAAAHm9fGA=",0)</f>
        <v>#REF!</v>
      </c>
      <c r="CT46" t="e">
        <f>AND('GA55 Entry'!#REF!,"AAAAAHm9fGE=")</f>
        <v>#REF!</v>
      </c>
      <c r="CU46" t="e">
        <f>AND('GA55 Entry'!#REF!,"AAAAAHm9fGI=")</f>
        <v>#REF!</v>
      </c>
      <c r="CV46" t="e">
        <f>AND('GA55 Entry'!#REF!,"AAAAAHm9fGM=")</f>
        <v>#REF!</v>
      </c>
      <c r="CW46" t="e">
        <f>AND('GA55 Entry'!#REF!,"AAAAAHm9fGQ=")</f>
        <v>#REF!</v>
      </c>
      <c r="CX46" t="e">
        <f>AND('GA55 Entry'!#REF!,"AAAAAHm9fGU=")</f>
        <v>#REF!</v>
      </c>
      <c r="CY46" t="e">
        <f>AND('GA55 Entry'!#REF!,"AAAAAHm9fGY=")</f>
        <v>#REF!</v>
      </c>
      <c r="CZ46" t="e">
        <f>AND('GA55 Entry'!#REF!,"AAAAAHm9fGc=")</f>
        <v>#REF!</v>
      </c>
      <c r="DA46" t="e">
        <f>AND('GA55 Entry'!#REF!,"AAAAAHm9fGg=")</f>
        <v>#REF!</v>
      </c>
      <c r="DB46" t="e">
        <f>AND('GA55 Entry'!#REF!,"AAAAAHm9fGk=")</f>
        <v>#REF!</v>
      </c>
      <c r="DC46" t="e">
        <f>AND('GA55 Entry'!#REF!,"AAAAAHm9fGo=")</f>
        <v>#REF!</v>
      </c>
      <c r="DD46" t="e">
        <f>AND('GA55 Entry'!#REF!,"AAAAAHm9fGs=")</f>
        <v>#REF!</v>
      </c>
      <c r="DE46" t="e">
        <f>AND('GA55 Entry'!#REF!,"AAAAAHm9fGw=")</f>
        <v>#REF!</v>
      </c>
      <c r="DF46" t="e">
        <f>AND('GA55 Entry'!#REF!,"AAAAAHm9fG0=")</f>
        <v>#REF!</v>
      </c>
      <c r="DG46" t="e">
        <f>AND('GA55 Entry'!#REF!,"AAAAAHm9fG4=")</f>
        <v>#REF!</v>
      </c>
      <c r="DH46" t="e">
        <f>AND('GA55 Entry'!#REF!,"AAAAAHm9fG8=")</f>
        <v>#REF!</v>
      </c>
      <c r="DI46" t="e">
        <f>AND('GA55 Entry'!#REF!,"AAAAAHm9fHA=")</f>
        <v>#REF!</v>
      </c>
      <c r="DJ46" t="e">
        <f>AND('GA55 Entry'!#REF!,"AAAAAHm9fHE=")</f>
        <v>#REF!</v>
      </c>
      <c r="DK46" t="e">
        <f>AND('GA55 Entry'!#REF!,"AAAAAHm9fHI=")</f>
        <v>#REF!</v>
      </c>
      <c r="DL46" t="e">
        <f>AND('GA55 Entry'!#REF!,"AAAAAHm9fHM=")</f>
        <v>#REF!</v>
      </c>
      <c r="DM46" t="e">
        <f>AND('GA55 Entry'!#REF!,"AAAAAHm9fHQ=")</f>
        <v>#REF!</v>
      </c>
      <c r="DN46" t="e">
        <f>AND('GA55 Entry'!#REF!,"AAAAAHm9fHU=")</f>
        <v>#REF!</v>
      </c>
      <c r="DO46" t="e">
        <f>AND('GA55 Entry'!#REF!,"AAAAAHm9fHY=")</f>
        <v>#REF!</v>
      </c>
      <c r="DP46" t="e">
        <f>AND('GA55 Entry'!#REF!,"AAAAAHm9fHc=")</f>
        <v>#REF!</v>
      </c>
      <c r="DQ46" t="e">
        <f>AND('GA55 Entry'!#REF!,"AAAAAHm9fHg=")</f>
        <v>#REF!</v>
      </c>
      <c r="DR46" t="e">
        <f>AND('GA55 Entry'!#REF!,"AAAAAHm9fHk=")</f>
        <v>#REF!</v>
      </c>
      <c r="DS46" t="e">
        <f>AND('GA55 Entry'!#REF!,"AAAAAHm9fHo=")</f>
        <v>#REF!</v>
      </c>
      <c r="DT46" t="e">
        <f>AND('GA55 Entry'!#REF!,"AAAAAHm9fHs=")</f>
        <v>#REF!</v>
      </c>
      <c r="DU46" t="e">
        <f>AND('GA55 Entry'!#REF!,"AAAAAHm9fHw=")</f>
        <v>#REF!</v>
      </c>
      <c r="DV46" t="e">
        <f>AND('GA55 Entry'!#REF!,"AAAAAHm9fH0=")</f>
        <v>#REF!</v>
      </c>
      <c r="DW46" t="e">
        <f>AND('GA55 Entry'!#REF!,"AAAAAHm9fH4=")</f>
        <v>#REF!</v>
      </c>
      <c r="DX46" t="e">
        <f>AND('GA55 Entry'!#REF!,"AAAAAHm9fH8=")</f>
        <v>#REF!</v>
      </c>
      <c r="DY46" t="e">
        <f>AND('GA55 Entry'!#REF!,"AAAAAHm9fIA=")</f>
        <v>#REF!</v>
      </c>
      <c r="DZ46" t="e">
        <f>AND('GA55 Entry'!#REF!,"AAAAAHm9fIE=")</f>
        <v>#REF!</v>
      </c>
      <c r="EA46" t="e">
        <f>AND('GA55 Entry'!#REF!,"AAAAAHm9fII=")</f>
        <v>#REF!</v>
      </c>
      <c r="EB46" t="e">
        <f>AND('GA55 Entry'!#REF!,"AAAAAHm9fIM=")</f>
        <v>#REF!</v>
      </c>
      <c r="EC46" t="e">
        <f>AND('GA55 Entry'!#REF!,"AAAAAHm9fIQ=")</f>
        <v>#REF!</v>
      </c>
      <c r="ED46" t="e">
        <f>AND('GA55 Entry'!#REF!,"AAAAAHm9fIU=")</f>
        <v>#REF!</v>
      </c>
      <c r="EE46" t="e">
        <f>AND('GA55 Entry'!#REF!,"AAAAAHm9fIY=")</f>
        <v>#REF!</v>
      </c>
      <c r="EF46" t="e">
        <f>AND('GA55 Entry'!#REF!,"AAAAAHm9fIc=")</f>
        <v>#REF!</v>
      </c>
      <c r="EG46" t="e">
        <f>AND('GA55 Entry'!#REF!,"AAAAAHm9fIg=")</f>
        <v>#REF!</v>
      </c>
      <c r="EH46" t="e">
        <f>AND('GA55 Entry'!#REF!,"AAAAAHm9fIk=")</f>
        <v>#REF!</v>
      </c>
      <c r="EI46" t="e">
        <f>AND('GA55 Entry'!#REF!,"AAAAAHm9fIo=")</f>
        <v>#REF!</v>
      </c>
      <c r="EJ46" t="e">
        <f>AND('GA55 Entry'!#REF!,"AAAAAHm9fIs=")</f>
        <v>#REF!</v>
      </c>
      <c r="EK46" t="e">
        <f>AND('GA55 Entry'!#REF!,"AAAAAHm9fIw=")</f>
        <v>#REF!</v>
      </c>
      <c r="EL46" t="e">
        <f>AND('GA55 Entry'!#REF!,"AAAAAHm9fI0=")</f>
        <v>#REF!</v>
      </c>
      <c r="EM46" t="e">
        <f>AND('GA55 Entry'!#REF!,"AAAAAHm9fI4=")</f>
        <v>#REF!</v>
      </c>
      <c r="EN46" t="e">
        <f>AND('GA55 Entry'!#REF!,"AAAAAHm9fI8=")</f>
        <v>#REF!</v>
      </c>
      <c r="EO46" t="e">
        <f>AND('GA55 Entry'!#REF!,"AAAAAHm9fJA=")</f>
        <v>#REF!</v>
      </c>
      <c r="EP46" t="e">
        <f>AND('GA55 Entry'!#REF!,"AAAAAHm9fJE=")</f>
        <v>#REF!</v>
      </c>
      <c r="EQ46" t="e">
        <f>AND('GA55 Entry'!#REF!,"AAAAAHm9fJI=")</f>
        <v>#REF!</v>
      </c>
      <c r="ER46" t="e">
        <f>IF('GA55 Entry'!#REF!,"AAAAAHm9fJM=",0)</f>
        <v>#REF!</v>
      </c>
      <c r="ES46" t="e">
        <f>AND('GA55 Entry'!#REF!,"AAAAAHm9fJQ=")</f>
        <v>#REF!</v>
      </c>
      <c r="ET46" t="e">
        <f>AND('GA55 Entry'!#REF!,"AAAAAHm9fJU=")</f>
        <v>#REF!</v>
      </c>
      <c r="EU46" t="e">
        <f>AND('GA55 Entry'!#REF!,"AAAAAHm9fJY=")</f>
        <v>#REF!</v>
      </c>
      <c r="EV46" t="e">
        <f>AND('GA55 Entry'!#REF!,"AAAAAHm9fJc=")</f>
        <v>#REF!</v>
      </c>
      <c r="EW46" t="e">
        <f>AND('GA55 Entry'!#REF!,"AAAAAHm9fJg=")</f>
        <v>#REF!</v>
      </c>
      <c r="EX46" t="e">
        <f>AND('GA55 Entry'!#REF!,"AAAAAHm9fJk=")</f>
        <v>#REF!</v>
      </c>
      <c r="EY46" t="e">
        <f>AND('GA55 Entry'!#REF!,"AAAAAHm9fJo=")</f>
        <v>#REF!</v>
      </c>
      <c r="EZ46" t="e">
        <f>AND('GA55 Entry'!#REF!,"AAAAAHm9fJs=")</f>
        <v>#REF!</v>
      </c>
      <c r="FA46" t="e">
        <f>AND('GA55 Entry'!#REF!,"AAAAAHm9fJw=")</f>
        <v>#REF!</v>
      </c>
      <c r="FB46" t="e">
        <f>AND('GA55 Entry'!#REF!,"AAAAAHm9fJ0=")</f>
        <v>#REF!</v>
      </c>
      <c r="FC46" t="e">
        <f>AND('GA55 Entry'!#REF!,"AAAAAHm9fJ4=")</f>
        <v>#REF!</v>
      </c>
      <c r="FD46" t="e">
        <f>AND('GA55 Entry'!#REF!,"AAAAAHm9fJ8=")</f>
        <v>#REF!</v>
      </c>
      <c r="FE46" t="e">
        <f>AND('GA55 Entry'!#REF!,"AAAAAHm9fKA=")</f>
        <v>#REF!</v>
      </c>
      <c r="FF46" t="e">
        <f>AND('GA55 Entry'!#REF!,"AAAAAHm9fKE=")</f>
        <v>#REF!</v>
      </c>
      <c r="FG46" t="e">
        <f>AND('GA55 Entry'!#REF!,"AAAAAHm9fKI=")</f>
        <v>#REF!</v>
      </c>
      <c r="FH46" t="e">
        <f>AND('GA55 Entry'!#REF!,"AAAAAHm9fKM=")</f>
        <v>#REF!</v>
      </c>
      <c r="FI46" t="e">
        <f>AND('GA55 Entry'!#REF!,"AAAAAHm9fKQ=")</f>
        <v>#REF!</v>
      </c>
      <c r="FJ46" t="e">
        <f>AND('GA55 Entry'!#REF!,"AAAAAHm9fKU=")</f>
        <v>#REF!</v>
      </c>
      <c r="FK46" t="e">
        <f>AND('GA55 Entry'!#REF!,"AAAAAHm9fKY=")</f>
        <v>#REF!</v>
      </c>
      <c r="FL46" t="e">
        <f>AND('GA55 Entry'!#REF!,"AAAAAHm9fKc=")</f>
        <v>#REF!</v>
      </c>
      <c r="FM46" t="e">
        <f>AND('GA55 Entry'!#REF!,"AAAAAHm9fKg=")</f>
        <v>#REF!</v>
      </c>
      <c r="FN46" t="e">
        <f>AND('GA55 Entry'!#REF!,"AAAAAHm9fKk=")</f>
        <v>#REF!</v>
      </c>
      <c r="FO46" t="e">
        <f>AND('GA55 Entry'!#REF!,"AAAAAHm9fKo=")</f>
        <v>#REF!</v>
      </c>
      <c r="FP46" t="e">
        <f>AND('GA55 Entry'!#REF!,"AAAAAHm9fKs=")</f>
        <v>#REF!</v>
      </c>
      <c r="FQ46" t="e">
        <f>AND('GA55 Entry'!#REF!,"AAAAAHm9fKw=")</f>
        <v>#REF!</v>
      </c>
      <c r="FR46" t="e">
        <f>AND('GA55 Entry'!#REF!,"AAAAAHm9fK0=")</f>
        <v>#REF!</v>
      </c>
      <c r="FS46" t="e">
        <f>AND('GA55 Entry'!#REF!,"AAAAAHm9fK4=")</f>
        <v>#REF!</v>
      </c>
      <c r="FT46" t="e">
        <f>AND('GA55 Entry'!#REF!,"AAAAAHm9fK8=")</f>
        <v>#REF!</v>
      </c>
      <c r="FU46" t="e">
        <f>AND('GA55 Entry'!#REF!,"AAAAAHm9fLA=")</f>
        <v>#REF!</v>
      </c>
      <c r="FV46" t="e">
        <f>AND('GA55 Entry'!#REF!,"AAAAAHm9fLE=")</f>
        <v>#REF!</v>
      </c>
      <c r="FW46" t="e">
        <f>AND('GA55 Entry'!#REF!,"AAAAAHm9fLI=")</f>
        <v>#REF!</v>
      </c>
      <c r="FX46" t="e">
        <f>AND('GA55 Entry'!#REF!,"AAAAAHm9fLM=")</f>
        <v>#REF!</v>
      </c>
      <c r="FY46" t="e">
        <f>AND('GA55 Entry'!#REF!,"AAAAAHm9fLQ=")</f>
        <v>#REF!</v>
      </c>
      <c r="FZ46" t="e">
        <f>AND('GA55 Entry'!#REF!,"AAAAAHm9fLU=")</f>
        <v>#REF!</v>
      </c>
      <c r="GA46" t="e">
        <f>AND('GA55 Entry'!#REF!,"AAAAAHm9fLY=")</f>
        <v>#REF!</v>
      </c>
      <c r="GB46" t="e">
        <f>AND('GA55 Entry'!#REF!,"AAAAAHm9fLc=")</f>
        <v>#REF!</v>
      </c>
      <c r="GC46" t="e">
        <f>AND('GA55 Entry'!#REF!,"AAAAAHm9fLg=")</f>
        <v>#REF!</v>
      </c>
      <c r="GD46" t="e">
        <f>AND('GA55 Entry'!#REF!,"AAAAAHm9fLk=")</f>
        <v>#REF!</v>
      </c>
      <c r="GE46" t="e">
        <f>AND('GA55 Entry'!#REF!,"AAAAAHm9fLo=")</f>
        <v>#REF!</v>
      </c>
      <c r="GF46" t="e">
        <f>AND('GA55 Entry'!#REF!,"AAAAAHm9fLs=")</f>
        <v>#REF!</v>
      </c>
      <c r="GG46" t="e">
        <f>AND('GA55 Entry'!#REF!,"AAAAAHm9fLw=")</f>
        <v>#REF!</v>
      </c>
      <c r="GH46" t="e">
        <f>AND('GA55 Entry'!#REF!,"AAAAAHm9fL0=")</f>
        <v>#REF!</v>
      </c>
      <c r="GI46" t="e">
        <f>AND('GA55 Entry'!#REF!,"AAAAAHm9fL4=")</f>
        <v>#REF!</v>
      </c>
      <c r="GJ46" t="e">
        <f>AND('GA55 Entry'!#REF!,"AAAAAHm9fL8=")</f>
        <v>#REF!</v>
      </c>
      <c r="GK46" t="e">
        <f>AND('GA55 Entry'!#REF!,"AAAAAHm9fMA=")</f>
        <v>#REF!</v>
      </c>
      <c r="GL46" t="e">
        <f>AND('GA55 Entry'!#REF!,"AAAAAHm9fME=")</f>
        <v>#REF!</v>
      </c>
      <c r="GM46" t="e">
        <f>AND('GA55 Entry'!#REF!,"AAAAAHm9fMI=")</f>
        <v>#REF!</v>
      </c>
      <c r="GN46" t="e">
        <f>AND('GA55 Entry'!#REF!,"AAAAAHm9fMM=")</f>
        <v>#REF!</v>
      </c>
      <c r="GO46" t="e">
        <f>AND('GA55 Entry'!#REF!,"AAAAAHm9fMQ=")</f>
        <v>#REF!</v>
      </c>
      <c r="GP46" t="e">
        <f>AND('GA55 Entry'!#REF!,"AAAAAHm9fMU=")</f>
        <v>#REF!</v>
      </c>
      <c r="GQ46" t="e">
        <f>IF('GA55 Entry'!#REF!,"AAAAAHm9fMY=",0)</f>
        <v>#REF!</v>
      </c>
      <c r="GR46" t="e">
        <f>AND('GA55 Entry'!#REF!,"AAAAAHm9fMc=")</f>
        <v>#REF!</v>
      </c>
      <c r="GS46" t="e">
        <f>AND('GA55 Entry'!#REF!,"AAAAAHm9fMg=")</f>
        <v>#REF!</v>
      </c>
      <c r="GT46" t="e">
        <f>AND('GA55 Entry'!#REF!,"AAAAAHm9fMk=")</f>
        <v>#REF!</v>
      </c>
      <c r="GU46" t="e">
        <f>AND('GA55 Entry'!#REF!,"AAAAAHm9fMo=")</f>
        <v>#REF!</v>
      </c>
      <c r="GV46" t="e">
        <f>AND('GA55 Entry'!#REF!,"AAAAAHm9fMs=")</f>
        <v>#REF!</v>
      </c>
      <c r="GW46" t="e">
        <f>AND('GA55 Entry'!#REF!,"AAAAAHm9fMw=")</f>
        <v>#REF!</v>
      </c>
      <c r="GX46" t="e">
        <f>AND('GA55 Entry'!#REF!,"AAAAAHm9fM0=")</f>
        <v>#REF!</v>
      </c>
      <c r="GY46" t="e">
        <f>AND('GA55 Entry'!#REF!,"AAAAAHm9fM4=")</f>
        <v>#REF!</v>
      </c>
      <c r="GZ46" t="e">
        <f>AND('GA55 Entry'!#REF!,"AAAAAHm9fM8=")</f>
        <v>#REF!</v>
      </c>
      <c r="HA46" t="e">
        <f>AND('GA55 Entry'!#REF!,"AAAAAHm9fNA=")</f>
        <v>#REF!</v>
      </c>
      <c r="HB46" t="e">
        <f>AND('GA55 Entry'!#REF!,"AAAAAHm9fNE=")</f>
        <v>#REF!</v>
      </c>
      <c r="HC46" t="e">
        <f>AND('GA55 Entry'!#REF!,"AAAAAHm9fNI=")</f>
        <v>#REF!</v>
      </c>
      <c r="HD46" t="e">
        <f>AND('GA55 Entry'!#REF!,"AAAAAHm9fNM=")</f>
        <v>#REF!</v>
      </c>
      <c r="HE46" t="e">
        <f>AND('GA55 Entry'!#REF!,"AAAAAHm9fNQ=")</f>
        <v>#REF!</v>
      </c>
      <c r="HF46" t="e">
        <f>AND('GA55 Entry'!#REF!,"AAAAAHm9fNU=")</f>
        <v>#REF!</v>
      </c>
      <c r="HG46" t="e">
        <f>AND('GA55 Entry'!#REF!,"AAAAAHm9fNY=")</f>
        <v>#REF!</v>
      </c>
      <c r="HH46" t="e">
        <f>AND('GA55 Entry'!#REF!,"AAAAAHm9fNc=")</f>
        <v>#REF!</v>
      </c>
      <c r="HI46" t="e">
        <f>AND('GA55 Entry'!#REF!,"AAAAAHm9fNg=")</f>
        <v>#REF!</v>
      </c>
      <c r="HJ46" t="e">
        <f>AND('GA55 Entry'!#REF!,"AAAAAHm9fNk=")</f>
        <v>#REF!</v>
      </c>
      <c r="HK46" t="e">
        <f>AND('GA55 Entry'!#REF!,"AAAAAHm9fNo=")</f>
        <v>#REF!</v>
      </c>
      <c r="HL46" t="e">
        <f>AND('GA55 Entry'!#REF!,"AAAAAHm9fNs=")</f>
        <v>#REF!</v>
      </c>
      <c r="HM46" t="e">
        <f>AND('GA55 Entry'!#REF!,"AAAAAHm9fNw=")</f>
        <v>#REF!</v>
      </c>
      <c r="HN46" t="e">
        <f>AND('GA55 Entry'!#REF!,"AAAAAHm9fN0=")</f>
        <v>#REF!</v>
      </c>
      <c r="HO46" t="e">
        <f>AND('GA55 Entry'!#REF!,"AAAAAHm9fN4=")</f>
        <v>#REF!</v>
      </c>
      <c r="HP46" t="e">
        <f>AND('GA55 Entry'!#REF!,"AAAAAHm9fN8=")</f>
        <v>#REF!</v>
      </c>
      <c r="HQ46" t="e">
        <f>AND('GA55 Entry'!#REF!,"AAAAAHm9fOA=")</f>
        <v>#REF!</v>
      </c>
      <c r="HR46" t="e">
        <f>AND('GA55 Entry'!#REF!,"AAAAAHm9fOE=")</f>
        <v>#REF!</v>
      </c>
      <c r="HS46" t="e">
        <f>AND('GA55 Entry'!#REF!,"AAAAAHm9fOI=")</f>
        <v>#REF!</v>
      </c>
      <c r="HT46" t="e">
        <f>AND('GA55 Entry'!#REF!,"AAAAAHm9fOM=")</f>
        <v>#REF!</v>
      </c>
      <c r="HU46" t="e">
        <f>AND('GA55 Entry'!#REF!,"AAAAAHm9fOQ=")</f>
        <v>#REF!</v>
      </c>
      <c r="HV46" t="e">
        <f>AND('GA55 Entry'!#REF!,"AAAAAHm9fOU=")</f>
        <v>#REF!</v>
      </c>
      <c r="HW46" t="e">
        <f>AND('GA55 Entry'!#REF!,"AAAAAHm9fOY=")</f>
        <v>#REF!</v>
      </c>
      <c r="HX46" t="e">
        <f>AND('GA55 Entry'!#REF!,"AAAAAHm9fOc=")</f>
        <v>#REF!</v>
      </c>
      <c r="HY46" t="e">
        <f>AND('GA55 Entry'!#REF!,"AAAAAHm9fOg=")</f>
        <v>#REF!</v>
      </c>
      <c r="HZ46" t="e">
        <f>AND('GA55 Entry'!#REF!,"AAAAAHm9fOk=")</f>
        <v>#REF!</v>
      </c>
      <c r="IA46" t="e">
        <f>AND('GA55 Entry'!#REF!,"AAAAAHm9fOo=")</f>
        <v>#REF!</v>
      </c>
      <c r="IB46" t="e">
        <f>AND('GA55 Entry'!#REF!,"AAAAAHm9fOs=")</f>
        <v>#REF!</v>
      </c>
      <c r="IC46" t="e">
        <f>AND('GA55 Entry'!#REF!,"AAAAAHm9fOw=")</f>
        <v>#REF!</v>
      </c>
      <c r="ID46" t="e">
        <f>AND('GA55 Entry'!#REF!,"AAAAAHm9fO0=")</f>
        <v>#REF!</v>
      </c>
      <c r="IE46" t="e">
        <f>AND('GA55 Entry'!#REF!,"AAAAAHm9fO4=")</f>
        <v>#REF!</v>
      </c>
      <c r="IF46" t="e">
        <f>AND('GA55 Entry'!#REF!,"AAAAAHm9fO8=")</f>
        <v>#REF!</v>
      </c>
      <c r="IG46" t="e">
        <f>AND('GA55 Entry'!#REF!,"AAAAAHm9fPA=")</f>
        <v>#REF!</v>
      </c>
      <c r="IH46" t="e">
        <f>AND('GA55 Entry'!#REF!,"AAAAAHm9fPE=")</f>
        <v>#REF!</v>
      </c>
      <c r="II46" t="e">
        <f>AND('GA55 Entry'!#REF!,"AAAAAHm9fPI=")</f>
        <v>#REF!</v>
      </c>
      <c r="IJ46" t="e">
        <f>AND('GA55 Entry'!#REF!,"AAAAAHm9fPM=")</f>
        <v>#REF!</v>
      </c>
      <c r="IK46" t="e">
        <f>AND('GA55 Entry'!#REF!,"AAAAAHm9fPQ=")</f>
        <v>#REF!</v>
      </c>
      <c r="IL46" t="e">
        <f>AND('GA55 Entry'!#REF!,"AAAAAHm9fPU=")</f>
        <v>#REF!</v>
      </c>
      <c r="IM46" t="e">
        <f>AND('GA55 Entry'!#REF!,"AAAAAHm9fPY=")</f>
        <v>#REF!</v>
      </c>
      <c r="IN46" t="e">
        <f>AND('GA55 Entry'!#REF!,"AAAAAHm9fPc=")</f>
        <v>#REF!</v>
      </c>
      <c r="IO46" t="e">
        <f>AND('GA55 Entry'!#REF!,"AAAAAHm9fPg=")</f>
        <v>#REF!</v>
      </c>
      <c r="IP46" t="e">
        <f>IF('GA55 Entry'!#REF!,"AAAAAHm9fPk=",0)</f>
        <v>#REF!</v>
      </c>
      <c r="IQ46" t="e">
        <f>AND('GA55 Entry'!#REF!,"AAAAAHm9fPo=")</f>
        <v>#REF!</v>
      </c>
      <c r="IR46" t="e">
        <f>AND('GA55 Entry'!#REF!,"AAAAAHm9fPs=")</f>
        <v>#REF!</v>
      </c>
      <c r="IS46" t="e">
        <f>AND('GA55 Entry'!#REF!,"AAAAAHm9fPw=")</f>
        <v>#REF!</v>
      </c>
      <c r="IT46" t="e">
        <f>AND('GA55 Entry'!#REF!,"AAAAAHm9fP0=")</f>
        <v>#REF!</v>
      </c>
      <c r="IU46" t="e">
        <f>AND('GA55 Entry'!#REF!,"AAAAAHm9fP4=")</f>
        <v>#REF!</v>
      </c>
      <c r="IV46" t="e">
        <f>AND('GA55 Entry'!#REF!,"AAAAAHm9fP8=")</f>
        <v>#REF!</v>
      </c>
    </row>
    <row r="47" spans="1:256">
      <c r="A47" t="e">
        <f>AND('GA55 Entry'!#REF!,"AAAAAH6/3wA=")</f>
        <v>#REF!</v>
      </c>
      <c r="B47" t="e">
        <f>AND('GA55 Entry'!#REF!,"AAAAAH6/3wE=")</f>
        <v>#REF!</v>
      </c>
      <c r="C47" t="e">
        <f>AND('GA55 Entry'!#REF!,"AAAAAH6/3wI=")</f>
        <v>#REF!</v>
      </c>
      <c r="D47" t="e">
        <f>AND('GA55 Entry'!#REF!,"AAAAAH6/3wM=")</f>
        <v>#REF!</v>
      </c>
      <c r="E47" t="e">
        <f>AND('GA55 Entry'!#REF!,"AAAAAH6/3wQ=")</f>
        <v>#REF!</v>
      </c>
      <c r="F47" t="e">
        <f>AND('GA55 Entry'!#REF!,"AAAAAH6/3wU=")</f>
        <v>#REF!</v>
      </c>
      <c r="G47" t="e">
        <f>AND('GA55 Entry'!#REF!,"AAAAAH6/3wY=")</f>
        <v>#REF!</v>
      </c>
      <c r="H47" t="e">
        <f>AND('GA55 Entry'!#REF!,"AAAAAH6/3wc=")</f>
        <v>#REF!</v>
      </c>
      <c r="I47" t="e">
        <f>AND('GA55 Entry'!#REF!,"AAAAAH6/3wg=")</f>
        <v>#REF!</v>
      </c>
      <c r="J47" t="e">
        <f>AND('GA55 Entry'!#REF!,"AAAAAH6/3wk=")</f>
        <v>#REF!</v>
      </c>
      <c r="K47" t="e">
        <f>AND('GA55 Entry'!#REF!,"AAAAAH6/3wo=")</f>
        <v>#REF!</v>
      </c>
      <c r="L47" t="e">
        <f>AND('GA55 Entry'!#REF!,"AAAAAH6/3ws=")</f>
        <v>#REF!</v>
      </c>
      <c r="M47" t="e">
        <f>AND('GA55 Entry'!#REF!,"AAAAAH6/3ww=")</f>
        <v>#REF!</v>
      </c>
      <c r="N47" t="e">
        <f>AND('GA55 Entry'!#REF!,"AAAAAH6/3w0=")</f>
        <v>#REF!</v>
      </c>
      <c r="O47" t="e">
        <f>AND('GA55 Entry'!#REF!,"AAAAAH6/3w4=")</f>
        <v>#REF!</v>
      </c>
      <c r="P47" t="e">
        <f>AND('GA55 Entry'!#REF!,"AAAAAH6/3w8=")</f>
        <v>#REF!</v>
      </c>
      <c r="Q47" t="e">
        <f>AND('GA55 Entry'!#REF!,"AAAAAH6/3xA=")</f>
        <v>#REF!</v>
      </c>
      <c r="R47" t="e">
        <f>AND('GA55 Entry'!#REF!,"AAAAAH6/3xE=")</f>
        <v>#REF!</v>
      </c>
      <c r="S47" t="e">
        <f>AND('GA55 Entry'!#REF!,"AAAAAH6/3xI=")</f>
        <v>#REF!</v>
      </c>
      <c r="T47" t="e">
        <f>AND('GA55 Entry'!#REF!,"AAAAAH6/3xM=")</f>
        <v>#REF!</v>
      </c>
      <c r="U47" t="e">
        <f>AND('GA55 Entry'!#REF!,"AAAAAH6/3xQ=")</f>
        <v>#REF!</v>
      </c>
      <c r="V47" t="e">
        <f>AND('GA55 Entry'!#REF!,"AAAAAH6/3xU=")</f>
        <v>#REF!</v>
      </c>
      <c r="W47" t="e">
        <f>AND('GA55 Entry'!#REF!,"AAAAAH6/3xY=")</f>
        <v>#REF!</v>
      </c>
      <c r="X47" t="e">
        <f>AND('GA55 Entry'!#REF!,"AAAAAH6/3xc=")</f>
        <v>#REF!</v>
      </c>
      <c r="Y47" t="e">
        <f>AND('GA55 Entry'!#REF!,"AAAAAH6/3xg=")</f>
        <v>#REF!</v>
      </c>
      <c r="Z47" t="e">
        <f>AND('GA55 Entry'!#REF!,"AAAAAH6/3xk=")</f>
        <v>#REF!</v>
      </c>
      <c r="AA47" t="e">
        <f>AND('GA55 Entry'!#REF!,"AAAAAH6/3xo=")</f>
        <v>#REF!</v>
      </c>
      <c r="AB47" t="e">
        <f>AND('GA55 Entry'!#REF!,"AAAAAH6/3xs=")</f>
        <v>#REF!</v>
      </c>
      <c r="AC47" t="e">
        <f>AND('GA55 Entry'!#REF!,"AAAAAH6/3xw=")</f>
        <v>#REF!</v>
      </c>
      <c r="AD47" t="e">
        <f>AND('GA55 Entry'!#REF!,"AAAAAH6/3x0=")</f>
        <v>#REF!</v>
      </c>
      <c r="AE47" t="e">
        <f>AND('GA55 Entry'!#REF!,"AAAAAH6/3x4=")</f>
        <v>#REF!</v>
      </c>
      <c r="AF47" t="e">
        <f>AND('GA55 Entry'!#REF!,"AAAAAH6/3x8=")</f>
        <v>#REF!</v>
      </c>
      <c r="AG47" t="e">
        <f>AND('GA55 Entry'!#REF!,"AAAAAH6/3yA=")</f>
        <v>#REF!</v>
      </c>
      <c r="AH47" t="e">
        <f>AND('GA55 Entry'!#REF!,"AAAAAH6/3yE=")</f>
        <v>#REF!</v>
      </c>
      <c r="AI47" t="e">
        <f>AND('GA55 Entry'!#REF!,"AAAAAH6/3yI=")</f>
        <v>#REF!</v>
      </c>
      <c r="AJ47" t="e">
        <f>AND('GA55 Entry'!#REF!,"AAAAAH6/3yM=")</f>
        <v>#REF!</v>
      </c>
      <c r="AK47" t="e">
        <f>AND('GA55 Entry'!#REF!,"AAAAAH6/3yQ=")</f>
        <v>#REF!</v>
      </c>
      <c r="AL47" t="e">
        <f>AND('GA55 Entry'!#REF!,"AAAAAH6/3yU=")</f>
        <v>#REF!</v>
      </c>
      <c r="AM47" t="e">
        <f>AND('GA55 Entry'!#REF!,"AAAAAH6/3yY=")</f>
        <v>#REF!</v>
      </c>
      <c r="AN47" t="e">
        <f>AND('GA55 Entry'!#REF!,"AAAAAH6/3yc=")</f>
        <v>#REF!</v>
      </c>
      <c r="AO47" t="e">
        <f>AND('GA55 Entry'!#REF!,"AAAAAH6/3yg=")</f>
        <v>#REF!</v>
      </c>
      <c r="AP47" t="e">
        <f>AND('GA55 Entry'!#REF!,"AAAAAH6/3yk=")</f>
        <v>#REF!</v>
      </c>
      <c r="AQ47" t="e">
        <f>AND('GA55 Entry'!#REF!,"AAAAAH6/3yo=")</f>
        <v>#REF!</v>
      </c>
      <c r="AR47" t="e">
        <f>AND('GA55 Entry'!#REF!,"AAAAAH6/3ys=")</f>
        <v>#REF!</v>
      </c>
      <c r="AS47" t="e">
        <f>IF('GA55 Entry'!#REF!,"AAAAAH6/3yw=",0)</f>
        <v>#REF!</v>
      </c>
      <c r="AT47" t="e">
        <f>AND('GA55 Entry'!#REF!,"AAAAAH6/3y0=")</f>
        <v>#REF!</v>
      </c>
      <c r="AU47" t="e">
        <f>AND('GA55 Entry'!#REF!,"AAAAAH6/3y4=")</f>
        <v>#REF!</v>
      </c>
      <c r="AV47" t="e">
        <f>AND('GA55 Entry'!#REF!,"AAAAAH6/3y8=")</f>
        <v>#REF!</v>
      </c>
      <c r="AW47" t="e">
        <f>AND('GA55 Entry'!#REF!,"AAAAAH6/3zA=")</f>
        <v>#REF!</v>
      </c>
      <c r="AX47" t="e">
        <f>AND('GA55 Entry'!#REF!,"AAAAAH6/3zE=")</f>
        <v>#REF!</v>
      </c>
      <c r="AY47" t="e">
        <f>AND('GA55 Entry'!#REF!,"AAAAAH6/3zI=")</f>
        <v>#REF!</v>
      </c>
      <c r="AZ47" t="e">
        <f>AND('GA55 Entry'!#REF!,"AAAAAH6/3zM=")</f>
        <v>#REF!</v>
      </c>
      <c r="BA47" t="e">
        <f>AND('GA55 Entry'!#REF!,"AAAAAH6/3zQ=")</f>
        <v>#REF!</v>
      </c>
      <c r="BB47" t="e">
        <f>AND('GA55 Entry'!#REF!,"AAAAAH6/3zU=")</f>
        <v>#REF!</v>
      </c>
      <c r="BC47" t="e">
        <f>AND('GA55 Entry'!#REF!,"AAAAAH6/3zY=")</f>
        <v>#REF!</v>
      </c>
      <c r="BD47" t="e">
        <f>AND('GA55 Entry'!#REF!,"AAAAAH6/3zc=")</f>
        <v>#REF!</v>
      </c>
      <c r="BE47" t="e">
        <f>AND('GA55 Entry'!#REF!,"AAAAAH6/3zg=")</f>
        <v>#REF!</v>
      </c>
      <c r="BF47" t="e">
        <f>AND('GA55 Entry'!#REF!,"AAAAAH6/3zk=")</f>
        <v>#REF!</v>
      </c>
      <c r="BG47" t="e">
        <f>AND('GA55 Entry'!#REF!,"AAAAAH6/3zo=")</f>
        <v>#REF!</v>
      </c>
      <c r="BH47" t="e">
        <f>AND('GA55 Entry'!#REF!,"AAAAAH6/3zs=")</f>
        <v>#REF!</v>
      </c>
      <c r="BI47" t="e">
        <f>AND('GA55 Entry'!#REF!,"AAAAAH6/3zw=")</f>
        <v>#REF!</v>
      </c>
      <c r="BJ47" t="e">
        <f>AND('GA55 Entry'!#REF!,"AAAAAH6/3z0=")</f>
        <v>#REF!</v>
      </c>
      <c r="BK47" t="e">
        <f>AND('GA55 Entry'!#REF!,"AAAAAH6/3z4=")</f>
        <v>#REF!</v>
      </c>
      <c r="BL47" t="e">
        <f>AND('GA55 Entry'!#REF!,"AAAAAH6/3z8=")</f>
        <v>#REF!</v>
      </c>
      <c r="BM47" t="e">
        <f>AND('GA55 Entry'!#REF!,"AAAAAH6/30A=")</f>
        <v>#REF!</v>
      </c>
      <c r="BN47" t="e">
        <f>AND('GA55 Entry'!#REF!,"AAAAAH6/30E=")</f>
        <v>#REF!</v>
      </c>
      <c r="BO47" t="e">
        <f>AND('GA55 Entry'!#REF!,"AAAAAH6/30I=")</f>
        <v>#REF!</v>
      </c>
      <c r="BP47" t="e">
        <f>AND('GA55 Entry'!#REF!,"AAAAAH6/30M=")</f>
        <v>#REF!</v>
      </c>
      <c r="BQ47" t="e">
        <f>AND('GA55 Entry'!#REF!,"AAAAAH6/30Q=")</f>
        <v>#REF!</v>
      </c>
      <c r="BR47" t="e">
        <f>AND('GA55 Entry'!#REF!,"AAAAAH6/30U=")</f>
        <v>#REF!</v>
      </c>
      <c r="BS47" t="e">
        <f>AND('GA55 Entry'!#REF!,"AAAAAH6/30Y=")</f>
        <v>#REF!</v>
      </c>
      <c r="BT47" t="e">
        <f>AND('GA55 Entry'!#REF!,"AAAAAH6/30c=")</f>
        <v>#REF!</v>
      </c>
      <c r="BU47" t="e">
        <f>AND('GA55 Entry'!#REF!,"AAAAAH6/30g=")</f>
        <v>#REF!</v>
      </c>
      <c r="BV47" t="e">
        <f>AND('GA55 Entry'!#REF!,"AAAAAH6/30k=")</f>
        <v>#REF!</v>
      </c>
      <c r="BW47" t="e">
        <f>AND('GA55 Entry'!#REF!,"AAAAAH6/30o=")</f>
        <v>#REF!</v>
      </c>
      <c r="BX47" t="e">
        <f>AND('GA55 Entry'!#REF!,"AAAAAH6/30s=")</f>
        <v>#REF!</v>
      </c>
      <c r="BY47" t="e">
        <f>AND('GA55 Entry'!#REF!,"AAAAAH6/30w=")</f>
        <v>#REF!</v>
      </c>
      <c r="BZ47" t="e">
        <f>AND('GA55 Entry'!#REF!,"AAAAAH6/300=")</f>
        <v>#REF!</v>
      </c>
      <c r="CA47" t="e">
        <f>AND('GA55 Entry'!#REF!,"AAAAAH6/304=")</f>
        <v>#REF!</v>
      </c>
      <c r="CB47" t="e">
        <f>AND('GA55 Entry'!#REF!,"AAAAAH6/308=")</f>
        <v>#REF!</v>
      </c>
      <c r="CC47" t="e">
        <f>AND('GA55 Entry'!#REF!,"AAAAAH6/31A=")</f>
        <v>#REF!</v>
      </c>
      <c r="CD47" t="e">
        <f>AND('GA55 Entry'!#REF!,"AAAAAH6/31E=")</f>
        <v>#REF!</v>
      </c>
      <c r="CE47" t="e">
        <f>AND('GA55 Entry'!#REF!,"AAAAAH6/31I=")</f>
        <v>#REF!</v>
      </c>
      <c r="CF47" t="e">
        <f>AND('GA55 Entry'!#REF!,"AAAAAH6/31M=")</f>
        <v>#REF!</v>
      </c>
      <c r="CG47" t="e">
        <f>AND('GA55 Entry'!#REF!,"AAAAAH6/31Q=")</f>
        <v>#REF!</v>
      </c>
      <c r="CH47" t="e">
        <f>AND('GA55 Entry'!#REF!,"AAAAAH6/31U=")</f>
        <v>#REF!</v>
      </c>
      <c r="CI47" t="e">
        <f>AND('GA55 Entry'!#REF!,"AAAAAH6/31Y=")</f>
        <v>#REF!</v>
      </c>
      <c r="CJ47" t="e">
        <f>AND('GA55 Entry'!#REF!,"AAAAAH6/31c=")</f>
        <v>#REF!</v>
      </c>
      <c r="CK47" t="e">
        <f>AND('GA55 Entry'!#REF!,"AAAAAH6/31g=")</f>
        <v>#REF!</v>
      </c>
      <c r="CL47" t="e">
        <f>AND('GA55 Entry'!#REF!,"AAAAAH6/31k=")</f>
        <v>#REF!</v>
      </c>
      <c r="CM47" t="e">
        <f>AND('GA55 Entry'!#REF!,"AAAAAH6/31o=")</f>
        <v>#REF!</v>
      </c>
      <c r="CN47" t="e">
        <f>AND('GA55 Entry'!#REF!,"AAAAAH6/31s=")</f>
        <v>#REF!</v>
      </c>
      <c r="CO47" t="e">
        <f>AND('GA55 Entry'!#REF!,"AAAAAH6/31w=")</f>
        <v>#REF!</v>
      </c>
      <c r="CP47" t="e">
        <f>AND('GA55 Entry'!#REF!,"AAAAAH6/310=")</f>
        <v>#REF!</v>
      </c>
      <c r="CQ47" t="e">
        <f>AND('GA55 Entry'!#REF!,"AAAAAH6/314=")</f>
        <v>#REF!</v>
      </c>
      <c r="CR47" t="e">
        <f>IF('GA55 Entry'!#REF!,"AAAAAH6/318=",0)</f>
        <v>#REF!</v>
      </c>
      <c r="CS47" t="e">
        <f>AND('GA55 Entry'!#REF!,"AAAAAH6/32A=")</f>
        <v>#REF!</v>
      </c>
      <c r="CT47" t="e">
        <f>AND('GA55 Entry'!#REF!,"AAAAAH6/32E=")</f>
        <v>#REF!</v>
      </c>
      <c r="CU47" t="e">
        <f>AND('GA55 Entry'!#REF!,"AAAAAH6/32I=")</f>
        <v>#REF!</v>
      </c>
      <c r="CV47" t="e">
        <f>AND('GA55 Entry'!#REF!,"AAAAAH6/32M=")</f>
        <v>#REF!</v>
      </c>
      <c r="CW47" t="e">
        <f>AND('GA55 Entry'!#REF!,"AAAAAH6/32Q=")</f>
        <v>#REF!</v>
      </c>
      <c r="CX47" t="e">
        <f>AND('GA55 Entry'!#REF!,"AAAAAH6/32U=")</f>
        <v>#REF!</v>
      </c>
      <c r="CY47" t="e">
        <f>AND('GA55 Entry'!#REF!,"AAAAAH6/32Y=")</f>
        <v>#REF!</v>
      </c>
      <c r="CZ47" t="e">
        <f>AND('GA55 Entry'!#REF!,"AAAAAH6/32c=")</f>
        <v>#REF!</v>
      </c>
      <c r="DA47" t="e">
        <f>AND('GA55 Entry'!#REF!,"AAAAAH6/32g=")</f>
        <v>#REF!</v>
      </c>
      <c r="DB47" t="e">
        <f>AND('GA55 Entry'!#REF!,"AAAAAH6/32k=")</f>
        <v>#REF!</v>
      </c>
      <c r="DC47" t="e">
        <f>AND('GA55 Entry'!#REF!,"AAAAAH6/32o=")</f>
        <v>#REF!</v>
      </c>
      <c r="DD47" t="e">
        <f>AND('GA55 Entry'!#REF!,"AAAAAH6/32s=")</f>
        <v>#REF!</v>
      </c>
      <c r="DE47" t="e">
        <f>AND('GA55 Entry'!#REF!,"AAAAAH6/32w=")</f>
        <v>#REF!</v>
      </c>
      <c r="DF47" t="e">
        <f>AND('GA55 Entry'!#REF!,"AAAAAH6/320=")</f>
        <v>#REF!</v>
      </c>
      <c r="DG47" t="e">
        <f>AND('GA55 Entry'!#REF!,"AAAAAH6/324=")</f>
        <v>#REF!</v>
      </c>
      <c r="DH47" t="e">
        <f>AND('GA55 Entry'!#REF!,"AAAAAH6/328=")</f>
        <v>#REF!</v>
      </c>
      <c r="DI47" t="e">
        <f>AND('GA55 Entry'!#REF!,"AAAAAH6/33A=")</f>
        <v>#REF!</v>
      </c>
      <c r="DJ47" t="e">
        <f>AND('GA55 Entry'!#REF!,"AAAAAH6/33E=")</f>
        <v>#REF!</v>
      </c>
      <c r="DK47" t="e">
        <f>AND('GA55 Entry'!#REF!,"AAAAAH6/33I=")</f>
        <v>#REF!</v>
      </c>
      <c r="DL47" t="e">
        <f>AND('GA55 Entry'!#REF!,"AAAAAH6/33M=")</f>
        <v>#REF!</v>
      </c>
      <c r="DM47" t="e">
        <f>AND('GA55 Entry'!#REF!,"AAAAAH6/33Q=")</f>
        <v>#REF!</v>
      </c>
      <c r="DN47" t="e">
        <f>AND('GA55 Entry'!#REF!,"AAAAAH6/33U=")</f>
        <v>#REF!</v>
      </c>
      <c r="DO47" t="e">
        <f>AND('GA55 Entry'!#REF!,"AAAAAH6/33Y=")</f>
        <v>#REF!</v>
      </c>
      <c r="DP47" t="e">
        <f>AND('GA55 Entry'!#REF!,"AAAAAH6/33c=")</f>
        <v>#REF!</v>
      </c>
      <c r="DQ47" t="e">
        <f>AND('GA55 Entry'!#REF!,"AAAAAH6/33g=")</f>
        <v>#REF!</v>
      </c>
      <c r="DR47" t="e">
        <f>AND('GA55 Entry'!#REF!,"AAAAAH6/33k=")</f>
        <v>#REF!</v>
      </c>
      <c r="DS47" t="e">
        <f>AND('GA55 Entry'!#REF!,"AAAAAH6/33o=")</f>
        <v>#REF!</v>
      </c>
      <c r="DT47" t="e">
        <f>AND('GA55 Entry'!#REF!,"AAAAAH6/33s=")</f>
        <v>#REF!</v>
      </c>
      <c r="DU47" t="e">
        <f>AND('GA55 Entry'!#REF!,"AAAAAH6/33w=")</f>
        <v>#REF!</v>
      </c>
      <c r="DV47" t="e">
        <f>AND('GA55 Entry'!#REF!,"AAAAAH6/330=")</f>
        <v>#REF!</v>
      </c>
      <c r="DW47" t="e">
        <f>AND('GA55 Entry'!#REF!,"AAAAAH6/334=")</f>
        <v>#REF!</v>
      </c>
      <c r="DX47" t="e">
        <f>AND('GA55 Entry'!#REF!,"AAAAAH6/338=")</f>
        <v>#REF!</v>
      </c>
      <c r="DY47" t="e">
        <f>AND('GA55 Entry'!#REF!,"AAAAAH6/34A=")</f>
        <v>#REF!</v>
      </c>
      <c r="DZ47" t="e">
        <f>AND('GA55 Entry'!#REF!,"AAAAAH6/34E=")</f>
        <v>#REF!</v>
      </c>
      <c r="EA47" t="e">
        <f>AND('GA55 Entry'!#REF!,"AAAAAH6/34I=")</f>
        <v>#REF!</v>
      </c>
      <c r="EB47" t="e">
        <f>AND('GA55 Entry'!#REF!,"AAAAAH6/34M=")</f>
        <v>#REF!</v>
      </c>
      <c r="EC47" t="e">
        <f>AND('GA55 Entry'!#REF!,"AAAAAH6/34Q=")</f>
        <v>#REF!</v>
      </c>
      <c r="ED47" t="e">
        <f>AND('GA55 Entry'!#REF!,"AAAAAH6/34U=")</f>
        <v>#REF!</v>
      </c>
      <c r="EE47" t="e">
        <f>AND('GA55 Entry'!#REF!,"AAAAAH6/34Y=")</f>
        <v>#REF!</v>
      </c>
      <c r="EF47" t="e">
        <f>AND('GA55 Entry'!#REF!,"AAAAAH6/34c=")</f>
        <v>#REF!</v>
      </c>
      <c r="EG47" t="e">
        <f>AND('GA55 Entry'!#REF!,"AAAAAH6/34g=")</f>
        <v>#REF!</v>
      </c>
      <c r="EH47" t="e">
        <f>AND('GA55 Entry'!#REF!,"AAAAAH6/34k=")</f>
        <v>#REF!</v>
      </c>
      <c r="EI47" t="e">
        <f>AND('GA55 Entry'!#REF!,"AAAAAH6/34o=")</f>
        <v>#REF!</v>
      </c>
      <c r="EJ47" t="e">
        <f>AND('GA55 Entry'!#REF!,"AAAAAH6/34s=")</f>
        <v>#REF!</v>
      </c>
      <c r="EK47" t="e">
        <f>AND('GA55 Entry'!#REF!,"AAAAAH6/34w=")</f>
        <v>#REF!</v>
      </c>
      <c r="EL47" t="e">
        <f>AND('GA55 Entry'!#REF!,"AAAAAH6/340=")</f>
        <v>#REF!</v>
      </c>
      <c r="EM47" t="e">
        <f>AND('GA55 Entry'!#REF!,"AAAAAH6/344=")</f>
        <v>#REF!</v>
      </c>
      <c r="EN47" t="e">
        <f>AND('GA55 Entry'!#REF!,"AAAAAH6/348=")</f>
        <v>#REF!</v>
      </c>
      <c r="EO47" t="e">
        <f>AND('GA55 Entry'!#REF!,"AAAAAH6/35A=")</f>
        <v>#REF!</v>
      </c>
      <c r="EP47" t="e">
        <f>AND('GA55 Entry'!#REF!,"AAAAAH6/35E=")</f>
        <v>#REF!</v>
      </c>
      <c r="EQ47" t="e">
        <f>IF('GA55 Entry'!#REF!,"AAAAAH6/35I=",0)</f>
        <v>#REF!</v>
      </c>
      <c r="ER47" t="e">
        <f>AND('GA55 Entry'!#REF!,"AAAAAH6/35M=")</f>
        <v>#REF!</v>
      </c>
      <c r="ES47" t="e">
        <f>AND('GA55 Entry'!#REF!,"AAAAAH6/35Q=")</f>
        <v>#REF!</v>
      </c>
      <c r="ET47" t="e">
        <f>AND('GA55 Entry'!#REF!,"AAAAAH6/35U=")</f>
        <v>#REF!</v>
      </c>
      <c r="EU47" t="e">
        <f>AND('GA55 Entry'!#REF!,"AAAAAH6/35Y=")</f>
        <v>#REF!</v>
      </c>
      <c r="EV47" t="e">
        <f>AND('GA55 Entry'!#REF!,"AAAAAH6/35c=")</f>
        <v>#REF!</v>
      </c>
      <c r="EW47" t="e">
        <f>AND('GA55 Entry'!#REF!,"AAAAAH6/35g=")</f>
        <v>#REF!</v>
      </c>
      <c r="EX47" t="e">
        <f>AND('GA55 Entry'!#REF!,"AAAAAH6/35k=")</f>
        <v>#REF!</v>
      </c>
      <c r="EY47" t="e">
        <f>AND('GA55 Entry'!#REF!,"AAAAAH6/35o=")</f>
        <v>#REF!</v>
      </c>
      <c r="EZ47" t="e">
        <f>AND('GA55 Entry'!#REF!,"AAAAAH6/35s=")</f>
        <v>#REF!</v>
      </c>
      <c r="FA47" t="e">
        <f>AND('GA55 Entry'!#REF!,"AAAAAH6/35w=")</f>
        <v>#REF!</v>
      </c>
      <c r="FB47" t="e">
        <f>AND('GA55 Entry'!#REF!,"AAAAAH6/350=")</f>
        <v>#REF!</v>
      </c>
      <c r="FC47" t="e">
        <f>AND('GA55 Entry'!#REF!,"AAAAAH6/354=")</f>
        <v>#REF!</v>
      </c>
      <c r="FD47" t="e">
        <f>AND('GA55 Entry'!#REF!,"AAAAAH6/358=")</f>
        <v>#REF!</v>
      </c>
      <c r="FE47" t="e">
        <f>AND('GA55 Entry'!#REF!,"AAAAAH6/36A=")</f>
        <v>#REF!</v>
      </c>
      <c r="FF47" t="e">
        <f>AND('GA55 Entry'!#REF!,"AAAAAH6/36E=")</f>
        <v>#REF!</v>
      </c>
      <c r="FG47" t="e">
        <f>AND('GA55 Entry'!#REF!,"AAAAAH6/36I=")</f>
        <v>#REF!</v>
      </c>
      <c r="FH47" t="e">
        <f>AND('GA55 Entry'!#REF!,"AAAAAH6/36M=")</f>
        <v>#REF!</v>
      </c>
      <c r="FI47" t="e">
        <f>AND('GA55 Entry'!#REF!,"AAAAAH6/36Q=")</f>
        <v>#REF!</v>
      </c>
      <c r="FJ47" t="e">
        <f>AND('GA55 Entry'!#REF!,"AAAAAH6/36U=")</f>
        <v>#REF!</v>
      </c>
      <c r="FK47" t="e">
        <f>AND('GA55 Entry'!#REF!,"AAAAAH6/36Y=")</f>
        <v>#REF!</v>
      </c>
      <c r="FL47" t="e">
        <f>AND('GA55 Entry'!#REF!,"AAAAAH6/36c=")</f>
        <v>#REF!</v>
      </c>
      <c r="FM47" t="e">
        <f>AND('GA55 Entry'!#REF!,"AAAAAH6/36g=")</f>
        <v>#REF!</v>
      </c>
      <c r="FN47" t="e">
        <f>AND('GA55 Entry'!#REF!,"AAAAAH6/36k=")</f>
        <v>#REF!</v>
      </c>
      <c r="FO47" t="e">
        <f>AND('GA55 Entry'!#REF!,"AAAAAH6/36o=")</f>
        <v>#REF!</v>
      </c>
      <c r="FP47" t="e">
        <f>AND('GA55 Entry'!#REF!,"AAAAAH6/36s=")</f>
        <v>#REF!</v>
      </c>
      <c r="FQ47" t="e">
        <f>AND('GA55 Entry'!#REF!,"AAAAAH6/36w=")</f>
        <v>#REF!</v>
      </c>
      <c r="FR47" t="e">
        <f>AND('GA55 Entry'!#REF!,"AAAAAH6/360=")</f>
        <v>#REF!</v>
      </c>
      <c r="FS47" t="e">
        <f>AND('GA55 Entry'!#REF!,"AAAAAH6/364=")</f>
        <v>#REF!</v>
      </c>
      <c r="FT47" t="e">
        <f>AND('GA55 Entry'!#REF!,"AAAAAH6/368=")</f>
        <v>#REF!</v>
      </c>
      <c r="FU47" t="e">
        <f>AND('GA55 Entry'!#REF!,"AAAAAH6/37A=")</f>
        <v>#REF!</v>
      </c>
      <c r="FV47" t="e">
        <f>AND('GA55 Entry'!#REF!,"AAAAAH6/37E=")</f>
        <v>#REF!</v>
      </c>
      <c r="FW47" t="e">
        <f>AND('GA55 Entry'!#REF!,"AAAAAH6/37I=")</f>
        <v>#REF!</v>
      </c>
      <c r="FX47" t="e">
        <f>AND('GA55 Entry'!#REF!,"AAAAAH6/37M=")</f>
        <v>#REF!</v>
      </c>
      <c r="FY47" t="e">
        <f>AND('GA55 Entry'!#REF!,"AAAAAH6/37Q=")</f>
        <v>#REF!</v>
      </c>
      <c r="FZ47" t="e">
        <f>AND('GA55 Entry'!#REF!,"AAAAAH6/37U=")</f>
        <v>#REF!</v>
      </c>
      <c r="GA47" t="e">
        <f>AND('GA55 Entry'!#REF!,"AAAAAH6/37Y=")</f>
        <v>#REF!</v>
      </c>
      <c r="GB47" t="e">
        <f>AND('GA55 Entry'!#REF!,"AAAAAH6/37c=")</f>
        <v>#REF!</v>
      </c>
      <c r="GC47" t="e">
        <f>AND('GA55 Entry'!#REF!,"AAAAAH6/37g=")</f>
        <v>#REF!</v>
      </c>
      <c r="GD47" t="e">
        <f>AND('GA55 Entry'!#REF!,"AAAAAH6/37k=")</f>
        <v>#REF!</v>
      </c>
      <c r="GE47" t="e">
        <f>AND('GA55 Entry'!#REF!,"AAAAAH6/37o=")</f>
        <v>#REF!</v>
      </c>
      <c r="GF47" t="e">
        <f>AND('GA55 Entry'!#REF!,"AAAAAH6/37s=")</f>
        <v>#REF!</v>
      </c>
      <c r="GG47" t="e">
        <f>AND('GA55 Entry'!#REF!,"AAAAAH6/37w=")</f>
        <v>#REF!</v>
      </c>
      <c r="GH47" t="e">
        <f>AND('GA55 Entry'!#REF!,"AAAAAH6/370=")</f>
        <v>#REF!</v>
      </c>
      <c r="GI47" t="e">
        <f>AND('GA55 Entry'!#REF!,"AAAAAH6/374=")</f>
        <v>#REF!</v>
      </c>
      <c r="GJ47" t="e">
        <f>AND('GA55 Entry'!#REF!,"AAAAAH6/378=")</f>
        <v>#REF!</v>
      </c>
      <c r="GK47" t="e">
        <f>AND('GA55 Entry'!#REF!,"AAAAAH6/38A=")</f>
        <v>#REF!</v>
      </c>
      <c r="GL47" t="e">
        <f>AND('GA55 Entry'!#REF!,"AAAAAH6/38E=")</f>
        <v>#REF!</v>
      </c>
      <c r="GM47" t="e">
        <f>AND('GA55 Entry'!#REF!,"AAAAAH6/38I=")</f>
        <v>#REF!</v>
      </c>
      <c r="GN47" t="e">
        <f>AND('GA55 Entry'!#REF!,"AAAAAH6/38M=")</f>
        <v>#REF!</v>
      </c>
      <c r="GO47" t="e">
        <f>AND('GA55 Entry'!#REF!,"AAAAAH6/38Q=")</f>
        <v>#REF!</v>
      </c>
      <c r="GP47" t="e">
        <f>IF('GA55 Entry'!#REF!,"AAAAAH6/38U=",0)</f>
        <v>#REF!</v>
      </c>
      <c r="GQ47" t="e">
        <f>AND('GA55 Entry'!#REF!,"AAAAAH6/38Y=")</f>
        <v>#REF!</v>
      </c>
      <c r="GR47" t="e">
        <f>AND('GA55 Entry'!#REF!,"AAAAAH6/38c=")</f>
        <v>#REF!</v>
      </c>
      <c r="GS47" t="e">
        <f>AND('GA55 Entry'!#REF!,"AAAAAH6/38g=")</f>
        <v>#REF!</v>
      </c>
      <c r="GT47" t="e">
        <f>AND('GA55 Entry'!#REF!,"AAAAAH6/38k=")</f>
        <v>#REF!</v>
      </c>
      <c r="GU47" t="e">
        <f>AND('GA55 Entry'!#REF!,"AAAAAH6/38o=")</f>
        <v>#REF!</v>
      </c>
      <c r="GV47" t="e">
        <f>AND('GA55 Entry'!#REF!,"AAAAAH6/38s=")</f>
        <v>#REF!</v>
      </c>
      <c r="GW47" t="e">
        <f>AND('GA55 Entry'!#REF!,"AAAAAH6/38w=")</f>
        <v>#REF!</v>
      </c>
      <c r="GX47" t="e">
        <f>AND('GA55 Entry'!#REF!,"AAAAAH6/380=")</f>
        <v>#REF!</v>
      </c>
      <c r="GY47" t="e">
        <f>AND('GA55 Entry'!#REF!,"AAAAAH6/384=")</f>
        <v>#REF!</v>
      </c>
      <c r="GZ47" t="e">
        <f>AND('GA55 Entry'!#REF!,"AAAAAH6/388=")</f>
        <v>#REF!</v>
      </c>
      <c r="HA47" t="e">
        <f>AND('GA55 Entry'!#REF!,"AAAAAH6/39A=")</f>
        <v>#REF!</v>
      </c>
      <c r="HB47" t="e">
        <f>AND('GA55 Entry'!#REF!,"AAAAAH6/39E=")</f>
        <v>#REF!</v>
      </c>
      <c r="HC47" t="e">
        <f>AND('GA55 Entry'!#REF!,"AAAAAH6/39I=")</f>
        <v>#REF!</v>
      </c>
      <c r="HD47" t="e">
        <f>AND('GA55 Entry'!#REF!,"AAAAAH6/39M=")</f>
        <v>#REF!</v>
      </c>
      <c r="HE47" t="e">
        <f>AND('GA55 Entry'!#REF!,"AAAAAH6/39Q=")</f>
        <v>#REF!</v>
      </c>
      <c r="HF47" t="e">
        <f>AND('GA55 Entry'!#REF!,"AAAAAH6/39U=")</f>
        <v>#REF!</v>
      </c>
      <c r="HG47" t="e">
        <f>AND('GA55 Entry'!#REF!,"AAAAAH6/39Y=")</f>
        <v>#REF!</v>
      </c>
      <c r="HH47" t="e">
        <f>AND('GA55 Entry'!#REF!,"AAAAAH6/39c=")</f>
        <v>#REF!</v>
      </c>
      <c r="HI47" t="e">
        <f>AND('GA55 Entry'!#REF!,"AAAAAH6/39g=")</f>
        <v>#REF!</v>
      </c>
      <c r="HJ47" t="e">
        <f>AND('GA55 Entry'!#REF!,"AAAAAH6/39k=")</f>
        <v>#REF!</v>
      </c>
      <c r="HK47" t="e">
        <f>AND('GA55 Entry'!#REF!,"AAAAAH6/39o=")</f>
        <v>#REF!</v>
      </c>
      <c r="HL47" t="e">
        <f>AND('GA55 Entry'!#REF!,"AAAAAH6/39s=")</f>
        <v>#REF!</v>
      </c>
      <c r="HM47" t="e">
        <f>AND('GA55 Entry'!#REF!,"AAAAAH6/39w=")</f>
        <v>#REF!</v>
      </c>
      <c r="HN47" t="e">
        <f>AND('GA55 Entry'!#REF!,"AAAAAH6/390=")</f>
        <v>#REF!</v>
      </c>
      <c r="HO47" t="e">
        <f>AND('GA55 Entry'!#REF!,"AAAAAH6/394=")</f>
        <v>#REF!</v>
      </c>
      <c r="HP47" t="e">
        <f>AND('GA55 Entry'!#REF!,"AAAAAH6/398=")</f>
        <v>#REF!</v>
      </c>
      <c r="HQ47" t="e">
        <f>AND('GA55 Entry'!#REF!,"AAAAAH6/3+A=")</f>
        <v>#REF!</v>
      </c>
      <c r="HR47" t="e">
        <f>AND('GA55 Entry'!#REF!,"AAAAAH6/3+E=")</f>
        <v>#REF!</v>
      </c>
      <c r="HS47" t="e">
        <f>AND('GA55 Entry'!#REF!,"AAAAAH6/3+I=")</f>
        <v>#REF!</v>
      </c>
      <c r="HT47" t="e">
        <f>AND('GA55 Entry'!#REF!,"AAAAAH6/3+M=")</f>
        <v>#REF!</v>
      </c>
      <c r="HU47" t="e">
        <f>AND('GA55 Entry'!#REF!,"AAAAAH6/3+Q=")</f>
        <v>#REF!</v>
      </c>
      <c r="HV47" t="e">
        <f>AND('GA55 Entry'!#REF!,"AAAAAH6/3+U=")</f>
        <v>#REF!</v>
      </c>
      <c r="HW47" t="e">
        <f>AND('GA55 Entry'!#REF!,"AAAAAH6/3+Y=")</f>
        <v>#REF!</v>
      </c>
      <c r="HX47" t="e">
        <f>AND('GA55 Entry'!#REF!,"AAAAAH6/3+c=")</f>
        <v>#REF!</v>
      </c>
      <c r="HY47" t="e">
        <f>AND('GA55 Entry'!#REF!,"AAAAAH6/3+g=")</f>
        <v>#REF!</v>
      </c>
      <c r="HZ47" t="e">
        <f>AND('GA55 Entry'!#REF!,"AAAAAH6/3+k=")</f>
        <v>#REF!</v>
      </c>
      <c r="IA47" t="e">
        <f>AND('GA55 Entry'!#REF!,"AAAAAH6/3+o=")</f>
        <v>#REF!</v>
      </c>
      <c r="IB47" t="e">
        <f>AND('GA55 Entry'!#REF!,"AAAAAH6/3+s=")</f>
        <v>#REF!</v>
      </c>
      <c r="IC47" t="e">
        <f>AND('GA55 Entry'!#REF!,"AAAAAH6/3+w=")</f>
        <v>#REF!</v>
      </c>
      <c r="ID47" t="e">
        <f>AND('GA55 Entry'!#REF!,"AAAAAH6/3+0=")</f>
        <v>#REF!</v>
      </c>
      <c r="IE47" t="e">
        <f>AND('GA55 Entry'!#REF!,"AAAAAH6/3+4=")</f>
        <v>#REF!</v>
      </c>
      <c r="IF47" t="e">
        <f>AND('GA55 Entry'!#REF!,"AAAAAH6/3+8=")</f>
        <v>#REF!</v>
      </c>
      <c r="IG47" t="e">
        <f>AND('GA55 Entry'!#REF!,"AAAAAH6/3/A=")</f>
        <v>#REF!</v>
      </c>
      <c r="IH47" t="e">
        <f>AND('GA55 Entry'!#REF!,"AAAAAH6/3/E=")</f>
        <v>#REF!</v>
      </c>
      <c r="II47" t="e">
        <f>AND('GA55 Entry'!#REF!,"AAAAAH6/3/I=")</f>
        <v>#REF!</v>
      </c>
      <c r="IJ47" t="e">
        <f>AND('GA55 Entry'!#REF!,"AAAAAH6/3/M=")</f>
        <v>#REF!</v>
      </c>
      <c r="IK47" t="e">
        <f>AND('GA55 Entry'!#REF!,"AAAAAH6/3/Q=")</f>
        <v>#REF!</v>
      </c>
      <c r="IL47" t="e">
        <f>AND('GA55 Entry'!#REF!,"AAAAAH6/3/U=")</f>
        <v>#REF!</v>
      </c>
      <c r="IM47" t="e">
        <f>AND('GA55 Entry'!#REF!,"AAAAAH6/3/Y=")</f>
        <v>#REF!</v>
      </c>
      <c r="IN47" t="e">
        <f>AND('GA55 Entry'!#REF!,"AAAAAH6/3/c=")</f>
        <v>#REF!</v>
      </c>
      <c r="IO47" t="e">
        <f>IF('GA55 Entry'!#REF!,"AAAAAH6/3/g=",0)</f>
        <v>#REF!</v>
      </c>
      <c r="IP47" t="e">
        <f>AND('GA55 Entry'!#REF!,"AAAAAH6/3/k=")</f>
        <v>#REF!</v>
      </c>
      <c r="IQ47" t="e">
        <f>AND('GA55 Entry'!#REF!,"AAAAAH6/3/o=")</f>
        <v>#REF!</v>
      </c>
      <c r="IR47" t="e">
        <f>AND('GA55 Entry'!#REF!,"AAAAAH6/3/s=")</f>
        <v>#REF!</v>
      </c>
      <c r="IS47" t="e">
        <f>AND('GA55 Entry'!#REF!,"AAAAAH6/3/w=")</f>
        <v>#REF!</v>
      </c>
      <c r="IT47" t="e">
        <f>AND('GA55 Entry'!#REF!,"AAAAAH6/3/0=")</f>
        <v>#REF!</v>
      </c>
      <c r="IU47" t="e">
        <f>AND('GA55 Entry'!#REF!,"AAAAAH6/3/4=")</f>
        <v>#REF!</v>
      </c>
      <c r="IV47" t="e">
        <f>AND('GA55 Entry'!#REF!,"AAAAAH6/3/8=")</f>
        <v>#REF!</v>
      </c>
    </row>
    <row r="48" spans="1:256">
      <c r="A48" t="e">
        <f>AND('GA55 Entry'!#REF!,"AAAAAHN7/QA=")</f>
        <v>#REF!</v>
      </c>
      <c r="B48" t="e">
        <f>AND('GA55 Entry'!#REF!,"AAAAAHN7/QE=")</f>
        <v>#REF!</v>
      </c>
      <c r="C48" t="e">
        <f>AND('GA55 Entry'!#REF!,"AAAAAHN7/QI=")</f>
        <v>#REF!</v>
      </c>
      <c r="D48" t="e">
        <f>AND('GA55 Entry'!#REF!,"AAAAAHN7/QM=")</f>
        <v>#REF!</v>
      </c>
      <c r="E48" t="e">
        <f>AND('GA55 Entry'!#REF!,"AAAAAHN7/QQ=")</f>
        <v>#REF!</v>
      </c>
      <c r="F48" t="e">
        <f>AND('GA55 Entry'!#REF!,"AAAAAHN7/QU=")</f>
        <v>#REF!</v>
      </c>
      <c r="G48" t="e">
        <f>AND('GA55 Entry'!#REF!,"AAAAAHN7/QY=")</f>
        <v>#REF!</v>
      </c>
      <c r="H48" t="e">
        <f>AND('GA55 Entry'!#REF!,"AAAAAHN7/Qc=")</f>
        <v>#REF!</v>
      </c>
      <c r="I48" t="e">
        <f>AND('GA55 Entry'!#REF!,"AAAAAHN7/Qg=")</f>
        <v>#REF!</v>
      </c>
      <c r="J48" t="e">
        <f>AND('GA55 Entry'!#REF!,"AAAAAHN7/Qk=")</f>
        <v>#REF!</v>
      </c>
      <c r="K48" t="e">
        <f>AND('GA55 Entry'!#REF!,"AAAAAHN7/Qo=")</f>
        <v>#REF!</v>
      </c>
      <c r="L48" t="e">
        <f>AND('GA55 Entry'!#REF!,"AAAAAHN7/Qs=")</f>
        <v>#REF!</v>
      </c>
      <c r="M48" t="e">
        <f>AND('GA55 Entry'!#REF!,"AAAAAHN7/Qw=")</f>
        <v>#REF!</v>
      </c>
      <c r="N48" t="e">
        <f>AND('GA55 Entry'!#REF!,"AAAAAHN7/Q0=")</f>
        <v>#REF!</v>
      </c>
      <c r="O48" t="e">
        <f>AND('GA55 Entry'!#REF!,"AAAAAHN7/Q4=")</f>
        <v>#REF!</v>
      </c>
      <c r="P48" t="e">
        <f>AND('GA55 Entry'!#REF!,"AAAAAHN7/Q8=")</f>
        <v>#REF!</v>
      </c>
      <c r="Q48" t="e">
        <f>AND('GA55 Entry'!#REF!,"AAAAAHN7/RA=")</f>
        <v>#REF!</v>
      </c>
      <c r="R48" t="e">
        <f>AND('GA55 Entry'!#REF!,"AAAAAHN7/RE=")</f>
        <v>#REF!</v>
      </c>
      <c r="S48" t="e">
        <f>AND('GA55 Entry'!#REF!,"AAAAAHN7/RI=")</f>
        <v>#REF!</v>
      </c>
      <c r="T48" t="e">
        <f>AND('GA55 Entry'!#REF!,"AAAAAHN7/RM=")</f>
        <v>#REF!</v>
      </c>
      <c r="U48" t="e">
        <f>AND('GA55 Entry'!#REF!,"AAAAAHN7/RQ=")</f>
        <v>#REF!</v>
      </c>
      <c r="V48" t="e">
        <f>AND('GA55 Entry'!#REF!,"AAAAAHN7/RU=")</f>
        <v>#REF!</v>
      </c>
      <c r="W48" t="e">
        <f>AND('GA55 Entry'!#REF!,"AAAAAHN7/RY=")</f>
        <v>#REF!</v>
      </c>
      <c r="X48" t="e">
        <f>AND('GA55 Entry'!#REF!,"AAAAAHN7/Rc=")</f>
        <v>#REF!</v>
      </c>
      <c r="Y48" t="e">
        <f>AND('GA55 Entry'!#REF!,"AAAAAHN7/Rg=")</f>
        <v>#REF!</v>
      </c>
      <c r="Z48" t="e">
        <f>AND('GA55 Entry'!#REF!,"AAAAAHN7/Rk=")</f>
        <v>#REF!</v>
      </c>
      <c r="AA48" t="e">
        <f>AND('GA55 Entry'!#REF!,"AAAAAHN7/Ro=")</f>
        <v>#REF!</v>
      </c>
      <c r="AB48" t="e">
        <f>AND('GA55 Entry'!#REF!,"AAAAAHN7/Rs=")</f>
        <v>#REF!</v>
      </c>
      <c r="AC48" t="e">
        <f>AND('GA55 Entry'!#REF!,"AAAAAHN7/Rw=")</f>
        <v>#REF!</v>
      </c>
      <c r="AD48" t="e">
        <f>AND('GA55 Entry'!#REF!,"AAAAAHN7/R0=")</f>
        <v>#REF!</v>
      </c>
      <c r="AE48" t="e">
        <f>AND('GA55 Entry'!#REF!,"AAAAAHN7/R4=")</f>
        <v>#REF!</v>
      </c>
      <c r="AF48" t="e">
        <f>AND('GA55 Entry'!#REF!,"AAAAAHN7/R8=")</f>
        <v>#REF!</v>
      </c>
      <c r="AG48" t="e">
        <f>AND('GA55 Entry'!#REF!,"AAAAAHN7/SA=")</f>
        <v>#REF!</v>
      </c>
      <c r="AH48" t="e">
        <f>AND('GA55 Entry'!#REF!,"AAAAAHN7/SE=")</f>
        <v>#REF!</v>
      </c>
      <c r="AI48" t="e">
        <f>AND('GA55 Entry'!#REF!,"AAAAAHN7/SI=")</f>
        <v>#REF!</v>
      </c>
      <c r="AJ48" t="e">
        <f>AND('GA55 Entry'!#REF!,"AAAAAHN7/SM=")</f>
        <v>#REF!</v>
      </c>
      <c r="AK48" t="e">
        <f>AND('GA55 Entry'!#REF!,"AAAAAHN7/SQ=")</f>
        <v>#REF!</v>
      </c>
      <c r="AL48" t="e">
        <f>AND('GA55 Entry'!#REF!,"AAAAAHN7/SU=")</f>
        <v>#REF!</v>
      </c>
      <c r="AM48" t="e">
        <f>AND('GA55 Entry'!#REF!,"AAAAAHN7/SY=")</f>
        <v>#REF!</v>
      </c>
      <c r="AN48" t="e">
        <f>AND('GA55 Entry'!#REF!,"AAAAAHN7/Sc=")</f>
        <v>#REF!</v>
      </c>
      <c r="AO48" t="e">
        <f>AND('GA55 Entry'!#REF!,"AAAAAHN7/Sg=")</f>
        <v>#REF!</v>
      </c>
      <c r="AP48" t="e">
        <f>AND('GA55 Entry'!#REF!,"AAAAAHN7/Sk=")</f>
        <v>#REF!</v>
      </c>
      <c r="AQ48" t="e">
        <f>AND('GA55 Entry'!#REF!,"AAAAAHN7/So=")</f>
        <v>#REF!</v>
      </c>
      <c r="AR48" t="e">
        <f>IF('GA55 Entry'!#REF!,"AAAAAHN7/Ss=",0)</f>
        <v>#REF!</v>
      </c>
      <c r="AS48" t="e">
        <f>AND('GA55 Entry'!#REF!,"AAAAAHN7/Sw=")</f>
        <v>#REF!</v>
      </c>
      <c r="AT48" t="e">
        <f>AND('GA55 Entry'!#REF!,"AAAAAHN7/S0=")</f>
        <v>#REF!</v>
      </c>
      <c r="AU48" t="e">
        <f>AND('GA55 Entry'!#REF!,"AAAAAHN7/S4=")</f>
        <v>#REF!</v>
      </c>
      <c r="AV48" t="e">
        <f>AND('GA55 Entry'!#REF!,"AAAAAHN7/S8=")</f>
        <v>#REF!</v>
      </c>
      <c r="AW48" t="e">
        <f>AND('GA55 Entry'!#REF!,"AAAAAHN7/TA=")</f>
        <v>#REF!</v>
      </c>
      <c r="AX48" t="e">
        <f>AND('GA55 Entry'!#REF!,"AAAAAHN7/TE=")</f>
        <v>#REF!</v>
      </c>
      <c r="AY48" t="e">
        <f>AND('GA55 Entry'!#REF!,"AAAAAHN7/TI=")</f>
        <v>#REF!</v>
      </c>
      <c r="AZ48" t="e">
        <f>AND('GA55 Entry'!#REF!,"AAAAAHN7/TM=")</f>
        <v>#REF!</v>
      </c>
      <c r="BA48" t="e">
        <f>AND('GA55 Entry'!#REF!,"AAAAAHN7/TQ=")</f>
        <v>#REF!</v>
      </c>
      <c r="BB48" t="e">
        <f>AND('GA55 Entry'!#REF!,"AAAAAHN7/TU=")</f>
        <v>#REF!</v>
      </c>
      <c r="BC48" t="e">
        <f>AND('GA55 Entry'!#REF!,"AAAAAHN7/TY=")</f>
        <v>#REF!</v>
      </c>
      <c r="BD48" t="e">
        <f>AND('GA55 Entry'!#REF!,"AAAAAHN7/Tc=")</f>
        <v>#REF!</v>
      </c>
      <c r="BE48" t="e">
        <f>AND('GA55 Entry'!#REF!,"AAAAAHN7/Tg=")</f>
        <v>#REF!</v>
      </c>
      <c r="BF48" t="e">
        <f>AND('GA55 Entry'!#REF!,"AAAAAHN7/Tk=")</f>
        <v>#REF!</v>
      </c>
      <c r="BG48" t="e">
        <f>AND('GA55 Entry'!#REF!,"AAAAAHN7/To=")</f>
        <v>#REF!</v>
      </c>
      <c r="BH48" t="e">
        <f>AND('GA55 Entry'!#REF!,"AAAAAHN7/Ts=")</f>
        <v>#REF!</v>
      </c>
      <c r="BI48" t="e">
        <f>AND('GA55 Entry'!#REF!,"AAAAAHN7/Tw=")</f>
        <v>#REF!</v>
      </c>
      <c r="BJ48" t="e">
        <f>AND('GA55 Entry'!#REF!,"AAAAAHN7/T0=")</f>
        <v>#REF!</v>
      </c>
      <c r="BK48" t="e">
        <f>AND('GA55 Entry'!#REF!,"AAAAAHN7/T4=")</f>
        <v>#REF!</v>
      </c>
      <c r="BL48" t="e">
        <f>AND('GA55 Entry'!#REF!,"AAAAAHN7/T8=")</f>
        <v>#REF!</v>
      </c>
      <c r="BM48" t="e">
        <f>AND('GA55 Entry'!#REF!,"AAAAAHN7/UA=")</f>
        <v>#REF!</v>
      </c>
      <c r="BN48" t="e">
        <f>AND('GA55 Entry'!#REF!,"AAAAAHN7/UE=")</f>
        <v>#REF!</v>
      </c>
      <c r="BO48" t="e">
        <f>AND('GA55 Entry'!#REF!,"AAAAAHN7/UI=")</f>
        <v>#REF!</v>
      </c>
      <c r="BP48" t="e">
        <f>AND('GA55 Entry'!#REF!,"AAAAAHN7/UM=")</f>
        <v>#REF!</v>
      </c>
      <c r="BQ48" t="e">
        <f>AND('GA55 Entry'!#REF!,"AAAAAHN7/UQ=")</f>
        <v>#REF!</v>
      </c>
      <c r="BR48" t="e">
        <f>AND('GA55 Entry'!#REF!,"AAAAAHN7/UU=")</f>
        <v>#REF!</v>
      </c>
      <c r="BS48" t="e">
        <f>AND('GA55 Entry'!#REF!,"AAAAAHN7/UY=")</f>
        <v>#REF!</v>
      </c>
      <c r="BT48" t="e">
        <f>AND('GA55 Entry'!#REF!,"AAAAAHN7/Uc=")</f>
        <v>#REF!</v>
      </c>
      <c r="BU48" t="e">
        <f>AND('GA55 Entry'!#REF!,"AAAAAHN7/Ug=")</f>
        <v>#REF!</v>
      </c>
      <c r="BV48" t="e">
        <f>AND('GA55 Entry'!#REF!,"AAAAAHN7/Uk=")</f>
        <v>#REF!</v>
      </c>
      <c r="BW48" t="e">
        <f>AND('GA55 Entry'!#REF!,"AAAAAHN7/Uo=")</f>
        <v>#REF!</v>
      </c>
      <c r="BX48" t="e">
        <f>AND('GA55 Entry'!#REF!,"AAAAAHN7/Us=")</f>
        <v>#REF!</v>
      </c>
      <c r="BY48" t="e">
        <f>AND('GA55 Entry'!#REF!,"AAAAAHN7/Uw=")</f>
        <v>#REF!</v>
      </c>
      <c r="BZ48" t="e">
        <f>AND('GA55 Entry'!#REF!,"AAAAAHN7/U0=")</f>
        <v>#REF!</v>
      </c>
      <c r="CA48" t="e">
        <f>AND('GA55 Entry'!#REF!,"AAAAAHN7/U4=")</f>
        <v>#REF!</v>
      </c>
      <c r="CB48" t="e">
        <f>AND('GA55 Entry'!#REF!,"AAAAAHN7/U8=")</f>
        <v>#REF!</v>
      </c>
      <c r="CC48" t="e">
        <f>AND('GA55 Entry'!#REF!,"AAAAAHN7/VA=")</f>
        <v>#REF!</v>
      </c>
      <c r="CD48" t="e">
        <f>AND('GA55 Entry'!#REF!,"AAAAAHN7/VE=")</f>
        <v>#REF!</v>
      </c>
      <c r="CE48" t="e">
        <f>AND('GA55 Entry'!#REF!,"AAAAAHN7/VI=")</f>
        <v>#REF!</v>
      </c>
      <c r="CF48" t="e">
        <f>AND('GA55 Entry'!#REF!,"AAAAAHN7/VM=")</f>
        <v>#REF!</v>
      </c>
      <c r="CG48" t="e">
        <f>AND('GA55 Entry'!#REF!,"AAAAAHN7/VQ=")</f>
        <v>#REF!</v>
      </c>
      <c r="CH48" t="e">
        <f>AND('GA55 Entry'!#REF!,"AAAAAHN7/VU=")</f>
        <v>#REF!</v>
      </c>
      <c r="CI48" t="e">
        <f>AND('GA55 Entry'!#REF!,"AAAAAHN7/VY=")</f>
        <v>#REF!</v>
      </c>
      <c r="CJ48" t="e">
        <f>AND('GA55 Entry'!#REF!,"AAAAAHN7/Vc=")</f>
        <v>#REF!</v>
      </c>
      <c r="CK48" t="e">
        <f>AND('GA55 Entry'!#REF!,"AAAAAHN7/Vg=")</f>
        <v>#REF!</v>
      </c>
      <c r="CL48" t="e">
        <f>AND('GA55 Entry'!#REF!,"AAAAAHN7/Vk=")</f>
        <v>#REF!</v>
      </c>
      <c r="CM48" t="e">
        <f>AND('GA55 Entry'!#REF!,"AAAAAHN7/Vo=")</f>
        <v>#REF!</v>
      </c>
      <c r="CN48" t="e">
        <f>AND('GA55 Entry'!#REF!,"AAAAAHN7/Vs=")</f>
        <v>#REF!</v>
      </c>
      <c r="CO48" t="e">
        <f>AND('GA55 Entry'!#REF!,"AAAAAHN7/Vw=")</f>
        <v>#REF!</v>
      </c>
      <c r="CP48" t="e">
        <f>AND('GA55 Entry'!#REF!,"AAAAAHN7/V0=")</f>
        <v>#REF!</v>
      </c>
      <c r="CQ48" t="e">
        <f>IF('GA55 Entry'!#REF!,"AAAAAHN7/V4=",0)</f>
        <v>#REF!</v>
      </c>
      <c r="CR48" t="e">
        <f>AND('GA55 Entry'!#REF!,"AAAAAHN7/V8=")</f>
        <v>#REF!</v>
      </c>
      <c r="CS48" t="e">
        <f>AND('GA55 Entry'!#REF!,"AAAAAHN7/WA=")</f>
        <v>#REF!</v>
      </c>
      <c r="CT48" t="e">
        <f>AND('GA55 Entry'!#REF!,"AAAAAHN7/WE=")</f>
        <v>#REF!</v>
      </c>
      <c r="CU48" t="e">
        <f>AND('GA55 Entry'!#REF!,"AAAAAHN7/WI=")</f>
        <v>#REF!</v>
      </c>
      <c r="CV48" t="e">
        <f>AND('GA55 Entry'!#REF!,"AAAAAHN7/WM=")</f>
        <v>#REF!</v>
      </c>
      <c r="CW48" t="e">
        <f>AND('GA55 Entry'!#REF!,"AAAAAHN7/WQ=")</f>
        <v>#REF!</v>
      </c>
      <c r="CX48" t="e">
        <f>AND('GA55 Entry'!#REF!,"AAAAAHN7/WU=")</f>
        <v>#REF!</v>
      </c>
      <c r="CY48" t="e">
        <f>AND('GA55 Entry'!#REF!,"AAAAAHN7/WY=")</f>
        <v>#REF!</v>
      </c>
      <c r="CZ48" t="e">
        <f>AND('GA55 Entry'!#REF!,"AAAAAHN7/Wc=")</f>
        <v>#REF!</v>
      </c>
      <c r="DA48" t="e">
        <f>AND('GA55 Entry'!#REF!,"AAAAAHN7/Wg=")</f>
        <v>#REF!</v>
      </c>
      <c r="DB48" t="e">
        <f>AND('GA55 Entry'!#REF!,"AAAAAHN7/Wk=")</f>
        <v>#REF!</v>
      </c>
      <c r="DC48" t="e">
        <f>AND('GA55 Entry'!#REF!,"AAAAAHN7/Wo=")</f>
        <v>#REF!</v>
      </c>
      <c r="DD48" t="e">
        <f>AND('GA55 Entry'!#REF!,"AAAAAHN7/Ws=")</f>
        <v>#REF!</v>
      </c>
      <c r="DE48" t="e">
        <f>AND('GA55 Entry'!#REF!,"AAAAAHN7/Ww=")</f>
        <v>#REF!</v>
      </c>
      <c r="DF48" t="e">
        <f>AND('GA55 Entry'!#REF!,"AAAAAHN7/W0=")</f>
        <v>#REF!</v>
      </c>
      <c r="DG48" t="e">
        <f>AND('GA55 Entry'!#REF!,"AAAAAHN7/W4=")</f>
        <v>#REF!</v>
      </c>
      <c r="DH48" t="e">
        <f>AND('GA55 Entry'!#REF!,"AAAAAHN7/W8=")</f>
        <v>#REF!</v>
      </c>
      <c r="DI48" t="e">
        <f>AND('GA55 Entry'!#REF!,"AAAAAHN7/XA=")</f>
        <v>#REF!</v>
      </c>
      <c r="DJ48" t="e">
        <f>AND('GA55 Entry'!#REF!,"AAAAAHN7/XE=")</f>
        <v>#REF!</v>
      </c>
      <c r="DK48" t="e">
        <f>AND('GA55 Entry'!#REF!,"AAAAAHN7/XI=")</f>
        <v>#REF!</v>
      </c>
      <c r="DL48" t="e">
        <f>AND('GA55 Entry'!#REF!,"AAAAAHN7/XM=")</f>
        <v>#REF!</v>
      </c>
      <c r="DM48" t="e">
        <f>AND('GA55 Entry'!#REF!,"AAAAAHN7/XQ=")</f>
        <v>#REF!</v>
      </c>
      <c r="DN48" t="e">
        <f>AND('GA55 Entry'!#REF!,"AAAAAHN7/XU=")</f>
        <v>#REF!</v>
      </c>
      <c r="DO48" t="e">
        <f>AND('GA55 Entry'!#REF!,"AAAAAHN7/XY=")</f>
        <v>#REF!</v>
      </c>
      <c r="DP48" t="e">
        <f>AND('GA55 Entry'!#REF!,"AAAAAHN7/Xc=")</f>
        <v>#REF!</v>
      </c>
      <c r="DQ48" t="e">
        <f>AND('GA55 Entry'!#REF!,"AAAAAHN7/Xg=")</f>
        <v>#REF!</v>
      </c>
      <c r="DR48" t="e">
        <f>AND('GA55 Entry'!#REF!,"AAAAAHN7/Xk=")</f>
        <v>#REF!</v>
      </c>
      <c r="DS48" t="e">
        <f>AND('GA55 Entry'!#REF!,"AAAAAHN7/Xo=")</f>
        <v>#REF!</v>
      </c>
      <c r="DT48" t="e">
        <f>AND('GA55 Entry'!#REF!,"AAAAAHN7/Xs=")</f>
        <v>#REF!</v>
      </c>
      <c r="DU48" t="e">
        <f>AND('GA55 Entry'!#REF!,"AAAAAHN7/Xw=")</f>
        <v>#REF!</v>
      </c>
      <c r="DV48" t="e">
        <f>AND('GA55 Entry'!#REF!,"AAAAAHN7/X0=")</f>
        <v>#REF!</v>
      </c>
      <c r="DW48" t="e">
        <f>AND('GA55 Entry'!#REF!,"AAAAAHN7/X4=")</f>
        <v>#REF!</v>
      </c>
      <c r="DX48" t="e">
        <f>AND('GA55 Entry'!#REF!,"AAAAAHN7/X8=")</f>
        <v>#REF!</v>
      </c>
      <c r="DY48" t="e">
        <f>AND('GA55 Entry'!#REF!,"AAAAAHN7/YA=")</f>
        <v>#REF!</v>
      </c>
      <c r="DZ48" t="e">
        <f>AND('GA55 Entry'!#REF!,"AAAAAHN7/YE=")</f>
        <v>#REF!</v>
      </c>
      <c r="EA48" t="e">
        <f>AND('GA55 Entry'!#REF!,"AAAAAHN7/YI=")</f>
        <v>#REF!</v>
      </c>
      <c r="EB48" t="e">
        <f>AND('GA55 Entry'!#REF!,"AAAAAHN7/YM=")</f>
        <v>#REF!</v>
      </c>
      <c r="EC48" t="e">
        <f>AND('GA55 Entry'!#REF!,"AAAAAHN7/YQ=")</f>
        <v>#REF!</v>
      </c>
      <c r="ED48" t="e">
        <f>AND('GA55 Entry'!#REF!,"AAAAAHN7/YU=")</f>
        <v>#REF!</v>
      </c>
      <c r="EE48" t="e">
        <f>AND('GA55 Entry'!#REF!,"AAAAAHN7/YY=")</f>
        <v>#REF!</v>
      </c>
      <c r="EF48" t="e">
        <f>AND('GA55 Entry'!#REF!,"AAAAAHN7/Yc=")</f>
        <v>#REF!</v>
      </c>
      <c r="EG48" t="e">
        <f>AND('GA55 Entry'!#REF!,"AAAAAHN7/Yg=")</f>
        <v>#REF!</v>
      </c>
      <c r="EH48" t="e">
        <f>AND('GA55 Entry'!#REF!,"AAAAAHN7/Yk=")</f>
        <v>#REF!</v>
      </c>
      <c r="EI48" t="e">
        <f>AND('GA55 Entry'!#REF!,"AAAAAHN7/Yo=")</f>
        <v>#REF!</v>
      </c>
      <c r="EJ48" t="e">
        <f>AND('GA55 Entry'!#REF!,"AAAAAHN7/Ys=")</f>
        <v>#REF!</v>
      </c>
      <c r="EK48" t="e">
        <f>AND('GA55 Entry'!#REF!,"AAAAAHN7/Yw=")</f>
        <v>#REF!</v>
      </c>
      <c r="EL48" t="e">
        <f>AND('GA55 Entry'!#REF!,"AAAAAHN7/Y0=")</f>
        <v>#REF!</v>
      </c>
      <c r="EM48" t="e">
        <f>AND('GA55 Entry'!#REF!,"AAAAAHN7/Y4=")</f>
        <v>#REF!</v>
      </c>
      <c r="EN48" t="e">
        <f>AND('GA55 Entry'!#REF!,"AAAAAHN7/Y8=")</f>
        <v>#REF!</v>
      </c>
      <c r="EO48" t="e">
        <f>AND('GA55 Entry'!#REF!,"AAAAAHN7/ZA=")</f>
        <v>#REF!</v>
      </c>
      <c r="EP48" t="e">
        <f>IF('GA55 Entry'!#REF!,"AAAAAHN7/ZE=",0)</f>
        <v>#REF!</v>
      </c>
      <c r="EQ48" t="e">
        <f>AND('GA55 Entry'!#REF!,"AAAAAHN7/ZI=")</f>
        <v>#REF!</v>
      </c>
      <c r="ER48" t="e">
        <f>AND('GA55 Entry'!#REF!,"AAAAAHN7/ZM=")</f>
        <v>#REF!</v>
      </c>
      <c r="ES48" t="e">
        <f>AND('GA55 Entry'!#REF!,"AAAAAHN7/ZQ=")</f>
        <v>#REF!</v>
      </c>
      <c r="ET48" t="e">
        <f>AND('GA55 Entry'!#REF!,"AAAAAHN7/ZU=")</f>
        <v>#REF!</v>
      </c>
      <c r="EU48" t="e">
        <f>AND('GA55 Entry'!#REF!,"AAAAAHN7/ZY=")</f>
        <v>#REF!</v>
      </c>
      <c r="EV48" t="e">
        <f>AND('GA55 Entry'!#REF!,"AAAAAHN7/Zc=")</f>
        <v>#REF!</v>
      </c>
      <c r="EW48" t="e">
        <f>AND('GA55 Entry'!#REF!,"AAAAAHN7/Zg=")</f>
        <v>#REF!</v>
      </c>
      <c r="EX48" t="e">
        <f>AND('GA55 Entry'!#REF!,"AAAAAHN7/Zk=")</f>
        <v>#REF!</v>
      </c>
      <c r="EY48" t="e">
        <f>AND('GA55 Entry'!#REF!,"AAAAAHN7/Zo=")</f>
        <v>#REF!</v>
      </c>
      <c r="EZ48" t="e">
        <f>AND('GA55 Entry'!#REF!,"AAAAAHN7/Zs=")</f>
        <v>#REF!</v>
      </c>
      <c r="FA48" t="e">
        <f>AND('GA55 Entry'!#REF!,"AAAAAHN7/Zw=")</f>
        <v>#REF!</v>
      </c>
      <c r="FB48" t="e">
        <f>AND('GA55 Entry'!#REF!,"AAAAAHN7/Z0=")</f>
        <v>#REF!</v>
      </c>
      <c r="FC48" t="e">
        <f>AND('GA55 Entry'!#REF!,"AAAAAHN7/Z4=")</f>
        <v>#REF!</v>
      </c>
      <c r="FD48" t="e">
        <f>AND('GA55 Entry'!#REF!,"AAAAAHN7/Z8=")</f>
        <v>#REF!</v>
      </c>
      <c r="FE48" t="e">
        <f>AND('GA55 Entry'!#REF!,"AAAAAHN7/aA=")</f>
        <v>#REF!</v>
      </c>
      <c r="FF48" t="e">
        <f>AND('GA55 Entry'!#REF!,"AAAAAHN7/aE=")</f>
        <v>#REF!</v>
      </c>
      <c r="FG48" t="e">
        <f>AND('GA55 Entry'!#REF!,"AAAAAHN7/aI=")</f>
        <v>#REF!</v>
      </c>
      <c r="FH48" t="e">
        <f>AND('GA55 Entry'!#REF!,"AAAAAHN7/aM=")</f>
        <v>#REF!</v>
      </c>
      <c r="FI48" t="e">
        <f>AND('GA55 Entry'!#REF!,"AAAAAHN7/aQ=")</f>
        <v>#REF!</v>
      </c>
      <c r="FJ48" t="e">
        <f>AND('GA55 Entry'!#REF!,"AAAAAHN7/aU=")</f>
        <v>#REF!</v>
      </c>
      <c r="FK48" t="e">
        <f>AND('GA55 Entry'!#REF!,"AAAAAHN7/aY=")</f>
        <v>#REF!</v>
      </c>
      <c r="FL48" t="e">
        <f>AND('GA55 Entry'!#REF!,"AAAAAHN7/ac=")</f>
        <v>#REF!</v>
      </c>
      <c r="FM48" t="e">
        <f>AND('GA55 Entry'!#REF!,"AAAAAHN7/ag=")</f>
        <v>#REF!</v>
      </c>
      <c r="FN48" t="e">
        <f>AND('GA55 Entry'!#REF!,"AAAAAHN7/ak=")</f>
        <v>#REF!</v>
      </c>
      <c r="FO48" t="e">
        <f>AND('GA55 Entry'!#REF!,"AAAAAHN7/ao=")</f>
        <v>#REF!</v>
      </c>
      <c r="FP48" t="e">
        <f>AND('GA55 Entry'!#REF!,"AAAAAHN7/as=")</f>
        <v>#REF!</v>
      </c>
      <c r="FQ48" t="e">
        <f>AND('GA55 Entry'!#REF!,"AAAAAHN7/aw=")</f>
        <v>#REF!</v>
      </c>
      <c r="FR48" t="e">
        <f>AND('GA55 Entry'!#REF!,"AAAAAHN7/a0=")</f>
        <v>#REF!</v>
      </c>
      <c r="FS48" t="e">
        <f>AND('GA55 Entry'!#REF!,"AAAAAHN7/a4=")</f>
        <v>#REF!</v>
      </c>
      <c r="FT48" t="e">
        <f>AND('GA55 Entry'!#REF!,"AAAAAHN7/a8=")</f>
        <v>#REF!</v>
      </c>
      <c r="FU48" t="e">
        <f>AND('GA55 Entry'!#REF!,"AAAAAHN7/bA=")</f>
        <v>#REF!</v>
      </c>
      <c r="FV48" t="e">
        <f>AND('GA55 Entry'!#REF!,"AAAAAHN7/bE=")</f>
        <v>#REF!</v>
      </c>
      <c r="FW48" t="e">
        <f>AND('GA55 Entry'!#REF!,"AAAAAHN7/bI=")</f>
        <v>#REF!</v>
      </c>
      <c r="FX48" t="e">
        <f>AND('GA55 Entry'!#REF!,"AAAAAHN7/bM=")</f>
        <v>#REF!</v>
      </c>
      <c r="FY48" t="e">
        <f>AND('GA55 Entry'!#REF!,"AAAAAHN7/bQ=")</f>
        <v>#REF!</v>
      </c>
      <c r="FZ48" t="e">
        <f>AND('GA55 Entry'!#REF!,"AAAAAHN7/bU=")</f>
        <v>#REF!</v>
      </c>
      <c r="GA48" t="e">
        <f>AND('GA55 Entry'!#REF!,"AAAAAHN7/bY=")</f>
        <v>#REF!</v>
      </c>
      <c r="GB48" t="e">
        <f>AND('GA55 Entry'!#REF!,"AAAAAHN7/bc=")</f>
        <v>#REF!</v>
      </c>
      <c r="GC48" t="e">
        <f>AND('GA55 Entry'!#REF!,"AAAAAHN7/bg=")</f>
        <v>#REF!</v>
      </c>
      <c r="GD48" t="e">
        <f>AND('GA55 Entry'!#REF!,"AAAAAHN7/bk=")</f>
        <v>#REF!</v>
      </c>
      <c r="GE48" t="e">
        <f>AND('GA55 Entry'!#REF!,"AAAAAHN7/bo=")</f>
        <v>#REF!</v>
      </c>
      <c r="GF48" t="e">
        <f>AND('GA55 Entry'!#REF!,"AAAAAHN7/bs=")</f>
        <v>#REF!</v>
      </c>
      <c r="GG48" t="e">
        <f>AND('GA55 Entry'!#REF!,"AAAAAHN7/bw=")</f>
        <v>#REF!</v>
      </c>
      <c r="GH48" t="e">
        <f>AND('GA55 Entry'!#REF!,"AAAAAHN7/b0=")</f>
        <v>#REF!</v>
      </c>
      <c r="GI48" t="e">
        <f>AND('GA55 Entry'!#REF!,"AAAAAHN7/b4=")</f>
        <v>#REF!</v>
      </c>
      <c r="GJ48" t="e">
        <f>AND('GA55 Entry'!#REF!,"AAAAAHN7/b8=")</f>
        <v>#REF!</v>
      </c>
      <c r="GK48" t="e">
        <f>AND('GA55 Entry'!#REF!,"AAAAAHN7/cA=")</f>
        <v>#REF!</v>
      </c>
      <c r="GL48" t="e">
        <f>AND('GA55 Entry'!#REF!,"AAAAAHN7/cE=")</f>
        <v>#REF!</v>
      </c>
      <c r="GM48" t="e">
        <f>AND('GA55 Entry'!#REF!,"AAAAAHN7/cI=")</f>
        <v>#REF!</v>
      </c>
      <c r="GN48" t="e">
        <f>AND('GA55 Entry'!#REF!,"AAAAAHN7/cM=")</f>
        <v>#REF!</v>
      </c>
      <c r="GO48" t="e">
        <f>IF('GA55 Entry'!#REF!,"AAAAAHN7/cQ=",0)</f>
        <v>#REF!</v>
      </c>
      <c r="GP48" t="e">
        <f>AND('GA55 Entry'!#REF!,"AAAAAHN7/cU=")</f>
        <v>#REF!</v>
      </c>
      <c r="GQ48" t="e">
        <f>AND('GA55 Entry'!#REF!,"AAAAAHN7/cY=")</f>
        <v>#REF!</v>
      </c>
      <c r="GR48" t="e">
        <f>AND('GA55 Entry'!#REF!,"AAAAAHN7/cc=")</f>
        <v>#REF!</v>
      </c>
      <c r="GS48" t="e">
        <f>AND('GA55 Entry'!#REF!,"AAAAAHN7/cg=")</f>
        <v>#REF!</v>
      </c>
      <c r="GT48" t="e">
        <f>AND('GA55 Entry'!#REF!,"AAAAAHN7/ck=")</f>
        <v>#REF!</v>
      </c>
      <c r="GU48" t="e">
        <f>AND('GA55 Entry'!#REF!,"AAAAAHN7/co=")</f>
        <v>#REF!</v>
      </c>
      <c r="GV48" t="e">
        <f>AND('GA55 Entry'!#REF!,"AAAAAHN7/cs=")</f>
        <v>#REF!</v>
      </c>
      <c r="GW48" t="e">
        <f>AND('GA55 Entry'!#REF!,"AAAAAHN7/cw=")</f>
        <v>#REF!</v>
      </c>
      <c r="GX48" t="e">
        <f>AND('GA55 Entry'!#REF!,"AAAAAHN7/c0=")</f>
        <v>#REF!</v>
      </c>
      <c r="GY48" t="e">
        <f>AND('GA55 Entry'!#REF!,"AAAAAHN7/c4=")</f>
        <v>#REF!</v>
      </c>
      <c r="GZ48" t="e">
        <f>AND('GA55 Entry'!#REF!,"AAAAAHN7/c8=")</f>
        <v>#REF!</v>
      </c>
      <c r="HA48" t="e">
        <f>AND('GA55 Entry'!#REF!,"AAAAAHN7/dA=")</f>
        <v>#REF!</v>
      </c>
      <c r="HB48" t="e">
        <f>AND('GA55 Entry'!#REF!,"AAAAAHN7/dE=")</f>
        <v>#REF!</v>
      </c>
      <c r="HC48" t="e">
        <f>AND('GA55 Entry'!#REF!,"AAAAAHN7/dI=")</f>
        <v>#REF!</v>
      </c>
      <c r="HD48" t="e">
        <f>AND('GA55 Entry'!#REF!,"AAAAAHN7/dM=")</f>
        <v>#REF!</v>
      </c>
      <c r="HE48" t="e">
        <f>AND('GA55 Entry'!#REF!,"AAAAAHN7/dQ=")</f>
        <v>#REF!</v>
      </c>
      <c r="HF48" t="e">
        <f>AND('GA55 Entry'!#REF!,"AAAAAHN7/dU=")</f>
        <v>#REF!</v>
      </c>
      <c r="HG48" t="e">
        <f>AND('GA55 Entry'!#REF!,"AAAAAHN7/dY=")</f>
        <v>#REF!</v>
      </c>
      <c r="HH48" t="e">
        <f>AND('GA55 Entry'!#REF!,"AAAAAHN7/dc=")</f>
        <v>#REF!</v>
      </c>
      <c r="HI48" t="e">
        <f>AND('GA55 Entry'!#REF!,"AAAAAHN7/dg=")</f>
        <v>#REF!</v>
      </c>
      <c r="HJ48" t="e">
        <f>AND('GA55 Entry'!#REF!,"AAAAAHN7/dk=")</f>
        <v>#REF!</v>
      </c>
      <c r="HK48" t="e">
        <f>AND('GA55 Entry'!#REF!,"AAAAAHN7/do=")</f>
        <v>#REF!</v>
      </c>
      <c r="HL48" t="e">
        <f>AND('GA55 Entry'!#REF!,"AAAAAHN7/ds=")</f>
        <v>#REF!</v>
      </c>
      <c r="HM48" t="e">
        <f>AND('GA55 Entry'!#REF!,"AAAAAHN7/dw=")</f>
        <v>#REF!</v>
      </c>
      <c r="HN48" t="e">
        <f>AND('GA55 Entry'!#REF!,"AAAAAHN7/d0=")</f>
        <v>#REF!</v>
      </c>
      <c r="HO48" t="e">
        <f>AND('GA55 Entry'!#REF!,"AAAAAHN7/d4=")</f>
        <v>#REF!</v>
      </c>
      <c r="HP48" t="e">
        <f>AND('GA55 Entry'!#REF!,"AAAAAHN7/d8=")</f>
        <v>#REF!</v>
      </c>
      <c r="HQ48" t="e">
        <f>AND('GA55 Entry'!#REF!,"AAAAAHN7/eA=")</f>
        <v>#REF!</v>
      </c>
      <c r="HR48" t="e">
        <f>AND('GA55 Entry'!#REF!,"AAAAAHN7/eE=")</f>
        <v>#REF!</v>
      </c>
      <c r="HS48" t="e">
        <f>AND('GA55 Entry'!#REF!,"AAAAAHN7/eI=")</f>
        <v>#REF!</v>
      </c>
      <c r="HT48" t="e">
        <f>AND('GA55 Entry'!#REF!,"AAAAAHN7/eM=")</f>
        <v>#REF!</v>
      </c>
      <c r="HU48" t="e">
        <f>AND('GA55 Entry'!#REF!,"AAAAAHN7/eQ=")</f>
        <v>#REF!</v>
      </c>
      <c r="HV48" t="e">
        <f>AND('GA55 Entry'!#REF!,"AAAAAHN7/eU=")</f>
        <v>#REF!</v>
      </c>
      <c r="HW48" t="e">
        <f>AND('GA55 Entry'!#REF!,"AAAAAHN7/eY=")</f>
        <v>#REF!</v>
      </c>
      <c r="HX48" t="e">
        <f>AND('GA55 Entry'!#REF!,"AAAAAHN7/ec=")</f>
        <v>#REF!</v>
      </c>
      <c r="HY48" t="e">
        <f>AND('GA55 Entry'!#REF!,"AAAAAHN7/eg=")</f>
        <v>#REF!</v>
      </c>
      <c r="HZ48" t="e">
        <f>AND('GA55 Entry'!#REF!,"AAAAAHN7/ek=")</f>
        <v>#REF!</v>
      </c>
      <c r="IA48" t="e">
        <f>AND('GA55 Entry'!#REF!,"AAAAAHN7/eo=")</f>
        <v>#REF!</v>
      </c>
      <c r="IB48" t="e">
        <f>AND('GA55 Entry'!#REF!,"AAAAAHN7/es=")</f>
        <v>#REF!</v>
      </c>
      <c r="IC48" t="e">
        <f>AND('GA55 Entry'!#REF!,"AAAAAHN7/ew=")</f>
        <v>#REF!</v>
      </c>
      <c r="ID48" t="e">
        <f>AND('GA55 Entry'!#REF!,"AAAAAHN7/e0=")</f>
        <v>#REF!</v>
      </c>
      <c r="IE48" t="e">
        <f>AND('GA55 Entry'!#REF!,"AAAAAHN7/e4=")</f>
        <v>#REF!</v>
      </c>
      <c r="IF48" t="e">
        <f>AND('GA55 Entry'!#REF!,"AAAAAHN7/e8=")</f>
        <v>#REF!</v>
      </c>
      <c r="IG48" t="e">
        <f>AND('GA55 Entry'!#REF!,"AAAAAHN7/fA=")</f>
        <v>#REF!</v>
      </c>
      <c r="IH48" t="e">
        <f>AND('GA55 Entry'!#REF!,"AAAAAHN7/fE=")</f>
        <v>#REF!</v>
      </c>
      <c r="II48" t="e">
        <f>AND('GA55 Entry'!#REF!,"AAAAAHN7/fI=")</f>
        <v>#REF!</v>
      </c>
      <c r="IJ48" t="e">
        <f>AND('GA55 Entry'!#REF!,"AAAAAHN7/fM=")</f>
        <v>#REF!</v>
      </c>
      <c r="IK48" t="e">
        <f>AND('GA55 Entry'!#REF!,"AAAAAHN7/fQ=")</f>
        <v>#REF!</v>
      </c>
      <c r="IL48" t="e">
        <f>AND('GA55 Entry'!#REF!,"AAAAAHN7/fU=")</f>
        <v>#REF!</v>
      </c>
      <c r="IM48" t="e">
        <f>AND('GA55 Entry'!#REF!,"AAAAAHN7/fY=")</f>
        <v>#REF!</v>
      </c>
      <c r="IN48" t="e">
        <f>IF('GA55 Entry'!#REF!,"AAAAAHN7/fc=",0)</f>
        <v>#REF!</v>
      </c>
      <c r="IO48" t="e">
        <f>AND('GA55 Entry'!#REF!,"AAAAAHN7/fg=")</f>
        <v>#REF!</v>
      </c>
      <c r="IP48" t="e">
        <f>AND('GA55 Entry'!#REF!,"AAAAAHN7/fk=")</f>
        <v>#REF!</v>
      </c>
      <c r="IQ48" t="e">
        <f>AND('GA55 Entry'!#REF!,"AAAAAHN7/fo=")</f>
        <v>#REF!</v>
      </c>
      <c r="IR48" t="e">
        <f>AND('GA55 Entry'!#REF!,"AAAAAHN7/fs=")</f>
        <v>#REF!</v>
      </c>
      <c r="IS48" t="e">
        <f>AND('GA55 Entry'!#REF!,"AAAAAHN7/fw=")</f>
        <v>#REF!</v>
      </c>
      <c r="IT48" t="e">
        <f>AND('GA55 Entry'!#REF!,"AAAAAHN7/f0=")</f>
        <v>#REF!</v>
      </c>
      <c r="IU48" t="e">
        <f>AND('GA55 Entry'!#REF!,"AAAAAHN7/f4=")</f>
        <v>#REF!</v>
      </c>
      <c r="IV48" t="e">
        <f>AND('GA55 Entry'!#REF!,"AAAAAHN7/f8=")</f>
        <v>#REF!</v>
      </c>
    </row>
    <row r="49" spans="1:256">
      <c r="A49" t="e">
        <f>AND('GA55 Entry'!#REF!,"AAAAAH+36QA=")</f>
        <v>#REF!</v>
      </c>
      <c r="B49" t="e">
        <f>AND('GA55 Entry'!#REF!,"AAAAAH+36QE=")</f>
        <v>#REF!</v>
      </c>
      <c r="C49" t="e">
        <f>AND('GA55 Entry'!#REF!,"AAAAAH+36QI=")</f>
        <v>#REF!</v>
      </c>
      <c r="D49" t="e">
        <f>AND('GA55 Entry'!#REF!,"AAAAAH+36QM=")</f>
        <v>#REF!</v>
      </c>
      <c r="E49" t="e">
        <f>AND('GA55 Entry'!#REF!,"AAAAAH+36QQ=")</f>
        <v>#REF!</v>
      </c>
      <c r="F49" t="e">
        <f>AND('GA55 Entry'!#REF!,"AAAAAH+36QU=")</f>
        <v>#REF!</v>
      </c>
      <c r="G49" t="e">
        <f>AND('GA55 Entry'!#REF!,"AAAAAH+36QY=")</f>
        <v>#REF!</v>
      </c>
      <c r="H49" t="e">
        <f>AND('GA55 Entry'!#REF!,"AAAAAH+36Qc=")</f>
        <v>#REF!</v>
      </c>
      <c r="I49" t="e">
        <f>AND('GA55 Entry'!#REF!,"AAAAAH+36Qg=")</f>
        <v>#REF!</v>
      </c>
      <c r="J49" t="e">
        <f>AND('GA55 Entry'!#REF!,"AAAAAH+36Qk=")</f>
        <v>#REF!</v>
      </c>
      <c r="K49" t="e">
        <f>AND('GA55 Entry'!#REF!,"AAAAAH+36Qo=")</f>
        <v>#REF!</v>
      </c>
      <c r="L49" t="e">
        <f>AND('GA55 Entry'!#REF!,"AAAAAH+36Qs=")</f>
        <v>#REF!</v>
      </c>
      <c r="M49" t="e">
        <f>AND('GA55 Entry'!#REF!,"AAAAAH+36Qw=")</f>
        <v>#REF!</v>
      </c>
      <c r="N49" t="e">
        <f>AND('GA55 Entry'!#REF!,"AAAAAH+36Q0=")</f>
        <v>#REF!</v>
      </c>
      <c r="O49" t="e">
        <f>AND('GA55 Entry'!#REF!,"AAAAAH+36Q4=")</f>
        <v>#REF!</v>
      </c>
      <c r="P49" t="e">
        <f>AND('GA55 Entry'!#REF!,"AAAAAH+36Q8=")</f>
        <v>#REF!</v>
      </c>
      <c r="Q49" t="e">
        <f>AND('GA55 Entry'!#REF!,"AAAAAH+36RA=")</f>
        <v>#REF!</v>
      </c>
      <c r="R49" t="e">
        <f>AND('GA55 Entry'!#REF!,"AAAAAH+36RE=")</f>
        <v>#REF!</v>
      </c>
      <c r="S49" t="e">
        <f>AND('GA55 Entry'!#REF!,"AAAAAH+36RI=")</f>
        <v>#REF!</v>
      </c>
      <c r="T49" t="e">
        <f>AND('GA55 Entry'!#REF!,"AAAAAH+36RM=")</f>
        <v>#REF!</v>
      </c>
      <c r="U49" t="e">
        <f>AND('GA55 Entry'!#REF!,"AAAAAH+36RQ=")</f>
        <v>#REF!</v>
      </c>
      <c r="V49" t="e">
        <f>AND('GA55 Entry'!#REF!,"AAAAAH+36RU=")</f>
        <v>#REF!</v>
      </c>
      <c r="W49" t="e">
        <f>AND('GA55 Entry'!#REF!,"AAAAAH+36RY=")</f>
        <v>#REF!</v>
      </c>
      <c r="X49" t="e">
        <f>AND('GA55 Entry'!#REF!,"AAAAAH+36Rc=")</f>
        <v>#REF!</v>
      </c>
      <c r="Y49" t="e">
        <f>AND('GA55 Entry'!#REF!,"AAAAAH+36Rg=")</f>
        <v>#REF!</v>
      </c>
      <c r="Z49" t="e">
        <f>AND('GA55 Entry'!#REF!,"AAAAAH+36Rk=")</f>
        <v>#REF!</v>
      </c>
      <c r="AA49" t="e">
        <f>AND('GA55 Entry'!#REF!,"AAAAAH+36Ro=")</f>
        <v>#REF!</v>
      </c>
      <c r="AB49" t="e">
        <f>AND('GA55 Entry'!#REF!,"AAAAAH+36Rs=")</f>
        <v>#REF!</v>
      </c>
      <c r="AC49" t="e">
        <f>AND('GA55 Entry'!#REF!,"AAAAAH+36Rw=")</f>
        <v>#REF!</v>
      </c>
      <c r="AD49" t="e">
        <f>AND('GA55 Entry'!#REF!,"AAAAAH+36R0=")</f>
        <v>#REF!</v>
      </c>
      <c r="AE49" t="e">
        <f>AND('GA55 Entry'!#REF!,"AAAAAH+36R4=")</f>
        <v>#REF!</v>
      </c>
      <c r="AF49" t="e">
        <f>AND('GA55 Entry'!#REF!,"AAAAAH+36R8=")</f>
        <v>#REF!</v>
      </c>
      <c r="AG49" t="e">
        <f>AND('GA55 Entry'!#REF!,"AAAAAH+36SA=")</f>
        <v>#REF!</v>
      </c>
      <c r="AH49" t="e">
        <f>AND('GA55 Entry'!#REF!,"AAAAAH+36SE=")</f>
        <v>#REF!</v>
      </c>
      <c r="AI49" t="e">
        <f>AND('GA55 Entry'!#REF!,"AAAAAH+36SI=")</f>
        <v>#REF!</v>
      </c>
      <c r="AJ49" t="e">
        <f>AND('GA55 Entry'!#REF!,"AAAAAH+36SM=")</f>
        <v>#REF!</v>
      </c>
      <c r="AK49" t="e">
        <f>AND('GA55 Entry'!#REF!,"AAAAAH+36SQ=")</f>
        <v>#REF!</v>
      </c>
      <c r="AL49" t="e">
        <f>AND('GA55 Entry'!#REF!,"AAAAAH+36SU=")</f>
        <v>#REF!</v>
      </c>
      <c r="AM49" t="e">
        <f>AND('GA55 Entry'!#REF!,"AAAAAH+36SY=")</f>
        <v>#REF!</v>
      </c>
      <c r="AN49" t="e">
        <f>AND('GA55 Entry'!#REF!,"AAAAAH+36Sc=")</f>
        <v>#REF!</v>
      </c>
      <c r="AO49" t="e">
        <f>AND('GA55 Entry'!#REF!,"AAAAAH+36Sg=")</f>
        <v>#REF!</v>
      </c>
      <c r="AP49" t="e">
        <f>AND('GA55 Entry'!#REF!,"AAAAAH+36Sk=")</f>
        <v>#REF!</v>
      </c>
      <c r="AQ49" t="e">
        <f>IF('GA55 Entry'!#REF!,"AAAAAH+36So=",0)</f>
        <v>#REF!</v>
      </c>
      <c r="AR49" t="e">
        <f>AND('GA55 Entry'!#REF!,"AAAAAH+36Ss=")</f>
        <v>#REF!</v>
      </c>
      <c r="AS49" t="e">
        <f>AND('GA55 Entry'!#REF!,"AAAAAH+36Sw=")</f>
        <v>#REF!</v>
      </c>
      <c r="AT49" t="e">
        <f>AND('GA55 Entry'!#REF!,"AAAAAH+36S0=")</f>
        <v>#REF!</v>
      </c>
      <c r="AU49" t="e">
        <f>AND('GA55 Entry'!#REF!,"AAAAAH+36S4=")</f>
        <v>#REF!</v>
      </c>
      <c r="AV49" t="e">
        <f>AND('GA55 Entry'!#REF!,"AAAAAH+36S8=")</f>
        <v>#REF!</v>
      </c>
      <c r="AW49" t="e">
        <f>AND('GA55 Entry'!#REF!,"AAAAAH+36TA=")</f>
        <v>#REF!</v>
      </c>
      <c r="AX49" t="e">
        <f>AND('GA55 Entry'!#REF!,"AAAAAH+36TE=")</f>
        <v>#REF!</v>
      </c>
      <c r="AY49" t="e">
        <f>AND('GA55 Entry'!#REF!,"AAAAAH+36TI=")</f>
        <v>#REF!</v>
      </c>
      <c r="AZ49" t="e">
        <f>AND('GA55 Entry'!#REF!,"AAAAAH+36TM=")</f>
        <v>#REF!</v>
      </c>
      <c r="BA49" t="e">
        <f>AND('GA55 Entry'!#REF!,"AAAAAH+36TQ=")</f>
        <v>#REF!</v>
      </c>
      <c r="BB49" t="e">
        <f>AND('GA55 Entry'!#REF!,"AAAAAH+36TU=")</f>
        <v>#REF!</v>
      </c>
      <c r="BC49" t="e">
        <f>AND('GA55 Entry'!#REF!,"AAAAAH+36TY=")</f>
        <v>#REF!</v>
      </c>
      <c r="BD49" t="e">
        <f>AND('GA55 Entry'!#REF!,"AAAAAH+36Tc=")</f>
        <v>#REF!</v>
      </c>
      <c r="BE49" t="e">
        <f>AND('GA55 Entry'!#REF!,"AAAAAH+36Tg=")</f>
        <v>#REF!</v>
      </c>
      <c r="BF49" t="e">
        <f>AND('GA55 Entry'!#REF!,"AAAAAH+36Tk=")</f>
        <v>#REF!</v>
      </c>
      <c r="BG49" t="e">
        <f>AND('GA55 Entry'!#REF!,"AAAAAH+36To=")</f>
        <v>#REF!</v>
      </c>
      <c r="BH49" t="e">
        <f>AND('GA55 Entry'!#REF!,"AAAAAH+36Ts=")</f>
        <v>#REF!</v>
      </c>
      <c r="BI49" t="e">
        <f>AND('GA55 Entry'!#REF!,"AAAAAH+36Tw=")</f>
        <v>#REF!</v>
      </c>
      <c r="BJ49" t="e">
        <f>AND('GA55 Entry'!#REF!,"AAAAAH+36T0=")</f>
        <v>#REF!</v>
      </c>
      <c r="BK49" t="e">
        <f>AND('GA55 Entry'!#REF!,"AAAAAH+36T4=")</f>
        <v>#REF!</v>
      </c>
      <c r="BL49" t="e">
        <f>AND('GA55 Entry'!#REF!,"AAAAAH+36T8=")</f>
        <v>#REF!</v>
      </c>
      <c r="BM49" t="e">
        <f>AND('GA55 Entry'!#REF!,"AAAAAH+36UA=")</f>
        <v>#REF!</v>
      </c>
      <c r="BN49" t="e">
        <f>AND('GA55 Entry'!#REF!,"AAAAAH+36UE=")</f>
        <v>#REF!</v>
      </c>
      <c r="BO49" t="e">
        <f>AND('GA55 Entry'!#REF!,"AAAAAH+36UI=")</f>
        <v>#REF!</v>
      </c>
      <c r="BP49" t="e">
        <f>AND('GA55 Entry'!#REF!,"AAAAAH+36UM=")</f>
        <v>#REF!</v>
      </c>
      <c r="BQ49" t="e">
        <f>AND('GA55 Entry'!#REF!,"AAAAAH+36UQ=")</f>
        <v>#REF!</v>
      </c>
      <c r="BR49" t="e">
        <f>AND('GA55 Entry'!#REF!,"AAAAAH+36UU=")</f>
        <v>#REF!</v>
      </c>
      <c r="BS49" t="e">
        <f>AND('GA55 Entry'!#REF!,"AAAAAH+36UY=")</f>
        <v>#REF!</v>
      </c>
      <c r="BT49" t="e">
        <f>AND('GA55 Entry'!#REF!,"AAAAAH+36Uc=")</f>
        <v>#REF!</v>
      </c>
      <c r="BU49" t="e">
        <f>AND('GA55 Entry'!#REF!,"AAAAAH+36Ug=")</f>
        <v>#REF!</v>
      </c>
      <c r="BV49" t="e">
        <f>AND('GA55 Entry'!#REF!,"AAAAAH+36Uk=")</f>
        <v>#REF!</v>
      </c>
      <c r="BW49" t="e">
        <f>AND('GA55 Entry'!#REF!,"AAAAAH+36Uo=")</f>
        <v>#REF!</v>
      </c>
      <c r="BX49" t="e">
        <f>AND('GA55 Entry'!#REF!,"AAAAAH+36Us=")</f>
        <v>#REF!</v>
      </c>
      <c r="BY49" t="e">
        <f>AND('GA55 Entry'!#REF!,"AAAAAH+36Uw=")</f>
        <v>#REF!</v>
      </c>
      <c r="BZ49" t="e">
        <f>AND('GA55 Entry'!#REF!,"AAAAAH+36U0=")</f>
        <v>#REF!</v>
      </c>
      <c r="CA49" t="e">
        <f>AND('GA55 Entry'!#REF!,"AAAAAH+36U4=")</f>
        <v>#REF!</v>
      </c>
      <c r="CB49" t="e">
        <f>AND('GA55 Entry'!#REF!,"AAAAAH+36U8=")</f>
        <v>#REF!</v>
      </c>
      <c r="CC49" t="e">
        <f>AND('GA55 Entry'!#REF!,"AAAAAH+36VA=")</f>
        <v>#REF!</v>
      </c>
      <c r="CD49" t="e">
        <f>AND('GA55 Entry'!#REF!,"AAAAAH+36VE=")</f>
        <v>#REF!</v>
      </c>
      <c r="CE49" t="e">
        <f>AND('GA55 Entry'!#REF!,"AAAAAH+36VI=")</f>
        <v>#REF!</v>
      </c>
      <c r="CF49" t="e">
        <f>AND('GA55 Entry'!#REF!,"AAAAAH+36VM=")</f>
        <v>#REF!</v>
      </c>
      <c r="CG49" t="e">
        <f>AND('GA55 Entry'!#REF!,"AAAAAH+36VQ=")</f>
        <v>#REF!</v>
      </c>
      <c r="CH49" t="e">
        <f>AND('GA55 Entry'!#REF!,"AAAAAH+36VU=")</f>
        <v>#REF!</v>
      </c>
      <c r="CI49" t="e">
        <f>AND('GA55 Entry'!#REF!,"AAAAAH+36VY=")</f>
        <v>#REF!</v>
      </c>
      <c r="CJ49" t="e">
        <f>AND('GA55 Entry'!#REF!,"AAAAAH+36Vc=")</f>
        <v>#REF!</v>
      </c>
      <c r="CK49" t="e">
        <f>AND('GA55 Entry'!#REF!,"AAAAAH+36Vg=")</f>
        <v>#REF!</v>
      </c>
      <c r="CL49" t="e">
        <f>AND('GA55 Entry'!#REF!,"AAAAAH+36Vk=")</f>
        <v>#REF!</v>
      </c>
      <c r="CM49" t="e">
        <f>AND('GA55 Entry'!#REF!,"AAAAAH+36Vo=")</f>
        <v>#REF!</v>
      </c>
      <c r="CN49" t="e">
        <f>AND('GA55 Entry'!#REF!,"AAAAAH+36Vs=")</f>
        <v>#REF!</v>
      </c>
      <c r="CO49" t="e">
        <f>AND('GA55 Entry'!#REF!,"AAAAAH+36Vw=")</f>
        <v>#REF!</v>
      </c>
      <c r="CP49" t="e">
        <f>IF('GA55 Entry'!#REF!,"AAAAAH+36V0=",0)</f>
        <v>#REF!</v>
      </c>
      <c r="CQ49" t="e">
        <f>AND('GA55 Entry'!#REF!,"AAAAAH+36V4=")</f>
        <v>#REF!</v>
      </c>
      <c r="CR49" t="e">
        <f>AND('GA55 Entry'!#REF!,"AAAAAH+36V8=")</f>
        <v>#REF!</v>
      </c>
      <c r="CS49" t="e">
        <f>AND('GA55 Entry'!#REF!,"AAAAAH+36WA=")</f>
        <v>#REF!</v>
      </c>
      <c r="CT49" t="e">
        <f>AND('GA55 Entry'!#REF!,"AAAAAH+36WE=")</f>
        <v>#REF!</v>
      </c>
      <c r="CU49" t="e">
        <f>AND('GA55 Entry'!#REF!,"AAAAAH+36WI=")</f>
        <v>#REF!</v>
      </c>
      <c r="CV49" t="e">
        <f>AND('GA55 Entry'!#REF!,"AAAAAH+36WM=")</f>
        <v>#REF!</v>
      </c>
      <c r="CW49" t="e">
        <f>AND('GA55 Entry'!#REF!,"AAAAAH+36WQ=")</f>
        <v>#REF!</v>
      </c>
      <c r="CX49" t="e">
        <f>AND('GA55 Entry'!#REF!,"AAAAAH+36WU=")</f>
        <v>#REF!</v>
      </c>
      <c r="CY49" t="e">
        <f>AND('GA55 Entry'!#REF!,"AAAAAH+36WY=")</f>
        <v>#REF!</v>
      </c>
      <c r="CZ49" t="e">
        <f>AND('GA55 Entry'!#REF!,"AAAAAH+36Wc=")</f>
        <v>#REF!</v>
      </c>
      <c r="DA49" t="e">
        <f>AND('GA55 Entry'!#REF!,"AAAAAH+36Wg=")</f>
        <v>#REF!</v>
      </c>
      <c r="DB49" t="e">
        <f>AND('GA55 Entry'!#REF!,"AAAAAH+36Wk=")</f>
        <v>#REF!</v>
      </c>
      <c r="DC49" t="e">
        <f>AND('GA55 Entry'!#REF!,"AAAAAH+36Wo=")</f>
        <v>#REF!</v>
      </c>
      <c r="DD49" t="e">
        <f>AND('GA55 Entry'!#REF!,"AAAAAH+36Ws=")</f>
        <v>#REF!</v>
      </c>
      <c r="DE49" t="e">
        <f>AND('GA55 Entry'!#REF!,"AAAAAH+36Ww=")</f>
        <v>#REF!</v>
      </c>
      <c r="DF49" t="e">
        <f>AND('GA55 Entry'!#REF!,"AAAAAH+36W0=")</f>
        <v>#REF!</v>
      </c>
      <c r="DG49" t="e">
        <f>AND('GA55 Entry'!#REF!,"AAAAAH+36W4=")</f>
        <v>#REF!</v>
      </c>
      <c r="DH49" t="e">
        <f>AND('GA55 Entry'!#REF!,"AAAAAH+36W8=")</f>
        <v>#REF!</v>
      </c>
      <c r="DI49" t="e">
        <f>AND('GA55 Entry'!#REF!,"AAAAAH+36XA=")</f>
        <v>#REF!</v>
      </c>
      <c r="DJ49" t="e">
        <f>AND('GA55 Entry'!#REF!,"AAAAAH+36XE=")</f>
        <v>#REF!</v>
      </c>
      <c r="DK49" t="e">
        <f>AND('GA55 Entry'!#REF!,"AAAAAH+36XI=")</f>
        <v>#REF!</v>
      </c>
      <c r="DL49" t="e">
        <f>AND('GA55 Entry'!#REF!,"AAAAAH+36XM=")</f>
        <v>#REF!</v>
      </c>
      <c r="DM49" t="e">
        <f>AND('GA55 Entry'!#REF!,"AAAAAH+36XQ=")</f>
        <v>#REF!</v>
      </c>
      <c r="DN49" t="e">
        <f>AND('GA55 Entry'!#REF!,"AAAAAH+36XU=")</f>
        <v>#REF!</v>
      </c>
      <c r="DO49" t="e">
        <f>AND('GA55 Entry'!#REF!,"AAAAAH+36XY=")</f>
        <v>#REF!</v>
      </c>
      <c r="DP49" t="e">
        <f>AND('GA55 Entry'!#REF!,"AAAAAH+36Xc=")</f>
        <v>#REF!</v>
      </c>
      <c r="DQ49" t="e">
        <f>AND('GA55 Entry'!#REF!,"AAAAAH+36Xg=")</f>
        <v>#REF!</v>
      </c>
      <c r="DR49" t="e">
        <f>AND('GA55 Entry'!#REF!,"AAAAAH+36Xk=")</f>
        <v>#REF!</v>
      </c>
      <c r="DS49" t="e">
        <f>AND('GA55 Entry'!#REF!,"AAAAAH+36Xo=")</f>
        <v>#REF!</v>
      </c>
      <c r="DT49" t="e">
        <f>AND('GA55 Entry'!#REF!,"AAAAAH+36Xs=")</f>
        <v>#REF!</v>
      </c>
      <c r="DU49" t="e">
        <f>AND('GA55 Entry'!#REF!,"AAAAAH+36Xw=")</f>
        <v>#REF!</v>
      </c>
      <c r="DV49" t="e">
        <f>AND('GA55 Entry'!#REF!,"AAAAAH+36X0=")</f>
        <v>#REF!</v>
      </c>
      <c r="DW49" t="e">
        <f>AND('GA55 Entry'!#REF!,"AAAAAH+36X4=")</f>
        <v>#REF!</v>
      </c>
      <c r="DX49" t="e">
        <f>AND('GA55 Entry'!#REF!,"AAAAAH+36X8=")</f>
        <v>#REF!</v>
      </c>
      <c r="DY49" t="e">
        <f>AND('GA55 Entry'!#REF!,"AAAAAH+36YA=")</f>
        <v>#REF!</v>
      </c>
      <c r="DZ49" t="e">
        <f>AND('GA55 Entry'!#REF!,"AAAAAH+36YE=")</f>
        <v>#REF!</v>
      </c>
      <c r="EA49" t="e">
        <f>AND('GA55 Entry'!#REF!,"AAAAAH+36YI=")</f>
        <v>#REF!</v>
      </c>
      <c r="EB49" t="e">
        <f>AND('GA55 Entry'!#REF!,"AAAAAH+36YM=")</f>
        <v>#REF!</v>
      </c>
      <c r="EC49" t="e">
        <f>AND('GA55 Entry'!#REF!,"AAAAAH+36YQ=")</f>
        <v>#REF!</v>
      </c>
      <c r="ED49" t="e">
        <f>AND('GA55 Entry'!#REF!,"AAAAAH+36YU=")</f>
        <v>#REF!</v>
      </c>
      <c r="EE49" t="e">
        <f>AND('GA55 Entry'!#REF!,"AAAAAH+36YY=")</f>
        <v>#REF!</v>
      </c>
      <c r="EF49" t="e">
        <f>AND('GA55 Entry'!#REF!,"AAAAAH+36Yc=")</f>
        <v>#REF!</v>
      </c>
      <c r="EG49" t="e">
        <f>AND('GA55 Entry'!#REF!,"AAAAAH+36Yg=")</f>
        <v>#REF!</v>
      </c>
      <c r="EH49" t="e">
        <f>AND('GA55 Entry'!#REF!,"AAAAAH+36Yk=")</f>
        <v>#REF!</v>
      </c>
      <c r="EI49" t="e">
        <f>AND('GA55 Entry'!#REF!,"AAAAAH+36Yo=")</f>
        <v>#REF!</v>
      </c>
      <c r="EJ49" t="e">
        <f>AND('GA55 Entry'!#REF!,"AAAAAH+36Ys=")</f>
        <v>#REF!</v>
      </c>
      <c r="EK49" t="e">
        <f>AND('GA55 Entry'!#REF!,"AAAAAH+36Yw=")</f>
        <v>#REF!</v>
      </c>
      <c r="EL49" t="e">
        <f>AND('GA55 Entry'!#REF!,"AAAAAH+36Y0=")</f>
        <v>#REF!</v>
      </c>
      <c r="EM49" t="e">
        <f>AND('GA55 Entry'!#REF!,"AAAAAH+36Y4=")</f>
        <v>#REF!</v>
      </c>
      <c r="EN49" t="e">
        <f>AND('GA55 Entry'!#REF!,"AAAAAH+36Y8=")</f>
        <v>#REF!</v>
      </c>
      <c r="EO49" t="e">
        <f>IF('GA55 Entry'!#REF!,"AAAAAH+36ZA=",0)</f>
        <v>#REF!</v>
      </c>
      <c r="EP49" t="e">
        <f>AND('GA55 Entry'!#REF!,"AAAAAH+36ZE=")</f>
        <v>#REF!</v>
      </c>
      <c r="EQ49" t="e">
        <f>AND('GA55 Entry'!#REF!,"AAAAAH+36ZI=")</f>
        <v>#REF!</v>
      </c>
      <c r="ER49" t="e">
        <f>AND('GA55 Entry'!#REF!,"AAAAAH+36ZM=")</f>
        <v>#REF!</v>
      </c>
      <c r="ES49" t="e">
        <f>AND('GA55 Entry'!#REF!,"AAAAAH+36ZQ=")</f>
        <v>#REF!</v>
      </c>
      <c r="ET49" t="e">
        <f>AND('GA55 Entry'!#REF!,"AAAAAH+36ZU=")</f>
        <v>#REF!</v>
      </c>
      <c r="EU49" t="e">
        <f>AND('GA55 Entry'!#REF!,"AAAAAH+36ZY=")</f>
        <v>#REF!</v>
      </c>
      <c r="EV49" t="e">
        <f>AND('GA55 Entry'!#REF!,"AAAAAH+36Zc=")</f>
        <v>#REF!</v>
      </c>
      <c r="EW49" t="e">
        <f>AND('GA55 Entry'!#REF!,"AAAAAH+36Zg=")</f>
        <v>#REF!</v>
      </c>
      <c r="EX49" t="e">
        <f>AND('GA55 Entry'!#REF!,"AAAAAH+36Zk=")</f>
        <v>#REF!</v>
      </c>
      <c r="EY49" t="e">
        <f>AND('GA55 Entry'!#REF!,"AAAAAH+36Zo=")</f>
        <v>#REF!</v>
      </c>
      <c r="EZ49" t="e">
        <f>AND('GA55 Entry'!#REF!,"AAAAAH+36Zs=")</f>
        <v>#REF!</v>
      </c>
      <c r="FA49" t="e">
        <f>AND('GA55 Entry'!#REF!,"AAAAAH+36Zw=")</f>
        <v>#REF!</v>
      </c>
      <c r="FB49" t="e">
        <f>AND('GA55 Entry'!#REF!,"AAAAAH+36Z0=")</f>
        <v>#REF!</v>
      </c>
      <c r="FC49" t="e">
        <f>AND('GA55 Entry'!#REF!,"AAAAAH+36Z4=")</f>
        <v>#REF!</v>
      </c>
      <c r="FD49" t="e">
        <f>AND('GA55 Entry'!#REF!,"AAAAAH+36Z8=")</f>
        <v>#REF!</v>
      </c>
      <c r="FE49" t="e">
        <f>AND('GA55 Entry'!#REF!,"AAAAAH+36aA=")</f>
        <v>#REF!</v>
      </c>
      <c r="FF49" t="e">
        <f>AND('GA55 Entry'!#REF!,"AAAAAH+36aE=")</f>
        <v>#REF!</v>
      </c>
      <c r="FG49" t="e">
        <f>AND('GA55 Entry'!#REF!,"AAAAAH+36aI=")</f>
        <v>#REF!</v>
      </c>
      <c r="FH49" t="e">
        <f>AND('GA55 Entry'!#REF!,"AAAAAH+36aM=")</f>
        <v>#REF!</v>
      </c>
      <c r="FI49" t="e">
        <f>AND('GA55 Entry'!#REF!,"AAAAAH+36aQ=")</f>
        <v>#REF!</v>
      </c>
      <c r="FJ49" t="e">
        <f>AND('GA55 Entry'!#REF!,"AAAAAH+36aU=")</f>
        <v>#REF!</v>
      </c>
      <c r="FK49" t="e">
        <f>AND('GA55 Entry'!#REF!,"AAAAAH+36aY=")</f>
        <v>#REF!</v>
      </c>
      <c r="FL49" t="e">
        <f>AND('GA55 Entry'!#REF!,"AAAAAH+36ac=")</f>
        <v>#REF!</v>
      </c>
      <c r="FM49" t="e">
        <f>AND('GA55 Entry'!#REF!,"AAAAAH+36ag=")</f>
        <v>#REF!</v>
      </c>
      <c r="FN49" t="e">
        <f>AND('GA55 Entry'!#REF!,"AAAAAH+36ak=")</f>
        <v>#REF!</v>
      </c>
      <c r="FO49" t="e">
        <f>AND('GA55 Entry'!#REF!,"AAAAAH+36ao=")</f>
        <v>#REF!</v>
      </c>
      <c r="FP49" t="e">
        <f>AND('GA55 Entry'!#REF!,"AAAAAH+36as=")</f>
        <v>#REF!</v>
      </c>
      <c r="FQ49" t="e">
        <f>AND('GA55 Entry'!#REF!,"AAAAAH+36aw=")</f>
        <v>#REF!</v>
      </c>
      <c r="FR49" t="e">
        <f>AND('GA55 Entry'!#REF!,"AAAAAH+36a0=")</f>
        <v>#REF!</v>
      </c>
      <c r="FS49" t="e">
        <f>AND('GA55 Entry'!#REF!,"AAAAAH+36a4=")</f>
        <v>#REF!</v>
      </c>
      <c r="FT49" t="e">
        <f>AND('GA55 Entry'!#REF!,"AAAAAH+36a8=")</f>
        <v>#REF!</v>
      </c>
      <c r="FU49" t="e">
        <f>AND('GA55 Entry'!#REF!,"AAAAAH+36bA=")</f>
        <v>#REF!</v>
      </c>
      <c r="FV49" t="e">
        <f>AND('GA55 Entry'!#REF!,"AAAAAH+36bE=")</f>
        <v>#REF!</v>
      </c>
      <c r="FW49" t="e">
        <f>AND('GA55 Entry'!#REF!,"AAAAAH+36bI=")</f>
        <v>#REF!</v>
      </c>
      <c r="FX49" t="e">
        <f>AND('GA55 Entry'!#REF!,"AAAAAH+36bM=")</f>
        <v>#REF!</v>
      </c>
      <c r="FY49" t="e">
        <f>AND('GA55 Entry'!#REF!,"AAAAAH+36bQ=")</f>
        <v>#REF!</v>
      </c>
      <c r="FZ49" t="e">
        <f>AND('GA55 Entry'!#REF!,"AAAAAH+36bU=")</f>
        <v>#REF!</v>
      </c>
      <c r="GA49" t="e">
        <f>AND('GA55 Entry'!#REF!,"AAAAAH+36bY=")</f>
        <v>#REF!</v>
      </c>
      <c r="GB49" t="e">
        <f>AND('GA55 Entry'!#REF!,"AAAAAH+36bc=")</f>
        <v>#REF!</v>
      </c>
      <c r="GC49" t="e">
        <f>AND('GA55 Entry'!#REF!,"AAAAAH+36bg=")</f>
        <v>#REF!</v>
      </c>
      <c r="GD49" t="e">
        <f>AND('GA55 Entry'!#REF!,"AAAAAH+36bk=")</f>
        <v>#REF!</v>
      </c>
      <c r="GE49" t="e">
        <f>AND('GA55 Entry'!#REF!,"AAAAAH+36bo=")</f>
        <v>#REF!</v>
      </c>
      <c r="GF49" t="e">
        <f>AND('GA55 Entry'!#REF!,"AAAAAH+36bs=")</f>
        <v>#REF!</v>
      </c>
      <c r="GG49" t="e">
        <f>AND('GA55 Entry'!#REF!,"AAAAAH+36bw=")</f>
        <v>#REF!</v>
      </c>
      <c r="GH49" t="e">
        <f>AND('GA55 Entry'!#REF!,"AAAAAH+36b0=")</f>
        <v>#REF!</v>
      </c>
      <c r="GI49" t="e">
        <f>AND('GA55 Entry'!#REF!,"AAAAAH+36b4=")</f>
        <v>#REF!</v>
      </c>
      <c r="GJ49" t="e">
        <f>AND('GA55 Entry'!#REF!,"AAAAAH+36b8=")</f>
        <v>#REF!</v>
      </c>
      <c r="GK49" t="e">
        <f>AND('GA55 Entry'!#REF!,"AAAAAH+36cA=")</f>
        <v>#REF!</v>
      </c>
      <c r="GL49" t="e">
        <f>AND('GA55 Entry'!#REF!,"AAAAAH+36cE=")</f>
        <v>#REF!</v>
      </c>
      <c r="GM49" t="e">
        <f>AND('GA55 Entry'!#REF!,"AAAAAH+36cI=")</f>
        <v>#REF!</v>
      </c>
      <c r="GN49" t="e">
        <f>IF('GA55 Entry'!#REF!,"AAAAAH+36cM=",0)</f>
        <v>#REF!</v>
      </c>
      <c r="GO49" t="e">
        <f>AND('GA55 Entry'!#REF!,"AAAAAH+36cQ=")</f>
        <v>#REF!</v>
      </c>
      <c r="GP49" t="e">
        <f>AND('GA55 Entry'!#REF!,"AAAAAH+36cU=")</f>
        <v>#REF!</v>
      </c>
      <c r="GQ49" t="e">
        <f>AND('GA55 Entry'!#REF!,"AAAAAH+36cY=")</f>
        <v>#REF!</v>
      </c>
      <c r="GR49" t="e">
        <f>AND('GA55 Entry'!#REF!,"AAAAAH+36cc=")</f>
        <v>#REF!</v>
      </c>
      <c r="GS49" t="e">
        <f>AND('GA55 Entry'!#REF!,"AAAAAH+36cg=")</f>
        <v>#REF!</v>
      </c>
      <c r="GT49" t="e">
        <f>AND('GA55 Entry'!#REF!,"AAAAAH+36ck=")</f>
        <v>#REF!</v>
      </c>
      <c r="GU49" t="e">
        <f>AND('GA55 Entry'!#REF!,"AAAAAH+36co=")</f>
        <v>#REF!</v>
      </c>
      <c r="GV49" t="e">
        <f>AND('GA55 Entry'!#REF!,"AAAAAH+36cs=")</f>
        <v>#REF!</v>
      </c>
      <c r="GW49" t="e">
        <f>AND('GA55 Entry'!#REF!,"AAAAAH+36cw=")</f>
        <v>#REF!</v>
      </c>
      <c r="GX49" t="e">
        <f>AND('GA55 Entry'!#REF!,"AAAAAH+36c0=")</f>
        <v>#REF!</v>
      </c>
      <c r="GY49" t="e">
        <f>AND('GA55 Entry'!#REF!,"AAAAAH+36c4=")</f>
        <v>#REF!</v>
      </c>
      <c r="GZ49" t="e">
        <f>AND('GA55 Entry'!#REF!,"AAAAAH+36c8=")</f>
        <v>#REF!</v>
      </c>
      <c r="HA49" t="e">
        <f>AND('GA55 Entry'!#REF!,"AAAAAH+36dA=")</f>
        <v>#REF!</v>
      </c>
      <c r="HB49" t="e">
        <f>AND('GA55 Entry'!#REF!,"AAAAAH+36dE=")</f>
        <v>#REF!</v>
      </c>
      <c r="HC49" t="e">
        <f>AND('GA55 Entry'!#REF!,"AAAAAH+36dI=")</f>
        <v>#REF!</v>
      </c>
      <c r="HD49" t="e">
        <f>AND('GA55 Entry'!#REF!,"AAAAAH+36dM=")</f>
        <v>#REF!</v>
      </c>
      <c r="HE49" t="e">
        <f>AND('GA55 Entry'!#REF!,"AAAAAH+36dQ=")</f>
        <v>#REF!</v>
      </c>
      <c r="HF49" t="e">
        <f>AND('GA55 Entry'!#REF!,"AAAAAH+36dU=")</f>
        <v>#REF!</v>
      </c>
      <c r="HG49" t="e">
        <f>AND('GA55 Entry'!#REF!,"AAAAAH+36dY=")</f>
        <v>#REF!</v>
      </c>
      <c r="HH49" t="e">
        <f>AND('GA55 Entry'!#REF!,"AAAAAH+36dc=")</f>
        <v>#REF!</v>
      </c>
      <c r="HI49" t="e">
        <f>AND('GA55 Entry'!#REF!,"AAAAAH+36dg=")</f>
        <v>#REF!</v>
      </c>
      <c r="HJ49" t="e">
        <f>AND('GA55 Entry'!#REF!,"AAAAAH+36dk=")</f>
        <v>#REF!</v>
      </c>
      <c r="HK49" t="e">
        <f>AND('GA55 Entry'!#REF!,"AAAAAH+36do=")</f>
        <v>#REF!</v>
      </c>
      <c r="HL49" t="e">
        <f>AND('GA55 Entry'!#REF!,"AAAAAH+36ds=")</f>
        <v>#REF!</v>
      </c>
      <c r="HM49" t="e">
        <f>AND('GA55 Entry'!#REF!,"AAAAAH+36dw=")</f>
        <v>#REF!</v>
      </c>
      <c r="HN49" t="e">
        <f>AND('GA55 Entry'!#REF!,"AAAAAH+36d0=")</f>
        <v>#REF!</v>
      </c>
      <c r="HO49" t="e">
        <f>AND('GA55 Entry'!#REF!,"AAAAAH+36d4=")</f>
        <v>#REF!</v>
      </c>
      <c r="HP49" t="e">
        <f>AND('GA55 Entry'!#REF!,"AAAAAH+36d8=")</f>
        <v>#REF!</v>
      </c>
      <c r="HQ49" t="e">
        <f>AND('GA55 Entry'!#REF!,"AAAAAH+36eA=")</f>
        <v>#REF!</v>
      </c>
      <c r="HR49" t="e">
        <f>AND('GA55 Entry'!#REF!,"AAAAAH+36eE=")</f>
        <v>#REF!</v>
      </c>
      <c r="HS49" t="e">
        <f>AND('GA55 Entry'!#REF!,"AAAAAH+36eI=")</f>
        <v>#REF!</v>
      </c>
      <c r="HT49" t="e">
        <f>AND('GA55 Entry'!#REF!,"AAAAAH+36eM=")</f>
        <v>#REF!</v>
      </c>
      <c r="HU49" t="e">
        <f>AND('GA55 Entry'!#REF!,"AAAAAH+36eQ=")</f>
        <v>#REF!</v>
      </c>
      <c r="HV49" t="e">
        <f>AND('GA55 Entry'!#REF!,"AAAAAH+36eU=")</f>
        <v>#REF!</v>
      </c>
      <c r="HW49" t="e">
        <f>AND('GA55 Entry'!#REF!,"AAAAAH+36eY=")</f>
        <v>#REF!</v>
      </c>
      <c r="HX49" t="e">
        <f>AND('GA55 Entry'!#REF!,"AAAAAH+36ec=")</f>
        <v>#REF!</v>
      </c>
      <c r="HY49" t="e">
        <f>AND('GA55 Entry'!#REF!,"AAAAAH+36eg=")</f>
        <v>#REF!</v>
      </c>
      <c r="HZ49" t="e">
        <f>AND('GA55 Entry'!#REF!,"AAAAAH+36ek=")</f>
        <v>#REF!</v>
      </c>
      <c r="IA49" t="e">
        <f>AND('GA55 Entry'!#REF!,"AAAAAH+36eo=")</f>
        <v>#REF!</v>
      </c>
      <c r="IB49" t="e">
        <f>AND('GA55 Entry'!#REF!,"AAAAAH+36es=")</f>
        <v>#REF!</v>
      </c>
      <c r="IC49" t="e">
        <f>AND('GA55 Entry'!#REF!,"AAAAAH+36ew=")</f>
        <v>#REF!</v>
      </c>
      <c r="ID49" t="e">
        <f>AND('GA55 Entry'!#REF!,"AAAAAH+36e0=")</f>
        <v>#REF!</v>
      </c>
      <c r="IE49" t="e">
        <f>AND('GA55 Entry'!#REF!,"AAAAAH+36e4=")</f>
        <v>#REF!</v>
      </c>
      <c r="IF49" t="e">
        <f>AND('GA55 Entry'!#REF!,"AAAAAH+36e8=")</f>
        <v>#REF!</v>
      </c>
      <c r="IG49" t="e">
        <f>AND('GA55 Entry'!#REF!,"AAAAAH+36fA=")</f>
        <v>#REF!</v>
      </c>
      <c r="IH49" t="e">
        <f>AND('GA55 Entry'!#REF!,"AAAAAH+36fE=")</f>
        <v>#REF!</v>
      </c>
      <c r="II49" t="e">
        <f>AND('GA55 Entry'!#REF!,"AAAAAH+36fI=")</f>
        <v>#REF!</v>
      </c>
      <c r="IJ49" t="e">
        <f>AND('GA55 Entry'!#REF!,"AAAAAH+36fM=")</f>
        <v>#REF!</v>
      </c>
      <c r="IK49" t="e">
        <f>AND('GA55 Entry'!#REF!,"AAAAAH+36fQ=")</f>
        <v>#REF!</v>
      </c>
      <c r="IL49" t="e">
        <f>AND('GA55 Entry'!#REF!,"AAAAAH+36fU=")</f>
        <v>#REF!</v>
      </c>
      <c r="IM49" t="e">
        <f>IF('GA55 Entry'!#REF!,"AAAAAH+36fY=",0)</f>
        <v>#REF!</v>
      </c>
      <c r="IN49" t="e">
        <f>AND('GA55 Entry'!#REF!,"AAAAAH+36fc=")</f>
        <v>#REF!</v>
      </c>
      <c r="IO49" t="e">
        <f>AND('GA55 Entry'!#REF!,"AAAAAH+36fg=")</f>
        <v>#REF!</v>
      </c>
      <c r="IP49" t="e">
        <f>AND('GA55 Entry'!#REF!,"AAAAAH+36fk=")</f>
        <v>#REF!</v>
      </c>
      <c r="IQ49" t="e">
        <f>AND('GA55 Entry'!#REF!,"AAAAAH+36fo=")</f>
        <v>#REF!</v>
      </c>
      <c r="IR49" t="e">
        <f>AND('GA55 Entry'!#REF!,"AAAAAH+36fs=")</f>
        <v>#REF!</v>
      </c>
      <c r="IS49" t="e">
        <f>AND('GA55 Entry'!#REF!,"AAAAAH+36fw=")</f>
        <v>#REF!</v>
      </c>
      <c r="IT49" t="e">
        <f>AND('GA55 Entry'!#REF!,"AAAAAH+36f0=")</f>
        <v>#REF!</v>
      </c>
      <c r="IU49" t="e">
        <f>AND('GA55 Entry'!#REF!,"AAAAAH+36f4=")</f>
        <v>#REF!</v>
      </c>
      <c r="IV49" t="e">
        <f>AND('GA55 Entry'!#REF!,"AAAAAH+36f8=")</f>
        <v>#REF!</v>
      </c>
    </row>
    <row r="50" spans="1:256">
      <c r="A50" t="e">
        <f>AND('GA55 Entry'!#REF!,"AAAAAH/7vwA=")</f>
        <v>#REF!</v>
      </c>
      <c r="B50" t="e">
        <f>AND('GA55 Entry'!#REF!,"AAAAAH/7vwE=")</f>
        <v>#REF!</v>
      </c>
      <c r="C50" t="e">
        <f>AND('GA55 Entry'!#REF!,"AAAAAH/7vwI=")</f>
        <v>#REF!</v>
      </c>
      <c r="D50" t="e">
        <f>AND('GA55 Entry'!#REF!,"AAAAAH/7vwM=")</f>
        <v>#REF!</v>
      </c>
      <c r="E50" t="e">
        <f>AND('GA55 Entry'!#REF!,"AAAAAH/7vwQ=")</f>
        <v>#REF!</v>
      </c>
      <c r="F50" t="e">
        <f>AND('GA55 Entry'!#REF!,"AAAAAH/7vwU=")</f>
        <v>#REF!</v>
      </c>
      <c r="G50" t="e">
        <f>AND('GA55 Entry'!#REF!,"AAAAAH/7vwY=")</f>
        <v>#REF!</v>
      </c>
      <c r="H50" t="e">
        <f>AND('GA55 Entry'!#REF!,"AAAAAH/7vwc=")</f>
        <v>#REF!</v>
      </c>
      <c r="I50" t="e">
        <f>AND('GA55 Entry'!#REF!,"AAAAAH/7vwg=")</f>
        <v>#REF!</v>
      </c>
      <c r="J50" t="e">
        <f>AND('GA55 Entry'!#REF!,"AAAAAH/7vwk=")</f>
        <v>#REF!</v>
      </c>
      <c r="K50" t="e">
        <f>AND('GA55 Entry'!#REF!,"AAAAAH/7vwo=")</f>
        <v>#REF!</v>
      </c>
      <c r="L50" t="e">
        <f>AND('GA55 Entry'!#REF!,"AAAAAH/7vws=")</f>
        <v>#REF!</v>
      </c>
      <c r="M50" t="e">
        <f>AND('GA55 Entry'!#REF!,"AAAAAH/7vww=")</f>
        <v>#REF!</v>
      </c>
      <c r="N50" t="e">
        <f>AND('GA55 Entry'!#REF!,"AAAAAH/7vw0=")</f>
        <v>#REF!</v>
      </c>
      <c r="O50" t="e">
        <f>AND('GA55 Entry'!#REF!,"AAAAAH/7vw4=")</f>
        <v>#REF!</v>
      </c>
      <c r="P50" t="e">
        <f>AND('GA55 Entry'!#REF!,"AAAAAH/7vw8=")</f>
        <v>#REF!</v>
      </c>
      <c r="Q50" t="e">
        <f>AND('GA55 Entry'!#REF!,"AAAAAH/7vxA=")</f>
        <v>#REF!</v>
      </c>
      <c r="R50" t="e">
        <f>AND('GA55 Entry'!#REF!,"AAAAAH/7vxE=")</f>
        <v>#REF!</v>
      </c>
      <c r="S50" t="e">
        <f>AND('GA55 Entry'!#REF!,"AAAAAH/7vxI=")</f>
        <v>#REF!</v>
      </c>
      <c r="T50" t="e">
        <f>AND('GA55 Entry'!#REF!,"AAAAAH/7vxM=")</f>
        <v>#REF!</v>
      </c>
      <c r="U50" t="e">
        <f>AND('GA55 Entry'!#REF!,"AAAAAH/7vxQ=")</f>
        <v>#REF!</v>
      </c>
      <c r="V50" t="e">
        <f>AND('GA55 Entry'!#REF!,"AAAAAH/7vxU=")</f>
        <v>#REF!</v>
      </c>
      <c r="W50" t="e">
        <f>AND('GA55 Entry'!#REF!,"AAAAAH/7vxY=")</f>
        <v>#REF!</v>
      </c>
      <c r="X50" t="e">
        <f>AND('GA55 Entry'!#REF!,"AAAAAH/7vxc=")</f>
        <v>#REF!</v>
      </c>
      <c r="Y50" t="e">
        <f>AND('GA55 Entry'!#REF!,"AAAAAH/7vxg=")</f>
        <v>#REF!</v>
      </c>
      <c r="Z50" t="e">
        <f>AND('GA55 Entry'!#REF!,"AAAAAH/7vxk=")</f>
        <v>#REF!</v>
      </c>
      <c r="AA50" t="e">
        <f>AND('GA55 Entry'!#REF!,"AAAAAH/7vxo=")</f>
        <v>#REF!</v>
      </c>
      <c r="AB50" t="e">
        <f>AND('GA55 Entry'!#REF!,"AAAAAH/7vxs=")</f>
        <v>#REF!</v>
      </c>
      <c r="AC50" t="e">
        <f>AND('GA55 Entry'!#REF!,"AAAAAH/7vxw=")</f>
        <v>#REF!</v>
      </c>
      <c r="AD50" t="e">
        <f>AND('GA55 Entry'!#REF!,"AAAAAH/7vx0=")</f>
        <v>#REF!</v>
      </c>
      <c r="AE50" t="e">
        <f>AND('GA55 Entry'!#REF!,"AAAAAH/7vx4=")</f>
        <v>#REF!</v>
      </c>
      <c r="AF50" t="e">
        <f>AND('GA55 Entry'!#REF!,"AAAAAH/7vx8=")</f>
        <v>#REF!</v>
      </c>
      <c r="AG50" t="e">
        <f>AND('GA55 Entry'!#REF!,"AAAAAH/7vyA=")</f>
        <v>#REF!</v>
      </c>
      <c r="AH50" t="e">
        <f>AND('GA55 Entry'!#REF!,"AAAAAH/7vyE=")</f>
        <v>#REF!</v>
      </c>
      <c r="AI50" t="e">
        <f>AND('GA55 Entry'!#REF!,"AAAAAH/7vyI=")</f>
        <v>#REF!</v>
      </c>
      <c r="AJ50" t="e">
        <f>AND('GA55 Entry'!#REF!,"AAAAAH/7vyM=")</f>
        <v>#REF!</v>
      </c>
      <c r="AK50" t="e">
        <f>AND('GA55 Entry'!#REF!,"AAAAAH/7vyQ=")</f>
        <v>#REF!</v>
      </c>
      <c r="AL50" t="e">
        <f>AND('GA55 Entry'!#REF!,"AAAAAH/7vyU=")</f>
        <v>#REF!</v>
      </c>
      <c r="AM50" t="e">
        <f>AND('GA55 Entry'!#REF!,"AAAAAH/7vyY=")</f>
        <v>#REF!</v>
      </c>
      <c r="AN50" t="e">
        <f>AND('GA55 Entry'!#REF!,"AAAAAH/7vyc=")</f>
        <v>#REF!</v>
      </c>
      <c r="AO50" t="e">
        <f>AND('GA55 Entry'!#REF!,"AAAAAH/7vyg=")</f>
        <v>#REF!</v>
      </c>
      <c r="AP50" t="e">
        <f>IF('GA55 Entry'!#REF!,"AAAAAH/7vyk=",0)</f>
        <v>#REF!</v>
      </c>
      <c r="AQ50" t="e">
        <f>AND('GA55 Entry'!#REF!,"AAAAAH/7vyo=")</f>
        <v>#REF!</v>
      </c>
      <c r="AR50" t="e">
        <f>AND('GA55 Entry'!#REF!,"AAAAAH/7vys=")</f>
        <v>#REF!</v>
      </c>
      <c r="AS50" t="e">
        <f>AND('GA55 Entry'!#REF!,"AAAAAH/7vyw=")</f>
        <v>#REF!</v>
      </c>
      <c r="AT50" t="e">
        <f>AND('GA55 Entry'!#REF!,"AAAAAH/7vy0=")</f>
        <v>#REF!</v>
      </c>
      <c r="AU50" t="e">
        <f>AND('GA55 Entry'!#REF!,"AAAAAH/7vy4=")</f>
        <v>#REF!</v>
      </c>
      <c r="AV50" t="e">
        <f>AND('GA55 Entry'!#REF!,"AAAAAH/7vy8=")</f>
        <v>#REF!</v>
      </c>
      <c r="AW50" t="e">
        <f>AND('GA55 Entry'!#REF!,"AAAAAH/7vzA=")</f>
        <v>#REF!</v>
      </c>
      <c r="AX50" t="e">
        <f>AND('GA55 Entry'!#REF!,"AAAAAH/7vzE=")</f>
        <v>#REF!</v>
      </c>
      <c r="AY50" t="e">
        <f>AND('GA55 Entry'!#REF!,"AAAAAH/7vzI=")</f>
        <v>#REF!</v>
      </c>
      <c r="AZ50" t="e">
        <f>AND('GA55 Entry'!#REF!,"AAAAAH/7vzM=")</f>
        <v>#REF!</v>
      </c>
      <c r="BA50" t="e">
        <f>AND('GA55 Entry'!#REF!,"AAAAAH/7vzQ=")</f>
        <v>#REF!</v>
      </c>
      <c r="BB50" t="e">
        <f>AND('GA55 Entry'!#REF!,"AAAAAH/7vzU=")</f>
        <v>#REF!</v>
      </c>
      <c r="BC50" t="e">
        <f>AND('GA55 Entry'!#REF!,"AAAAAH/7vzY=")</f>
        <v>#REF!</v>
      </c>
      <c r="BD50" t="e">
        <f>AND('GA55 Entry'!#REF!,"AAAAAH/7vzc=")</f>
        <v>#REF!</v>
      </c>
      <c r="BE50" t="e">
        <f>AND('GA55 Entry'!#REF!,"AAAAAH/7vzg=")</f>
        <v>#REF!</v>
      </c>
      <c r="BF50" t="e">
        <f>AND('GA55 Entry'!#REF!,"AAAAAH/7vzk=")</f>
        <v>#REF!</v>
      </c>
      <c r="BG50" t="e">
        <f>AND('GA55 Entry'!#REF!,"AAAAAH/7vzo=")</f>
        <v>#REF!</v>
      </c>
      <c r="BH50" t="e">
        <f>AND('GA55 Entry'!#REF!,"AAAAAH/7vzs=")</f>
        <v>#REF!</v>
      </c>
      <c r="BI50" t="e">
        <f>AND('GA55 Entry'!#REF!,"AAAAAH/7vzw=")</f>
        <v>#REF!</v>
      </c>
      <c r="BJ50" t="e">
        <f>AND('GA55 Entry'!#REF!,"AAAAAH/7vz0=")</f>
        <v>#REF!</v>
      </c>
      <c r="BK50" t="e">
        <f>AND('GA55 Entry'!#REF!,"AAAAAH/7vz4=")</f>
        <v>#REF!</v>
      </c>
      <c r="BL50" t="e">
        <f>AND('GA55 Entry'!#REF!,"AAAAAH/7vz8=")</f>
        <v>#REF!</v>
      </c>
      <c r="BM50" t="e">
        <f>AND('GA55 Entry'!#REF!,"AAAAAH/7v0A=")</f>
        <v>#REF!</v>
      </c>
      <c r="BN50" t="e">
        <f>AND('GA55 Entry'!#REF!,"AAAAAH/7v0E=")</f>
        <v>#REF!</v>
      </c>
      <c r="BO50" t="e">
        <f>AND('GA55 Entry'!#REF!,"AAAAAH/7v0I=")</f>
        <v>#REF!</v>
      </c>
      <c r="BP50" t="e">
        <f>AND('GA55 Entry'!#REF!,"AAAAAH/7v0M=")</f>
        <v>#REF!</v>
      </c>
      <c r="BQ50" t="e">
        <f>AND('GA55 Entry'!#REF!,"AAAAAH/7v0Q=")</f>
        <v>#REF!</v>
      </c>
      <c r="BR50" t="e">
        <f>AND('GA55 Entry'!#REF!,"AAAAAH/7v0U=")</f>
        <v>#REF!</v>
      </c>
      <c r="BS50" t="e">
        <f>AND('GA55 Entry'!#REF!,"AAAAAH/7v0Y=")</f>
        <v>#REF!</v>
      </c>
      <c r="BT50" t="e">
        <f>AND('GA55 Entry'!#REF!,"AAAAAH/7v0c=")</f>
        <v>#REF!</v>
      </c>
      <c r="BU50" t="e">
        <f>AND('GA55 Entry'!#REF!,"AAAAAH/7v0g=")</f>
        <v>#REF!</v>
      </c>
      <c r="BV50" t="e">
        <f>AND('GA55 Entry'!#REF!,"AAAAAH/7v0k=")</f>
        <v>#REF!</v>
      </c>
      <c r="BW50" t="e">
        <f>AND('GA55 Entry'!#REF!,"AAAAAH/7v0o=")</f>
        <v>#REF!</v>
      </c>
      <c r="BX50" t="e">
        <f>AND('GA55 Entry'!#REF!,"AAAAAH/7v0s=")</f>
        <v>#REF!</v>
      </c>
      <c r="BY50" t="e">
        <f>AND('GA55 Entry'!#REF!,"AAAAAH/7v0w=")</f>
        <v>#REF!</v>
      </c>
      <c r="BZ50" t="e">
        <f>AND('GA55 Entry'!#REF!,"AAAAAH/7v00=")</f>
        <v>#REF!</v>
      </c>
      <c r="CA50" t="e">
        <f>AND('GA55 Entry'!#REF!,"AAAAAH/7v04=")</f>
        <v>#REF!</v>
      </c>
      <c r="CB50" t="e">
        <f>AND('GA55 Entry'!#REF!,"AAAAAH/7v08=")</f>
        <v>#REF!</v>
      </c>
      <c r="CC50" t="e">
        <f>AND('GA55 Entry'!#REF!,"AAAAAH/7v1A=")</f>
        <v>#REF!</v>
      </c>
      <c r="CD50" t="e">
        <f>AND('GA55 Entry'!#REF!,"AAAAAH/7v1E=")</f>
        <v>#REF!</v>
      </c>
      <c r="CE50" t="e">
        <f>AND('GA55 Entry'!#REF!,"AAAAAH/7v1I=")</f>
        <v>#REF!</v>
      </c>
      <c r="CF50" t="e">
        <f>AND('GA55 Entry'!#REF!,"AAAAAH/7v1M=")</f>
        <v>#REF!</v>
      </c>
      <c r="CG50" t="e">
        <f>AND('GA55 Entry'!#REF!,"AAAAAH/7v1Q=")</f>
        <v>#REF!</v>
      </c>
      <c r="CH50" t="e">
        <f>AND('GA55 Entry'!#REF!,"AAAAAH/7v1U=")</f>
        <v>#REF!</v>
      </c>
      <c r="CI50" t="e">
        <f>AND('GA55 Entry'!#REF!,"AAAAAH/7v1Y=")</f>
        <v>#REF!</v>
      </c>
      <c r="CJ50" t="e">
        <f>AND('GA55 Entry'!#REF!,"AAAAAH/7v1c=")</f>
        <v>#REF!</v>
      </c>
      <c r="CK50" t="e">
        <f>AND('GA55 Entry'!#REF!,"AAAAAH/7v1g=")</f>
        <v>#REF!</v>
      </c>
      <c r="CL50" t="e">
        <f>AND('GA55 Entry'!#REF!,"AAAAAH/7v1k=")</f>
        <v>#REF!</v>
      </c>
      <c r="CM50" t="e">
        <f>AND('GA55 Entry'!#REF!,"AAAAAH/7v1o=")</f>
        <v>#REF!</v>
      </c>
      <c r="CN50" t="e">
        <f>AND('GA55 Entry'!#REF!,"AAAAAH/7v1s=")</f>
        <v>#REF!</v>
      </c>
      <c r="CO50" t="e">
        <f>IF('GA55 Entry'!#REF!,"AAAAAH/7v1w=",0)</f>
        <v>#REF!</v>
      </c>
      <c r="CP50" t="e">
        <f>AND('GA55 Entry'!#REF!,"AAAAAH/7v10=")</f>
        <v>#REF!</v>
      </c>
      <c r="CQ50" t="e">
        <f>AND('GA55 Entry'!#REF!,"AAAAAH/7v14=")</f>
        <v>#REF!</v>
      </c>
      <c r="CR50" t="e">
        <f>AND('GA55 Entry'!#REF!,"AAAAAH/7v18=")</f>
        <v>#REF!</v>
      </c>
      <c r="CS50" t="e">
        <f>AND('GA55 Entry'!#REF!,"AAAAAH/7v2A=")</f>
        <v>#REF!</v>
      </c>
      <c r="CT50" t="e">
        <f>AND('GA55 Entry'!#REF!,"AAAAAH/7v2E=")</f>
        <v>#REF!</v>
      </c>
      <c r="CU50" t="e">
        <f>AND('GA55 Entry'!#REF!,"AAAAAH/7v2I=")</f>
        <v>#REF!</v>
      </c>
      <c r="CV50" t="e">
        <f>AND('GA55 Entry'!#REF!,"AAAAAH/7v2M=")</f>
        <v>#REF!</v>
      </c>
      <c r="CW50" t="e">
        <f>AND('GA55 Entry'!#REF!,"AAAAAH/7v2Q=")</f>
        <v>#REF!</v>
      </c>
      <c r="CX50" t="e">
        <f>AND('GA55 Entry'!#REF!,"AAAAAH/7v2U=")</f>
        <v>#REF!</v>
      </c>
      <c r="CY50" t="e">
        <f>AND('GA55 Entry'!#REF!,"AAAAAH/7v2Y=")</f>
        <v>#REF!</v>
      </c>
      <c r="CZ50" t="e">
        <f>AND('GA55 Entry'!#REF!,"AAAAAH/7v2c=")</f>
        <v>#REF!</v>
      </c>
      <c r="DA50" t="e">
        <f>AND('GA55 Entry'!#REF!,"AAAAAH/7v2g=")</f>
        <v>#REF!</v>
      </c>
      <c r="DB50" t="e">
        <f>AND('GA55 Entry'!#REF!,"AAAAAH/7v2k=")</f>
        <v>#REF!</v>
      </c>
      <c r="DC50" t="e">
        <f>AND('GA55 Entry'!#REF!,"AAAAAH/7v2o=")</f>
        <v>#REF!</v>
      </c>
      <c r="DD50" t="e">
        <f>AND('GA55 Entry'!#REF!,"AAAAAH/7v2s=")</f>
        <v>#REF!</v>
      </c>
      <c r="DE50" t="e">
        <f>AND('GA55 Entry'!#REF!,"AAAAAH/7v2w=")</f>
        <v>#REF!</v>
      </c>
      <c r="DF50" t="e">
        <f>AND('GA55 Entry'!#REF!,"AAAAAH/7v20=")</f>
        <v>#REF!</v>
      </c>
      <c r="DG50" t="e">
        <f>AND('GA55 Entry'!#REF!,"AAAAAH/7v24=")</f>
        <v>#REF!</v>
      </c>
      <c r="DH50" t="e">
        <f>AND('GA55 Entry'!#REF!,"AAAAAH/7v28=")</f>
        <v>#REF!</v>
      </c>
      <c r="DI50" t="e">
        <f>AND('GA55 Entry'!#REF!,"AAAAAH/7v3A=")</f>
        <v>#REF!</v>
      </c>
      <c r="DJ50" t="e">
        <f>AND('GA55 Entry'!#REF!,"AAAAAH/7v3E=")</f>
        <v>#REF!</v>
      </c>
      <c r="DK50" t="e">
        <f>AND('GA55 Entry'!#REF!,"AAAAAH/7v3I=")</f>
        <v>#REF!</v>
      </c>
      <c r="DL50" t="e">
        <f>AND('GA55 Entry'!#REF!,"AAAAAH/7v3M=")</f>
        <v>#REF!</v>
      </c>
      <c r="DM50" t="e">
        <f>AND('GA55 Entry'!#REF!,"AAAAAH/7v3Q=")</f>
        <v>#REF!</v>
      </c>
      <c r="DN50" t="e">
        <f>AND('GA55 Entry'!#REF!,"AAAAAH/7v3U=")</f>
        <v>#REF!</v>
      </c>
      <c r="DO50" t="e">
        <f>AND('GA55 Entry'!#REF!,"AAAAAH/7v3Y=")</f>
        <v>#REF!</v>
      </c>
      <c r="DP50" t="e">
        <f>AND('GA55 Entry'!#REF!,"AAAAAH/7v3c=")</f>
        <v>#REF!</v>
      </c>
      <c r="DQ50" t="e">
        <f>AND('GA55 Entry'!#REF!,"AAAAAH/7v3g=")</f>
        <v>#REF!</v>
      </c>
      <c r="DR50" t="e">
        <f>AND('GA55 Entry'!#REF!,"AAAAAH/7v3k=")</f>
        <v>#REF!</v>
      </c>
      <c r="DS50" t="e">
        <f>AND('GA55 Entry'!#REF!,"AAAAAH/7v3o=")</f>
        <v>#REF!</v>
      </c>
      <c r="DT50" t="e">
        <f>AND('GA55 Entry'!#REF!,"AAAAAH/7v3s=")</f>
        <v>#REF!</v>
      </c>
      <c r="DU50" t="e">
        <f>AND('GA55 Entry'!#REF!,"AAAAAH/7v3w=")</f>
        <v>#REF!</v>
      </c>
      <c r="DV50" t="e">
        <f>AND('GA55 Entry'!#REF!,"AAAAAH/7v30=")</f>
        <v>#REF!</v>
      </c>
      <c r="DW50" t="e">
        <f>AND('GA55 Entry'!#REF!,"AAAAAH/7v34=")</f>
        <v>#REF!</v>
      </c>
      <c r="DX50" t="e">
        <f>AND('GA55 Entry'!#REF!,"AAAAAH/7v38=")</f>
        <v>#REF!</v>
      </c>
      <c r="DY50" t="e">
        <f>AND('GA55 Entry'!#REF!,"AAAAAH/7v4A=")</f>
        <v>#REF!</v>
      </c>
      <c r="DZ50" t="e">
        <f>AND('GA55 Entry'!#REF!,"AAAAAH/7v4E=")</f>
        <v>#REF!</v>
      </c>
      <c r="EA50" t="e">
        <f>AND('GA55 Entry'!#REF!,"AAAAAH/7v4I=")</f>
        <v>#REF!</v>
      </c>
      <c r="EB50" t="e">
        <f>AND('GA55 Entry'!#REF!,"AAAAAH/7v4M=")</f>
        <v>#REF!</v>
      </c>
      <c r="EC50" t="e">
        <f>AND('GA55 Entry'!#REF!,"AAAAAH/7v4Q=")</f>
        <v>#REF!</v>
      </c>
      <c r="ED50" t="e">
        <f>AND('GA55 Entry'!#REF!,"AAAAAH/7v4U=")</f>
        <v>#REF!</v>
      </c>
      <c r="EE50" t="e">
        <f>AND('GA55 Entry'!#REF!,"AAAAAH/7v4Y=")</f>
        <v>#REF!</v>
      </c>
      <c r="EF50" t="e">
        <f>AND('GA55 Entry'!#REF!,"AAAAAH/7v4c=")</f>
        <v>#REF!</v>
      </c>
      <c r="EG50" t="e">
        <f>AND('GA55 Entry'!#REF!,"AAAAAH/7v4g=")</f>
        <v>#REF!</v>
      </c>
      <c r="EH50" t="e">
        <f>AND('GA55 Entry'!#REF!,"AAAAAH/7v4k=")</f>
        <v>#REF!</v>
      </c>
      <c r="EI50" t="e">
        <f>AND('GA55 Entry'!#REF!,"AAAAAH/7v4o=")</f>
        <v>#REF!</v>
      </c>
      <c r="EJ50" t="e">
        <f>AND('GA55 Entry'!#REF!,"AAAAAH/7v4s=")</f>
        <v>#REF!</v>
      </c>
      <c r="EK50" t="e">
        <f>AND('GA55 Entry'!#REF!,"AAAAAH/7v4w=")</f>
        <v>#REF!</v>
      </c>
      <c r="EL50" t="e">
        <f>AND('GA55 Entry'!#REF!,"AAAAAH/7v40=")</f>
        <v>#REF!</v>
      </c>
      <c r="EM50" t="e">
        <f>AND('GA55 Entry'!#REF!,"AAAAAH/7v44=")</f>
        <v>#REF!</v>
      </c>
      <c r="EN50" t="e">
        <f>IF('GA55 Entry'!#REF!,"AAAAAH/7v48=",0)</f>
        <v>#REF!</v>
      </c>
      <c r="EO50" t="e">
        <f>AND('GA55 Entry'!#REF!,"AAAAAH/7v5A=")</f>
        <v>#REF!</v>
      </c>
      <c r="EP50" t="e">
        <f>AND('GA55 Entry'!#REF!,"AAAAAH/7v5E=")</f>
        <v>#REF!</v>
      </c>
      <c r="EQ50" t="e">
        <f>AND('GA55 Entry'!#REF!,"AAAAAH/7v5I=")</f>
        <v>#REF!</v>
      </c>
      <c r="ER50" t="e">
        <f>AND('GA55 Entry'!#REF!,"AAAAAH/7v5M=")</f>
        <v>#REF!</v>
      </c>
      <c r="ES50" t="e">
        <f>AND('GA55 Entry'!#REF!,"AAAAAH/7v5Q=")</f>
        <v>#REF!</v>
      </c>
      <c r="ET50" t="e">
        <f>AND('GA55 Entry'!#REF!,"AAAAAH/7v5U=")</f>
        <v>#REF!</v>
      </c>
      <c r="EU50" t="e">
        <f>AND('GA55 Entry'!#REF!,"AAAAAH/7v5Y=")</f>
        <v>#REF!</v>
      </c>
      <c r="EV50" t="e">
        <f>AND('GA55 Entry'!#REF!,"AAAAAH/7v5c=")</f>
        <v>#REF!</v>
      </c>
      <c r="EW50" t="e">
        <f>AND('GA55 Entry'!#REF!,"AAAAAH/7v5g=")</f>
        <v>#REF!</v>
      </c>
      <c r="EX50" t="e">
        <f>AND('GA55 Entry'!#REF!,"AAAAAH/7v5k=")</f>
        <v>#REF!</v>
      </c>
      <c r="EY50" t="e">
        <f>AND('GA55 Entry'!#REF!,"AAAAAH/7v5o=")</f>
        <v>#REF!</v>
      </c>
      <c r="EZ50" t="e">
        <f>AND('GA55 Entry'!#REF!,"AAAAAH/7v5s=")</f>
        <v>#REF!</v>
      </c>
      <c r="FA50" t="e">
        <f>AND('GA55 Entry'!#REF!,"AAAAAH/7v5w=")</f>
        <v>#REF!</v>
      </c>
      <c r="FB50" t="e">
        <f>AND('GA55 Entry'!#REF!,"AAAAAH/7v50=")</f>
        <v>#REF!</v>
      </c>
      <c r="FC50" t="e">
        <f>AND('GA55 Entry'!#REF!,"AAAAAH/7v54=")</f>
        <v>#REF!</v>
      </c>
      <c r="FD50" t="e">
        <f>AND('GA55 Entry'!#REF!,"AAAAAH/7v58=")</f>
        <v>#REF!</v>
      </c>
      <c r="FE50" t="e">
        <f>AND('GA55 Entry'!#REF!,"AAAAAH/7v6A=")</f>
        <v>#REF!</v>
      </c>
      <c r="FF50" t="e">
        <f>AND('GA55 Entry'!#REF!,"AAAAAH/7v6E=")</f>
        <v>#REF!</v>
      </c>
      <c r="FG50" t="e">
        <f>AND('GA55 Entry'!#REF!,"AAAAAH/7v6I=")</f>
        <v>#REF!</v>
      </c>
      <c r="FH50" t="e">
        <f>AND('GA55 Entry'!#REF!,"AAAAAH/7v6M=")</f>
        <v>#REF!</v>
      </c>
      <c r="FI50" t="e">
        <f>AND('GA55 Entry'!#REF!,"AAAAAH/7v6Q=")</f>
        <v>#REF!</v>
      </c>
      <c r="FJ50" t="e">
        <f>AND('GA55 Entry'!#REF!,"AAAAAH/7v6U=")</f>
        <v>#REF!</v>
      </c>
      <c r="FK50" t="e">
        <f>AND('GA55 Entry'!#REF!,"AAAAAH/7v6Y=")</f>
        <v>#REF!</v>
      </c>
      <c r="FL50" t="e">
        <f>AND('GA55 Entry'!#REF!,"AAAAAH/7v6c=")</f>
        <v>#REF!</v>
      </c>
      <c r="FM50" t="e">
        <f>AND('GA55 Entry'!#REF!,"AAAAAH/7v6g=")</f>
        <v>#REF!</v>
      </c>
      <c r="FN50" t="e">
        <f>AND('GA55 Entry'!#REF!,"AAAAAH/7v6k=")</f>
        <v>#REF!</v>
      </c>
      <c r="FO50" t="e">
        <f>AND('GA55 Entry'!#REF!,"AAAAAH/7v6o=")</f>
        <v>#REF!</v>
      </c>
      <c r="FP50" t="e">
        <f>AND('GA55 Entry'!#REF!,"AAAAAH/7v6s=")</f>
        <v>#REF!</v>
      </c>
      <c r="FQ50" t="e">
        <f>AND('GA55 Entry'!#REF!,"AAAAAH/7v6w=")</f>
        <v>#REF!</v>
      </c>
      <c r="FR50" t="e">
        <f>AND('GA55 Entry'!#REF!,"AAAAAH/7v60=")</f>
        <v>#REF!</v>
      </c>
      <c r="FS50" t="e">
        <f>AND('GA55 Entry'!#REF!,"AAAAAH/7v64=")</f>
        <v>#REF!</v>
      </c>
      <c r="FT50" t="e">
        <f>AND('GA55 Entry'!#REF!,"AAAAAH/7v68=")</f>
        <v>#REF!</v>
      </c>
      <c r="FU50" t="e">
        <f>AND('GA55 Entry'!#REF!,"AAAAAH/7v7A=")</f>
        <v>#REF!</v>
      </c>
      <c r="FV50" t="e">
        <f>AND('GA55 Entry'!#REF!,"AAAAAH/7v7E=")</f>
        <v>#REF!</v>
      </c>
      <c r="FW50" t="e">
        <f>AND('GA55 Entry'!#REF!,"AAAAAH/7v7I=")</f>
        <v>#REF!</v>
      </c>
      <c r="FX50" t="e">
        <f>AND('GA55 Entry'!#REF!,"AAAAAH/7v7M=")</f>
        <v>#REF!</v>
      </c>
      <c r="FY50" t="e">
        <f>AND('GA55 Entry'!#REF!,"AAAAAH/7v7Q=")</f>
        <v>#REF!</v>
      </c>
      <c r="FZ50" t="e">
        <f>AND('GA55 Entry'!#REF!,"AAAAAH/7v7U=")</f>
        <v>#REF!</v>
      </c>
      <c r="GA50" t="e">
        <f>AND('GA55 Entry'!#REF!,"AAAAAH/7v7Y=")</f>
        <v>#REF!</v>
      </c>
      <c r="GB50" t="e">
        <f>AND('GA55 Entry'!#REF!,"AAAAAH/7v7c=")</f>
        <v>#REF!</v>
      </c>
      <c r="GC50" t="e">
        <f>AND('GA55 Entry'!#REF!,"AAAAAH/7v7g=")</f>
        <v>#REF!</v>
      </c>
      <c r="GD50" t="e">
        <f>AND('GA55 Entry'!#REF!,"AAAAAH/7v7k=")</f>
        <v>#REF!</v>
      </c>
      <c r="GE50" t="e">
        <f>AND('GA55 Entry'!#REF!,"AAAAAH/7v7o=")</f>
        <v>#REF!</v>
      </c>
      <c r="GF50" t="e">
        <f>AND('GA55 Entry'!#REF!,"AAAAAH/7v7s=")</f>
        <v>#REF!</v>
      </c>
      <c r="GG50" t="e">
        <f>AND('GA55 Entry'!#REF!,"AAAAAH/7v7w=")</f>
        <v>#REF!</v>
      </c>
      <c r="GH50" t="e">
        <f>AND('GA55 Entry'!#REF!,"AAAAAH/7v70=")</f>
        <v>#REF!</v>
      </c>
      <c r="GI50" t="e">
        <f>AND('GA55 Entry'!#REF!,"AAAAAH/7v74=")</f>
        <v>#REF!</v>
      </c>
      <c r="GJ50" t="e">
        <f>AND('GA55 Entry'!#REF!,"AAAAAH/7v78=")</f>
        <v>#REF!</v>
      </c>
      <c r="GK50" t="e">
        <f>AND('GA55 Entry'!#REF!,"AAAAAH/7v8A=")</f>
        <v>#REF!</v>
      </c>
      <c r="GL50" t="e">
        <f>AND('GA55 Entry'!#REF!,"AAAAAH/7v8E=")</f>
        <v>#REF!</v>
      </c>
      <c r="GM50" t="e">
        <f>IF('GA55 Entry'!#REF!,"AAAAAH/7v8I=",0)</f>
        <v>#REF!</v>
      </c>
      <c r="GN50" t="e">
        <f>AND('GA55 Entry'!#REF!,"AAAAAH/7v8M=")</f>
        <v>#REF!</v>
      </c>
      <c r="GO50" t="e">
        <f>AND('GA55 Entry'!#REF!,"AAAAAH/7v8Q=")</f>
        <v>#REF!</v>
      </c>
      <c r="GP50" t="e">
        <f>AND('GA55 Entry'!#REF!,"AAAAAH/7v8U=")</f>
        <v>#REF!</v>
      </c>
      <c r="GQ50" t="e">
        <f>AND('GA55 Entry'!#REF!,"AAAAAH/7v8Y=")</f>
        <v>#REF!</v>
      </c>
      <c r="GR50" t="e">
        <f>AND('GA55 Entry'!#REF!,"AAAAAH/7v8c=")</f>
        <v>#REF!</v>
      </c>
      <c r="GS50" t="e">
        <f>AND('GA55 Entry'!#REF!,"AAAAAH/7v8g=")</f>
        <v>#REF!</v>
      </c>
      <c r="GT50" t="e">
        <f>AND('GA55 Entry'!#REF!,"AAAAAH/7v8k=")</f>
        <v>#REF!</v>
      </c>
      <c r="GU50" t="e">
        <f>AND('GA55 Entry'!#REF!,"AAAAAH/7v8o=")</f>
        <v>#REF!</v>
      </c>
      <c r="GV50" t="e">
        <f>AND('GA55 Entry'!#REF!,"AAAAAH/7v8s=")</f>
        <v>#REF!</v>
      </c>
      <c r="GW50" t="e">
        <f>AND('GA55 Entry'!#REF!,"AAAAAH/7v8w=")</f>
        <v>#REF!</v>
      </c>
      <c r="GX50" t="e">
        <f>AND('GA55 Entry'!#REF!,"AAAAAH/7v80=")</f>
        <v>#REF!</v>
      </c>
      <c r="GY50" t="e">
        <f>AND('GA55 Entry'!#REF!,"AAAAAH/7v84=")</f>
        <v>#REF!</v>
      </c>
      <c r="GZ50" t="e">
        <f>AND('GA55 Entry'!#REF!,"AAAAAH/7v88=")</f>
        <v>#REF!</v>
      </c>
      <c r="HA50" t="e">
        <f>AND('GA55 Entry'!#REF!,"AAAAAH/7v9A=")</f>
        <v>#REF!</v>
      </c>
      <c r="HB50" t="e">
        <f>AND('GA55 Entry'!#REF!,"AAAAAH/7v9E=")</f>
        <v>#REF!</v>
      </c>
      <c r="HC50" t="e">
        <f>AND('GA55 Entry'!#REF!,"AAAAAH/7v9I=")</f>
        <v>#REF!</v>
      </c>
      <c r="HD50" t="e">
        <f>AND('GA55 Entry'!#REF!,"AAAAAH/7v9M=")</f>
        <v>#REF!</v>
      </c>
      <c r="HE50" t="e">
        <f>AND('GA55 Entry'!#REF!,"AAAAAH/7v9Q=")</f>
        <v>#REF!</v>
      </c>
      <c r="HF50" t="e">
        <f>AND('GA55 Entry'!#REF!,"AAAAAH/7v9U=")</f>
        <v>#REF!</v>
      </c>
      <c r="HG50" t="e">
        <f>AND('GA55 Entry'!#REF!,"AAAAAH/7v9Y=")</f>
        <v>#REF!</v>
      </c>
      <c r="HH50" t="e">
        <f>AND('GA55 Entry'!#REF!,"AAAAAH/7v9c=")</f>
        <v>#REF!</v>
      </c>
      <c r="HI50" t="e">
        <f>AND('GA55 Entry'!#REF!,"AAAAAH/7v9g=")</f>
        <v>#REF!</v>
      </c>
      <c r="HJ50" t="e">
        <f>AND('GA55 Entry'!#REF!,"AAAAAH/7v9k=")</f>
        <v>#REF!</v>
      </c>
      <c r="HK50" t="e">
        <f>AND('GA55 Entry'!#REF!,"AAAAAH/7v9o=")</f>
        <v>#REF!</v>
      </c>
      <c r="HL50" t="e">
        <f>AND('GA55 Entry'!#REF!,"AAAAAH/7v9s=")</f>
        <v>#REF!</v>
      </c>
      <c r="HM50" t="e">
        <f>AND('GA55 Entry'!#REF!,"AAAAAH/7v9w=")</f>
        <v>#REF!</v>
      </c>
      <c r="HN50" t="e">
        <f>AND('GA55 Entry'!#REF!,"AAAAAH/7v90=")</f>
        <v>#REF!</v>
      </c>
      <c r="HO50" t="e">
        <f>AND('GA55 Entry'!#REF!,"AAAAAH/7v94=")</f>
        <v>#REF!</v>
      </c>
      <c r="HP50" t="e">
        <f>AND('GA55 Entry'!#REF!,"AAAAAH/7v98=")</f>
        <v>#REF!</v>
      </c>
      <c r="HQ50" t="e">
        <f>AND('GA55 Entry'!#REF!,"AAAAAH/7v+A=")</f>
        <v>#REF!</v>
      </c>
      <c r="HR50" t="e">
        <f>AND('GA55 Entry'!#REF!,"AAAAAH/7v+E=")</f>
        <v>#REF!</v>
      </c>
      <c r="HS50" t="e">
        <f>AND('GA55 Entry'!#REF!,"AAAAAH/7v+I=")</f>
        <v>#REF!</v>
      </c>
      <c r="HT50" t="e">
        <f>AND('GA55 Entry'!#REF!,"AAAAAH/7v+M=")</f>
        <v>#REF!</v>
      </c>
      <c r="HU50" t="e">
        <f>AND('GA55 Entry'!#REF!,"AAAAAH/7v+Q=")</f>
        <v>#REF!</v>
      </c>
      <c r="HV50" t="e">
        <f>AND('GA55 Entry'!#REF!,"AAAAAH/7v+U=")</f>
        <v>#REF!</v>
      </c>
      <c r="HW50" t="e">
        <f>AND('GA55 Entry'!#REF!,"AAAAAH/7v+Y=")</f>
        <v>#REF!</v>
      </c>
      <c r="HX50" t="e">
        <f>AND('GA55 Entry'!#REF!,"AAAAAH/7v+c=")</f>
        <v>#REF!</v>
      </c>
      <c r="HY50" t="e">
        <f>AND('GA55 Entry'!#REF!,"AAAAAH/7v+g=")</f>
        <v>#REF!</v>
      </c>
      <c r="HZ50" t="e">
        <f>AND('GA55 Entry'!#REF!,"AAAAAH/7v+k=")</f>
        <v>#REF!</v>
      </c>
      <c r="IA50" t="e">
        <f>AND('GA55 Entry'!#REF!,"AAAAAH/7v+o=")</f>
        <v>#REF!</v>
      </c>
      <c r="IB50" t="e">
        <f>AND('GA55 Entry'!#REF!,"AAAAAH/7v+s=")</f>
        <v>#REF!</v>
      </c>
      <c r="IC50" t="e">
        <f>AND('GA55 Entry'!#REF!,"AAAAAH/7v+w=")</f>
        <v>#REF!</v>
      </c>
      <c r="ID50" t="e">
        <f>AND('GA55 Entry'!#REF!,"AAAAAH/7v+0=")</f>
        <v>#REF!</v>
      </c>
      <c r="IE50" t="e">
        <f>AND('GA55 Entry'!#REF!,"AAAAAH/7v+4=")</f>
        <v>#REF!</v>
      </c>
      <c r="IF50" t="e">
        <f>AND('GA55 Entry'!#REF!,"AAAAAH/7v+8=")</f>
        <v>#REF!</v>
      </c>
      <c r="IG50" t="e">
        <f>AND('GA55 Entry'!#REF!,"AAAAAH/7v/A=")</f>
        <v>#REF!</v>
      </c>
      <c r="IH50" t="e">
        <f>AND('GA55 Entry'!#REF!,"AAAAAH/7v/E=")</f>
        <v>#REF!</v>
      </c>
      <c r="II50" t="e">
        <f>AND('GA55 Entry'!#REF!,"AAAAAH/7v/I=")</f>
        <v>#REF!</v>
      </c>
      <c r="IJ50" t="e">
        <f>AND('GA55 Entry'!#REF!,"AAAAAH/7v/M=")</f>
        <v>#REF!</v>
      </c>
      <c r="IK50" t="e">
        <f>AND('GA55 Entry'!#REF!,"AAAAAH/7v/Q=")</f>
        <v>#REF!</v>
      </c>
      <c r="IL50" t="e">
        <f>IF('GA55 Entry'!#REF!,"AAAAAH/7v/U=",0)</f>
        <v>#REF!</v>
      </c>
      <c r="IM50" t="e">
        <f>AND('GA55 Entry'!#REF!,"AAAAAH/7v/Y=")</f>
        <v>#REF!</v>
      </c>
      <c r="IN50" t="e">
        <f>AND('GA55 Entry'!#REF!,"AAAAAH/7v/c=")</f>
        <v>#REF!</v>
      </c>
      <c r="IO50" t="e">
        <f>AND('GA55 Entry'!#REF!,"AAAAAH/7v/g=")</f>
        <v>#REF!</v>
      </c>
      <c r="IP50" t="e">
        <f>AND('GA55 Entry'!#REF!,"AAAAAH/7v/k=")</f>
        <v>#REF!</v>
      </c>
      <c r="IQ50" t="e">
        <f>AND('GA55 Entry'!#REF!,"AAAAAH/7v/o=")</f>
        <v>#REF!</v>
      </c>
      <c r="IR50" t="e">
        <f>AND('GA55 Entry'!#REF!,"AAAAAH/7v/s=")</f>
        <v>#REF!</v>
      </c>
      <c r="IS50" t="e">
        <f>AND('GA55 Entry'!#REF!,"AAAAAH/7v/w=")</f>
        <v>#REF!</v>
      </c>
      <c r="IT50" t="e">
        <f>AND('GA55 Entry'!#REF!,"AAAAAH/7v/0=")</f>
        <v>#REF!</v>
      </c>
      <c r="IU50" t="e">
        <f>AND('GA55 Entry'!#REF!,"AAAAAH/7v/4=")</f>
        <v>#REF!</v>
      </c>
      <c r="IV50" t="e">
        <f>AND('GA55 Entry'!#REF!,"AAAAAH/7v/8=")</f>
        <v>#REF!</v>
      </c>
    </row>
    <row r="51" spans="1:256">
      <c r="A51" t="e">
        <f>AND('GA55 Entry'!#REF!,"AAAAAF/7ywA=")</f>
        <v>#REF!</v>
      </c>
      <c r="B51" t="e">
        <f>AND('GA55 Entry'!#REF!,"AAAAAF/7ywE=")</f>
        <v>#REF!</v>
      </c>
      <c r="C51" t="e">
        <f>AND('GA55 Entry'!#REF!,"AAAAAF/7ywI=")</f>
        <v>#REF!</v>
      </c>
      <c r="D51" t="e">
        <f>AND('GA55 Entry'!#REF!,"AAAAAF/7ywM=")</f>
        <v>#REF!</v>
      </c>
      <c r="E51" t="e">
        <f>AND('GA55 Entry'!#REF!,"AAAAAF/7ywQ=")</f>
        <v>#REF!</v>
      </c>
      <c r="F51" t="e">
        <f>AND('GA55 Entry'!#REF!,"AAAAAF/7ywU=")</f>
        <v>#REF!</v>
      </c>
      <c r="G51" t="e">
        <f>AND('GA55 Entry'!#REF!,"AAAAAF/7ywY=")</f>
        <v>#REF!</v>
      </c>
      <c r="H51" t="e">
        <f>AND('GA55 Entry'!#REF!,"AAAAAF/7ywc=")</f>
        <v>#REF!</v>
      </c>
      <c r="I51" t="e">
        <f>AND('GA55 Entry'!#REF!,"AAAAAF/7ywg=")</f>
        <v>#REF!</v>
      </c>
      <c r="J51" t="e">
        <f>AND('GA55 Entry'!#REF!,"AAAAAF/7ywk=")</f>
        <v>#REF!</v>
      </c>
      <c r="K51" t="e">
        <f>AND('GA55 Entry'!#REF!,"AAAAAF/7ywo=")</f>
        <v>#REF!</v>
      </c>
      <c r="L51" t="e">
        <f>AND('GA55 Entry'!#REF!,"AAAAAF/7yws=")</f>
        <v>#REF!</v>
      </c>
      <c r="M51" t="e">
        <f>AND('GA55 Entry'!#REF!,"AAAAAF/7yww=")</f>
        <v>#REF!</v>
      </c>
      <c r="N51" t="e">
        <f>AND('GA55 Entry'!#REF!,"AAAAAF/7yw0=")</f>
        <v>#REF!</v>
      </c>
      <c r="O51" t="e">
        <f>AND('GA55 Entry'!#REF!,"AAAAAF/7yw4=")</f>
        <v>#REF!</v>
      </c>
      <c r="P51" t="e">
        <f>AND('GA55 Entry'!#REF!,"AAAAAF/7yw8=")</f>
        <v>#REF!</v>
      </c>
      <c r="Q51" t="e">
        <f>AND('GA55 Entry'!#REF!,"AAAAAF/7yxA=")</f>
        <v>#REF!</v>
      </c>
      <c r="R51" t="e">
        <f>AND('GA55 Entry'!#REF!,"AAAAAF/7yxE=")</f>
        <v>#REF!</v>
      </c>
      <c r="S51" t="e">
        <f>AND('GA55 Entry'!#REF!,"AAAAAF/7yxI=")</f>
        <v>#REF!</v>
      </c>
      <c r="T51" t="e">
        <f>AND('GA55 Entry'!#REF!,"AAAAAF/7yxM=")</f>
        <v>#REF!</v>
      </c>
      <c r="U51" t="e">
        <f>AND('GA55 Entry'!#REF!,"AAAAAF/7yxQ=")</f>
        <v>#REF!</v>
      </c>
      <c r="V51" t="e">
        <f>AND('GA55 Entry'!#REF!,"AAAAAF/7yxU=")</f>
        <v>#REF!</v>
      </c>
      <c r="W51" t="e">
        <f>AND('GA55 Entry'!#REF!,"AAAAAF/7yxY=")</f>
        <v>#REF!</v>
      </c>
      <c r="X51" t="e">
        <f>AND('GA55 Entry'!#REF!,"AAAAAF/7yxc=")</f>
        <v>#REF!</v>
      </c>
      <c r="Y51" t="e">
        <f>AND('GA55 Entry'!#REF!,"AAAAAF/7yxg=")</f>
        <v>#REF!</v>
      </c>
      <c r="Z51" t="e">
        <f>AND('GA55 Entry'!#REF!,"AAAAAF/7yxk=")</f>
        <v>#REF!</v>
      </c>
      <c r="AA51" t="e">
        <f>AND('GA55 Entry'!#REF!,"AAAAAF/7yxo=")</f>
        <v>#REF!</v>
      </c>
      <c r="AB51" t="e">
        <f>AND('GA55 Entry'!#REF!,"AAAAAF/7yxs=")</f>
        <v>#REF!</v>
      </c>
      <c r="AC51" t="e">
        <f>AND('GA55 Entry'!#REF!,"AAAAAF/7yxw=")</f>
        <v>#REF!</v>
      </c>
      <c r="AD51" t="e">
        <f>AND('GA55 Entry'!#REF!,"AAAAAF/7yx0=")</f>
        <v>#REF!</v>
      </c>
      <c r="AE51" t="e">
        <f>AND('GA55 Entry'!#REF!,"AAAAAF/7yx4=")</f>
        <v>#REF!</v>
      </c>
      <c r="AF51" t="e">
        <f>AND('GA55 Entry'!#REF!,"AAAAAF/7yx8=")</f>
        <v>#REF!</v>
      </c>
      <c r="AG51" t="e">
        <f>AND('GA55 Entry'!#REF!,"AAAAAF/7yyA=")</f>
        <v>#REF!</v>
      </c>
      <c r="AH51" t="e">
        <f>AND('GA55 Entry'!#REF!,"AAAAAF/7yyE=")</f>
        <v>#REF!</v>
      </c>
      <c r="AI51" t="e">
        <f>AND('GA55 Entry'!#REF!,"AAAAAF/7yyI=")</f>
        <v>#REF!</v>
      </c>
      <c r="AJ51" t="e">
        <f>AND('GA55 Entry'!#REF!,"AAAAAF/7yyM=")</f>
        <v>#REF!</v>
      </c>
      <c r="AK51" t="e">
        <f>AND('GA55 Entry'!#REF!,"AAAAAF/7yyQ=")</f>
        <v>#REF!</v>
      </c>
      <c r="AL51" t="e">
        <f>AND('GA55 Entry'!#REF!,"AAAAAF/7yyU=")</f>
        <v>#REF!</v>
      </c>
      <c r="AM51" t="e">
        <f>AND('GA55 Entry'!#REF!,"AAAAAF/7yyY=")</f>
        <v>#REF!</v>
      </c>
      <c r="AN51" t="e">
        <f>AND('GA55 Entry'!#REF!,"AAAAAF/7yyc=")</f>
        <v>#REF!</v>
      </c>
      <c r="AO51" t="e">
        <f>IF('GA55 Entry'!#REF!,"AAAAAF/7yyg=",0)</f>
        <v>#REF!</v>
      </c>
      <c r="AP51" t="e">
        <f>AND('GA55 Entry'!#REF!,"AAAAAF/7yyk=")</f>
        <v>#REF!</v>
      </c>
      <c r="AQ51" t="e">
        <f>AND('GA55 Entry'!#REF!,"AAAAAF/7yyo=")</f>
        <v>#REF!</v>
      </c>
      <c r="AR51" t="e">
        <f>AND('GA55 Entry'!#REF!,"AAAAAF/7yys=")</f>
        <v>#REF!</v>
      </c>
      <c r="AS51" t="e">
        <f>AND('GA55 Entry'!#REF!,"AAAAAF/7yyw=")</f>
        <v>#REF!</v>
      </c>
      <c r="AT51" t="e">
        <f>AND('GA55 Entry'!#REF!,"AAAAAF/7yy0=")</f>
        <v>#REF!</v>
      </c>
      <c r="AU51" t="e">
        <f>AND('GA55 Entry'!#REF!,"AAAAAF/7yy4=")</f>
        <v>#REF!</v>
      </c>
      <c r="AV51" t="e">
        <f>AND('GA55 Entry'!#REF!,"AAAAAF/7yy8=")</f>
        <v>#REF!</v>
      </c>
      <c r="AW51" t="e">
        <f>AND('GA55 Entry'!#REF!,"AAAAAF/7yzA=")</f>
        <v>#REF!</v>
      </c>
      <c r="AX51" t="e">
        <f>AND('GA55 Entry'!#REF!,"AAAAAF/7yzE=")</f>
        <v>#REF!</v>
      </c>
      <c r="AY51" t="e">
        <f>AND('GA55 Entry'!#REF!,"AAAAAF/7yzI=")</f>
        <v>#REF!</v>
      </c>
      <c r="AZ51" t="e">
        <f>AND('GA55 Entry'!#REF!,"AAAAAF/7yzM=")</f>
        <v>#REF!</v>
      </c>
      <c r="BA51" t="e">
        <f>AND('GA55 Entry'!#REF!,"AAAAAF/7yzQ=")</f>
        <v>#REF!</v>
      </c>
      <c r="BB51" t="e">
        <f>AND('GA55 Entry'!#REF!,"AAAAAF/7yzU=")</f>
        <v>#REF!</v>
      </c>
      <c r="BC51" t="e">
        <f>AND('GA55 Entry'!#REF!,"AAAAAF/7yzY=")</f>
        <v>#REF!</v>
      </c>
      <c r="BD51" t="e">
        <f>AND('GA55 Entry'!#REF!,"AAAAAF/7yzc=")</f>
        <v>#REF!</v>
      </c>
      <c r="BE51" t="e">
        <f>AND('GA55 Entry'!#REF!,"AAAAAF/7yzg=")</f>
        <v>#REF!</v>
      </c>
      <c r="BF51" t="e">
        <f>AND('GA55 Entry'!#REF!,"AAAAAF/7yzk=")</f>
        <v>#REF!</v>
      </c>
      <c r="BG51" t="e">
        <f>AND('GA55 Entry'!#REF!,"AAAAAF/7yzo=")</f>
        <v>#REF!</v>
      </c>
      <c r="BH51" t="e">
        <f>AND('GA55 Entry'!#REF!,"AAAAAF/7yzs=")</f>
        <v>#REF!</v>
      </c>
      <c r="BI51" t="e">
        <f>AND('GA55 Entry'!#REF!,"AAAAAF/7yzw=")</f>
        <v>#REF!</v>
      </c>
      <c r="BJ51" t="e">
        <f>AND('GA55 Entry'!#REF!,"AAAAAF/7yz0=")</f>
        <v>#REF!</v>
      </c>
      <c r="BK51" t="e">
        <f>AND('GA55 Entry'!#REF!,"AAAAAF/7yz4=")</f>
        <v>#REF!</v>
      </c>
      <c r="BL51" t="e">
        <f>AND('GA55 Entry'!#REF!,"AAAAAF/7yz8=")</f>
        <v>#REF!</v>
      </c>
      <c r="BM51" t="e">
        <f>AND('GA55 Entry'!#REF!,"AAAAAF/7y0A=")</f>
        <v>#REF!</v>
      </c>
      <c r="BN51" t="e">
        <f>AND('GA55 Entry'!#REF!,"AAAAAF/7y0E=")</f>
        <v>#REF!</v>
      </c>
      <c r="BO51" t="e">
        <f>AND('GA55 Entry'!#REF!,"AAAAAF/7y0I=")</f>
        <v>#REF!</v>
      </c>
      <c r="BP51" t="e">
        <f>AND('GA55 Entry'!#REF!,"AAAAAF/7y0M=")</f>
        <v>#REF!</v>
      </c>
      <c r="BQ51" t="e">
        <f>AND('GA55 Entry'!#REF!,"AAAAAF/7y0Q=")</f>
        <v>#REF!</v>
      </c>
      <c r="BR51" t="e">
        <f>AND('GA55 Entry'!#REF!,"AAAAAF/7y0U=")</f>
        <v>#REF!</v>
      </c>
      <c r="BS51" t="e">
        <f>AND('GA55 Entry'!#REF!,"AAAAAF/7y0Y=")</f>
        <v>#REF!</v>
      </c>
      <c r="BT51" t="e">
        <f>AND('GA55 Entry'!#REF!,"AAAAAF/7y0c=")</f>
        <v>#REF!</v>
      </c>
      <c r="BU51" t="e">
        <f>AND('GA55 Entry'!#REF!,"AAAAAF/7y0g=")</f>
        <v>#REF!</v>
      </c>
      <c r="BV51" t="e">
        <f>AND('GA55 Entry'!#REF!,"AAAAAF/7y0k=")</f>
        <v>#REF!</v>
      </c>
      <c r="BW51" t="e">
        <f>AND('GA55 Entry'!#REF!,"AAAAAF/7y0o=")</f>
        <v>#REF!</v>
      </c>
      <c r="BX51" t="e">
        <f>AND('GA55 Entry'!#REF!,"AAAAAF/7y0s=")</f>
        <v>#REF!</v>
      </c>
      <c r="BY51" t="e">
        <f>AND('GA55 Entry'!#REF!,"AAAAAF/7y0w=")</f>
        <v>#REF!</v>
      </c>
      <c r="BZ51" t="e">
        <f>AND('GA55 Entry'!#REF!,"AAAAAF/7y00=")</f>
        <v>#REF!</v>
      </c>
      <c r="CA51" t="e">
        <f>AND('GA55 Entry'!#REF!,"AAAAAF/7y04=")</f>
        <v>#REF!</v>
      </c>
      <c r="CB51" t="e">
        <f>AND('GA55 Entry'!#REF!,"AAAAAF/7y08=")</f>
        <v>#REF!</v>
      </c>
      <c r="CC51" t="e">
        <f>AND('GA55 Entry'!#REF!,"AAAAAF/7y1A=")</f>
        <v>#REF!</v>
      </c>
      <c r="CD51" t="e">
        <f>AND('GA55 Entry'!#REF!,"AAAAAF/7y1E=")</f>
        <v>#REF!</v>
      </c>
      <c r="CE51" t="e">
        <f>AND('GA55 Entry'!#REF!,"AAAAAF/7y1I=")</f>
        <v>#REF!</v>
      </c>
      <c r="CF51" t="e">
        <f>AND('GA55 Entry'!#REF!,"AAAAAF/7y1M=")</f>
        <v>#REF!</v>
      </c>
      <c r="CG51" t="e">
        <f>AND('GA55 Entry'!#REF!,"AAAAAF/7y1Q=")</f>
        <v>#REF!</v>
      </c>
      <c r="CH51" t="e">
        <f>AND('GA55 Entry'!#REF!,"AAAAAF/7y1U=")</f>
        <v>#REF!</v>
      </c>
      <c r="CI51" t="e">
        <f>AND('GA55 Entry'!#REF!,"AAAAAF/7y1Y=")</f>
        <v>#REF!</v>
      </c>
      <c r="CJ51" t="e">
        <f>AND('GA55 Entry'!#REF!,"AAAAAF/7y1c=")</f>
        <v>#REF!</v>
      </c>
      <c r="CK51" t="e">
        <f>AND('GA55 Entry'!#REF!,"AAAAAF/7y1g=")</f>
        <v>#REF!</v>
      </c>
      <c r="CL51" t="e">
        <f>AND('GA55 Entry'!#REF!,"AAAAAF/7y1k=")</f>
        <v>#REF!</v>
      </c>
      <c r="CM51" t="e">
        <f>AND('GA55 Entry'!#REF!,"AAAAAF/7y1o=")</f>
        <v>#REF!</v>
      </c>
      <c r="CN51" t="e">
        <f>IF('GA55 Entry'!#REF!,"AAAAAF/7y1s=",0)</f>
        <v>#REF!</v>
      </c>
      <c r="CO51" t="e">
        <f>AND('GA55 Entry'!#REF!,"AAAAAF/7y1w=")</f>
        <v>#REF!</v>
      </c>
      <c r="CP51" t="e">
        <f>AND('GA55 Entry'!#REF!,"AAAAAF/7y10=")</f>
        <v>#REF!</v>
      </c>
      <c r="CQ51" t="e">
        <f>AND('GA55 Entry'!#REF!,"AAAAAF/7y14=")</f>
        <v>#REF!</v>
      </c>
      <c r="CR51" t="e">
        <f>AND('GA55 Entry'!#REF!,"AAAAAF/7y18=")</f>
        <v>#REF!</v>
      </c>
      <c r="CS51" t="e">
        <f>AND('GA55 Entry'!#REF!,"AAAAAF/7y2A=")</f>
        <v>#REF!</v>
      </c>
      <c r="CT51" t="e">
        <f>AND('GA55 Entry'!#REF!,"AAAAAF/7y2E=")</f>
        <v>#REF!</v>
      </c>
      <c r="CU51" t="e">
        <f>AND('GA55 Entry'!#REF!,"AAAAAF/7y2I=")</f>
        <v>#REF!</v>
      </c>
      <c r="CV51" t="e">
        <f>AND('GA55 Entry'!#REF!,"AAAAAF/7y2M=")</f>
        <v>#REF!</v>
      </c>
      <c r="CW51" t="e">
        <f>AND('GA55 Entry'!#REF!,"AAAAAF/7y2Q=")</f>
        <v>#REF!</v>
      </c>
      <c r="CX51" t="e">
        <f>AND('GA55 Entry'!#REF!,"AAAAAF/7y2U=")</f>
        <v>#REF!</v>
      </c>
      <c r="CY51" t="e">
        <f>AND('GA55 Entry'!#REF!,"AAAAAF/7y2Y=")</f>
        <v>#REF!</v>
      </c>
      <c r="CZ51" t="e">
        <f>AND('GA55 Entry'!#REF!,"AAAAAF/7y2c=")</f>
        <v>#REF!</v>
      </c>
      <c r="DA51" t="e">
        <f>AND('GA55 Entry'!#REF!,"AAAAAF/7y2g=")</f>
        <v>#REF!</v>
      </c>
      <c r="DB51" t="e">
        <f>AND('GA55 Entry'!#REF!,"AAAAAF/7y2k=")</f>
        <v>#REF!</v>
      </c>
      <c r="DC51" t="e">
        <f>AND('GA55 Entry'!#REF!,"AAAAAF/7y2o=")</f>
        <v>#REF!</v>
      </c>
      <c r="DD51" t="e">
        <f>AND('GA55 Entry'!#REF!,"AAAAAF/7y2s=")</f>
        <v>#REF!</v>
      </c>
      <c r="DE51" t="e">
        <f>AND('GA55 Entry'!#REF!,"AAAAAF/7y2w=")</f>
        <v>#REF!</v>
      </c>
      <c r="DF51" t="e">
        <f>AND('GA55 Entry'!#REF!,"AAAAAF/7y20=")</f>
        <v>#REF!</v>
      </c>
      <c r="DG51" t="e">
        <f>AND('GA55 Entry'!#REF!,"AAAAAF/7y24=")</f>
        <v>#REF!</v>
      </c>
      <c r="DH51" t="e">
        <f>AND('GA55 Entry'!#REF!,"AAAAAF/7y28=")</f>
        <v>#REF!</v>
      </c>
      <c r="DI51" t="e">
        <f>AND('GA55 Entry'!#REF!,"AAAAAF/7y3A=")</f>
        <v>#REF!</v>
      </c>
      <c r="DJ51" t="e">
        <f>AND('GA55 Entry'!#REF!,"AAAAAF/7y3E=")</f>
        <v>#REF!</v>
      </c>
      <c r="DK51" t="e">
        <f>AND('GA55 Entry'!#REF!,"AAAAAF/7y3I=")</f>
        <v>#REF!</v>
      </c>
      <c r="DL51" t="e">
        <f>AND('GA55 Entry'!#REF!,"AAAAAF/7y3M=")</f>
        <v>#REF!</v>
      </c>
      <c r="DM51" t="e">
        <f>AND('GA55 Entry'!#REF!,"AAAAAF/7y3Q=")</f>
        <v>#REF!</v>
      </c>
      <c r="DN51" t="e">
        <f>AND('GA55 Entry'!#REF!,"AAAAAF/7y3U=")</f>
        <v>#REF!</v>
      </c>
      <c r="DO51" t="e">
        <f>AND('GA55 Entry'!#REF!,"AAAAAF/7y3Y=")</f>
        <v>#REF!</v>
      </c>
      <c r="DP51" t="e">
        <f>AND('GA55 Entry'!#REF!,"AAAAAF/7y3c=")</f>
        <v>#REF!</v>
      </c>
      <c r="DQ51" t="e">
        <f>AND('GA55 Entry'!#REF!,"AAAAAF/7y3g=")</f>
        <v>#REF!</v>
      </c>
      <c r="DR51" t="e">
        <f>AND('GA55 Entry'!#REF!,"AAAAAF/7y3k=")</f>
        <v>#REF!</v>
      </c>
      <c r="DS51" t="e">
        <f>AND('GA55 Entry'!#REF!,"AAAAAF/7y3o=")</f>
        <v>#REF!</v>
      </c>
      <c r="DT51" t="e">
        <f>AND('GA55 Entry'!#REF!,"AAAAAF/7y3s=")</f>
        <v>#REF!</v>
      </c>
      <c r="DU51" t="e">
        <f>AND('GA55 Entry'!#REF!,"AAAAAF/7y3w=")</f>
        <v>#REF!</v>
      </c>
      <c r="DV51" t="e">
        <f>AND('GA55 Entry'!#REF!,"AAAAAF/7y30=")</f>
        <v>#REF!</v>
      </c>
      <c r="DW51" t="e">
        <f>AND('GA55 Entry'!#REF!,"AAAAAF/7y34=")</f>
        <v>#REF!</v>
      </c>
      <c r="DX51" t="e">
        <f>AND('GA55 Entry'!#REF!,"AAAAAF/7y38=")</f>
        <v>#REF!</v>
      </c>
      <c r="DY51" t="e">
        <f>AND('GA55 Entry'!#REF!,"AAAAAF/7y4A=")</f>
        <v>#REF!</v>
      </c>
      <c r="DZ51" t="e">
        <f>AND('GA55 Entry'!#REF!,"AAAAAF/7y4E=")</f>
        <v>#REF!</v>
      </c>
      <c r="EA51" t="e">
        <f>AND('GA55 Entry'!#REF!,"AAAAAF/7y4I=")</f>
        <v>#REF!</v>
      </c>
      <c r="EB51" t="e">
        <f>AND('GA55 Entry'!#REF!,"AAAAAF/7y4M=")</f>
        <v>#REF!</v>
      </c>
      <c r="EC51" t="e">
        <f>AND('GA55 Entry'!#REF!,"AAAAAF/7y4Q=")</f>
        <v>#REF!</v>
      </c>
      <c r="ED51" t="e">
        <f>AND('GA55 Entry'!#REF!,"AAAAAF/7y4U=")</f>
        <v>#REF!</v>
      </c>
      <c r="EE51" t="e">
        <f>AND('GA55 Entry'!#REF!,"AAAAAF/7y4Y=")</f>
        <v>#REF!</v>
      </c>
      <c r="EF51" t="e">
        <f>AND('GA55 Entry'!#REF!,"AAAAAF/7y4c=")</f>
        <v>#REF!</v>
      </c>
      <c r="EG51" t="e">
        <f>AND('GA55 Entry'!#REF!,"AAAAAF/7y4g=")</f>
        <v>#REF!</v>
      </c>
      <c r="EH51" t="e">
        <f>AND('GA55 Entry'!#REF!,"AAAAAF/7y4k=")</f>
        <v>#REF!</v>
      </c>
      <c r="EI51" t="e">
        <f>AND('GA55 Entry'!#REF!,"AAAAAF/7y4o=")</f>
        <v>#REF!</v>
      </c>
      <c r="EJ51" t="e">
        <f>AND('GA55 Entry'!#REF!,"AAAAAF/7y4s=")</f>
        <v>#REF!</v>
      </c>
      <c r="EK51" t="e">
        <f>AND('GA55 Entry'!#REF!,"AAAAAF/7y4w=")</f>
        <v>#REF!</v>
      </c>
      <c r="EL51" t="e">
        <f>AND('GA55 Entry'!#REF!,"AAAAAF/7y40=")</f>
        <v>#REF!</v>
      </c>
      <c r="EM51" t="e">
        <f>IF('GA55 Entry'!#REF!,"AAAAAF/7y44=",0)</f>
        <v>#REF!</v>
      </c>
      <c r="EN51" t="e">
        <f>AND('GA55 Entry'!#REF!,"AAAAAF/7y48=")</f>
        <v>#REF!</v>
      </c>
      <c r="EO51" t="e">
        <f>AND('GA55 Entry'!#REF!,"AAAAAF/7y5A=")</f>
        <v>#REF!</v>
      </c>
      <c r="EP51" t="e">
        <f>AND('GA55 Entry'!#REF!,"AAAAAF/7y5E=")</f>
        <v>#REF!</v>
      </c>
      <c r="EQ51" t="e">
        <f>AND('GA55 Entry'!#REF!,"AAAAAF/7y5I=")</f>
        <v>#REF!</v>
      </c>
      <c r="ER51" t="e">
        <f>AND('GA55 Entry'!#REF!,"AAAAAF/7y5M=")</f>
        <v>#REF!</v>
      </c>
      <c r="ES51" t="e">
        <f>AND('GA55 Entry'!#REF!,"AAAAAF/7y5Q=")</f>
        <v>#REF!</v>
      </c>
      <c r="ET51" t="e">
        <f>AND('GA55 Entry'!#REF!,"AAAAAF/7y5U=")</f>
        <v>#REF!</v>
      </c>
      <c r="EU51" t="e">
        <f>AND('GA55 Entry'!#REF!,"AAAAAF/7y5Y=")</f>
        <v>#REF!</v>
      </c>
      <c r="EV51" t="e">
        <f>AND('GA55 Entry'!#REF!,"AAAAAF/7y5c=")</f>
        <v>#REF!</v>
      </c>
      <c r="EW51" t="e">
        <f>AND('GA55 Entry'!#REF!,"AAAAAF/7y5g=")</f>
        <v>#REF!</v>
      </c>
      <c r="EX51" t="e">
        <f>AND('GA55 Entry'!#REF!,"AAAAAF/7y5k=")</f>
        <v>#REF!</v>
      </c>
      <c r="EY51" t="e">
        <f>AND('GA55 Entry'!#REF!,"AAAAAF/7y5o=")</f>
        <v>#REF!</v>
      </c>
      <c r="EZ51" t="e">
        <f>AND('GA55 Entry'!#REF!,"AAAAAF/7y5s=")</f>
        <v>#REF!</v>
      </c>
      <c r="FA51" t="e">
        <f>AND('GA55 Entry'!#REF!,"AAAAAF/7y5w=")</f>
        <v>#REF!</v>
      </c>
      <c r="FB51" t="e">
        <f>AND('GA55 Entry'!#REF!,"AAAAAF/7y50=")</f>
        <v>#REF!</v>
      </c>
      <c r="FC51" t="e">
        <f>AND('GA55 Entry'!#REF!,"AAAAAF/7y54=")</f>
        <v>#REF!</v>
      </c>
      <c r="FD51" t="e">
        <f>AND('GA55 Entry'!#REF!,"AAAAAF/7y58=")</f>
        <v>#REF!</v>
      </c>
      <c r="FE51" t="e">
        <f>AND('GA55 Entry'!#REF!,"AAAAAF/7y6A=")</f>
        <v>#REF!</v>
      </c>
      <c r="FF51" t="e">
        <f>AND('GA55 Entry'!#REF!,"AAAAAF/7y6E=")</f>
        <v>#REF!</v>
      </c>
      <c r="FG51" t="e">
        <f>AND('GA55 Entry'!#REF!,"AAAAAF/7y6I=")</f>
        <v>#REF!</v>
      </c>
      <c r="FH51" t="e">
        <f>AND('GA55 Entry'!#REF!,"AAAAAF/7y6M=")</f>
        <v>#REF!</v>
      </c>
      <c r="FI51" t="e">
        <f>AND('GA55 Entry'!#REF!,"AAAAAF/7y6Q=")</f>
        <v>#REF!</v>
      </c>
      <c r="FJ51" t="e">
        <f>AND('GA55 Entry'!#REF!,"AAAAAF/7y6U=")</f>
        <v>#REF!</v>
      </c>
      <c r="FK51" t="e">
        <f>AND('GA55 Entry'!#REF!,"AAAAAF/7y6Y=")</f>
        <v>#REF!</v>
      </c>
      <c r="FL51" t="e">
        <f>AND('GA55 Entry'!#REF!,"AAAAAF/7y6c=")</f>
        <v>#REF!</v>
      </c>
      <c r="FM51" t="e">
        <f>AND('GA55 Entry'!#REF!,"AAAAAF/7y6g=")</f>
        <v>#REF!</v>
      </c>
      <c r="FN51" t="e">
        <f>AND('GA55 Entry'!#REF!,"AAAAAF/7y6k=")</f>
        <v>#REF!</v>
      </c>
      <c r="FO51" t="e">
        <f>AND('GA55 Entry'!#REF!,"AAAAAF/7y6o=")</f>
        <v>#REF!</v>
      </c>
      <c r="FP51" t="e">
        <f>AND('GA55 Entry'!#REF!,"AAAAAF/7y6s=")</f>
        <v>#REF!</v>
      </c>
      <c r="FQ51" t="e">
        <f>AND('GA55 Entry'!#REF!,"AAAAAF/7y6w=")</f>
        <v>#REF!</v>
      </c>
      <c r="FR51" t="e">
        <f>AND('GA55 Entry'!#REF!,"AAAAAF/7y60=")</f>
        <v>#REF!</v>
      </c>
      <c r="FS51" t="e">
        <f>AND('GA55 Entry'!#REF!,"AAAAAF/7y64=")</f>
        <v>#REF!</v>
      </c>
      <c r="FT51" t="e">
        <f>AND('GA55 Entry'!#REF!,"AAAAAF/7y68=")</f>
        <v>#REF!</v>
      </c>
      <c r="FU51" t="e">
        <f>AND('GA55 Entry'!#REF!,"AAAAAF/7y7A=")</f>
        <v>#REF!</v>
      </c>
      <c r="FV51" t="e">
        <f>AND('GA55 Entry'!#REF!,"AAAAAF/7y7E=")</f>
        <v>#REF!</v>
      </c>
      <c r="FW51" t="e">
        <f>AND('GA55 Entry'!#REF!,"AAAAAF/7y7I=")</f>
        <v>#REF!</v>
      </c>
      <c r="FX51" t="e">
        <f>AND('GA55 Entry'!#REF!,"AAAAAF/7y7M=")</f>
        <v>#REF!</v>
      </c>
      <c r="FY51" t="e">
        <f>AND('GA55 Entry'!#REF!,"AAAAAF/7y7Q=")</f>
        <v>#REF!</v>
      </c>
      <c r="FZ51" t="e">
        <f>AND('GA55 Entry'!#REF!,"AAAAAF/7y7U=")</f>
        <v>#REF!</v>
      </c>
      <c r="GA51" t="e">
        <f>AND('GA55 Entry'!#REF!,"AAAAAF/7y7Y=")</f>
        <v>#REF!</v>
      </c>
      <c r="GB51" t="e">
        <f>AND('GA55 Entry'!#REF!,"AAAAAF/7y7c=")</f>
        <v>#REF!</v>
      </c>
      <c r="GC51" t="e">
        <f>AND('GA55 Entry'!#REF!,"AAAAAF/7y7g=")</f>
        <v>#REF!</v>
      </c>
      <c r="GD51" t="e">
        <f>AND('GA55 Entry'!#REF!,"AAAAAF/7y7k=")</f>
        <v>#REF!</v>
      </c>
      <c r="GE51" t="e">
        <f>AND('GA55 Entry'!#REF!,"AAAAAF/7y7o=")</f>
        <v>#REF!</v>
      </c>
      <c r="GF51" t="e">
        <f>AND('GA55 Entry'!#REF!,"AAAAAF/7y7s=")</f>
        <v>#REF!</v>
      </c>
      <c r="GG51" t="e">
        <f>AND('GA55 Entry'!#REF!,"AAAAAF/7y7w=")</f>
        <v>#REF!</v>
      </c>
      <c r="GH51" t="e">
        <f>AND('GA55 Entry'!#REF!,"AAAAAF/7y70=")</f>
        <v>#REF!</v>
      </c>
      <c r="GI51" t="e">
        <f>AND('GA55 Entry'!#REF!,"AAAAAF/7y74=")</f>
        <v>#REF!</v>
      </c>
      <c r="GJ51" t="e">
        <f>AND('GA55 Entry'!#REF!,"AAAAAF/7y78=")</f>
        <v>#REF!</v>
      </c>
      <c r="GK51" t="e">
        <f>AND('GA55 Entry'!#REF!,"AAAAAF/7y8A=")</f>
        <v>#REF!</v>
      </c>
      <c r="GL51" t="e">
        <f>IF('GA55 Entry'!#REF!,"AAAAAF/7y8E=",0)</f>
        <v>#REF!</v>
      </c>
      <c r="GM51" t="e">
        <f>AND('GA55 Entry'!#REF!,"AAAAAF/7y8I=")</f>
        <v>#REF!</v>
      </c>
      <c r="GN51" t="e">
        <f>AND('GA55 Entry'!#REF!,"AAAAAF/7y8M=")</f>
        <v>#REF!</v>
      </c>
      <c r="GO51" t="e">
        <f>AND('GA55 Entry'!#REF!,"AAAAAF/7y8Q=")</f>
        <v>#REF!</v>
      </c>
      <c r="GP51" t="e">
        <f>AND('GA55 Entry'!#REF!,"AAAAAF/7y8U=")</f>
        <v>#REF!</v>
      </c>
      <c r="GQ51" t="e">
        <f>AND('GA55 Entry'!#REF!,"AAAAAF/7y8Y=")</f>
        <v>#REF!</v>
      </c>
      <c r="GR51" t="e">
        <f>AND('GA55 Entry'!#REF!,"AAAAAF/7y8c=")</f>
        <v>#REF!</v>
      </c>
      <c r="GS51" t="e">
        <f>AND('GA55 Entry'!#REF!,"AAAAAF/7y8g=")</f>
        <v>#REF!</v>
      </c>
      <c r="GT51" t="e">
        <f>AND('GA55 Entry'!#REF!,"AAAAAF/7y8k=")</f>
        <v>#REF!</v>
      </c>
      <c r="GU51" t="e">
        <f>AND('GA55 Entry'!#REF!,"AAAAAF/7y8o=")</f>
        <v>#REF!</v>
      </c>
      <c r="GV51" t="e">
        <f>AND('GA55 Entry'!#REF!,"AAAAAF/7y8s=")</f>
        <v>#REF!</v>
      </c>
      <c r="GW51" t="e">
        <f>AND('GA55 Entry'!#REF!,"AAAAAF/7y8w=")</f>
        <v>#REF!</v>
      </c>
      <c r="GX51" t="e">
        <f>AND('GA55 Entry'!#REF!,"AAAAAF/7y80=")</f>
        <v>#REF!</v>
      </c>
      <c r="GY51" t="e">
        <f>AND('GA55 Entry'!#REF!,"AAAAAF/7y84=")</f>
        <v>#REF!</v>
      </c>
      <c r="GZ51" t="e">
        <f>AND('GA55 Entry'!#REF!,"AAAAAF/7y88=")</f>
        <v>#REF!</v>
      </c>
      <c r="HA51" t="e">
        <f>AND('GA55 Entry'!#REF!,"AAAAAF/7y9A=")</f>
        <v>#REF!</v>
      </c>
      <c r="HB51" t="e">
        <f>AND('GA55 Entry'!#REF!,"AAAAAF/7y9E=")</f>
        <v>#REF!</v>
      </c>
      <c r="HC51" t="e">
        <f>AND('GA55 Entry'!#REF!,"AAAAAF/7y9I=")</f>
        <v>#REF!</v>
      </c>
      <c r="HD51" t="e">
        <f>AND('GA55 Entry'!#REF!,"AAAAAF/7y9M=")</f>
        <v>#REF!</v>
      </c>
      <c r="HE51" t="e">
        <f>AND('GA55 Entry'!#REF!,"AAAAAF/7y9Q=")</f>
        <v>#REF!</v>
      </c>
      <c r="HF51" t="e">
        <f>AND('GA55 Entry'!#REF!,"AAAAAF/7y9U=")</f>
        <v>#REF!</v>
      </c>
      <c r="HG51" t="e">
        <f>AND('GA55 Entry'!#REF!,"AAAAAF/7y9Y=")</f>
        <v>#REF!</v>
      </c>
      <c r="HH51" t="e">
        <f>AND('GA55 Entry'!#REF!,"AAAAAF/7y9c=")</f>
        <v>#REF!</v>
      </c>
      <c r="HI51" t="e">
        <f>AND('GA55 Entry'!#REF!,"AAAAAF/7y9g=")</f>
        <v>#REF!</v>
      </c>
      <c r="HJ51" t="e">
        <f>AND('GA55 Entry'!#REF!,"AAAAAF/7y9k=")</f>
        <v>#REF!</v>
      </c>
      <c r="HK51" t="e">
        <f>AND('GA55 Entry'!#REF!,"AAAAAF/7y9o=")</f>
        <v>#REF!</v>
      </c>
      <c r="HL51" t="e">
        <f>AND('GA55 Entry'!#REF!,"AAAAAF/7y9s=")</f>
        <v>#REF!</v>
      </c>
      <c r="HM51" t="e">
        <f>AND('GA55 Entry'!#REF!,"AAAAAF/7y9w=")</f>
        <v>#REF!</v>
      </c>
      <c r="HN51" t="e">
        <f>AND('GA55 Entry'!#REF!,"AAAAAF/7y90=")</f>
        <v>#REF!</v>
      </c>
      <c r="HO51" t="e">
        <f>AND('GA55 Entry'!#REF!,"AAAAAF/7y94=")</f>
        <v>#REF!</v>
      </c>
      <c r="HP51" t="e">
        <f>AND('GA55 Entry'!#REF!,"AAAAAF/7y98=")</f>
        <v>#REF!</v>
      </c>
      <c r="HQ51" t="e">
        <f>AND('GA55 Entry'!#REF!,"AAAAAF/7y+A=")</f>
        <v>#REF!</v>
      </c>
      <c r="HR51" t="e">
        <f>AND('GA55 Entry'!#REF!,"AAAAAF/7y+E=")</f>
        <v>#REF!</v>
      </c>
      <c r="HS51" t="e">
        <f>AND('GA55 Entry'!#REF!,"AAAAAF/7y+I=")</f>
        <v>#REF!</v>
      </c>
      <c r="HT51" t="e">
        <f>AND('GA55 Entry'!#REF!,"AAAAAF/7y+M=")</f>
        <v>#REF!</v>
      </c>
      <c r="HU51" t="e">
        <f>AND('GA55 Entry'!#REF!,"AAAAAF/7y+Q=")</f>
        <v>#REF!</v>
      </c>
      <c r="HV51" t="e">
        <f>AND('GA55 Entry'!#REF!,"AAAAAF/7y+U=")</f>
        <v>#REF!</v>
      </c>
      <c r="HW51" t="e">
        <f>AND('GA55 Entry'!#REF!,"AAAAAF/7y+Y=")</f>
        <v>#REF!</v>
      </c>
      <c r="HX51" t="e">
        <f>AND('GA55 Entry'!#REF!,"AAAAAF/7y+c=")</f>
        <v>#REF!</v>
      </c>
      <c r="HY51" t="e">
        <f>AND('GA55 Entry'!#REF!,"AAAAAF/7y+g=")</f>
        <v>#REF!</v>
      </c>
      <c r="HZ51" t="e">
        <f>AND('GA55 Entry'!#REF!,"AAAAAF/7y+k=")</f>
        <v>#REF!</v>
      </c>
      <c r="IA51" t="e">
        <f>AND('GA55 Entry'!#REF!,"AAAAAF/7y+o=")</f>
        <v>#REF!</v>
      </c>
      <c r="IB51" t="e">
        <f>AND('GA55 Entry'!#REF!,"AAAAAF/7y+s=")</f>
        <v>#REF!</v>
      </c>
      <c r="IC51" t="e">
        <f>AND('GA55 Entry'!#REF!,"AAAAAF/7y+w=")</f>
        <v>#REF!</v>
      </c>
      <c r="ID51" t="e">
        <f>AND('GA55 Entry'!#REF!,"AAAAAF/7y+0=")</f>
        <v>#REF!</v>
      </c>
      <c r="IE51" t="e">
        <f>AND('GA55 Entry'!#REF!,"AAAAAF/7y+4=")</f>
        <v>#REF!</v>
      </c>
      <c r="IF51" t="e">
        <f>AND('GA55 Entry'!#REF!,"AAAAAF/7y+8=")</f>
        <v>#REF!</v>
      </c>
      <c r="IG51" t="e">
        <f>AND('GA55 Entry'!#REF!,"AAAAAF/7y/A=")</f>
        <v>#REF!</v>
      </c>
      <c r="IH51" t="e">
        <f>AND('GA55 Entry'!#REF!,"AAAAAF/7y/E=")</f>
        <v>#REF!</v>
      </c>
      <c r="II51" t="e">
        <f>AND('GA55 Entry'!#REF!,"AAAAAF/7y/I=")</f>
        <v>#REF!</v>
      </c>
      <c r="IJ51" t="e">
        <f>AND('GA55 Entry'!#REF!,"AAAAAF/7y/M=")</f>
        <v>#REF!</v>
      </c>
      <c r="IK51" t="e">
        <f>IF('GA55 Entry'!#REF!,"AAAAAF/7y/Q=",0)</f>
        <v>#REF!</v>
      </c>
      <c r="IL51" t="e">
        <f>AND('GA55 Entry'!#REF!,"AAAAAF/7y/U=")</f>
        <v>#REF!</v>
      </c>
      <c r="IM51" t="e">
        <f>AND('GA55 Entry'!#REF!,"AAAAAF/7y/Y=")</f>
        <v>#REF!</v>
      </c>
      <c r="IN51" t="e">
        <f>AND('GA55 Entry'!#REF!,"AAAAAF/7y/c=")</f>
        <v>#REF!</v>
      </c>
      <c r="IO51" t="e">
        <f>AND('GA55 Entry'!#REF!,"AAAAAF/7y/g=")</f>
        <v>#REF!</v>
      </c>
      <c r="IP51" t="e">
        <f>AND('GA55 Entry'!#REF!,"AAAAAF/7y/k=")</f>
        <v>#REF!</v>
      </c>
      <c r="IQ51" t="e">
        <f>AND('GA55 Entry'!#REF!,"AAAAAF/7y/o=")</f>
        <v>#REF!</v>
      </c>
      <c r="IR51" t="e">
        <f>AND('GA55 Entry'!#REF!,"AAAAAF/7y/s=")</f>
        <v>#REF!</v>
      </c>
      <c r="IS51" t="e">
        <f>AND('GA55 Entry'!#REF!,"AAAAAF/7y/w=")</f>
        <v>#REF!</v>
      </c>
      <c r="IT51" t="e">
        <f>AND('GA55 Entry'!#REF!,"AAAAAF/7y/0=")</f>
        <v>#REF!</v>
      </c>
      <c r="IU51" t="e">
        <f>AND('GA55 Entry'!#REF!,"AAAAAF/7y/4=")</f>
        <v>#REF!</v>
      </c>
      <c r="IV51" t="e">
        <f>AND('GA55 Entry'!#REF!,"AAAAAF/7y/8=")</f>
        <v>#REF!</v>
      </c>
    </row>
    <row r="52" spans="1:256">
      <c r="A52" t="e">
        <f>AND('GA55 Entry'!#REF!,"AAAAAH/7XAA=")</f>
        <v>#REF!</v>
      </c>
      <c r="B52" t="e">
        <f>AND('GA55 Entry'!#REF!,"AAAAAH/7XAE=")</f>
        <v>#REF!</v>
      </c>
      <c r="C52" t="e">
        <f>AND('GA55 Entry'!#REF!,"AAAAAH/7XAI=")</f>
        <v>#REF!</v>
      </c>
      <c r="D52" t="e">
        <f>AND('GA55 Entry'!#REF!,"AAAAAH/7XAM=")</f>
        <v>#REF!</v>
      </c>
      <c r="E52" t="e">
        <f>AND('GA55 Entry'!#REF!,"AAAAAH/7XAQ=")</f>
        <v>#REF!</v>
      </c>
      <c r="F52" t="e">
        <f>AND('GA55 Entry'!#REF!,"AAAAAH/7XAU=")</f>
        <v>#REF!</v>
      </c>
      <c r="G52" t="e">
        <f>AND('GA55 Entry'!#REF!,"AAAAAH/7XAY=")</f>
        <v>#REF!</v>
      </c>
      <c r="H52" t="e">
        <f>AND('GA55 Entry'!#REF!,"AAAAAH/7XAc=")</f>
        <v>#REF!</v>
      </c>
      <c r="I52" t="e">
        <f>AND('GA55 Entry'!#REF!,"AAAAAH/7XAg=")</f>
        <v>#REF!</v>
      </c>
      <c r="J52" t="e">
        <f>AND('GA55 Entry'!#REF!,"AAAAAH/7XAk=")</f>
        <v>#REF!</v>
      </c>
      <c r="K52" t="e">
        <f>AND('GA55 Entry'!#REF!,"AAAAAH/7XAo=")</f>
        <v>#REF!</v>
      </c>
      <c r="L52" t="e">
        <f>AND('GA55 Entry'!#REF!,"AAAAAH/7XAs=")</f>
        <v>#REF!</v>
      </c>
      <c r="M52" t="e">
        <f>AND('GA55 Entry'!#REF!,"AAAAAH/7XAw=")</f>
        <v>#REF!</v>
      </c>
      <c r="N52" t="e">
        <f>AND('GA55 Entry'!#REF!,"AAAAAH/7XA0=")</f>
        <v>#REF!</v>
      </c>
      <c r="O52" t="e">
        <f>AND('GA55 Entry'!#REF!,"AAAAAH/7XA4=")</f>
        <v>#REF!</v>
      </c>
      <c r="P52" t="e">
        <f>AND('GA55 Entry'!#REF!,"AAAAAH/7XA8=")</f>
        <v>#REF!</v>
      </c>
      <c r="Q52" t="e">
        <f>AND('GA55 Entry'!#REF!,"AAAAAH/7XBA=")</f>
        <v>#REF!</v>
      </c>
      <c r="R52" t="e">
        <f>AND('GA55 Entry'!#REF!,"AAAAAH/7XBE=")</f>
        <v>#REF!</v>
      </c>
      <c r="S52" t="e">
        <f>AND('GA55 Entry'!#REF!,"AAAAAH/7XBI=")</f>
        <v>#REF!</v>
      </c>
      <c r="T52" t="e">
        <f>AND('GA55 Entry'!#REF!,"AAAAAH/7XBM=")</f>
        <v>#REF!</v>
      </c>
      <c r="U52" t="e">
        <f>AND('GA55 Entry'!#REF!,"AAAAAH/7XBQ=")</f>
        <v>#REF!</v>
      </c>
      <c r="V52" t="e">
        <f>AND('GA55 Entry'!#REF!,"AAAAAH/7XBU=")</f>
        <v>#REF!</v>
      </c>
      <c r="W52" t="e">
        <f>AND('GA55 Entry'!#REF!,"AAAAAH/7XBY=")</f>
        <v>#REF!</v>
      </c>
      <c r="X52" t="e">
        <f>AND('GA55 Entry'!#REF!,"AAAAAH/7XBc=")</f>
        <v>#REF!</v>
      </c>
      <c r="Y52" t="e">
        <f>AND('GA55 Entry'!#REF!,"AAAAAH/7XBg=")</f>
        <v>#REF!</v>
      </c>
      <c r="Z52" t="e">
        <f>AND('GA55 Entry'!#REF!,"AAAAAH/7XBk=")</f>
        <v>#REF!</v>
      </c>
      <c r="AA52" t="e">
        <f>AND('GA55 Entry'!#REF!,"AAAAAH/7XBo=")</f>
        <v>#REF!</v>
      </c>
      <c r="AB52" t="e">
        <f>AND('GA55 Entry'!#REF!,"AAAAAH/7XBs=")</f>
        <v>#REF!</v>
      </c>
      <c r="AC52" t="e">
        <f>AND('GA55 Entry'!#REF!,"AAAAAH/7XBw=")</f>
        <v>#REF!</v>
      </c>
      <c r="AD52" t="e">
        <f>AND('GA55 Entry'!#REF!,"AAAAAH/7XB0=")</f>
        <v>#REF!</v>
      </c>
      <c r="AE52" t="e">
        <f>AND('GA55 Entry'!#REF!,"AAAAAH/7XB4=")</f>
        <v>#REF!</v>
      </c>
      <c r="AF52" t="e">
        <f>AND('GA55 Entry'!#REF!,"AAAAAH/7XB8=")</f>
        <v>#REF!</v>
      </c>
      <c r="AG52" t="e">
        <f>AND('GA55 Entry'!#REF!,"AAAAAH/7XCA=")</f>
        <v>#REF!</v>
      </c>
      <c r="AH52" t="e">
        <f>AND('GA55 Entry'!#REF!,"AAAAAH/7XCE=")</f>
        <v>#REF!</v>
      </c>
      <c r="AI52" t="e">
        <f>AND('GA55 Entry'!#REF!,"AAAAAH/7XCI=")</f>
        <v>#REF!</v>
      </c>
      <c r="AJ52" t="e">
        <f>AND('GA55 Entry'!#REF!,"AAAAAH/7XCM=")</f>
        <v>#REF!</v>
      </c>
      <c r="AK52" t="e">
        <f>AND('GA55 Entry'!#REF!,"AAAAAH/7XCQ=")</f>
        <v>#REF!</v>
      </c>
      <c r="AL52" t="e">
        <f>AND('GA55 Entry'!#REF!,"AAAAAH/7XCU=")</f>
        <v>#REF!</v>
      </c>
      <c r="AM52" t="e">
        <f>AND('GA55 Entry'!#REF!,"AAAAAH/7XCY=")</f>
        <v>#REF!</v>
      </c>
      <c r="AN52" t="e">
        <f>IF('GA55 Entry'!#REF!,"AAAAAH/7XCc=",0)</f>
        <v>#REF!</v>
      </c>
      <c r="AO52" t="e">
        <f>AND('GA55 Entry'!#REF!,"AAAAAH/7XCg=")</f>
        <v>#REF!</v>
      </c>
      <c r="AP52" t="e">
        <f>AND('GA55 Entry'!#REF!,"AAAAAH/7XCk=")</f>
        <v>#REF!</v>
      </c>
      <c r="AQ52" t="e">
        <f>AND('GA55 Entry'!#REF!,"AAAAAH/7XCo=")</f>
        <v>#REF!</v>
      </c>
      <c r="AR52" t="e">
        <f>AND('GA55 Entry'!#REF!,"AAAAAH/7XCs=")</f>
        <v>#REF!</v>
      </c>
      <c r="AS52" t="e">
        <f>AND('GA55 Entry'!#REF!,"AAAAAH/7XCw=")</f>
        <v>#REF!</v>
      </c>
      <c r="AT52" t="e">
        <f>AND('GA55 Entry'!#REF!,"AAAAAH/7XC0=")</f>
        <v>#REF!</v>
      </c>
      <c r="AU52" t="e">
        <f>AND('GA55 Entry'!#REF!,"AAAAAH/7XC4=")</f>
        <v>#REF!</v>
      </c>
      <c r="AV52" t="e">
        <f>AND('GA55 Entry'!#REF!,"AAAAAH/7XC8=")</f>
        <v>#REF!</v>
      </c>
      <c r="AW52" t="e">
        <f>AND('GA55 Entry'!#REF!,"AAAAAH/7XDA=")</f>
        <v>#REF!</v>
      </c>
      <c r="AX52" t="e">
        <f>AND('GA55 Entry'!#REF!,"AAAAAH/7XDE=")</f>
        <v>#REF!</v>
      </c>
      <c r="AY52" t="e">
        <f>AND('GA55 Entry'!#REF!,"AAAAAH/7XDI=")</f>
        <v>#REF!</v>
      </c>
      <c r="AZ52" t="e">
        <f>AND('GA55 Entry'!#REF!,"AAAAAH/7XDM=")</f>
        <v>#REF!</v>
      </c>
      <c r="BA52" t="e">
        <f>AND('GA55 Entry'!#REF!,"AAAAAH/7XDQ=")</f>
        <v>#REF!</v>
      </c>
      <c r="BB52" t="e">
        <f>AND('GA55 Entry'!#REF!,"AAAAAH/7XDU=")</f>
        <v>#REF!</v>
      </c>
      <c r="BC52" t="e">
        <f>AND('GA55 Entry'!#REF!,"AAAAAH/7XDY=")</f>
        <v>#REF!</v>
      </c>
      <c r="BD52" t="e">
        <f>AND('GA55 Entry'!#REF!,"AAAAAH/7XDc=")</f>
        <v>#REF!</v>
      </c>
      <c r="BE52" t="e">
        <f>AND('GA55 Entry'!#REF!,"AAAAAH/7XDg=")</f>
        <v>#REF!</v>
      </c>
      <c r="BF52" t="e">
        <f>AND('GA55 Entry'!#REF!,"AAAAAH/7XDk=")</f>
        <v>#REF!</v>
      </c>
      <c r="BG52" t="e">
        <f>AND('GA55 Entry'!#REF!,"AAAAAH/7XDo=")</f>
        <v>#REF!</v>
      </c>
      <c r="BH52" t="e">
        <f>AND('GA55 Entry'!#REF!,"AAAAAH/7XDs=")</f>
        <v>#REF!</v>
      </c>
      <c r="BI52" t="e">
        <f>AND('GA55 Entry'!#REF!,"AAAAAH/7XDw=")</f>
        <v>#REF!</v>
      </c>
      <c r="BJ52" t="e">
        <f>AND('GA55 Entry'!#REF!,"AAAAAH/7XD0=")</f>
        <v>#REF!</v>
      </c>
      <c r="BK52" t="e">
        <f>AND('GA55 Entry'!#REF!,"AAAAAH/7XD4=")</f>
        <v>#REF!</v>
      </c>
      <c r="BL52" t="e">
        <f>AND('GA55 Entry'!#REF!,"AAAAAH/7XD8=")</f>
        <v>#REF!</v>
      </c>
      <c r="BM52" t="e">
        <f>AND('GA55 Entry'!#REF!,"AAAAAH/7XEA=")</f>
        <v>#REF!</v>
      </c>
      <c r="BN52" t="e">
        <f>AND('GA55 Entry'!#REF!,"AAAAAH/7XEE=")</f>
        <v>#REF!</v>
      </c>
      <c r="BO52" t="e">
        <f>AND('GA55 Entry'!#REF!,"AAAAAH/7XEI=")</f>
        <v>#REF!</v>
      </c>
      <c r="BP52" t="e">
        <f>AND('GA55 Entry'!#REF!,"AAAAAH/7XEM=")</f>
        <v>#REF!</v>
      </c>
      <c r="BQ52" t="e">
        <f>AND('GA55 Entry'!#REF!,"AAAAAH/7XEQ=")</f>
        <v>#REF!</v>
      </c>
      <c r="BR52" t="e">
        <f>AND('GA55 Entry'!#REF!,"AAAAAH/7XEU=")</f>
        <v>#REF!</v>
      </c>
      <c r="BS52" t="e">
        <f>AND('GA55 Entry'!#REF!,"AAAAAH/7XEY=")</f>
        <v>#REF!</v>
      </c>
      <c r="BT52" t="e">
        <f>AND('GA55 Entry'!#REF!,"AAAAAH/7XEc=")</f>
        <v>#REF!</v>
      </c>
      <c r="BU52" t="e">
        <f>AND('GA55 Entry'!#REF!,"AAAAAH/7XEg=")</f>
        <v>#REF!</v>
      </c>
      <c r="BV52" t="e">
        <f>AND('GA55 Entry'!#REF!,"AAAAAH/7XEk=")</f>
        <v>#REF!</v>
      </c>
      <c r="BW52" t="e">
        <f>AND('GA55 Entry'!#REF!,"AAAAAH/7XEo=")</f>
        <v>#REF!</v>
      </c>
      <c r="BX52" t="e">
        <f>AND('GA55 Entry'!#REF!,"AAAAAH/7XEs=")</f>
        <v>#REF!</v>
      </c>
      <c r="BY52" t="e">
        <f>AND('GA55 Entry'!#REF!,"AAAAAH/7XEw=")</f>
        <v>#REF!</v>
      </c>
      <c r="BZ52" t="e">
        <f>AND('GA55 Entry'!#REF!,"AAAAAH/7XE0=")</f>
        <v>#REF!</v>
      </c>
      <c r="CA52" t="e">
        <f>AND('GA55 Entry'!#REF!,"AAAAAH/7XE4=")</f>
        <v>#REF!</v>
      </c>
      <c r="CB52" t="e">
        <f>AND('GA55 Entry'!#REF!,"AAAAAH/7XE8=")</f>
        <v>#REF!</v>
      </c>
      <c r="CC52" t="e">
        <f>AND('GA55 Entry'!#REF!,"AAAAAH/7XFA=")</f>
        <v>#REF!</v>
      </c>
      <c r="CD52" t="e">
        <f>AND('GA55 Entry'!#REF!,"AAAAAH/7XFE=")</f>
        <v>#REF!</v>
      </c>
      <c r="CE52" t="e">
        <f>AND('GA55 Entry'!#REF!,"AAAAAH/7XFI=")</f>
        <v>#REF!</v>
      </c>
      <c r="CF52" t="e">
        <f>AND('GA55 Entry'!#REF!,"AAAAAH/7XFM=")</f>
        <v>#REF!</v>
      </c>
      <c r="CG52" t="e">
        <f>AND('GA55 Entry'!#REF!,"AAAAAH/7XFQ=")</f>
        <v>#REF!</v>
      </c>
      <c r="CH52" t="e">
        <f>AND('GA55 Entry'!#REF!,"AAAAAH/7XFU=")</f>
        <v>#REF!</v>
      </c>
      <c r="CI52" t="e">
        <f>AND('GA55 Entry'!#REF!,"AAAAAH/7XFY=")</f>
        <v>#REF!</v>
      </c>
      <c r="CJ52" t="e">
        <f>AND('GA55 Entry'!#REF!,"AAAAAH/7XFc=")</f>
        <v>#REF!</v>
      </c>
      <c r="CK52" t="e">
        <f>AND('GA55 Entry'!#REF!,"AAAAAH/7XFg=")</f>
        <v>#REF!</v>
      </c>
      <c r="CL52" t="e">
        <f>AND('GA55 Entry'!#REF!,"AAAAAH/7XFk=")</f>
        <v>#REF!</v>
      </c>
      <c r="CM52" t="e">
        <f>IF('GA55 Entry'!#REF!,"AAAAAH/7XFo=",0)</f>
        <v>#REF!</v>
      </c>
      <c r="CN52" t="e">
        <f>AND('GA55 Entry'!#REF!,"AAAAAH/7XFs=")</f>
        <v>#REF!</v>
      </c>
      <c r="CO52" t="e">
        <f>AND('GA55 Entry'!#REF!,"AAAAAH/7XFw=")</f>
        <v>#REF!</v>
      </c>
      <c r="CP52" t="e">
        <f>AND('GA55 Entry'!#REF!,"AAAAAH/7XF0=")</f>
        <v>#REF!</v>
      </c>
      <c r="CQ52" t="e">
        <f>AND('GA55 Entry'!#REF!,"AAAAAH/7XF4=")</f>
        <v>#REF!</v>
      </c>
      <c r="CR52" t="e">
        <f>AND('GA55 Entry'!#REF!,"AAAAAH/7XF8=")</f>
        <v>#REF!</v>
      </c>
      <c r="CS52" t="e">
        <f>AND('GA55 Entry'!#REF!,"AAAAAH/7XGA=")</f>
        <v>#REF!</v>
      </c>
      <c r="CT52" t="e">
        <f>AND('GA55 Entry'!#REF!,"AAAAAH/7XGE=")</f>
        <v>#REF!</v>
      </c>
      <c r="CU52" t="e">
        <f>AND('GA55 Entry'!#REF!,"AAAAAH/7XGI=")</f>
        <v>#REF!</v>
      </c>
      <c r="CV52" t="e">
        <f>AND('GA55 Entry'!#REF!,"AAAAAH/7XGM=")</f>
        <v>#REF!</v>
      </c>
      <c r="CW52" t="e">
        <f>AND('GA55 Entry'!#REF!,"AAAAAH/7XGQ=")</f>
        <v>#REF!</v>
      </c>
      <c r="CX52" t="e">
        <f>AND('GA55 Entry'!#REF!,"AAAAAH/7XGU=")</f>
        <v>#REF!</v>
      </c>
      <c r="CY52" t="e">
        <f>AND('GA55 Entry'!#REF!,"AAAAAH/7XGY=")</f>
        <v>#REF!</v>
      </c>
      <c r="CZ52" t="e">
        <f>AND('GA55 Entry'!#REF!,"AAAAAH/7XGc=")</f>
        <v>#REF!</v>
      </c>
      <c r="DA52" t="e">
        <f>AND('GA55 Entry'!#REF!,"AAAAAH/7XGg=")</f>
        <v>#REF!</v>
      </c>
      <c r="DB52" t="e">
        <f>AND('GA55 Entry'!#REF!,"AAAAAH/7XGk=")</f>
        <v>#REF!</v>
      </c>
      <c r="DC52" t="e">
        <f>AND('GA55 Entry'!#REF!,"AAAAAH/7XGo=")</f>
        <v>#REF!</v>
      </c>
      <c r="DD52" t="e">
        <f>AND('GA55 Entry'!#REF!,"AAAAAH/7XGs=")</f>
        <v>#REF!</v>
      </c>
      <c r="DE52" t="e">
        <f>AND('GA55 Entry'!#REF!,"AAAAAH/7XGw=")</f>
        <v>#REF!</v>
      </c>
      <c r="DF52" t="e">
        <f>AND('GA55 Entry'!#REF!,"AAAAAH/7XG0=")</f>
        <v>#REF!</v>
      </c>
      <c r="DG52" t="e">
        <f>AND('GA55 Entry'!#REF!,"AAAAAH/7XG4=")</f>
        <v>#REF!</v>
      </c>
      <c r="DH52" t="e">
        <f>AND('GA55 Entry'!#REF!,"AAAAAH/7XG8=")</f>
        <v>#REF!</v>
      </c>
      <c r="DI52" t="e">
        <f>AND('GA55 Entry'!#REF!,"AAAAAH/7XHA=")</f>
        <v>#REF!</v>
      </c>
      <c r="DJ52" t="e">
        <f>AND('GA55 Entry'!#REF!,"AAAAAH/7XHE=")</f>
        <v>#REF!</v>
      </c>
      <c r="DK52" t="e">
        <f>AND('GA55 Entry'!#REF!,"AAAAAH/7XHI=")</f>
        <v>#REF!</v>
      </c>
      <c r="DL52" t="e">
        <f>AND('GA55 Entry'!#REF!,"AAAAAH/7XHM=")</f>
        <v>#REF!</v>
      </c>
      <c r="DM52" t="e">
        <f>AND('GA55 Entry'!#REF!,"AAAAAH/7XHQ=")</f>
        <v>#REF!</v>
      </c>
      <c r="DN52" t="e">
        <f>AND('GA55 Entry'!#REF!,"AAAAAH/7XHU=")</f>
        <v>#REF!</v>
      </c>
      <c r="DO52" t="e">
        <f>AND('GA55 Entry'!#REF!,"AAAAAH/7XHY=")</f>
        <v>#REF!</v>
      </c>
      <c r="DP52" t="e">
        <f>AND('GA55 Entry'!#REF!,"AAAAAH/7XHc=")</f>
        <v>#REF!</v>
      </c>
      <c r="DQ52" t="e">
        <f>AND('GA55 Entry'!#REF!,"AAAAAH/7XHg=")</f>
        <v>#REF!</v>
      </c>
      <c r="DR52" t="e">
        <f>AND('GA55 Entry'!#REF!,"AAAAAH/7XHk=")</f>
        <v>#REF!</v>
      </c>
      <c r="DS52" t="e">
        <f>AND('GA55 Entry'!#REF!,"AAAAAH/7XHo=")</f>
        <v>#REF!</v>
      </c>
      <c r="DT52" t="e">
        <f>AND('GA55 Entry'!#REF!,"AAAAAH/7XHs=")</f>
        <v>#REF!</v>
      </c>
      <c r="DU52" t="e">
        <f>AND('GA55 Entry'!#REF!,"AAAAAH/7XHw=")</f>
        <v>#REF!</v>
      </c>
      <c r="DV52" t="e">
        <f>AND('GA55 Entry'!#REF!,"AAAAAH/7XH0=")</f>
        <v>#REF!</v>
      </c>
      <c r="DW52" t="e">
        <f>AND('GA55 Entry'!#REF!,"AAAAAH/7XH4=")</f>
        <v>#REF!</v>
      </c>
      <c r="DX52" t="e">
        <f>AND('GA55 Entry'!#REF!,"AAAAAH/7XH8=")</f>
        <v>#REF!</v>
      </c>
      <c r="DY52" t="e">
        <f>AND('GA55 Entry'!#REF!,"AAAAAH/7XIA=")</f>
        <v>#REF!</v>
      </c>
      <c r="DZ52" t="e">
        <f>AND('GA55 Entry'!#REF!,"AAAAAH/7XIE=")</f>
        <v>#REF!</v>
      </c>
      <c r="EA52" t="e">
        <f>AND('GA55 Entry'!#REF!,"AAAAAH/7XII=")</f>
        <v>#REF!</v>
      </c>
      <c r="EB52" t="e">
        <f>AND('GA55 Entry'!#REF!,"AAAAAH/7XIM=")</f>
        <v>#REF!</v>
      </c>
      <c r="EC52" t="e">
        <f>AND('GA55 Entry'!#REF!,"AAAAAH/7XIQ=")</f>
        <v>#REF!</v>
      </c>
      <c r="ED52" t="e">
        <f>AND('GA55 Entry'!#REF!,"AAAAAH/7XIU=")</f>
        <v>#REF!</v>
      </c>
      <c r="EE52" t="e">
        <f>AND('GA55 Entry'!#REF!,"AAAAAH/7XIY=")</f>
        <v>#REF!</v>
      </c>
      <c r="EF52" t="e">
        <f>AND('GA55 Entry'!#REF!,"AAAAAH/7XIc=")</f>
        <v>#REF!</v>
      </c>
      <c r="EG52" t="e">
        <f>AND('GA55 Entry'!#REF!,"AAAAAH/7XIg=")</f>
        <v>#REF!</v>
      </c>
      <c r="EH52" t="e">
        <f>AND('GA55 Entry'!#REF!,"AAAAAH/7XIk=")</f>
        <v>#REF!</v>
      </c>
      <c r="EI52" t="e">
        <f>AND('GA55 Entry'!#REF!,"AAAAAH/7XIo=")</f>
        <v>#REF!</v>
      </c>
      <c r="EJ52" t="e">
        <f>AND('GA55 Entry'!#REF!,"AAAAAH/7XIs=")</f>
        <v>#REF!</v>
      </c>
      <c r="EK52" t="e">
        <f>AND('GA55 Entry'!#REF!,"AAAAAH/7XIw=")</f>
        <v>#REF!</v>
      </c>
      <c r="EL52" t="e">
        <f>IF('GA55 Entry'!#REF!,"AAAAAH/7XI0=",0)</f>
        <v>#REF!</v>
      </c>
      <c r="EM52" t="e">
        <f>AND('GA55 Entry'!#REF!,"AAAAAH/7XI4=")</f>
        <v>#REF!</v>
      </c>
      <c r="EN52" t="e">
        <f>AND('GA55 Entry'!#REF!,"AAAAAH/7XI8=")</f>
        <v>#REF!</v>
      </c>
      <c r="EO52" t="e">
        <f>AND('GA55 Entry'!#REF!,"AAAAAH/7XJA=")</f>
        <v>#REF!</v>
      </c>
      <c r="EP52" t="e">
        <f>AND('GA55 Entry'!#REF!,"AAAAAH/7XJE=")</f>
        <v>#REF!</v>
      </c>
      <c r="EQ52" t="e">
        <f>AND('GA55 Entry'!#REF!,"AAAAAH/7XJI=")</f>
        <v>#REF!</v>
      </c>
      <c r="ER52" t="e">
        <f>AND('GA55 Entry'!#REF!,"AAAAAH/7XJM=")</f>
        <v>#REF!</v>
      </c>
      <c r="ES52" t="e">
        <f>AND('GA55 Entry'!#REF!,"AAAAAH/7XJQ=")</f>
        <v>#REF!</v>
      </c>
      <c r="ET52" t="e">
        <f>AND('GA55 Entry'!#REF!,"AAAAAH/7XJU=")</f>
        <v>#REF!</v>
      </c>
      <c r="EU52" t="e">
        <f>AND('GA55 Entry'!#REF!,"AAAAAH/7XJY=")</f>
        <v>#REF!</v>
      </c>
      <c r="EV52" t="e">
        <f>AND('GA55 Entry'!#REF!,"AAAAAH/7XJc=")</f>
        <v>#REF!</v>
      </c>
      <c r="EW52" t="e">
        <f>AND('GA55 Entry'!#REF!,"AAAAAH/7XJg=")</f>
        <v>#REF!</v>
      </c>
      <c r="EX52" t="e">
        <f>AND('GA55 Entry'!#REF!,"AAAAAH/7XJk=")</f>
        <v>#REF!</v>
      </c>
      <c r="EY52" t="e">
        <f>AND('GA55 Entry'!#REF!,"AAAAAH/7XJo=")</f>
        <v>#REF!</v>
      </c>
      <c r="EZ52" t="e">
        <f>AND('GA55 Entry'!#REF!,"AAAAAH/7XJs=")</f>
        <v>#REF!</v>
      </c>
      <c r="FA52" t="e">
        <f>AND('GA55 Entry'!#REF!,"AAAAAH/7XJw=")</f>
        <v>#REF!</v>
      </c>
      <c r="FB52" t="e">
        <f>AND('GA55 Entry'!#REF!,"AAAAAH/7XJ0=")</f>
        <v>#REF!</v>
      </c>
      <c r="FC52" t="e">
        <f>AND('GA55 Entry'!#REF!,"AAAAAH/7XJ4=")</f>
        <v>#REF!</v>
      </c>
      <c r="FD52" t="e">
        <f>AND('GA55 Entry'!#REF!,"AAAAAH/7XJ8=")</f>
        <v>#REF!</v>
      </c>
      <c r="FE52" t="e">
        <f>AND('GA55 Entry'!#REF!,"AAAAAH/7XKA=")</f>
        <v>#REF!</v>
      </c>
      <c r="FF52" t="e">
        <f>AND('GA55 Entry'!#REF!,"AAAAAH/7XKE=")</f>
        <v>#REF!</v>
      </c>
      <c r="FG52" t="e">
        <f>AND('GA55 Entry'!#REF!,"AAAAAH/7XKI=")</f>
        <v>#REF!</v>
      </c>
      <c r="FH52" t="e">
        <f>AND('GA55 Entry'!#REF!,"AAAAAH/7XKM=")</f>
        <v>#REF!</v>
      </c>
      <c r="FI52" t="e">
        <f>AND('GA55 Entry'!#REF!,"AAAAAH/7XKQ=")</f>
        <v>#REF!</v>
      </c>
      <c r="FJ52" t="e">
        <f>AND('GA55 Entry'!#REF!,"AAAAAH/7XKU=")</f>
        <v>#REF!</v>
      </c>
      <c r="FK52" t="e">
        <f>AND('GA55 Entry'!#REF!,"AAAAAH/7XKY=")</f>
        <v>#REF!</v>
      </c>
      <c r="FL52" t="e">
        <f>AND('GA55 Entry'!#REF!,"AAAAAH/7XKc=")</f>
        <v>#REF!</v>
      </c>
      <c r="FM52" t="e">
        <f>AND('GA55 Entry'!#REF!,"AAAAAH/7XKg=")</f>
        <v>#REF!</v>
      </c>
      <c r="FN52" t="e">
        <f>AND('GA55 Entry'!#REF!,"AAAAAH/7XKk=")</f>
        <v>#REF!</v>
      </c>
      <c r="FO52" t="e">
        <f>AND('GA55 Entry'!#REF!,"AAAAAH/7XKo=")</f>
        <v>#REF!</v>
      </c>
      <c r="FP52" t="e">
        <f>AND('GA55 Entry'!#REF!,"AAAAAH/7XKs=")</f>
        <v>#REF!</v>
      </c>
      <c r="FQ52" t="e">
        <f>AND('GA55 Entry'!#REF!,"AAAAAH/7XKw=")</f>
        <v>#REF!</v>
      </c>
      <c r="FR52" t="e">
        <f>AND('GA55 Entry'!#REF!,"AAAAAH/7XK0=")</f>
        <v>#REF!</v>
      </c>
      <c r="FS52" t="e">
        <f>AND('GA55 Entry'!#REF!,"AAAAAH/7XK4=")</f>
        <v>#REF!</v>
      </c>
      <c r="FT52" t="e">
        <f>AND('GA55 Entry'!#REF!,"AAAAAH/7XK8=")</f>
        <v>#REF!</v>
      </c>
      <c r="FU52" t="e">
        <f>AND('GA55 Entry'!#REF!,"AAAAAH/7XLA=")</f>
        <v>#REF!</v>
      </c>
      <c r="FV52" t="e">
        <f>AND('GA55 Entry'!#REF!,"AAAAAH/7XLE=")</f>
        <v>#REF!</v>
      </c>
      <c r="FW52" t="e">
        <f>AND('GA55 Entry'!#REF!,"AAAAAH/7XLI=")</f>
        <v>#REF!</v>
      </c>
      <c r="FX52" t="e">
        <f>AND('GA55 Entry'!#REF!,"AAAAAH/7XLM=")</f>
        <v>#REF!</v>
      </c>
      <c r="FY52" t="e">
        <f>AND('GA55 Entry'!#REF!,"AAAAAH/7XLQ=")</f>
        <v>#REF!</v>
      </c>
      <c r="FZ52" t="e">
        <f>AND('GA55 Entry'!#REF!,"AAAAAH/7XLU=")</f>
        <v>#REF!</v>
      </c>
      <c r="GA52" t="e">
        <f>AND('GA55 Entry'!#REF!,"AAAAAH/7XLY=")</f>
        <v>#REF!</v>
      </c>
      <c r="GB52" t="e">
        <f>AND('GA55 Entry'!#REF!,"AAAAAH/7XLc=")</f>
        <v>#REF!</v>
      </c>
      <c r="GC52" t="e">
        <f>AND('GA55 Entry'!#REF!,"AAAAAH/7XLg=")</f>
        <v>#REF!</v>
      </c>
      <c r="GD52" t="e">
        <f>AND('GA55 Entry'!#REF!,"AAAAAH/7XLk=")</f>
        <v>#REF!</v>
      </c>
      <c r="GE52" t="e">
        <f>AND('GA55 Entry'!#REF!,"AAAAAH/7XLo=")</f>
        <v>#REF!</v>
      </c>
      <c r="GF52" t="e">
        <f>AND('GA55 Entry'!#REF!,"AAAAAH/7XLs=")</f>
        <v>#REF!</v>
      </c>
      <c r="GG52" t="e">
        <f>AND('GA55 Entry'!#REF!,"AAAAAH/7XLw=")</f>
        <v>#REF!</v>
      </c>
      <c r="GH52" t="e">
        <f>AND('GA55 Entry'!#REF!,"AAAAAH/7XL0=")</f>
        <v>#REF!</v>
      </c>
      <c r="GI52" t="e">
        <f>AND('GA55 Entry'!#REF!,"AAAAAH/7XL4=")</f>
        <v>#REF!</v>
      </c>
      <c r="GJ52" t="e">
        <f>AND('GA55 Entry'!#REF!,"AAAAAH/7XL8=")</f>
        <v>#REF!</v>
      </c>
      <c r="GK52" t="e">
        <f>IF('GA55 Entry'!#REF!,"AAAAAH/7XMA=",0)</f>
        <v>#REF!</v>
      </c>
      <c r="GL52" t="e">
        <f>AND('GA55 Entry'!#REF!,"AAAAAH/7XME=")</f>
        <v>#REF!</v>
      </c>
      <c r="GM52" t="e">
        <f>AND('GA55 Entry'!#REF!,"AAAAAH/7XMI=")</f>
        <v>#REF!</v>
      </c>
      <c r="GN52" t="e">
        <f>AND('GA55 Entry'!#REF!,"AAAAAH/7XMM=")</f>
        <v>#REF!</v>
      </c>
      <c r="GO52" t="e">
        <f>AND('GA55 Entry'!#REF!,"AAAAAH/7XMQ=")</f>
        <v>#REF!</v>
      </c>
      <c r="GP52" t="e">
        <f>AND('GA55 Entry'!#REF!,"AAAAAH/7XMU=")</f>
        <v>#REF!</v>
      </c>
      <c r="GQ52" t="e">
        <f>AND('GA55 Entry'!#REF!,"AAAAAH/7XMY=")</f>
        <v>#REF!</v>
      </c>
      <c r="GR52" t="e">
        <f>AND('GA55 Entry'!#REF!,"AAAAAH/7XMc=")</f>
        <v>#REF!</v>
      </c>
      <c r="GS52" t="e">
        <f>AND('GA55 Entry'!#REF!,"AAAAAH/7XMg=")</f>
        <v>#REF!</v>
      </c>
      <c r="GT52" t="e">
        <f>AND('GA55 Entry'!#REF!,"AAAAAH/7XMk=")</f>
        <v>#REF!</v>
      </c>
      <c r="GU52" t="e">
        <f>AND('GA55 Entry'!#REF!,"AAAAAH/7XMo=")</f>
        <v>#REF!</v>
      </c>
      <c r="GV52" t="e">
        <f>AND('GA55 Entry'!#REF!,"AAAAAH/7XMs=")</f>
        <v>#REF!</v>
      </c>
      <c r="GW52" t="e">
        <f>AND('GA55 Entry'!#REF!,"AAAAAH/7XMw=")</f>
        <v>#REF!</v>
      </c>
      <c r="GX52" t="e">
        <f>AND('GA55 Entry'!#REF!,"AAAAAH/7XM0=")</f>
        <v>#REF!</v>
      </c>
      <c r="GY52" t="e">
        <f>AND('GA55 Entry'!#REF!,"AAAAAH/7XM4=")</f>
        <v>#REF!</v>
      </c>
      <c r="GZ52" t="e">
        <f>AND('GA55 Entry'!#REF!,"AAAAAH/7XM8=")</f>
        <v>#REF!</v>
      </c>
      <c r="HA52" t="e">
        <f>AND('GA55 Entry'!#REF!,"AAAAAH/7XNA=")</f>
        <v>#REF!</v>
      </c>
      <c r="HB52" t="e">
        <f>AND('GA55 Entry'!#REF!,"AAAAAH/7XNE=")</f>
        <v>#REF!</v>
      </c>
      <c r="HC52" t="e">
        <f>AND('GA55 Entry'!#REF!,"AAAAAH/7XNI=")</f>
        <v>#REF!</v>
      </c>
      <c r="HD52" t="e">
        <f>AND('GA55 Entry'!#REF!,"AAAAAH/7XNM=")</f>
        <v>#REF!</v>
      </c>
      <c r="HE52" t="e">
        <f>AND('GA55 Entry'!#REF!,"AAAAAH/7XNQ=")</f>
        <v>#REF!</v>
      </c>
      <c r="HF52" t="e">
        <f>AND('GA55 Entry'!#REF!,"AAAAAH/7XNU=")</f>
        <v>#REF!</v>
      </c>
      <c r="HG52" t="e">
        <f>AND('GA55 Entry'!#REF!,"AAAAAH/7XNY=")</f>
        <v>#REF!</v>
      </c>
      <c r="HH52" t="e">
        <f>AND('GA55 Entry'!#REF!,"AAAAAH/7XNc=")</f>
        <v>#REF!</v>
      </c>
      <c r="HI52" t="e">
        <f>AND('GA55 Entry'!#REF!,"AAAAAH/7XNg=")</f>
        <v>#REF!</v>
      </c>
      <c r="HJ52" t="e">
        <f>AND('GA55 Entry'!#REF!,"AAAAAH/7XNk=")</f>
        <v>#REF!</v>
      </c>
      <c r="HK52" t="e">
        <f>AND('GA55 Entry'!#REF!,"AAAAAH/7XNo=")</f>
        <v>#REF!</v>
      </c>
      <c r="HL52" t="e">
        <f>AND('GA55 Entry'!#REF!,"AAAAAH/7XNs=")</f>
        <v>#REF!</v>
      </c>
      <c r="HM52" t="e">
        <f>AND('GA55 Entry'!#REF!,"AAAAAH/7XNw=")</f>
        <v>#REF!</v>
      </c>
      <c r="HN52" t="e">
        <f>AND('GA55 Entry'!#REF!,"AAAAAH/7XN0=")</f>
        <v>#REF!</v>
      </c>
      <c r="HO52" t="e">
        <f>AND('GA55 Entry'!#REF!,"AAAAAH/7XN4=")</f>
        <v>#REF!</v>
      </c>
      <c r="HP52" t="e">
        <f>AND('GA55 Entry'!#REF!,"AAAAAH/7XN8=")</f>
        <v>#REF!</v>
      </c>
      <c r="HQ52" t="e">
        <f>AND('GA55 Entry'!#REF!,"AAAAAH/7XOA=")</f>
        <v>#REF!</v>
      </c>
      <c r="HR52" t="e">
        <f>AND('GA55 Entry'!#REF!,"AAAAAH/7XOE=")</f>
        <v>#REF!</v>
      </c>
      <c r="HS52" t="e">
        <f>AND('GA55 Entry'!#REF!,"AAAAAH/7XOI=")</f>
        <v>#REF!</v>
      </c>
      <c r="HT52" t="e">
        <f>AND('GA55 Entry'!#REF!,"AAAAAH/7XOM=")</f>
        <v>#REF!</v>
      </c>
      <c r="HU52" t="e">
        <f>AND('GA55 Entry'!#REF!,"AAAAAH/7XOQ=")</f>
        <v>#REF!</v>
      </c>
      <c r="HV52" t="e">
        <f>AND('GA55 Entry'!#REF!,"AAAAAH/7XOU=")</f>
        <v>#REF!</v>
      </c>
      <c r="HW52" t="e">
        <f>AND('GA55 Entry'!#REF!,"AAAAAH/7XOY=")</f>
        <v>#REF!</v>
      </c>
      <c r="HX52" t="e">
        <f>AND('GA55 Entry'!#REF!,"AAAAAH/7XOc=")</f>
        <v>#REF!</v>
      </c>
      <c r="HY52" t="e">
        <f>AND('GA55 Entry'!#REF!,"AAAAAH/7XOg=")</f>
        <v>#REF!</v>
      </c>
      <c r="HZ52" t="e">
        <f>AND('GA55 Entry'!#REF!,"AAAAAH/7XOk=")</f>
        <v>#REF!</v>
      </c>
      <c r="IA52" t="e">
        <f>AND('GA55 Entry'!#REF!,"AAAAAH/7XOo=")</f>
        <v>#REF!</v>
      </c>
      <c r="IB52" t="e">
        <f>AND('GA55 Entry'!#REF!,"AAAAAH/7XOs=")</f>
        <v>#REF!</v>
      </c>
      <c r="IC52" t="e">
        <f>AND('GA55 Entry'!#REF!,"AAAAAH/7XOw=")</f>
        <v>#REF!</v>
      </c>
      <c r="ID52" t="e">
        <f>AND('GA55 Entry'!#REF!,"AAAAAH/7XO0=")</f>
        <v>#REF!</v>
      </c>
      <c r="IE52" t="e">
        <f>AND('GA55 Entry'!#REF!,"AAAAAH/7XO4=")</f>
        <v>#REF!</v>
      </c>
      <c r="IF52" t="e">
        <f>AND('GA55 Entry'!#REF!,"AAAAAH/7XO8=")</f>
        <v>#REF!</v>
      </c>
      <c r="IG52" t="e">
        <f>AND('GA55 Entry'!#REF!,"AAAAAH/7XPA=")</f>
        <v>#REF!</v>
      </c>
      <c r="IH52" t="e">
        <f>AND('GA55 Entry'!#REF!,"AAAAAH/7XPE=")</f>
        <v>#REF!</v>
      </c>
      <c r="II52" t="e">
        <f>AND('GA55 Entry'!#REF!,"AAAAAH/7XPI=")</f>
        <v>#REF!</v>
      </c>
      <c r="IJ52" t="e">
        <f>IF('GA55 Entry'!#REF!,"AAAAAH/7XPM=",0)</f>
        <v>#REF!</v>
      </c>
      <c r="IK52" t="e">
        <f>AND('GA55 Entry'!#REF!,"AAAAAH/7XPQ=")</f>
        <v>#REF!</v>
      </c>
      <c r="IL52" t="e">
        <f>AND('GA55 Entry'!#REF!,"AAAAAH/7XPU=")</f>
        <v>#REF!</v>
      </c>
      <c r="IM52" t="e">
        <f>AND('GA55 Entry'!#REF!,"AAAAAH/7XPY=")</f>
        <v>#REF!</v>
      </c>
      <c r="IN52" t="e">
        <f>AND('GA55 Entry'!#REF!,"AAAAAH/7XPc=")</f>
        <v>#REF!</v>
      </c>
      <c r="IO52" t="e">
        <f>AND('GA55 Entry'!#REF!,"AAAAAH/7XPg=")</f>
        <v>#REF!</v>
      </c>
      <c r="IP52" t="e">
        <f>AND('GA55 Entry'!#REF!,"AAAAAH/7XPk=")</f>
        <v>#REF!</v>
      </c>
      <c r="IQ52" t="e">
        <f>AND('GA55 Entry'!#REF!,"AAAAAH/7XPo=")</f>
        <v>#REF!</v>
      </c>
      <c r="IR52" t="e">
        <f>AND('GA55 Entry'!#REF!,"AAAAAH/7XPs=")</f>
        <v>#REF!</v>
      </c>
      <c r="IS52" t="e">
        <f>AND('GA55 Entry'!#REF!,"AAAAAH/7XPw=")</f>
        <v>#REF!</v>
      </c>
      <c r="IT52" t="e">
        <f>AND('GA55 Entry'!#REF!,"AAAAAH/7XP0=")</f>
        <v>#REF!</v>
      </c>
      <c r="IU52" t="e">
        <f>AND('GA55 Entry'!#REF!,"AAAAAH/7XP4=")</f>
        <v>#REF!</v>
      </c>
      <c r="IV52" t="e">
        <f>AND('GA55 Entry'!#REF!,"AAAAAH/7XP8=")</f>
        <v>#REF!</v>
      </c>
    </row>
    <row r="53" spans="1:256">
      <c r="A53" t="e">
        <f>AND('GA55 Entry'!#REF!,"AAAAAG/eiwA=")</f>
        <v>#REF!</v>
      </c>
      <c r="B53" t="e">
        <f>AND('GA55 Entry'!#REF!,"AAAAAG/eiwE=")</f>
        <v>#REF!</v>
      </c>
      <c r="C53" t="e">
        <f>AND('GA55 Entry'!#REF!,"AAAAAG/eiwI=")</f>
        <v>#REF!</v>
      </c>
      <c r="D53" t="e">
        <f>AND('GA55 Entry'!#REF!,"AAAAAG/eiwM=")</f>
        <v>#REF!</v>
      </c>
      <c r="E53" t="e">
        <f>AND('GA55 Entry'!#REF!,"AAAAAG/eiwQ=")</f>
        <v>#REF!</v>
      </c>
      <c r="F53" t="e">
        <f>AND('GA55 Entry'!#REF!,"AAAAAG/eiwU=")</f>
        <v>#REF!</v>
      </c>
      <c r="G53" t="e">
        <f>AND('GA55 Entry'!#REF!,"AAAAAG/eiwY=")</f>
        <v>#REF!</v>
      </c>
      <c r="H53" t="e">
        <f>AND('GA55 Entry'!#REF!,"AAAAAG/eiwc=")</f>
        <v>#REF!</v>
      </c>
      <c r="I53" t="e">
        <f>AND('GA55 Entry'!#REF!,"AAAAAG/eiwg=")</f>
        <v>#REF!</v>
      </c>
      <c r="J53" t="e">
        <f>AND('GA55 Entry'!#REF!,"AAAAAG/eiwk=")</f>
        <v>#REF!</v>
      </c>
      <c r="K53" t="e">
        <f>AND('GA55 Entry'!#REF!,"AAAAAG/eiwo=")</f>
        <v>#REF!</v>
      </c>
      <c r="L53" t="e">
        <f>AND('GA55 Entry'!#REF!,"AAAAAG/eiws=")</f>
        <v>#REF!</v>
      </c>
      <c r="M53" t="e">
        <f>AND('GA55 Entry'!#REF!,"AAAAAG/eiww=")</f>
        <v>#REF!</v>
      </c>
      <c r="N53" t="e">
        <f>AND('GA55 Entry'!#REF!,"AAAAAG/eiw0=")</f>
        <v>#REF!</v>
      </c>
      <c r="O53" t="e">
        <f>AND('GA55 Entry'!#REF!,"AAAAAG/eiw4=")</f>
        <v>#REF!</v>
      </c>
      <c r="P53" t="e">
        <f>AND('GA55 Entry'!#REF!,"AAAAAG/eiw8=")</f>
        <v>#REF!</v>
      </c>
      <c r="Q53" t="e">
        <f>AND('GA55 Entry'!#REF!,"AAAAAG/eixA=")</f>
        <v>#REF!</v>
      </c>
      <c r="R53" t="e">
        <f>AND('GA55 Entry'!#REF!,"AAAAAG/eixE=")</f>
        <v>#REF!</v>
      </c>
      <c r="S53" t="e">
        <f>AND('GA55 Entry'!#REF!,"AAAAAG/eixI=")</f>
        <v>#REF!</v>
      </c>
      <c r="T53" t="e">
        <f>AND('GA55 Entry'!#REF!,"AAAAAG/eixM=")</f>
        <v>#REF!</v>
      </c>
      <c r="U53" t="e">
        <f>AND('GA55 Entry'!#REF!,"AAAAAG/eixQ=")</f>
        <v>#REF!</v>
      </c>
      <c r="V53" t="e">
        <f>AND('GA55 Entry'!#REF!,"AAAAAG/eixU=")</f>
        <v>#REF!</v>
      </c>
      <c r="W53" t="e">
        <f>AND('GA55 Entry'!#REF!,"AAAAAG/eixY=")</f>
        <v>#REF!</v>
      </c>
      <c r="X53" t="e">
        <f>AND('GA55 Entry'!#REF!,"AAAAAG/eixc=")</f>
        <v>#REF!</v>
      </c>
      <c r="Y53" t="e">
        <f>AND('GA55 Entry'!#REF!,"AAAAAG/eixg=")</f>
        <v>#REF!</v>
      </c>
      <c r="Z53" t="e">
        <f>AND('GA55 Entry'!#REF!,"AAAAAG/eixk=")</f>
        <v>#REF!</v>
      </c>
      <c r="AA53" t="e">
        <f>AND('GA55 Entry'!#REF!,"AAAAAG/eixo=")</f>
        <v>#REF!</v>
      </c>
      <c r="AB53" t="e">
        <f>AND('GA55 Entry'!#REF!,"AAAAAG/eixs=")</f>
        <v>#REF!</v>
      </c>
      <c r="AC53" t="e">
        <f>AND('GA55 Entry'!#REF!,"AAAAAG/eixw=")</f>
        <v>#REF!</v>
      </c>
      <c r="AD53" t="e">
        <f>AND('GA55 Entry'!#REF!,"AAAAAG/eix0=")</f>
        <v>#REF!</v>
      </c>
      <c r="AE53" t="e">
        <f>AND('GA55 Entry'!#REF!,"AAAAAG/eix4=")</f>
        <v>#REF!</v>
      </c>
      <c r="AF53" t="e">
        <f>AND('GA55 Entry'!#REF!,"AAAAAG/eix8=")</f>
        <v>#REF!</v>
      </c>
      <c r="AG53" t="e">
        <f>AND('GA55 Entry'!#REF!,"AAAAAG/eiyA=")</f>
        <v>#REF!</v>
      </c>
      <c r="AH53" t="e">
        <f>AND('GA55 Entry'!#REF!,"AAAAAG/eiyE=")</f>
        <v>#REF!</v>
      </c>
      <c r="AI53" t="e">
        <f>AND('GA55 Entry'!#REF!,"AAAAAG/eiyI=")</f>
        <v>#REF!</v>
      </c>
      <c r="AJ53" t="e">
        <f>AND('GA55 Entry'!#REF!,"AAAAAG/eiyM=")</f>
        <v>#REF!</v>
      </c>
      <c r="AK53" t="e">
        <f>AND('GA55 Entry'!#REF!,"AAAAAG/eiyQ=")</f>
        <v>#REF!</v>
      </c>
      <c r="AL53" t="e">
        <f>AND('GA55 Entry'!#REF!,"AAAAAG/eiyU=")</f>
        <v>#REF!</v>
      </c>
      <c r="AM53" t="e">
        <f>IF('GA55 Entry'!#REF!,"AAAAAG/eiyY=",0)</f>
        <v>#REF!</v>
      </c>
      <c r="AN53" t="e">
        <f>AND('GA55 Entry'!#REF!,"AAAAAG/eiyc=")</f>
        <v>#REF!</v>
      </c>
      <c r="AO53" t="e">
        <f>AND('GA55 Entry'!#REF!,"AAAAAG/eiyg=")</f>
        <v>#REF!</v>
      </c>
      <c r="AP53" t="e">
        <f>AND('GA55 Entry'!#REF!,"AAAAAG/eiyk=")</f>
        <v>#REF!</v>
      </c>
      <c r="AQ53" t="e">
        <f>AND('GA55 Entry'!#REF!,"AAAAAG/eiyo=")</f>
        <v>#REF!</v>
      </c>
      <c r="AR53" t="e">
        <f>AND('GA55 Entry'!#REF!,"AAAAAG/eiys=")</f>
        <v>#REF!</v>
      </c>
      <c r="AS53" t="e">
        <f>AND('GA55 Entry'!#REF!,"AAAAAG/eiyw=")</f>
        <v>#REF!</v>
      </c>
      <c r="AT53" t="e">
        <f>AND('GA55 Entry'!#REF!,"AAAAAG/eiy0=")</f>
        <v>#REF!</v>
      </c>
      <c r="AU53" t="e">
        <f>AND('GA55 Entry'!#REF!,"AAAAAG/eiy4=")</f>
        <v>#REF!</v>
      </c>
      <c r="AV53" t="e">
        <f>AND('GA55 Entry'!#REF!,"AAAAAG/eiy8=")</f>
        <v>#REF!</v>
      </c>
      <c r="AW53" t="e">
        <f>AND('GA55 Entry'!#REF!,"AAAAAG/eizA=")</f>
        <v>#REF!</v>
      </c>
      <c r="AX53" t="e">
        <f>AND('GA55 Entry'!#REF!,"AAAAAG/eizE=")</f>
        <v>#REF!</v>
      </c>
      <c r="AY53" t="e">
        <f>AND('GA55 Entry'!#REF!,"AAAAAG/eizI=")</f>
        <v>#REF!</v>
      </c>
      <c r="AZ53" t="e">
        <f>AND('GA55 Entry'!#REF!,"AAAAAG/eizM=")</f>
        <v>#REF!</v>
      </c>
      <c r="BA53" t="e">
        <f>AND('GA55 Entry'!#REF!,"AAAAAG/eizQ=")</f>
        <v>#REF!</v>
      </c>
      <c r="BB53" t="e">
        <f>AND('GA55 Entry'!#REF!,"AAAAAG/eizU=")</f>
        <v>#REF!</v>
      </c>
      <c r="BC53" t="e">
        <f>AND('GA55 Entry'!#REF!,"AAAAAG/eizY=")</f>
        <v>#REF!</v>
      </c>
      <c r="BD53" t="e">
        <f>AND('GA55 Entry'!#REF!,"AAAAAG/eizc=")</f>
        <v>#REF!</v>
      </c>
      <c r="BE53" t="e">
        <f>AND('GA55 Entry'!#REF!,"AAAAAG/eizg=")</f>
        <v>#REF!</v>
      </c>
      <c r="BF53" t="e">
        <f>AND('GA55 Entry'!#REF!,"AAAAAG/eizk=")</f>
        <v>#REF!</v>
      </c>
      <c r="BG53" t="e">
        <f>AND('GA55 Entry'!#REF!,"AAAAAG/eizo=")</f>
        <v>#REF!</v>
      </c>
      <c r="BH53" t="e">
        <f>AND('GA55 Entry'!#REF!,"AAAAAG/eizs=")</f>
        <v>#REF!</v>
      </c>
      <c r="BI53" t="e">
        <f>AND('GA55 Entry'!#REF!,"AAAAAG/eizw=")</f>
        <v>#REF!</v>
      </c>
      <c r="BJ53" t="e">
        <f>AND('GA55 Entry'!#REF!,"AAAAAG/eiz0=")</f>
        <v>#REF!</v>
      </c>
      <c r="BK53" t="e">
        <f>AND('GA55 Entry'!#REF!,"AAAAAG/eiz4=")</f>
        <v>#REF!</v>
      </c>
      <c r="BL53" t="e">
        <f>AND('GA55 Entry'!#REF!,"AAAAAG/eiz8=")</f>
        <v>#REF!</v>
      </c>
      <c r="BM53" t="e">
        <f>AND('GA55 Entry'!#REF!,"AAAAAG/ei0A=")</f>
        <v>#REF!</v>
      </c>
      <c r="BN53" t="e">
        <f>AND('GA55 Entry'!#REF!,"AAAAAG/ei0E=")</f>
        <v>#REF!</v>
      </c>
      <c r="BO53" t="e">
        <f>AND('GA55 Entry'!#REF!,"AAAAAG/ei0I=")</f>
        <v>#REF!</v>
      </c>
      <c r="BP53" t="e">
        <f>AND('GA55 Entry'!#REF!,"AAAAAG/ei0M=")</f>
        <v>#REF!</v>
      </c>
      <c r="BQ53" t="e">
        <f>AND('GA55 Entry'!#REF!,"AAAAAG/ei0Q=")</f>
        <v>#REF!</v>
      </c>
      <c r="BR53" t="e">
        <f>AND('GA55 Entry'!#REF!,"AAAAAG/ei0U=")</f>
        <v>#REF!</v>
      </c>
      <c r="BS53" t="e">
        <f>AND('GA55 Entry'!#REF!,"AAAAAG/ei0Y=")</f>
        <v>#REF!</v>
      </c>
      <c r="BT53" t="e">
        <f>AND('GA55 Entry'!#REF!,"AAAAAG/ei0c=")</f>
        <v>#REF!</v>
      </c>
      <c r="BU53" t="e">
        <f>AND('GA55 Entry'!#REF!,"AAAAAG/ei0g=")</f>
        <v>#REF!</v>
      </c>
      <c r="BV53" t="e">
        <f>AND('GA55 Entry'!#REF!,"AAAAAG/ei0k=")</f>
        <v>#REF!</v>
      </c>
      <c r="BW53" t="e">
        <f>AND('GA55 Entry'!#REF!,"AAAAAG/ei0o=")</f>
        <v>#REF!</v>
      </c>
      <c r="BX53" t="e">
        <f>AND('GA55 Entry'!#REF!,"AAAAAG/ei0s=")</f>
        <v>#REF!</v>
      </c>
      <c r="BY53" t="e">
        <f>AND('GA55 Entry'!#REF!,"AAAAAG/ei0w=")</f>
        <v>#REF!</v>
      </c>
      <c r="BZ53" t="e">
        <f>AND('GA55 Entry'!#REF!,"AAAAAG/ei00=")</f>
        <v>#REF!</v>
      </c>
      <c r="CA53" t="e">
        <f>AND('GA55 Entry'!#REF!,"AAAAAG/ei04=")</f>
        <v>#REF!</v>
      </c>
      <c r="CB53" t="e">
        <f>AND('GA55 Entry'!#REF!,"AAAAAG/ei08=")</f>
        <v>#REF!</v>
      </c>
      <c r="CC53" t="e">
        <f>AND('GA55 Entry'!#REF!,"AAAAAG/ei1A=")</f>
        <v>#REF!</v>
      </c>
      <c r="CD53" t="e">
        <f>AND('GA55 Entry'!#REF!,"AAAAAG/ei1E=")</f>
        <v>#REF!</v>
      </c>
      <c r="CE53" t="e">
        <f>AND('GA55 Entry'!#REF!,"AAAAAG/ei1I=")</f>
        <v>#REF!</v>
      </c>
      <c r="CF53" t="e">
        <f>AND('GA55 Entry'!#REF!,"AAAAAG/ei1M=")</f>
        <v>#REF!</v>
      </c>
      <c r="CG53" t="e">
        <f>AND('GA55 Entry'!#REF!,"AAAAAG/ei1Q=")</f>
        <v>#REF!</v>
      </c>
      <c r="CH53" t="e">
        <f>AND('GA55 Entry'!#REF!,"AAAAAG/ei1U=")</f>
        <v>#REF!</v>
      </c>
      <c r="CI53" t="e">
        <f>AND('GA55 Entry'!#REF!,"AAAAAG/ei1Y=")</f>
        <v>#REF!</v>
      </c>
      <c r="CJ53" t="e">
        <f>AND('GA55 Entry'!#REF!,"AAAAAG/ei1c=")</f>
        <v>#REF!</v>
      </c>
      <c r="CK53" t="e">
        <f>AND('GA55 Entry'!#REF!,"AAAAAG/ei1g=")</f>
        <v>#REF!</v>
      </c>
      <c r="CL53" t="e">
        <f>IF('GA55 Entry'!#REF!,"AAAAAG/ei1k=",0)</f>
        <v>#REF!</v>
      </c>
      <c r="CM53" t="e">
        <f>AND('GA55 Entry'!#REF!,"AAAAAG/ei1o=")</f>
        <v>#REF!</v>
      </c>
      <c r="CN53" t="e">
        <f>AND('GA55 Entry'!#REF!,"AAAAAG/ei1s=")</f>
        <v>#REF!</v>
      </c>
      <c r="CO53" t="e">
        <f>AND('GA55 Entry'!#REF!,"AAAAAG/ei1w=")</f>
        <v>#REF!</v>
      </c>
      <c r="CP53" t="e">
        <f>AND('GA55 Entry'!#REF!,"AAAAAG/ei10=")</f>
        <v>#REF!</v>
      </c>
      <c r="CQ53" t="e">
        <f>AND('GA55 Entry'!#REF!,"AAAAAG/ei14=")</f>
        <v>#REF!</v>
      </c>
      <c r="CR53" t="e">
        <f>AND('GA55 Entry'!#REF!,"AAAAAG/ei18=")</f>
        <v>#REF!</v>
      </c>
      <c r="CS53" t="e">
        <f>AND('GA55 Entry'!#REF!,"AAAAAG/ei2A=")</f>
        <v>#REF!</v>
      </c>
      <c r="CT53" t="e">
        <f>AND('GA55 Entry'!#REF!,"AAAAAG/ei2E=")</f>
        <v>#REF!</v>
      </c>
      <c r="CU53" t="e">
        <f>AND('GA55 Entry'!#REF!,"AAAAAG/ei2I=")</f>
        <v>#REF!</v>
      </c>
      <c r="CV53" t="e">
        <f>AND('GA55 Entry'!#REF!,"AAAAAG/ei2M=")</f>
        <v>#REF!</v>
      </c>
      <c r="CW53" t="e">
        <f>AND('GA55 Entry'!#REF!,"AAAAAG/ei2Q=")</f>
        <v>#REF!</v>
      </c>
      <c r="CX53" t="e">
        <f>AND('GA55 Entry'!#REF!,"AAAAAG/ei2U=")</f>
        <v>#REF!</v>
      </c>
      <c r="CY53" t="e">
        <f>AND('GA55 Entry'!#REF!,"AAAAAG/ei2Y=")</f>
        <v>#REF!</v>
      </c>
      <c r="CZ53" t="e">
        <f>AND('GA55 Entry'!#REF!,"AAAAAG/ei2c=")</f>
        <v>#REF!</v>
      </c>
      <c r="DA53" t="e">
        <f>AND('GA55 Entry'!#REF!,"AAAAAG/ei2g=")</f>
        <v>#REF!</v>
      </c>
      <c r="DB53" t="e">
        <f>AND('GA55 Entry'!#REF!,"AAAAAG/ei2k=")</f>
        <v>#REF!</v>
      </c>
      <c r="DC53" t="e">
        <f>AND('GA55 Entry'!#REF!,"AAAAAG/ei2o=")</f>
        <v>#REF!</v>
      </c>
      <c r="DD53" t="e">
        <f>AND('GA55 Entry'!#REF!,"AAAAAG/ei2s=")</f>
        <v>#REF!</v>
      </c>
      <c r="DE53" t="e">
        <f>AND('GA55 Entry'!#REF!,"AAAAAG/ei2w=")</f>
        <v>#REF!</v>
      </c>
      <c r="DF53" t="e">
        <f>AND('GA55 Entry'!#REF!,"AAAAAG/ei20=")</f>
        <v>#REF!</v>
      </c>
      <c r="DG53" t="e">
        <f>AND('GA55 Entry'!#REF!,"AAAAAG/ei24=")</f>
        <v>#REF!</v>
      </c>
      <c r="DH53" t="e">
        <f>AND('GA55 Entry'!#REF!,"AAAAAG/ei28=")</f>
        <v>#REF!</v>
      </c>
      <c r="DI53" t="e">
        <f>AND('GA55 Entry'!#REF!,"AAAAAG/ei3A=")</f>
        <v>#REF!</v>
      </c>
      <c r="DJ53" t="e">
        <f>AND('GA55 Entry'!#REF!,"AAAAAG/ei3E=")</f>
        <v>#REF!</v>
      </c>
      <c r="DK53" t="e">
        <f>AND('GA55 Entry'!#REF!,"AAAAAG/ei3I=")</f>
        <v>#REF!</v>
      </c>
      <c r="DL53" t="e">
        <f>AND('GA55 Entry'!#REF!,"AAAAAG/ei3M=")</f>
        <v>#REF!</v>
      </c>
      <c r="DM53" t="e">
        <f>AND('GA55 Entry'!#REF!,"AAAAAG/ei3Q=")</f>
        <v>#REF!</v>
      </c>
      <c r="DN53" t="e">
        <f>AND('GA55 Entry'!#REF!,"AAAAAG/ei3U=")</f>
        <v>#REF!</v>
      </c>
      <c r="DO53" t="e">
        <f>AND('GA55 Entry'!#REF!,"AAAAAG/ei3Y=")</f>
        <v>#REF!</v>
      </c>
      <c r="DP53" t="e">
        <f>AND('GA55 Entry'!#REF!,"AAAAAG/ei3c=")</f>
        <v>#REF!</v>
      </c>
      <c r="DQ53" t="e">
        <f>AND('GA55 Entry'!#REF!,"AAAAAG/ei3g=")</f>
        <v>#REF!</v>
      </c>
      <c r="DR53" t="e">
        <f>AND('GA55 Entry'!#REF!,"AAAAAG/ei3k=")</f>
        <v>#REF!</v>
      </c>
      <c r="DS53" t="e">
        <f>AND('GA55 Entry'!#REF!,"AAAAAG/ei3o=")</f>
        <v>#REF!</v>
      </c>
      <c r="DT53" t="e">
        <f>AND('GA55 Entry'!#REF!,"AAAAAG/ei3s=")</f>
        <v>#REF!</v>
      </c>
      <c r="DU53" t="e">
        <f>AND('GA55 Entry'!#REF!,"AAAAAG/ei3w=")</f>
        <v>#REF!</v>
      </c>
      <c r="DV53" t="e">
        <f>AND('GA55 Entry'!#REF!,"AAAAAG/ei30=")</f>
        <v>#REF!</v>
      </c>
      <c r="DW53" t="e">
        <f>AND('GA55 Entry'!#REF!,"AAAAAG/ei34=")</f>
        <v>#REF!</v>
      </c>
      <c r="DX53" t="e">
        <f>AND('GA55 Entry'!#REF!,"AAAAAG/ei38=")</f>
        <v>#REF!</v>
      </c>
      <c r="DY53" t="e">
        <f>AND('GA55 Entry'!#REF!,"AAAAAG/ei4A=")</f>
        <v>#REF!</v>
      </c>
      <c r="DZ53" t="e">
        <f>AND('GA55 Entry'!#REF!,"AAAAAG/ei4E=")</f>
        <v>#REF!</v>
      </c>
      <c r="EA53" t="e">
        <f>AND('GA55 Entry'!#REF!,"AAAAAG/ei4I=")</f>
        <v>#REF!</v>
      </c>
      <c r="EB53" t="e">
        <f>AND('GA55 Entry'!#REF!,"AAAAAG/ei4M=")</f>
        <v>#REF!</v>
      </c>
      <c r="EC53" t="e">
        <f>AND('GA55 Entry'!#REF!,"AAAAAG/ei4Q=")</f>
        <v>#REF!</v>
      </c>
      <c r="ED53" t="e">
        <f>AND('GA55 Entry'!#REF!,"AAAAAG/ei4U=")</f>
        <v>#REF!</v>
      </c>
      <c r="EE53" t="e">
        <f>AND('GA55 Entry'!#REF!,"AAAAAG/ei4Y=")</f>
        <v>#REF!</v>
      </c>
      <c r="EF53" t="e">
        <f>AND('GA55 Entry'!#REF!,"AAAAAG/ei4c=")</f>
        <v>#REF!</v>
      </c>
      <c r="EG53" t="e">
        <f>AND('GA55 Entry'!#REF!,"AAAAAG/ei4g=")</f>
        <v>#REF!</v>
      </c>
      <c r="EH53" t="e">
        <f>AND('GA55 Entry'!#REF!,"AAAAAG/ei4k=")</f>
        <v>#REF!</v>
      </c>
      <c r="EI53" t="e">
        <f>AND('GA55 Entry'!#REF!,"AAAAAG/ei4o=")</f>
        <v>#REF!</v>
      </c>
      <c r="EJ53" t="e">
        <f>AND('GA55 Entry'!#REF!,"AAAAAG/ei4s=")</f>
        <v>#REF!</v>
      </c>
      <c r="EK53" t="e">
        <f>IF('GA55 Entry'!#REF!,"AAAAAG/ei4w=",0)</f>
        <v>#REF!</v>
      </c>
      <c r="EL53" t="e">
        <f>AND('GA55 Entry'!#REF!,"AAAAAG/ei40=")</f>
        <v>#REF!</v>
      </c>
      <c r="EM53" t="e">
        <f>AND('GA55 Entry'!#REF!,"AAAAAG/ei44=")</f>
        <v>#REF!</v>
      </c>
      <c r="EN53" t="e">
        <f>AND('GA55 Entry'!#REF!,"AAAAAG/ei48=")</f>
        <v>#REF!</v>
      </c>
      <c r="EO53" t="e">
        <f>AND('GA55 Entry'!#REF!,"AAAAAG/ei5A=")</f>
        <v>#REF!</v>
      </c>
      <c r="EP53" t="e">
        <f>AND('GA55 Entry'!#REF!,"AAAAAG/ei5E=")</f>
        <v>#REF!</v>
      </c>
      <c r="EQ53" t="e">
        <f>AND('GA55 Entry'!#REF!,"AAAAAG/ei5I=")</f>
        <v>#REF!</v>
      </c>
      <c r="ER53" t="e">
        <f>AND('GA55 Entry'!#REF!,"AAAAAG/ei5M=")</f>
        <v>#REF!</v>
      </c>
      <c r="ES53" t="e">
        <f>AND('GA55 Entry'!#REF!,"AAAAAG/ei5Q=")</f>
        <v>#REF!</v>
      </c>
      <c r="ET53" t="e">
        <f>AND('GA55 Entry'!#REF!,"AAAAAG/ei5U=")</f>
        <v>#REF!</v>
      </c>
      <c r="EU53" t="e">
        <f>AND('GA55 Entry'!#REF!,"AAAAAG/ei5Y=")</f>
        <v>#REF!</v>
      </c>
      <c r="EV53" t="e">
        <f>AND('GA55 Entry'!#REF!,"AAAAAG/ei5c=")</f>
        <v>#REF!</v>
      </c>
      <c r="EW53" t="e">
        <f>AND('GA55 Entry'!#REF!,"AAAAAG/ei5g=")</f>
        <v>#REF!</v>
      </c>
      <c r="EX53" t="e">
        <f>AND('GA55 Entry'!#REF!,"AAAAAG/ei5k=")</f>
        <v>#REF!</v>
      </c>
      <c r="EY53" t="e">
        <f>AND('GA55 Entry'!#REF!,"AAAAAG/ei5o=")</f>
        <v>#REF!</v>
      </c>
      <c r="EZ53" t="e">
        <f>AND('GA55 Entry'!#REF!,"AAAAAG/ei5s=")</f>
        <v>#REF!</v>
      </c>
      <c r="FA53" t="e">
        <f>AND('GA55 Entry'!#REF!,"AAAAAG/ei5w=")</f>
        <v>#REF!</v>
      </c>
      <c r="FB53" t="e">
        <f>AND('GA55 Entry'!#REF!,"AAAAAG/ei50=")</f>
        <v>#REF!</v>
      </c>
      <c r="FC53" t="e">
        <f>AND('GA55 Entry'!#REF!,"AAAAAG/ei54=")</f>
        <v>#REF!</v>
      </c>
      <c r="FD53" t="e">
        <f>AND('GA55 Entry'!#REF!,"AAAAAG/ei58=")</f>
        <v>#REF!</v>
      </c>
      <c r="FE53" t="e">
        <f>AND('GA55 Entry'!#REF!,"AAAAAG/ei6A=")</f>
        <v>#REF!</v>
      </c>
      <c r="FF53" t="e">
        <f>AND('GA55 Entry'!#REF!,"AAAAAG/ei6E=")</f>
        <v>#REF!</v>
      </c>
      <c r="FG53" t="e">
        <f>AND('GA55 Entry'!#REF!,"AAAAAG/ei6I=")</f>
        <v>#REF!</v>
      </c>
      <c r="FH53" t="e">
        <f>AND('GA55 Entry'!#REF!,"AAAAAG/ei6M=")</f>
        <v>#REF!</v>
      </c>
      <c r="FI53" t="e">
        <f>AND('GA55 Entry'!#REF!,"AAAAAG/ei6Q=")</f>
        <v>#REF!</v>
      </c>
      <c r="FJ53" t="e">
        <f>AND('GA55 Entry'!#REF!,"AAAAAG/ei6U=")</f>
        <v>#REF!</v>
      </c>
      <c r="FK53" t="e">
        <f>AND('GA55 Entry'!#REF!,"AAAAAG/ei6Y=")</f>
        <v>#REF!</v>
      </c>
      <c r="FL53" t="e">
        <f>AND('GA55 Entry'!#REF!,"AAAAAG/ei6c=")</f>
        <v>#REF!</v>
      </c>
      <c r="FM53" t="e">
        <f>AND('GA55 Entry'!#REF!,"AAAAAG/ei6g=")</f>
        <v>#REF!</v>
      </c>
      <c r="FN53" t="e">
        <f>AND('GA55 Entry'!#REF!,"AAAAAG/ei6k=")</f>
        <v>#REF!</v>
      </c>
      <c r="FO53" t="e">
        <f>AND('GA55 Entry'!#REF!,"AAAAAG/ei6o=")</f>
        <v>#REF!</v>
      </c>
      <c r="FP53" t="e">
        <f>AND('GA55 Entry'!#REF!,"AAAAAG/ei6s=")</f>
        <v>#REF!</v>
      </c>
      <c r="FQ53" t="e">
        <f>AND('GA55 Entry'!#REF!,"AAAAAG/ei6w=")</f>
        <v>#REF!</v>
      </c>
      <c r="FR53" t="e">
        <f>AND('GA55 Entry'!#REF!,"AAAAAG/ei60=")</f>
        <v>#REF!</v>
      </c>
      <c r="FS53" t="e">
        <f>AND('GA55 Entry'!#REF!,"AAAAAG/ei64=")</f>
        <v>#REF!</v>
      </c>
      <c r="FT53" t="e">
        <f>AND('GA55 Entry'!#REF!,"AAAAAG/ei68=")</f>
        <v>#REF!</v>
      </c>
      <c r="FU53" t="e">
        <f>AND('GA55 Entry'!#REF!,"AAAAAG/ei7A=")</f>
        <v>#REF!</v>
      </c>
      <c r="FV53" t="e">
        <f>AND('GA55 Entry'!#REF!,"AAAAAG/ei7E=")</f>
        <v>#REF!</v>
      </c>
      <c r="FW53" t="e">
        <f>AND('GA55 Entry'!#REF!,"AAAAAG/ei7I=")</f>
        <v>#REF!</v>
      </c>
      <c r="FX53" t="e">
        <f>AND('GA55 Entry'!#REF!,"AAAAAG/ei7M=")</f>
        <v>#REF!</v>
      </c>
      <c r="FY53" t="e">
        <f>AND('GA55 Entry'!#REF!,"AAAAAG/ei7Q=")</f>
        <v>#REF!</v>
      </c>
      <c r="FZ53" t="e">
        <f>AND('GA55 Entry'!#REF!,"AAAAAG/ei7U=")</f>
        <v>#REF!</v>
      </c>
      <c r="GA53" t="e">
        <f>AND('GA55 Entry'!#REF!,"AAAAAG/ei7Y=")</f>
        <v>#REF!</v>
      </c>
      <c r="GB53" t="e">
        <f>AND('GA55 Entry'!#REF!,"AAAAAG/ei7c=")</f>
        <v>#REF!</v>
      </c>
      <c r="GC53" t="e">
        <f>AND('GA55 Entry'!#REF!,"AAAAAG/ei7g=")</f>
        <v>#REF!</v>
      </c>
      <c r="GD53" t="e">
        <f>AND('GA55 Entry'!#REF!,"AAAAAG/ei7k=")</f>
        <v>#REF!</v>
      </c>
      <c r="GE53" t="e">
        <f>AND('GA55 Entry'!#REF!,"AAAAAG/ei7o=")</f>
        <v>#REF!</v>
      </c>
      <c r="GF53" t="e">
        <f>AND('GA55 Entry'!#REF!,"AAAAAG/ei7s=")</f>
        <v>#REF!</v>
      </c>
      <c r="GG53" t="e">
        <f>AND('GA55 Entry'!#REF!,"AAAAAG/ei7w=")</f>
        <v>#REF!</v>
      </c>
      <c r="GH53" t="e">
        <f>AND('GA55 Entry'!#REF!,"AAAAAG/ei70=")</f>
        <v>#REF!</v>
      </c>
      <c r="GI53" t="e">
        <f>AND('GA55 Entry'!#REF!,"AAAAAG/ei74=")</f>
        <v>#REF!</v>
      </c>
      <c r="GJ53" t="e">
        <f>IF('GA55 Entry'!#REF!,"AAAAAG/ei78=",0)</f>
        <v>#REF!</v>
      </c>
      <c r="GK53" t="e">
        <f>AND('GA55 Entry'!#REF!,"AAAAAG/ei8A=")</f>
        <v>#REF!</v>
      </c>
      <c r="GL53" t="e">
        <f>AND('GA55 Entry'!#REF!,"AAAAAG/ei8E=")</f>
        <v>#REF!</v>
      </c>
      <c r="GM53" t="e">
        <f>AND('GA55 Entry'!#REF!,"AAAAAG/ei8I=")</f>
        <v>#REF!</v>
      </c>
      <c r="GN53" t="e">
        <f>AND('GA55 Entry'!#REF!,"AAAAAG/ei8M=")</f>
        <v>#REF!</v>
      </c>
      <c r="GO53" t="e">
        <f>AND('GA55 Entry'!#REF!,"AAAAAG/ei8Q=")</f>
        <v>#REF!</v>
      </c>
      <c r="GP53" t="e">
        <f>AND('GA55 Entry'!#REF!,"AAAAAG/ei8U=")</f>
        <v>#REF!</v>
      </c>
      <c r="GQ53" t="e">
        <f>AND('GA55 Entry'!#REF!,"AAAAAG/ei8Y=")</f>
        <v>#REF!</v>
      </c>
      <c r="GR53" t="e">
        <f>AND('GA55 Entry'!#REF!,"AAAAAG/ei8c=")</f>
        <v>#REF!</v>
      </c>
      <c r="GS53" t="e">
        <f>AND('GA55 Entry'!#REF!,"AAAAAG/ei8g=")</f>
        <v>#REF!</v>
      </c>
      <c r="GT53" t="e">
        <f>AND('GA55 Entry'!#REF!,"AAAAAG/ei8k=")</f>
        <v>#REF!</v>
      </c>
      <c r="GU53" t="e">
        <f>AND('GA55 Entry'!#REF!,"AAAAAG/ei8o=")</f>
        <v>#REF!</v>
      </c>
      <c r="GV53" t="e">
        <f>AND('GA55 Entry'!#REF!,"AAAAAG/ei8s=")</f>
        <v>#REF!</v>
      </c>
      <c r="GW53" t="e">
        <f>AND('GA55 Entry'!#REF!,"AAAAAG/ei8w=")</f>
        <v>#REF!</v>
      </c>
      <c r="GX53" t="e">
        <f>AND('GA55 Entry'!#REF!,"AAAAAG/ei80=")</f>
        <v>#REF!</v>
      </c>
      <c r="GY53" t="e">
        <f>AND('GA55 Entry'!#REF!,"AAAAAG/ei84=")</f>
        <v>#REF!</v>
      </c>
      <c r="GZ53" t="e">
        <f>AND('GA55 Entry'!#REF!,"AAAAAG/ei88=")</f>
        <v>#REF!</v>
      </c>
      <c r="HA53" t="e">
        <f>AND('GA55 Entry'!#REF!,"AAAAAG/ei9A=")</f>
        <v>#REF!</v>
      </c>
      <c r="HB53" t="e">
        <f>AND('GA55 Entry'!#REF!,"AAAAAG/ei9E=")</f>
        <v>#REF!</v>
      </c>
      <c r="HC53" t="e">
        <f>AND('GA55 Entry'!#REF!,"AAAAAG/ei9I=")</f>
        <v>#REF!</v>
      </c>
      <c r="HD53" t="e">
        <f>AND('GA55 Entry'!#REF!,"AAAAAG/ei9M=")</f>
        <v>#REF!</v>
      </c>
      <c r="HE53" t="e">
        <f>AND('GA55 Entry'!#REF!,"AAAAAG/ei9Q=")</f>
        <v>#REF!</v>
      </c>
      <c r="HF53" t="e">
        <f>AND('GA55 Entry'!#REF!,"AAAAAG/ei9U=")</f>
        <v>#REF!</v>
      </c>
      <c r="HG53" t="e">
        <f>AND('GA55 Entry'!#REF!,"AAAAAG/ei9Y=")</f>
        <v>#REF!</v>
      </c>
      <c r="HH53" t="e">
        <f>AND('GA55 Entry'!#REF!,"AAAAAG/ei9c=")</f>
        <v>#REF!</v>
      </c>
      <c r="HI53" t="e">
        <f>AND('GA55 Entry'!#REF!,"AAAAAG/ei9g=")</f>
        <v>#REF!</v>
      </c>
      <c r="HJ53" t="e">
        <f>AND('GA55 Entry'!#REF!,"AAAAAG/ei9k=")</f>
        <v>#REF!</v>
      </c>
      <c r="HK53" t="e">
        <f>AND('GA55 Entry'!#REF!,"AAAAAG/ei9o=")</f>
        <v>#REF!</v>
      </c>
      <c r="HL53" t="e">
        <f>AND('GA55 Entry'!#REF!,"AAAAAG/ei9s=")</f>
        <v>#REF!</v>
      </c>
      <c r="HM53" t="e">
        <f>AND('GA55 Entry'!#REF!,"AAAAAG/ei9w=")</f>
        <v>#REF!</v>
      </c>
      <c r="HN53" t="e">
        <f>AND('GA55 Entry'!#REF!,"AAAAAG/ei90=")</f>
        <v>#REF!</v>
      </c>
      <c r="HO53" t="e">
        <f>AND('GA55 Entry'!#REF!,"AAAAAG/ei94=")</f>
        <v>#REF!</v>
      </c>
      <c r="HP53" t="e">
        <f>AND('GA55 Entry'!#REF!,"AAAAAG/ei98=")</f>
        <v>#REF!</v>
      </c>
      <c r="HQ53" t="e">
        <f>AND('GA55 Entry'!#REF!,"AAAAAG/ei+A=")</f>
        <v>#REF!</v>
      </c>
      <c r="HR53" t="e">
        <f>AND('GA55 Entry'!#REF!,"AAAAAG/ei+E=")</f>
        <v>#REF!</v>
      </c>
      <c r="HS53" t="e">
        <f>AND('GA55 Entry'!#REF!,"AAAAAG/ei+I=")</f>
        <v>#REF!</v>
      </c>
      <c r="HT53" t="e">
        <f>AND('GA55 Entry'!#REF!,"AAAAAG/ei+M=")</f>
        <v>#REF!</v>
      </c>
      <c r="HU53" t="e">
        <f>AND('GA55 Entry'!#REF!,"AAAAAG/ei+Q=")</f>
        <v>#REF!</v>
      </c>
      <c r="HV53" t="e">
        <f>AND('GA55 Entry'!#REF!,"AAAAAG/ei+U=")</f>
        <v>#REF!</v>
      </c>
      <c r="HW53" t="e">
        <f>AND('GA55 Entry'!#REF!,"AAAAAG/ei+Y=")</f>
        <v>#REF!</v>
      </c>
      <c r="HX53" t="e">
        <f>AND('GA55 Entry'!#REF!,"AAAAAG/ei+c=")</f>
        <v>#REF!</v>
      </c>
      <c r="HY53" t="e">
        <f>AND('GA55 Entry'!#REF!,"AAAAAG/ei+g=")</f>
        <v>#REF!</v>
      </c>
      <c r="HZ53" t="e">
        <f>AND('GA55 Entry'!#REF!,"AAAAAG/ei+k=")</f>
        <v>#REF!</v>
      </c>
      <c r="IA53" t="e">
        <f>AND('GA55 Entry'!#REF!,"AAAAAG/ei+o=")</f>
        <v>#REF!</v>
      </c>
      <c r="IB53" t="e">
        <f>AND('GA55 Entry'!#REF!,"AAAAAG/ei+s=")</f>
        <v>#REF!</v>
      </c>
      <c r="IC53" t="e">
        <f>AND('GA55 Entry'!#REF!,"AAAAAG/ei+w=")</f>
        <v>#REF!</v>
      </c>
      <c r="ID53" t="e">
        <f>AND('GA55 Entry'!#REF!,"AAAAAG/ei+0=")</f>
        <v>#REF!</v>
      </c>
      <c r="IE53" t="e">
        <f>AND('GA55 Entry'!#REF!,"AAAAAG/ei+4=")</f>
        <v>#REF!</v>
      </c>
      <c r="IF53" t="e">
        <f>AND('GA55 Entry'!#REF!,"AAAAAG/ei+8=")</f>
        <v>#REF!</v>
      </c>
      <c r="IG53" t="e">
        <f>AND('GA55 Entry'!#REF!,"AAAAAG/ei/A=")</f>
        <v>#REF!</v>
      </c>
      <c r="IH53" t="e">
        <f>AND('GA55 Entry'!#REF!,"AAAAAG/ei/E=")</f>
        <v>#REF!</v>
      </c>
      <c r="II53" t="e">
        <f>IF('GA55 Entry'!#REF!,"AAAAAG/ei/I=",0)</f>
        <v>#REF!</v>
      </c>
      <c r="IJ53" t="e">
        <f>AND('GA55 Entry'!#REF!,"AAAAAG/ei/M=")</f>
        <v>#REF!</v>
      </c>
      <c r="IK53" t="e">
        <f>AND('GA55 Entry'!#REF!,"AAAAAG/ei/Q=")</f>
        <v>#REF!</v>
      </c>
      <c r="IL53" t="e">
        <f>AND('GA55 Entry'!#REF!,"AAAAAG/ei/U=")</f>
        <v>#REF!</v>
      </c>
      <c r="IM53" t="e">
        <f>AND('GA55 Entry'!#REF!,"AAAAAG/ei/Y=")</f>
        <v>#REF!</v>
      </c>
      <c r="IN53" t="e">
        <f>AND('GA55 Entry'!#REF!,"AAAAAG/ei/c=")</f>
        <v>#REF!</v>
      </c>
      <c r="IO53" t="e">
        <f>AND('GA55 Entry'!#REF!,"AAAAAG/ei/g=")</f>
        <v>#REF!</v>
      </c>
      <c r="IP53" t="e">
        <f>AND('GA55 Entry'!#REF!,"AAAAAG/ei/k=")</f>
        <v>#REF!</v>
      </c>
      <c r="IQ53" t="e">
        <f>AND('GA55 Entry'!#REF!,"AAAAAG/ei/o=")</f>
        <v>#REF!</v>
      </c>
      <c r="IR53" t="e">
        <f>AND('GA55 Entry'!#REF!,"AAAAAG/ei/s=")</f>
        <v>#REF!</v>
      </c>
      <c r="IS53" t="e">
        <f>AND('GA55 Entry'!#REF!,"AAAAAG/ei/w=")</f>
        <v>#REF!</v>
      </c>
      <c r="IT53" t="e">
        <f>AND('GA55 Entry'!#REF!,"AAAAAG/ei/0=")</f>
        <v>#REF!</v>
      </c>
      <c r="IU53" t="e">
        <f>AND('GA55 Entry'!#REF!,"AAAAAG/ei/4=")</f>
        <v>#REF!</v>
      </c>
      <c r="IV53" t="e">
        <f>AND('GA55 Entry'!#REF!,"AAAAAG/ei/8=")</f>
        <v>#REF!</v>
      </c>
    </row>
    <row r="54" spans="1:256">
      <c r="A54" t="e">
        <f>AND('GA55 Entry'!#REF!,"AAAAAH8v2gA=")</f>
        <v>#REF!</v>
      </c>
      <c r="B54" t="e">
        <f>AND('GA55 Entry'!#REF!,"AAAAAH8v2gE=")</f>
        <v>#REF!</v>
      </c>
      <c r="C54" t="e">
        <f>AND('GA55 Entry'!#REF!,"AAAAAH8v2gI=")</f>
        <v>#REF!</v>
      </c>
      <c r="D54" t="e">
        <f>AND('GA55 Entry'!#REF!,"AAAAAH8v2gM=")</f>
        <v>#REF!</v>
      </c>
      <c r="E54" t="e">
        <f>AND('GA55 Entry'!#REF!,"AAAAAH8v2gQ=")</f>
        <v>#REF!</v>
      </c>
      <c r="F54" t="e">
        <f>AND('GA55 Entry'!#REF!,"AAAAAH8v2gU=")</f>
        <v>#REF!</v>
      </c>
      <c r="G54" t="e">
        <f>AND('GA55 Entry'!#REF!,"AAAAAH8v2gY=")</f>
        <v>#REF!</v>
      </c>
      <c r="H54" t="e">
        <f>AND('GA55 Entry'!#REF!,"AAAAAH8v2gc=")</f>
        <v>#REF!</v>
      </c>
      <c r="I54" t="e">
        <f>AND('GA55 Entry'!#REF!,"AAAAAH8v2gg=")</f>
        <v>#REF!</v>
      </c>
      <c r="J54" t="e">
        <f>AND('GA55 Entry'!#REF!,"AAAAAH8v2gk=")</f>
        <v>#REF!</v>
      </c>
      <c r="K54" t="e">
        <f>AND('GA55 Entry'!#REF!,"AAAAAH8v2go=")</f>
        <v>#REF!</v>
      </c>
      <c r="L54" t="e">
        <f>AND('GA55 Entry'!#REF!,"AAAAAH8v2gs=")</f>
        <v>#REF!</v>
      </c>
      <c r="M54" t="e">
        <f>AND('GA55 Entry'!#REF!,"AAAAAH8v2gw=")</f>
        <v>#REF!</v>
      </c>
      <c r="N54" t="e">
        <f>AND('GA55 Entry'!#REF!,"AAAAAH8v2g0=")</f>
        <v>#REF!</v>
      </c>
      <c r="O54" t="e">
        <f>AND('GA55 Entry'!#REF!,"AAAAAH8v2g4=")</f>
        <v>#REF!</v>
      </c>
      <c r="P54" t="e">
        <f>AND('GA55 Entry'!#REF!,"AAAAAH8v2g8=")</f>
        <v>#REF!</v>
      </c>
      <c r="Q54" t="e">
        <f>AND('GA55 Entry'!#REF!,"AAAAAH8v2hA=")</f>
        <v>#REF!</v>
      </c>
      <c r="R54" t="e">
        <f>AND('GA55 Entry'!#REF!,"AAAAAH8v2hE=")</f>
        <v>#REF!</v>
      </c>
      <c r="S54" t="e">
        <f>AND('GA55 Entry'!#REF!,"AAAAAH8v2hI=")</f>
        <v>#REF!</v>
      </c>
      <c r="T54" t="e">
        <f>AND('GA55 Entry'!#REF!,"AAAAAH8v2hM=")</f>
        <v>#REF!</v>
      </c>
      <c r="U54" t="e">
        <f>AND('GA55 Entry'!#REF!,"AAAAAH8v2hQ=")</f>
        <v>#REF!</v>
      </c>
      <c r="V54" t="e">
        <f>AND('GA55 Entry'!#REF!,"AAAAAH8v2hU=")</f>
        <v>#REF!</v>
      </c>
      <c r="W54" t="e">
        <f>AND('GA55 Entry'!#REF!,"AAAAAH8v2hY=")</f>
        <v>#REF!</v>
      </c>
      <c r="X54" t="e">
        <f>AND('GA55 Entry'!#REF!,"AAAAAH8v2hc=")</f>
        <v>#REF!</v>
      </c>
      <c r="Y54" t="e">
        <f>AND('GA55 Entry'!#REF!,"AAAAAH8v2hg=")</f>
        <v>#REF!</v>
      </c>
      <c r="Z54" t="e">
        <f>AND('GA55 Entry'!#REF!,"AAAAAH8v2hk=")</f>
        <v>#REF!</v>
      </c>
      <c r="AA54" t="e">
        <f>AND('GA55 Entry'!#REF!,"AAAAAH8v2ho=")</f>
        <v>#REF!</v>
      </c>
      <c r="AB54" t="e">
        <f>AND('GA55 Entry'!#REF!,"AAAAAH8v2hs=")</f>
        <v>#REF!</v>
      </c>
      <c r="AC54" t="e">
        <f>AND('GA55 Entry'!#REF!,"AAAAAH8v2hw=")</f>
        <v>#REF!</v>
      </c>
      <c r="AD54" t="e">
        <f>AND('GA55 Entry'!#REF!,"AAAAAH8v2h0=")</f>
        <v>#REF!</v>
      </c>
      <c r="AE54" t="e">
        <f>AND('GA55 Entry'!#REF!,"AAAAAH8v2h4=")</f>
        <v>#REF!</v>
      </c>
      <c r="AF54" t="e">
        <f>AND('GA55 Entry'!#REF!,"AAAAAH8v2h8=")</f>
        <v>#REF!</v>
      </c>
      <c r="AG54" t="e">
        <f>AND('GA55 Entry'!#REF!,"AAAAAH8v2iA=")</f>
        <v>#REF!</v>
      </c>
      <c r="AH54" t="e">
        <f>AND('GA55 Entry'!#REF!,"AAAAAH8v2iE=")</f>
        <v>#REF!</v>
      </c>
      <c r="AI54" t="e">
        <f>AND('GA55 Entry'!#REF!,"AAAAAH8v2iI=")</f>
        <v>#REF!</v>
      </c>
      <c r="AJ54" t="e">
        <f>AND('GA55 Entry'!#REF!,"AAAAAH8v2iM=")</f>
        <v>#REF!</v>
      </c>
      <c r="AK54" t="e">
        <f>AND('GA55 Entry'!#REF!,"AAAAAH8v2iQ=")</f>
        <v>#REF!</v>
      </c>
      <c r="AL54" t="e">
        <f>IF('GA55 Entry'!#REF!,"AAAAAH8v2iU=",0)</f>
        <v>#REF!</v>
      </c>
      <c r="AM54" t="e">
        <f>AND('GA55 Entry'!#REF!,"AAAAAH8v2iY=")</f>
        <v>#REF!</v>
      </c>
      <c r="AN54" t="e">
        <f>AND('GA55 Entry'!#REF!,"AAAAAH8v2ic=")</f>
        <v>#REF!</v>
      </c>
      <c r="AO54" t="e">
        <f>AND('GA55 Entry'!#REF!,"AAAAAH8v2ig=")</f>
        <v>#REF!</v>
      </c>
      <c r="AP54" t="e">
        <f>AND('GA55 Entry'!#REF!,"AAAAAH8v2ik=")</f>
        <v>#REF!</v>
      </c>
      <c r="AQ54" t="e">
        <f>AND('GA55 Entry'!#REF!,"AAAAAH8v2io=")</f>
        <v>#REF!</v>
      </c>
      <c r="AR54" t="e">
        <f>AND('GA55 Entry'!#REF!,"AAAAAH8v2is=")</f>
        <v>#REF!</v>
      </c>
      <c r="AS54" t="e">
        <f>AND('GA55 Entry'!#REF!,"AAAAAH8v2iw=")</f>
        <v>#REF!</v>
      </c>
      <c r="AT54" t="e">
        <f>AND('GA55 Entry'!#REF!,"AAAAAH8v2i0=")</f>
        <v>#REF!</v>
      </c>
      <c r="AU54" t="e">
        <f>AND('GA55 Entry'!#REF!,"AAAAAH8v2i4=")</f>
        <v>#REF!</v>
      </c>
      <c r="AV54" t="e">
        <f>AND('GA55 Entry'!#REF!,"AAAAAH8v2i8=")</f>
        <v>#REF!</v>
      </c>
      <c r="AW54" t="e">
        <f>AND('GA55 Entry'!#REF!,"AAAAAH8v2jA=")</f>
        <v>#REF!</v>
      </c>
      <c r="AX54" t="e">
        <f>AND('GA55 Entry'!#REF!,"AAAAAH8v2jE=")</f>
        <v>#REF!</v>
      </c>
      <c r="AY54" t="e">
        <f>AND('GA55 Entry'!#REF!,"AAAAAH8v2jI=")</f>
        <v>#REF!</v>
      </c>
      <c r="AZ54" t="e">
        <f>AND('GA55 Entry'!#REF!,"AAAAAH8v2jM=")</f>
        <v>#REF!</v>
      </c>
      <c r="BA54" t="e">
        <f>AND('GA55 Entry'!#REF!,"AAAAAH8v2jQ=")</f>
        <v>#REF!</v>
      </c>
      <c r="BB54" t="e">
        <f>AND('GA55 Entry'!#REF!,"AAAAAH8v2jU=")</f>
        <v>#REF!</v>
      </c>
      <c r="BC54" t="e">
        <f>AND('GA55 Entry'!#REF!,"AAAAAH8v2jY=")</f>
        <v>#REF!</v>
      </c>
      <c r="BD54" t="e">
        <f>AND('GA55 Entry'!#REF!,"AAAAAH8v2jc=")</f>
        <v>#REF!</v>
      </c>
      <c r="BE54" t="e">
        <f>AND('GA55 Entry'!#REF!,"AAAAAH8v2jg=")</f>
        <v>#REF!</v>
      </c>
      <c r="BF54" t="e">
        <f>AND('GA55 Entry'!#REF!,"AAAAAH8v2jk=")</f>
        <v>#REF!</v>
      </c>
      <c r="BG54" t="e">
        <f>AND('GA55 Entry'!#REF!,"AAAAAH8v2jo=")</f>
        <v>#REF!</v>
      </c>
      <c r="BH54" t="e">
        <f>AND('GA55 Entry'!#REF!,"AAAAAH8v2js=")</f>
        <v>#REF!</v>
      </c>
      <c r="BI54" t="e">
        <f>AND('GA55 Entry'!#REF!,"AAAAAH8v2jw=")</f>
        <v>#REF!</v>
      </c>
      <c r="BJ54" t="e">
        <f>AND('GA55 Entry'!#REF!,"AAAAAH8v2j0=")</f>
        <v>#REF!</v>
      </c>
      <c r="BK54" t="e">
        <f>AND('GA55 Entry'!#REF!,"AAAAAH8v2j4=")</f>
        <v>#REF!</v>
      </c>
      <c r="BL54" t="e">
        <f>AND('GA55 Entry'!#REF!,"AAAAAH8v2j8=")</f>
        <v>#REF!</v>
      </c>
      <c r="BM54" t="e">
        <f>AND('GA55 Entry'!#REF!,"AAAAAH8v2kA=")</f>
        <v>#REF!</v>
      </c>
      <c r="BN54" t="e">
        <f>AND('GA55 Entry'!#REF!,"AAAAAH8v2kE=")</f>
        <v>#REF!</v>
      </c>
      <c r="BO54" t="e">
        <f>AND('GA55 Entry'!#REF!,"AAAAAH8v2kI=")</f>
        <v>#REF!</v>
      </c>
      <c r="BP54" t="e">
        <f>AND('GA55 Entry'!#REF!,"AAAAAH8v2kM=")</f>
        <v>#REF!</v>
      </c>
      <c r="BQ54" t="e">
        <f>AND('GA55 Entry'!#REF!,"AAAAAH8v2kQ=")</f>
        <v>#REF!</v>
      </c>
      <c r="BR54" t="e">
        <f>AND('GA55 Entry'!#REF!,"AAAAAH8v2kU=")</f>
        <v>#REF!</v>
      </c>
      <c r="BS54" t="e">
        <f>AND('GA55 Entry'!#REF!,"AAAAAH8v2kY=")</f>
        <v>#REF!</v>
      </c>
      <c r="BT54" t="e">
        <f>AND('GA55 Entry'!#REF!,"AAAAAH8v2kc=")</f>
        <v>#REF!</v>
      </c>
      <c r="BU54" t="e">
        <f>AND('GA55 Entry'!#REF!,"AAAAAH8v2kg=")</f>
        <v>#REF!</v>
      </c>
      <c r="BV54" t="e">
        <f>AND('GA55 Entry'!#REF!,"AAAAAH8v2kk=")</f>
        <v>#REF!</v>
      </c>
      <c r="BW54" t="e">
        <f>AND('GA55 Entry'!#REF!,"AAAAAH8v2ko=")</f>
        <v>#REF!</v>
      </c>
      <c r="BX54" t="e">
        <f>AND('GA55 Entry'!#REF!,"AAAAAH8v2ks=")</f>
        <v>#REF!</v>
      </c>
      <c r="BY54" t="e">
        <f>AND('GA55 Entry'!#REF!,"AAAAAH8v2kw=")</f>
        <v>#REF!</v>
      </c>
      <c r="BZ54" t="e">
        <f>AND('GA55 Entry'!#REF!,"AAAAAH8v2k0=")</f>
        <v>#REF!</v>
      </c>
      <c r="CA54" t="e">
        <f>AND('GA55 Entry'!#REF!,"AAAAAH8v2k4=")</f>
        <v>#REF!</v>
      </c>
      <c r="CB54" t="e">
        <f>AND('GA55 Entry'!#REF!,"AAAAAH8v2k8=")</f>
        <v>#REF!</v>
      </c>
      <c r="CC54" t="e">
        <f>AND('GA55 Entry'!#REF!,"AAAAAH8v2lA=")</f>
        <v>#REF!</v>
      </c>
      <c r="CD54" t="e">
        <f>AND('GA55 Entry'!#REF!,"AAAAAH8v2lE=")</f>
        <v>#REF!</v>
      </c>
      <c r="CE54" t="e">
        <f>AND('GA55 Entry'!#REF!,"AAAAAH8v2lI=")</f>
        <v>#REF!</v>
      </c>
      <c r="CF54" t="e">
        <f>AND('GA55 Entry'!#REF!,"AAAAAH8v2lM=")</f>
        <v>#REF!</v>
      </c>
      <c r="CG54" t="e">
        <f>AND('GA55 Entry'!#REF!,"AAAAAH8v2lQ=")</f>
        <v>#REF!</v>
      </c>
      <c r="CH54" t="e">
        <f>AND('GA55 Entry'!#REF!,"AAAAAH8v2lU=")</f>
        <v>#REF!</v>
      </c>
      <c r="CI54" t="e">
        <f>AND('GA55 Entry'!#REF!,"AAAAAH8v2lY=")</f>
        <v>#REF!</v>
      </c>
      <c r="CJ54" t="e">
        <f>AND('GA55 Entry'!#REF!,"AAAAAH8v2lc=")</f>
        <v>#REF!</v>
      </c>
      <c r="CK54" t="e">
        <f>IF('GA55 Entry'!#REF!,"AAAAAH8v2lg=",0)</f>
        <v>#REF!</v>
      </c>
      <c r="CL54" t="e">
        <f>AND('GA55 Entry'!#REF!,"AAAAAH8v2lk=")</f>
        <v>#REF!</v>
      </c>
      <c r="CM54" t="e">
        <f>AND('GA55 Entry'!#REF!,"AAAAAH8v2lo=")</f>
        <v>#REF!</v>
      </c>
      <c r="CN54" t="e">
        <f>AND('GA55 Entry'!#REF!,"AAAAAH8v2ls=")</f>
        <v>#REF!</v>
      </c>
      <c r="CO54" t="e">
        <f>AND('GA55 Entry'!#REF!,"AAAAAH8v2lw=")</f>
        <v>#REF!</v>
      </c>
      <c r="CP54" t="e">
        <f>AND('GA55 Entry'!#REF!,"AAAAAH8v2l0=")</f>
        <v>#REF!</v>
      </c>
      <c r="CQ54" t="e">
        <f>AND('GA55 Entry'!#REF!,"AAAAAH8v2l4=")</f>
        <v>#REF!</v>
      </c>
      <c r="CR54" t="e">
        <f>AND('GA55 Entry'!#REF!,"AAAAAH8v2l8=")</f>
        <v>#REF!</v>
      </c>
      <c r="CS54" t="e">
        <f>AND('GA55 Entry'!#REF!,"AAAAAH8v2mA=")</f>
        <v>#REF!</v>
      </c>
      <c r="CT54" t="e">
        <f>AND('GA55 Entry'!#REF!,"AAAAAH8v2mE=")</f>
        <v>#REF!</v>
      </c>
      <c r="CU54" t="e">
        <f>AND('GA55 Entry'!#REF!,"AAAAAH8v2mI=")</f>
        <v>#REF!</v>
      </c>
      <c r="CV54" t="e">
        <f>AND('GA55 Entry'!#REF!,"AAAAAH8v2mM=")</f>
        <v>#REF!</v>
      </c>
      <c r="CW54" t="e">
        <f>AND('GA55 Entry'!#REF!,"AAAAAH8v2mQ=")</f>
        <v>#REF!</v>
      </c>
      <c r="CX54" t="e">
        <f>AND('GA55 Entry'!#REF!,"AAAAAH8v2mU=")</f>
        <v>#REF!</v>
      </c>
      <c r="CY54" t="e">
        <f>AND('GA55 Entry'!#REF!,"AAAAAH8v2mY=")</f>
        <v>#REF!</v>
      </c>
      <c r="CZ54" t="e">
        <f>AND('GA55 Entry'!#REF!,"AAAAAH8v2mc=")</f>
        <v>#REF!</v>
      </c>
      <c r="DA54" t="e">
        <f>AND('GA55 Entry'!#REF!,"AAAAAH8v2mg=")</f>
        <v>#REF!</v>
      </c>
      <c r="DB54" t="e">
        <f>AND('GA55 Entry'!#REF!,"AAAAAH8v2mk=")</f>
        <v>#REF!</v>
      </c>
      <c r="DC54" t="e">
        <f>AND('GA55 Entry'!#REF!,"AAAAAH8v2mo=")</f>
        <v>#REF!</v>
      </c>
      <c r="DD54" t="e">
        <f>AND('GA55 Entry'!#REF!,"AAAAAH8v2ms=")</f>
        <v>#REF!</v>
      </c>
      <c r="DE54" t="e">
        <f>AND('GA55 Entry'!#REF!,"AAAAAH8v2mw=")</f>
        <v>#REF!</v>
      </c>
      <c r="DF54" t="e">
        <f>AND('GA55 Entry'!#REF!,"AAAAAH8v2m0=")</f>
        <v>#REF!</v>
      </c>
      <c r="DG54" t="e">
        <f>AND('GA55 Entry'!#REF!,"AAAAAH8v2m4=")</f>
        <v>#REF!</v>
      </c>
      <c r="DH54" t="e">
        <f>AND('GA55 Entry'!#REF!,"AAAAAH8v2m8=")</f>
        <v>#REF!</v>
      </c>
      <c r="DI54" t="e">
        <f>AND('GA55 Entry'!#REF!,"AAAAAH8v2nA=")</f>
        <v>#REF!</v>
      </c>
      <c r="DJ54" t="e">
        <f>AND('GA55 Entry'!#REF!,"AAAAAH8v2nE=")</f>
        <v>#REF!</v>
      </c>
      <c r="DK54" t="e">
        <f>AND('GA55 Entry'!#REF!,"AAAAAH8v2nI=")</f>
        <v>#REF!</v>
      </c>
      <c r="DL54" t="e">
        <f>AND('GA55 Entry'!#REF!,"AAAAAH8v2nM=")</f>
        <v>#REF!</v>
      </c>
      <c r="DM54" t="e">
        <f>AND('GA55 Entry'!#REF!,"AAAAAH8v2nQ=")</f>
        <v>#REF!</v>
      </c>
      <c r="DN54" t="e">
        <f>AND('GA55 Entry'!#REF!,"AAAAAH8v2nU=")</f>
        <v>#REF!</v>
      </c>
      <c r="DO54" t="e">
        <f>AND('GA55 Entry'!#REF!,"AAAAAH8v2nY=")</f>
        <v>#REF!</v>
      </c>
      <c r="DP54" t="e">
        <f>AND('GA55 Entry'!#REF!,"AAAAAH8v2nc=")</f>
        <v>#REF!</v>
      </c>
      <c r="DQ54" t="e">
        <f>AND('GA55 Entry'!#REF!,"AAAAAH8v2ng=")</f>
        <v>#REF!</v>
      </c>
      <c r="DR54" t="e">
        <f>AND('GA55 Entry'!#REF!,"AAAAAH8v2nk=")</f>
        <v>#REF!</v>
      </c>
      <c r="DS54" t="e">
        <f>AND('GA55 Entry'!#REF!,"AAAAAH8v2no=")</f>
        <v>#REF!</v>
      </c>
      <c r="DT54" t="e">
        <f>AND('GA55 Entry'!#REF!,"AAAAAH8v2ns=")</f>
        <v>#REF!</v>
      </c>
      <c r="DU54" t="e">
        <f>AND('GA55 Entry'!#REF!,"AAAAAH8v2nw=")</f>
        <v>#REF!</v>
      </c>
      <c r="DV54" t="e">
        <f>AND('GA55 Entry'!#REF!,"AAAAAH8v2n0=")</f>
        <v>#REF!</v>
      </c>
      <c r="DW54" t="e">
        <f>AND('GA55 Entry'!#REF!,"AAAAAH8v2n4=")</f>
        <v>#REF!</v>
      </c>
      <c r="DX54" t="e">
        <f>AND('GA55 Entry'!#REF!,"AAAAAH8v2n8=")</f>
        <v>#REF!</v>
      </c>
      <c r="DY54" t="e">
        <f>AND('GA55 Entry'!#REF!,"AAAAAH8v2oA=")</f>
        <v>#REF!</v>
      </c>
      <c r="DZ54" t="e">
        <f>AND('GA55 Entry'!#REF!,"AAAAAH8v2oE=")</f>
        <v>#REF!</v>
      </c>
      <c r="EA54" t="e">
        <f>AND('GA55 Entry'!#REF!,"AAAAAH8v2oI=")</f>
        <v>#REF!</v>
      </c>
      <c r="EB54" t="e">
        <f>AND('GA55 Entry'!#REF!,"AAAAAH8v2oM=")</f>
        <v>#REF!</v>
      </c>
      <c r="EC54" t="e">
        <f>AND('GA55 Entry'!#REF!,"AAAAAH8v2oQ=")</f>
        <v>#REF!</v>
      </c>
      <c r="ED54" t="e">
        <f>AND('GA55 Entry'!#REF!,"AAAAAH8v2oU=")</f>
        <v>#REF!</v>
      </c>
      <c r="EE54" t="e">
        <f>AND('GA55 Entry'!#REF!,"AAAAAH8v2oY=")</f>
        <v>#REF!</v>
      </c>
      <c r="EF54" t="e">
        <f>AND('GA55 Entry'!#REF!,"AAAAAH8v2oc=")</f>
        <v>#REF!</v>
      </c>
      <c r="EG54" t="e">
        <f>AND('GA55 Entry'!#REF!,"AAAAAH8v2og=")</f>
        <v>#REF!</v>
      </c>
      <c r="EH54" t="e">
        <f>AND('GA55 Entry'!#REF!,"AAAAAH8v2ok=")</f>
        <v>#REF!</v>
      </c>
      <c r="EI54" t="e">
        <f>AND('GA55 Entry'!#REF!,"AAAAAH8v2oo=")</f>
        <v>#REF!</v>
      </c>
      <c r="EJ54" t="e">
        <f>IF('GA55 Entry'!#REF!,"AAAAAH8v2os=",0)</f>
        <v>#REF!</v>
      </c>
      <c r="EK54" t="e">
        <f>AND('GA55 Entry'!#REF!,"AAAAAH8v2ow=")</f>
        <v>#REF!</v>
      </c>
      <c r="EL54" t="e">
        <f>AND('GA55 Entry'!#REF!,"AAAAAH8v2o0=")</f>
        <v>#REF!</v>
      </c>
      <c r="EM54" t="e">
        <f>AND('GA55 Entry'!#REF!,"AAAAAH8v2o4=")</f>
        <v>#REF!</v>
      </c>
      <c r="EN54" t="e">
        <f>AND('GA55 Entry'!#REF!,"AAAAAH8v2o8=")</f>
        <v>#REF!</v>
      </c>
      <c r="EO54" t="e">
        <f>AND('GA55 Entry'!#REF!,"AAAAAH8v2pA=")</f>
        <v>#REF!</v>
      </c>
      <c r="EP54" t="e">
        <f>AND('GA55 Entry'!#REF!,"AAAAAH8v2pE=")</f>
        <v>#REF!</v>
      </c>
      <c r="EQ54" t="e">
        <f>AND('GA55 Entry'!#REF!,"AAAAAH8v2pI=")</f>
        <v>#REF!</v>
      </c>
      <c r="ER54" t="e">
        <f>AND('GA55 Entry'!#REF!,"AAAAAH8v2pM=")</f>
        <v>#REF!</v>
      </c>
      <c r="ES54" t="e">
        <f>AND('GA55 Entry'!#REF!,"AAAAAH8v2pQ=")</f>
        <v>#REF!</v>
      </c>
      <c r="ET54" t="e">
        <f>AND('GA55 Entry'!#REF!,"AAAAAH8v2pU=")</f>
        <v>#REF!</v>
      </c>
      <c r="EU54" t="e">
        <f>AND('GA55 Entry'!#REF!,"AAAAAH8v2pY=")</f>
        <v>#REF!</v>
      </c>
      <c r="EV54" t="e">
        <f>AND('GA55 Entry'!#REF!,"AAAAAH8v2pc=")</f>
        <v>#REF!</v>
      </c>
      <c r="EW54" t="e">
        <f>AND('GA55 Entry'!#REF!,"AAAAAH8v2pg=")</f>
        <v>#REF!</v>
      </c>
      <c r="EX54" t="e">
        <f>AND('GA55 Entry'!#REF!,"AAAAAH8v2pk=")</f>
        <v>#REF!</v>
      </c>
      <c r="EY54" t="e">
        <f>AND('GA55 Entry'!#REF!,"AAAAAH8v2po=")</f>
        <v>#REF!</v>
      </c>
      <c r="EZ54" t="e">
        <f>AND('GA55 Entry'!#REF!,"AAAAAH8v2ps=")</f>
        <v>#REF!</v>
      </c>
      <c r="FA54" t="e">
        <f>AND('GA55 Entry'!#REF!,"AAAAAH8v2pw=")</f>
        <v>#REF!</v>
      </c>
      <c r="FB54" t="e">
        <f>AND('GA55 Entry'!#REF!,"AAAAAH8v2p0=")</f>
        <v>#REF!</v>
      </c>
      <c r="FC54" t="e">
        <f>AND('GA55 Entry'!#REF!,"AAAAAH8v2p4=")</f>
        <v>#REF!</v>
      </c>
      <c r="FD54" t="e">
        <f>AND('GA55 Entry'!#REF!,"AAAAAH8v2p8=")</f>
        <v>#REF!</v>
      </c>
      <c r="FE54" t="e">
        <f>AND('GA55 Entry'!#REF!,"AAAAAH8v2qA=")</f>
        <v>#REF!</v>
      </c>
      <c r="FF54" t="e">
        <f>AND('GA55 Entry'!#REF!,"AAAAAH8v2qE=")</f>
        <v>#REF!</v>
      </c>
      <c r="FG54" t="e">
        <f>AND('GA55 Entry'!#REF!,"AAAAAH8v2qI=")</f>
        <v>#REF!</v>
      </c>
      <c r="FH54" t="e">
        <f>AND('GA55 Entry'!#REF!,"AAAAAH8v2qM=")</f>
        <v>#REF!</v>
      </c>
      <c r="FI54" t="e">
        <f>AND('GA55 Entry'!#REF!,"AAAAAH8v2qQ=")</f>
        <v>#REF!</v>
      </c>
      <c r="FJ54" t="e">
        <f>AND('GA55 Entry'!#REF!,"AAAAAH8v2qU=")</f>
        <v>#REF!</v>
      </c>
      <c r="FK54" t="e">
        <f>AND('GA55 Entry'!#REF!,"AAAAAH8v2qY=")</f>
        <v>#REF!</v>
      </c>
      <c r="FL54" t="e">
        <f>AND('GA55 Entry'!#REF!,"AAAAAH8v2qc=")</f>
        <v>#REF!</v>
      </c>
      <c r="FM54" t="e">
        <f>AND('GA55 Entry'!#REF!,"AAAAAH8v2qg=")</f>
        <v>#REF!</v>
      </c>
      <c r="FN54" t="e">
        <f>AND('GA55 Entry'!#REF!,"AAAAAH8v2qk=")</f>
        <v>#REF!</v>
      </c>
      <c r="FO54" t="e">
        <f>AND('GA55 Entry'!#REF!,"AAAAAH8v2qo=")</f>
        <v>#REF!</v>
      </c>
      <c r="FP54" t="e">
        <f>AND('GA55 Entry'!#REF!,"AAAAAH8v2qs=")</f>
        <v>#REF!</v>
      </c>
      <c r="FQ54" t="e">
        <f>AND('GA55 Entry'!#REF!,"AAAAAH8v2qw=")</f>
        <v>#REF!</v>
      </c>
      <c r="FR54" t="e">
        <f>AND('GA55 Entry'!#REF!,"AAAAAH8v2q0=")</f>
        <v>#REF!</v>
      </c>
      <c r="FS54" t="e">
        <f>AND('GA55 Entry'!#REF!,"AAAAAH8v2q4=")</f>
        <v>#REF!</v>
      </c>
      <c r="FT54" t="e">
        <f>AND('GA55 Entry'!#REF!,"AAAAAH8v2q8=")</f>
        <v>#REF!</v>
      </c>
      <c r="FU54" t="e">
        <f>AND('GA55 Entry'!#REF!,"AAAAAH8v2rA=")</f>
        <v>#REF!</v>
      </c>
      <c r="FV54" t="e">
        <f>AND('GA55 Entry'!#REF!,"AAAAAH8v2rE=")</f>
        <v>#REF!</v>
      </c>
      <c r="FW54" t="e">
        <f>AND('GA55 Entry'!#REF!,"AAAAAH8v2rI=")</f>
        <v>#REF!</v>
      </c>
      <c r="FX54" t="e">
        <f>AND('GA55 Entry'!#REF!,"AAAAAH8v2rM=")</f>
        <v>#REF!</v>
      </c>
      <c r="FY54" t="e">
        <f>AND('GA55 Entry'!#REF!,"AAAAAH8v2rQ=")</f>
        <v>#REF!</v>
      </c>
      <c r="FZ54" t="e">
        <f>AND('GA55 Entry'!#REF!,"AAAAAH8v2rU=")</f>
        <v>#REF!</v>
      </c>
      <c r="GA54" t="e">
        <f>AND('GA55 Entry'!#REF!,"AAAAAH8v2rY=")</f>
        <v>#REF!</v>
      </c>
      <c r="GB54" t="e">
        <f>AND('GA55 Entry'!#REF!,"AAAAAH8v2rc=")</f>
        <v>#REF!</v>
      </c>
      <c r="GC54" t="e">
        <f>AND('GA55 Entry'!#REF!,"AAAAAH8v2rg=")</f>
        <v>#REF!</v>
      </c>
      <c r="GD54" t="e">
        <f>AND('GA55 Entry'!#REF!,"AAAAAH8v2rk=")</f>
        <v>#REF!</v>
      </c>
      <c r="GE54" t="e">
        <f>AND('GA55 Entry'!#REF!,"AAAAAH8v2ro=")</f>
        <v>#REF!</v>
      </c>
      <c r="GF54" t="e">
        <f>AND('GA55 Entry'!#REF!,"AAAAAH8v2rs=")</f>
        <v>#REF!</v>
      </c>
      <c r="GG54" t="e">
        <f>AND('GA55 Entry'!#REF!,"AAAAAH8v2rw=")</f>
        <v>#REF!</v>
      </c>
      <c r="GH54" t="e">
        <f>AND('GA55 Entry'!#REF!,"AAAAAH8v2r0=")</f>
        <v>#REF!</v>
      </c>
      <c r="GI54" t="e">
        <f>IF('GA55 Entry'!#REF!,"AAAAAH8v2r4=",0)</f>
        <v>#REF!</v>
      </c>
      <c r="GJ54" t="e">
        <f>AND('GA55 Entry'!#REF!,"AAAAAH8v2r8=")</f>
        <v>#REF!</v>
      </c>
      <c r="GK54" t="e">
        <f>AND('GA55 Entry'!#REF!,"AAAAAH8v2sA=")</f>
        <v>#REF!</v>
      </c>
      <c r="GL54" t="e">
        <f>AND('GA55 Entry'!#REF!,"AAAAAH8v2sE=")</f>
        <v>#REF!</v>
      </c>
      <c r="GM54" t="e">
        <f>AND('GA55 Entry'!#REF!,"AAAAAH8v2sI=")</f>
        <v>#REF!</v>
      </c>
      <c r="GN54" t="e">
        <f>AND('GA55 Entry'!#REF!,"AAAAAH8v2sM=")</f>
        <v>#REF!</v>
      </c>
      <c r="GO54" t="e">
        <f>AND('GA55 Entry'!#REF!,"AAAAAH8v2sQ=")</f>
        <v>#REF!</v>
      </c>
      <c r="GP54" t="e">
        <f>AND('GA55 Entry'!#REF!,"AAAAAH8v2sU=")</f>
        <v>#REF!</v>
      </c>
      <c r="GQ54" t="e">
        <f>AND('GA55 Entry'!#REF!,"AAAAAH8v2sY=")</f>
        <v>#REF!</v>
      </c>
      <c r="GR54" t="e">
        <f>AND('GA55 Entry'!#REF!,"AAAAAH8v2sc=")</f>
        <v>#REF!</v>
      </c>
      <c r="GS54" t="e">
        <f>AND('GA55 Entry'!#REF!,"AAAAAH8v2sg=")</f>
        <v>#REF!</v>
      </c>
      <c r="GT54" t="e">
        <f>AND('GA55 Entry'!#REF!,"AAAAAH8v2sk=")</f>
        <v>#REF!</v>
      </c>
      <c r="GU54" t="e">
        <f>AND('GA55 Entry'!#REF!,"AAAAAH8v2so=")</f>
        <v>#REF!</v>
      </c>
      <c r="GV54" t="e">
        <f>AND('GA55 Entry'!#REF!,"AAAAAH8v2ss=")</f>
        <v>#REF!</v>
      </c>
      <c r="GW54" t="e">
        <f>AND('GA55 Entry'!#REF!,"AAAAAH8v2sw=")</f>
        <v>#REF!</v>
      </c>
      <c r="GX54" t="e">
        <f>AND('GA55 Entry'!#REF!,"AAAAAH8v2s0=")</f>
        <v>#REF!</v>
      </c>
      <c r="GY54" t="e">
        <f>AND('GA55 Entry'!#REF!,"AAAAAH8v2s4=")</f>
        <v>#REF!</v>
      </c>
      <c r="GZ54" t="e">
        <f>AND('GA55 Entry'!#REF!,"AAAAAH8v2s8=")</f>
        <v>#REF!</v>
      </c>
      <c r="HA54" t="e">
        <f>AND('GA55 Entry'!#REF!,"AAAAAH8v2tA=")</f>
        <v>#REF!</v>
      </c>
      <c r="HB54" t="e">
        <f>AND('GA55 Entry'!#REF!,"AAAAAH8v2tE=")</f>
        <v>#REF!</v>
      </c>
      <c r="HC54" t="e">
        <f>AND('GA55 Entry'!#REF!,"AAAAAH8v2tI=")</f>
        <v>#REF!</v>
      </c>
      <c r="HD54" t="e">
        <f>AND('GA55 Entry'!#REF!,"AAAAAH8v2tM=")</f>
        <v>#REF!</v>
      </c>
      <c r="HE54" t="e">
        <f>AND('GA55 Entry'!#REF!,"AAAAAH8v2tQ=")</f>
        <v>#REF!</v>
      </c>
      <c r="HF54" t="e">
        <f>AND('GA55 Entry'!#REF!,"AAAAAH8v2tU=")</f>
        <v>#REF!</v>
      </c>
      <c r="HG54" t="e">
        <f>AND('GA55 Entry'!#REF!,"AAAAAH8v2tY=")</f>
        <v>#REF!</v>
      </c>
      <c r="HH54" t="e">
        <f>AND('GA55 Entry'!#REF!,"AAAAAH8v2tc=")</f>
        <v>#REF!</v>
      </c>
      <c r="HI54" t="e">
        <f>AND('GA55 Entry'!#REF!,"AAAAAH8v2tg=")</f>
        <v>#REF!</v>
      </c>
      <c r="HJ54" t="e">
        <f>AND('GA55 Entry'!#REF!,"AAAAAH8v2tk=")</f>
        <v>#REF!</v>
      </c>
      <c r="HK54" t="e">
        <f>AND('GA55 Entry'!#REF!,"AAAAAH8v2to=")</f>
        <v>#REF!</v>
      </c>
      <c r="HL54" t="e">
        <f>AND('GA55 Entry'!#REF!,"AAAAAH8v2ts=")</f>
        <v>#REF!</v>
      </c>
      <c r="HM54" t="e">
        <f>AND('GA55 Entry'!#REF!,"AAAAAH8v2tw=")</f>
        <v>#REF!</v>
      </c>
      <c r="HN54" t="e">
        <f>AND('GA55 Entry'!#REF!,"AAAAAH8v2t0=")</f>
        <v>#REF!</v>
      </c>
      <c r="HO54" t="e">
        <f>AND('GA55 Entry'!#REF!,"AAAAAH8v2t4=")</f>
        <v>#REF!</v>
      </c>
      <c r="HP54" t="e">
        <f>AND('GA55 Entry'!#REF!,"AAAAAH8v2t8=")</f>
        <v>#REF!</v>
      </c>
      <c r="HQ54" t="e">
        <f>AND('GA55 Entry'!#REF!,"AAAAAH8v2uA=")</f>
        <v>#REF!</v>
      </c>
      <c r="HR54" t="e">
        <f>AND('GA55 Entry'!#REF!,"AAAAAH8v2uE=")</f>
        <v>#REF!</v>
      </c>
      <c r="HS54" t="e">
        <f>AND('GA55 Entry'!#REF!,"AAAAAH8v2uI=")</f>
        <v>#REF!</v>
      </c>
      <c r="HT54" t="e">
        <f>AND('GA55 Entry'!#REF!,"AAAAAH8v2uM=")</f>
        <v>#REF!</v>
      </c>
      <c r="HU54" t="e">
        <f>AND('GA55 Entry'!#REF!,"AAAAAH8v2uQ=")</f>
        <v>#REF!</v>
      </c>
      <c r="HV54" t="e">
        <f>AND('GA55 Entry'!#REF!,"AAAAAH8v2uU=")</f>
        <v>#REF!</v>
      </c>
      <c r="HW54" t="e">
        <f>AND('GA55 Entry'!#REF!,"AAAAAH8v2uY=")</f>
        <v>#REF!</v>
      </c>
      <c r="HX54" t="e">
        <f>AND('GA55 Entry'!#REF!,"AAAAAH8v2uc=")</f>
        <v>#REF!</v>
      </c>
      <c r="HY54" t="e">
        <f>AND('GA55 Entry'!#REF!,"AAAAAH8v2ug=")</f>
        <v>#REF!</v>
      </c>
      <c r="HZ54" t="e">
        <f>AND('GA55 Entry'!#REF!,"AAAAAH8v2uk=")</f>
        <v>#REF!</v>
      </c>
      <c r="IA54" t="e">
        <f>AND('GA55 Entry'!#REF!,"AAAAAH8v2uo=")</f>
        <v>#REF!</v>
      </c>
      <c r="IB54" t="e">
        <f>AND('GA55 Entry'!#REF!,"AAAAAH8v2us=")</f>
        <v>#REF!</v>
      </c>
      <c r="IC54" t="e">
        <f>AND('GA55 Entry'!#REF!,"AAAAAH8v2uw=")</f>
        <v>#REF!</v>
      </c>
      <c r="ID54" t="e">
        <f>AND('GA55 Entry'!#REF!,"AAAAAH8v2u0=")</f>
        <v>#REF!</v>
      </c>
      <c r="IE54" t="e">
        <f>AND('GA55 Entry'!#REF!,"AAAAAH8v2u4=")</f>
        <v>#REF!</v>
      </c>
      <c r="IF54" t="e">
        <f>AND('GA55 Entry'!#REF!,"AAAAAH8v2u8=")</f>
        <v>#REF!</v>
      </c>
      <c r="IG54" t="e">
        <f>AND('GA55 Entry'!#REF!,"AAAAAH8v2vA=")</f>
        <v>#REF!</v>
      </c>
      <c r="IH54" t="e">
        <f>IF('GA55 Entry'!#REF!,"AAAAAH8v2vE=",0)</f>
        <v>#REF!</v>
      </c>
      <c r="II54" t="e">
        <f>AND('GA55 Entry'!#REF!,"AAAAAH8v2vI=")</f>
        <v>#REF!</v>
      </c>
      <c r="IJ54" t="e">
        <f>AND('GA55 Entry'!#REF!,"AAAAAH8v2vM=")</f>
        <v>#REF!</v>
      </c>
      <c r="IK54" t="e">
        <f>AND('GA55 Entry'!#REF!,"AAAAAH8v2vQ=")</f>
        <v>#REF!</v>
      </c>
      <c r="IL54" t="e">
        <f>AND('GA55 Entry'!#REF!,"AAAAAH8v2vU=")</f>
        <v>#REF!</v>
      </c>
      <c r="IM54" t="e">
        <f>AND('GA55 Entry'!#REF!,"AAAAAH8v2vY=")</f>
        <v>#REF!</v>
      </c>
      <c r="IN54" t="e">
        <f>AND('GA55 Entry'!#REF!,"AAAAAH8v2vc=")</f>
        <v>#REF!</v>
      </c>
      <c r="IO54" t="e">
        <f>AND('GA55 Entry'!#REF!,"AAAAAH8v2vg=")</f>
        <v>#REF!</v>
      </c>
      <c r="IP54" t="e">
        <f>AND('GA55 Entry'!#REF!,"AAAAAH8v2vk=")</f>
        <v>#REF!</v>
      </c>
      <c r="IQ54" t="e">
        <f>AND('GA55 Entry'!#REF!,"AAAAAH8v2vo=")</f>
        <v>#REF!</v>
      </c>
      <c r="IR54" t="e">
        <f>AND('GA55 Entry'!#REF!,"AAAAAH8v2vs=")</f>
        <v>#REF!</v>
      </c>
      <c r="IS54" t="e">
        <f>AND('GA55 Entry'!#REF!,"AAAAAH8v2vw=")</f>
        <v>#REF!</v>
      </c>
      <c r="IT54" t="e">
        <f>AND('GA55 Entry'!#REF!,"AAAAAH8v2v0=")</f>
        <v>#REF!</v>
      </c>
      <c r="IU54" t="e">
        <f>AND('GA55 Entry'!#REF!,"AAAAAH8v2v4=")</f>
        <v>#REF!</v>
      </c>
      <c r="IV54" t="e">
        <f>AND('GA55 Entry'!#REF!,"AAAAAH8v2v8=")</f>
        <v>#REF!</v>
      </c>
    </row>
    <row r="55" spans="1:256">
      <c r="A55" t="e">
        <f>AND('GA55 Entry'!#REF!,"AAAAAF/d8wA=")</f>
        <v>#REF!</v>
      </c>
      <c r="B55" t="e">
        <f>AND('GA55 Entry'!#REF!,"AAAAAF/d8wE=")</f>
        <v>#REF!</v>
      </c>
      <c r="C55" t="e">
        <f>AND('GA55 Entry'!#REF!,"AAAAAF/d8wI=")</f>
        <v>#REF!</v>
      </c>
      <c r="D55" t="e">
        <f>AND('GA55 Entry'!#REF!,"AAAAAF/d8wM=")</f>
        <v>#REF!</v>
      </c>
      <c r="E55" t="e">
        <f>AND('GA55 Entry'!#REF!,"AAAAAF/d8wQ=")</f>
        <v>#REF!</v>
      </c>
      <c r="F55" t="e">
        <f>AND('GA55 Entry'!#REF!,"AAAAAF/d8wU=")</f>
        <v>#REF!</v>
      </c>
      <c r="G55" t="e">
        <f>AND('GA55 Entry'!#REF!,"AAAAAF/d8wY=")</f>
        <v>#REF!</v>
      </c>
      <c r="H55" t="e">
        <f>AND('GA55 Entry'!#REF!,"AAAAAF/d8wc=")</f>
        <v>#REF!</v>
      </c>
      <c r="I55" t="e">
        <f>AND('GA55 Entry'!#REF!,"AAAAAF/d8wg=")</f>
        <v>#REF!</v>
      </c>
      <c r="J55" t="e">
        <f>AND('GA55 Entry'!#REF!,"AAAAAF/d8wk=")</f>
        <v>#REF!</v>
      </c>
      <c r="K55" t="e">
        <f>AND('GA55 Entry'!#REF!,"AAAAAF/d8wo=")</f>
        <v>#REF!</v>
      </c>
      <c r="L55" t="e">
        <f>AND('GA55 Entry'!#REF!,"AAAAAF/d8ws=")</f>
        <v>#REF!</v>
      </c>
      <c r="M55" t="e">
        <f>AND('GA55 Entry'!#REF!,"AAAAAF/d8ww=")</f>
        <v>#REF!</v>
      </c>
      <c r="N55" t="e">
        <f>AND('GA55 Entry'!#REF!,"AAAAAF/d8w0=")</f>
        <v>#REF!</v>
      </c>
      <c r="O55" t="e">
        <f>AND('GA55 Entry'!#REF!,"AAAAAF/d8w4=")</f>
        <v>#REF!</v>
      </c>
      <c r="P55" t="e">
        <f>AND('GA55 Entry'!#REF!,"AAAAAF/d8w8=")</f>
        <v>#REF!</v>
      </c>
      <c r="Q55" t="e">
        <f>AND('GA55 Entry'!#REF!,"AAAAAF/d8xA=")</f>
        <v>#REF!</v>
      </c>
      <c r="R55" t="e">
        <f>AND('GA55 Entry'!#REF!,"AAAAAF/d8xE=")</f>
        <v>#REF!</v>
      </c>
      <c r="S55" t="e">
        <f>AND('GA55 Entry'!#REF!,"AAAAAF/d8xI=")</f>
        <v>#REF!</v>
      </c>
      <c r="T55" t="e">
        <f>AND('GA55 Entry'!#REF!,"AAAAAF/d8xM=")</f>
        <v>#REF!</v>
      </c>
      <c r="U55" t="e">
        <f>AND('GA55 Entry'!#REF!,"AAAAAF/d8xQ=")</f>
        <v>#REF!</v>
      </c>
      <c r="V55" t="e">
        <f>AND('GA55 Entry'!#REF!,"AAAAAF/d8xU=")</f>
        <v>#REF!</v>
      </c>
      <c r="W55" t="e">
        <f>AND('GA55 Entry'!#REF!,"AAAAAF/d8xY=")</f>
        <v>#REF!</v>
      </c>
      <c r="X55" t="e">
        <f>AND('GA55 Entry'!#REF!,"AAAAAF/d8xc=")</f>
        <v>#REF!</v>
      </c>
      <c r="Y55" t="e">
        <f>AND('GA55 Entry'!#REF!,"AAAAAF/d8xg=")</f>
        <v>#REF!</v>
      </c>
      <c r="Z55" t="e">
        <f>AND('GA55 Entry'!#REF!,"AAAAAF/d8xk=")</f>
        <v>#REF!</v>
      </c>
      <c r="AA55" t="e">
        <f>AND('GA55 Entry'!#REF!,"AAAAAF/d8xo=")</f>
        <v>#REF!</v>
      </c>
      <c r="AB55" t="e">
        <f>AND('GA55 Entry'!#REF!,"AAAAAF/d8xs=")</f>
        <v>#REF!</v>
      </c>
      <c r="AC55" t="e">
        <f>AND('GA55 Entry'!#REF!,"AAAAAF/d8xw=")</f>
        <v>#REF!</v>
      </c>
      <c r="AD55" t="e">
        <f>AND('GA55 Entry'!#REF!,"AAAAAF/d8x0=")</f>
        <v>#REF!</v>
      </c>
      <c r="AE55" t="e">
        <f>AND('GA55 Entry'!#REF!,"AAAAAF/d8x4=")</f>
        <v>#REF!</v>
      </c>
      <c r="AF55" t="e">
        <f>AND('GA55 Entry'!#REF!,"AAAAAF/d8x8=")</f>
        <v>#REF!</v>
      </c>
      <c r="AG55" t="e">
        <f>AND('GA55 Entry'!#REF!,"AAAAAF/d8yA=")</f>
        <v>#REF!</v>
      </c>
      <c r="AH55" t="e">
        <f>AND('GA55 Entry'!#REF!,"AAAAAF/d8yE=")</f>
        <v>#REF!</v>
      </c>
      <c r="AI55" t="e">
        <f>AND('GA55 Entry'!#REF!,"AAAAAF/d8yI=")</f>
        <v>#REF!</v>
      </c>
      <c r="AJ55" t="e">
        <f>AND('GA55 Entry'!#REF!,"AAAAAF/d8yM=")</f>
        <v>#REF!</v>
      </c>
      <c r="AK55" t="e">
        <f>IF('GA55 Entry'!#REF!,"AAAAAF/d8yQ=",0)</f>
        <v>#REF!</v>
      </c>
      <c r="AL55" t="e">
        <f>AND('GA55 Entry'!#REF!,"AAAAAF/d8yU=")</f>
        <v>#REF!</v>
      </c>
      <c r="AM55" t="e">
        <f>AND('GA55 Entry'!#REF!,"AAAAAF/d8yY=")</f>
        <v>#REF!</v>
      </c>
      <c r="AN55" t="e">
        <f>AND('GA55 Entry'!#REF!,"AAAAAF/d8yc=")</f>
        <v>#REF!</v>
      </c>
      <c r="AO55" t="e">
        <f>AND('GA55 Entry'!#REF!,"AAAAAF/d8yg=")</f>
        <v>#REF!</v>
      </c>
      <c r="AP55" t="e">
        <f>AND('GA55 Entry'!#REF!,"AAAAAF/d8yk=")</f>
        <v>#REF!</v>
      </c>
      <c r="AQ55" t="e">
        <f>AND('GA55 Entry'!#REF!,"AAAAAF/d8yo=")</f>
        <v>#REF!</v>
      </c>
      <c r="AR55" t="e">
        <f>AND('GA55 Entry'!#REF!,"AAAAAF/d8ys=")</f>
        <v>#REF!</v>
      </c>
      <c r="AS55" t="e">
        <f>AND('GA55 Entry'!#REF!,"AAAAAF/d8yw=")</f>
        <v>#REF!</v>
      </c>
      <c r="AT55" t="e">
        <f>AND('GA55 Entry'!#REF!,"AAAAAF/d8y0=")</f>
        <v>#REF!</v>
      </c>
      <c r="AU55" t="e">
        <f>AND('GA55 Entry'!#REF!,"AAAAAF/d8y4=")</f>
        <v>#REF!</v>
      </c>
      <c r="AV55" t="e">
        <f>AND('GA55 Entry'!#REF!,"AAAAAF/d8y8=")</f>
        <v>#REF!</v>
      </c>
      <c r="AW55" t="e">
        <f>AND('GA55 Entry'!#REF!,"AAAAAF/d8zA=")</f>
        <v>#REF!</v>
      </c>
      <c r="AX55" t="e">
        <f>AND('GA55 Entry'!#REF!,"AAAAAF/d8zE=")</f>
        <v>#REF!</v>
      </c>
      <c r="AY55" t="e">
        <f>AND('GA55 Entry'!#REF!,"AAAAAF/d8zI=")</f>
        <v>#REF!</v>
      </c>
      <c r="AZ55" t="e">
        <f>AND('GA55 Entry'!#REF!,"AAAAAF/d8zM=")</f>
        <v>#REF!</v>
      </c>
      <c r="BA55" t="e">
        <f>AND('GA55 Entry'!#REF!,"AAAAAF/d8zQ=")</f>
        <v>#REF!</v>
      </c>
      <c r="BB55" t="e">
        <f>AND('GA55 Entry'!#REF!,"AAAAAF/d8zU=")</f>
        <v>#REF!</v>
      </c>
      <c r="BC55" t="e">
        <f>AND('GA55 Entry'!#REF!,"AAAAAF/d8zY=")</f>
        <v>#REF!</v>
      </c>
      <c r="BD55" t="e">
        <f>AND('GA55 Entry'!#REF!,"AAAAAF/d8zc=")</f>
        <v>#REF!</v>
      </c>
      <c r="BE55" t="e">
        <f>AND('GA55 Entry'!#REF!,"AAAAAF/d8zg=")</f>
        <v>#REF!</v>
      </c>
      <c r="BF55" t="e">
        <f>AND('GA55 Entry'!#REF!,"AAAAAF/d8zk=")</f>
        <v>#REF!</v>
      </c>
      <c r="BG55" t="e">
        <f>AND('GA55 Entry'!#REF!,"AAAAAF/d8zo=")</f>
        <v>#REF!</v>
      </c>
      <c r="BH55" t="e">
        <f>AND('GA55 Entry'!#REF!,"AAAAAF/d8zs=")</f>
        <v>#REF!</v>
      </c>
      <c r="BI55" t="e">
        <f>AND('GA55 Entry'!#REF!,"AAAAAF/d8zw=")</f>
        <v>#REF!</v>
      </c>
      <c r="BJ55" t="e">
        <f>AND('GA55 Entry'!#REF!,"AAAAAF/d8z0=")</f>
        <v>#REF!</v>
      </c>
      <c r="BK55" t="e">
        <f>AND('GA55 Entry'!#REF!,"AAAAAF/d8z4=")</f>
        <v>#REF!</v>
      </c>
      <c r="BL55" t="e">
        <f>AND('GA55 Entry'!#REF!,"AAAAAF/d8z8=")</f>
        <v>#REF!</v>
      </c>
      <c r="BM55" t="e">
        <f>AND('GA55 Entry'!#REF!,"AAAAAF/d80A=")</f>
        <v>#REF!</v>
      </c>
      <c r="BN55" t="e">
        <f>AND('GA55 Entry'!#REF!,"AAAAAF/d80E=")</f>
        <v>#REF!</v>
      </c>
      <c r="BO55" t="e">
        <f>AND('GA55 Entry'!#REF!,"AAAAAF/d80I=")</f>
        <v>#REF!</v>
      </c>
      <c r="BP55" t="e">
        <f>AND('GA55 Entry'!#REF!,"AAAAAF/d80M=")</f>
        <v>#REF!</v>
      </c>
      <c r="BQ55" t="e">
        <f>AND('GA55 Entry'!#REF!,"AAAAAF/d80Q=")</f>
        <v>#REF!</v>
      </c>
      <c r="BR55" t="e">
        <f>AND('GA55 Entry'!#REF!,"AAAAAF/d80U=")</f>
        <v>#REF!</v>
      </c>
      <c r="BS55" t="e">
        <f>AND('GA55 Entry'!#REF!,"AAAAAF/d80Y=")</f>
        <v>#REF!</v>
      </c>
      <c r="BT55" t="e">
        <f>AND('GA55 Entry'!#REF!,"AAAAAF/d80c=")</f>
        <v>#REF!</v>
      </c>
      <c r="BU55" t="e">
        <f>AND('GA55 Entry'!#REF!,"AAAAAF/d80g=")</f>
        <v>#REF!</v>
      </c>
      <c r="BV55" t="e">
        <f>AND('GA55 Entry'!#REF!,"AAAAAF/d80k=")</f>
        <v>#REF!</v>
      </c>
      <c r="BW55" t="e">
        <f>AND('GA55 Entry'!#REF!,"AAAAAF/d80o=")</f>
        <v>#REF!</v>
      </c>
      <c r="BX55" t="e">
        <f>AND('GA55 Entry'!#REF!,"AAAAAF/d80s=")</f>
        <v>#REF!</v>
      </c>
      <c r="BY55" t="e">
        <f>AND('GA55 Entry'!#REF!,"AAAAAF/d80w=")</f>
        <v>#REF!</v>
      </c>
      <c r="BZ55" t="e">
        <f>AND('GA55 Entry'!#REF!,"AAAAAF/d800=")</f>
        <v>#REF!</v>
      </c>
      <c r="CA55" t="e">
        <f>AND('GA55 Entry'!#REF!,"AAAAAF/d804=")</f>
        <v>#REF!</v>
      </c>
      <c r="CB55" t="e">
        <f>AND('GA55 Entry'!#REF!,"AAAAAF/d808=")</f>
        <v>#REF!</v>
      </c>
      <c r="CC55" t="e">
        <f>AND('GA55 Entry'!#REF!,"AAAAAF/d81A=")</f>
        <v>#REF!</v>
      </c>
      <c r="CD55" t="e">
        <f>AND('GA55 Entry'!#REF!,"AAAAAF/d81E=")</f>
        <v>#REF!</v>
      </c>
      <c r="CE55" t="e">
        <f>AND('GA55 Entry'!#REF!,"AAAAAF/d81I=")</f>
        <v>#REF!</v>
      </c>
      <c r="CF55" t="e">
        <f>AND('GA55 Entry'!#REF!,"AAAAAF/d81M=")</f>
        <v>#REF!</v>
      </c>
      <c r="CG55" t="e">
        <f>AND('GA55 Entry'!#REF!,"AAAAAF/d81Q=")</f>
        <v>#REF!</v>
      </c>
      <c r="CH55" t="e">
        <f>AND('GA55 Entry'!#REF!,"AAAAAF/d81U=")</f>
        <v>#REF!</v>
      </c>
      <c r="CI55" t="e">
        <f>AND('GA55 Entry'!#REF!,"AAAAAF/d81Y=")</f>
        <v>#REF!</v>
      </c>
      <c r="CJ55">
        <f>IF('GA55 Entry'!44:44,"AAAAAF/d81c=",0)</f>
        <v>0</v>
      </c>
      <c r="CK55" t="e">
        <f>AND('GA55 Entry'!B44,"AAAAAF/d81g=")</f>
        <v>#VALUE!</v>
      </c>
      <c r="CL55" t="e">
        <f>AND('GA55 Entry'!#REF!,"AAAAAF/d81k=")</f>
        <v>#REF!</v>
      </c>
      <c r="CM55" t="e">
        <f>AND('GA55 Entry'!C44,"AAAAAF/d81o=")</f>
        <v>#VALUE!</v>
      </c>
      <c r="CN55" t="e">
        <f>AND('GA55 Entry'!#REF!,"AAAAAF/d81s=")</f>
        <v>#REF!</v>
      </c>
      <c r="CO55" t="e">
        <f>AND('GA55 Entry'!#REF!,"AAAAAF/d81w=")</f>
        <v>#REF!</v>
      </c>
      <c r="CP55" t="e">
        <f>AND('GA55 Entry'!#REF!,"AAAAAF/d810=")</f>
        <v>#REF!</v>
      </c>
      <c r="CQ55" t="e">
        <f>AND('GA55 Entry'!#REF!,"AAAAAF/d814=")</f>
        <v>#REF!</v>
      </c>
      <c r="CR55" t="e">
        <f>AND('GA55 Entry'!#REF!,"AAAAAF/d818=")</f>
        <v>#REF!</v>
      </c>
      <c r="CS55" t="e">
        <f>AND('GA55 Entry'!D44,"AAAAAF/d82A=")</f>
        <v>#VALUE!</v>
      </c>
      <c r="CT55" t="e">
        <f>AND('GA55 Entry'!#REF!,"AAAAAF/d82E=")</f>
        <v>#REF!</v>
      </c>
      <c r="CU55" t="e">
        <f>AND('GA55 Entry'!E44,"AAAAAF/d82I=")</f>
        <v>#VALUE!</v>
      </c>
      <c r="CV55" t="e">
        <f>AND('GA55 Entry'!F44,"AAAAAF/d82M=")</f>
        <v>#VALUE!</v>
      </c>
      <c r="CW55" t="e">
        <f>AND('GA55 Entry'!G44,"AAAAAF/d82Q=")</f>
        <v>#VALUE!</v>
      </c>
      <c r="CX55" t="e">
        <f>AND('GA55 Entry'!H44,"AAAAAF/d82U=")</f>
        <v>#VALUE!</v>
      </c>
      <c r="CY55" t="e">
        <f>AND('GA55 Entry'!I44,"AAAAAF/d82Y=")</f>
        <v>#VALUE!</v>
      </c>
      <c r="CZ55" t="e">
        <f>AND('GA55 Entry'!J44,"AAAAAF/d82c=")</f>
        <v>#VALUE!</v>
      </c>
      <c r="DA55" t="e">
        <f>AND('GA55 Entry'!#REF!,"AAAAAF/d82g=")</f>
        <v>#REF!</v>
      </c>
      <c r="DB55" t="e">
        <f>AND('GA55 Entry'!K44,"AAAAAF/d82k=")</f>
        <v>#VALUE!</v>
      </c>
      <c r="DC55" t="e">
        <f>AND('GA55 Entry'!L44,"AAAAAF/d82o=")</f>
        <v>#VALUE!</v>
      </c>
      <c r="DD55" t="e">
        <f>AND('GA55 Entry'!M44,"AAAAAF/d82s=")</f>
        <v>#VALUE!</v>
      </c>
      <c r="DE55" t="e">
        <f>AND('GA55 Entry'!N44,"AAAAAF/d82w=")</f>
        <v>#VALUE!</v>
      </c>
      <c r="DF55" t="e">
        <f>AND('GA55 Entry'!O44,"AAAAAF/d820=")</f>
        <v>#VALUE!</v>
      </c>
      <c r="DG55" t="e">
        <f>AND('GA55 Entry'!P44,"AAAAAF/d824=")</f>
        <v>#VALUE!</v>
      </c>
      <c r="DH55" t="e">
        <f>AND('GA55 Entry'!Q44,"AAAAAF/d828=")</f>
        <v>#VALUE!</v>
      </c>
      <c r="DI55" t="e">
        <f>AND('GA55 Entry'!S44,"AAAAAF/d83A=")</f>
        <v>#VALUE!</v>
      </c>
      <c r="DJ55" t="e">
        <f>AND('GA55 Entry'!#REF!,"AAAAAF/d83E=")</f>
        <v>#REF!</v>
      </c>
      <c r="DK55" t="e">
        <f>AND('GA55 Entry'!T44,"AAAAAF/d83I=")</f>
        <v>#VALUE!</v>
      </c>
      <c r="DL55" t="e">
        <f>AND('GA55 Entry'!U44,"AAAAAF/d83M=")</f>
        <v>#VALUE!</v>
      </c>
      <c r="DM55" t="e">
        <f>AND('GA55 Entry'!V44,"AAAAAF/d83Q=")</f>
        <v>#VALUE!</v>
      </c>
      <c r="DN55" t="e">
        <f>AND('GA55 Entry'!#REF!,"AAAAAF/d83U=")</f>
        <v>#REF!</v>
      </c>
      <c r="DO55" t="e">
        <f>AND('GA55 Entry'!#REF!,"AAAAAF/d83Y=")</f>
        <v>#REF!</v>
      </c>
      <c r="DP55" t="e">
        <f>AND('GA55 Entry'!X44,"AAAAAF/d83c=")</f>
        <v>#VALUE!</v>
      </c>
      <c r="DQ55" t="e">
        <f>AND('GA55 Entry'!Y44,"AAAAAF/d83g=")</f>
        <v>#VALUE!</v>
      </c>
      <c r="DR55" t="e">
        <f>AND('GA55 Entry'!#REF!,"AAAAAF/d83k=")</f>
        <v>#REF!</v>
      </c>
      <c r="DS55" t="e">
        <f>AND('GA55 Entry'!#REF!,"AAAAAF/d83o=")</f>
        <v>#REF!</v>
      </c>
      <c r="DT55" t="e">
        <f>AND('GA55 Entry'!#REF!,"AAAAAF/d83s=")</f>
        <v>#REF!</v>
      </c>
      <c r="DU55" t="e">
        <f>AND('GA55 Entry'!#REF!,"AAAAAF/d83w=")</f>
        <v>#REF!</v>
      </c>
      <c r="DV55" t="e">
        <f>AND('GA55 Entry'!#REF!,"AAAAAF/d830=")</f>
        <v>#REF!</v>
      </c>
      <c r="DW55" t="e">
        <f>AND('GA55 Entry'!#REF!,"AAAAAF/d834=")</f>
        <v>#REF!</v>
      </c>
      <c r="DX55" t="e">
        <f>AND('GA55 Entry'!#REF!,"AAAAAF/d838=")</f>
        <v>#REF!</v>
      </c>
      <c r="DY55" t="e">
        <f>AND('GA55 Entry'!#REF!,"AAAAAF/d84A=")</f>
        <v>#REF!</v>
      </c>
      <c r="DZ55" t="e">
        <f>AND('GA55 Entry'!#REF!,"AAAAAF/d84E=")</f>
        <v>#REF!</v>
      </c>
      <c r="EA55" t="e">
        <f>AND('GA55 Entry'!Z44,"AAAAAF/d84I=")</f>
        <v>#VALUE!</v>
      </c>
      <c r="EB55" t="e">
        <f>AND('GA55 Entry'!AA44,"AAAAAF/d84M=")</f>
        <v>#VALUE!</v>
      </c>
      <c r="EC55" t="e">
        <f>AND('GA55 Entry'!#REF!,"AAAAAF/d84Q=")</f>
        <v>#REF!</v>
      </c>
      <c r="ED55" t="e">
        <f>AND('GA55 Entry'!#REF!,"AAAAAF/d84U=")</f>
        <v>#REF!</v>
      </c>
      <c r="EE55" t="e">
        <f>AND('GA55 Entry'!#REF!,"AAAAAF/d84Y=")</f>
        <v>#REF!</v>
      </c>
      <c r="EF55" t="e">
        <f>AND('GA55 Entry'!AB44,"AAAAAF/d84c=")</f>
        <v>#VALUE!</v>
      </c>
      <c r="EG55" t="e">
        <f>AND('GA55 Entry'!AC44,"AAAAAF/d84g=")</f>
        <v>#VALUE!</v>
      </c>
      <c r="EH55" t="e">
        <f>AND('GA55 Entry'!#REF!,"AAAAAF/d84k=")</f>
        <v>#REF!</v>
      </c>
      <c r="EI55">
        <f>IF('GA55 Entry'!45:45,"AAAAAF/d84o=",0)</f>
        <v>0</v>
      </c>
      <c r="EJ55" t="e">
        <f>AND('GA55 Entry'!B45,"AAAAAF/d84s=")</f>
        <v>#VALUE!</v>
      </c>
      <c r="EK55" t="e">
        <f>AND('GA55 Entry'!#REF!,"AAAAAF/d84w=")</f>
        <v>#REF!</v>
      </c>
      <c r="EL55" t="e">
        <f>AND('GA55 Entry'!C45,"AAAAAF/d840=")</f>
        <v>#VALUE!</v>
      </c>
      <c r="EM55" t="e">
        <f>AND('GA55 Entry'!#REF!,"AAAAAF/d844=")</f>
        <v>#REF!</v>
      </c>
      <c r="EN55" t="e">
        <f>AND('GA55 Entry'!#REF!,"AAAAAF/d848=")</f>
        <v>#REF!</v>
      </c>
      <c r="EO55" t="e">
        <f>AND('GA55 Entry'!#REF!,"AAAAAF/d85A=")</f>
        <v>#REF!</v>
      </c>
      <c r="EP55" t="e">
        <f>AND('GA55 Entry'!#REF!,"AAAAAF/d85E=")</f>
        <v>#REF!</v>
      </c>
      <c r="EQ55" t="e">
        <f>AND('GA55 Entry'!#REF!,"AAAAAF/d85I=")</f>
        <v>#REF!</v>
      </c>
      <c r="ER55" t="e">
        <f>AND('GA55 Entry'!D45,"AAAAAF/d85M=")</f>
        <v>#VALUE!</v>
      </c>
      <c r="ES55" t="e">
        <f>AND('GA55 Entry'!#REF!,"AAAAAF/d85Q=")</f>
        <v>#REF!</v>
      </c>
      <c r="ET55" t="e">
        <f>AND('GA55 Entry'!E45,"AAAAAF/d85U=")</f>
        <v>#VALUE!</v>
      </c>
      <c r="EU55" t="e">
        <f>AND('GA55 Entry'!F45,"AAAAAF/d85Y=")</f>
        <v>#VALUE!</v>
      </c>
      <c r="EV55" t="e">
        <f>AND('GA55 Entry'!G45,"AAAAAF/d85c=")</f>
        <v>#VALUE!</v>
      </c>
      <c r="EW55" t="e">
        <f>AND('GA55 Entry'!H45,"AAAAAF/d85g=")</f>
        <v>#VALUE!</v>
      </c>
      <c r="EX55" t="e">
        <f>AND('GA55 Entry'!I45,"AAAAAF/d85k=")</f>
        <v>#VALUE!</v>
      </c>
      <c r="EY55" t="e">
        <f>AND('GA55 Entry'!J45,"AAAAAF/d85o=")</f>
        <v>#VALUE!</v>
      </c>
      <c r="EZ55" t="e">
        <f>AND('GA55 Entry'!#REF!,"AAAAAF/d85s=")</f>
        <v>#REF!</v>
      </c>
      <c r="FA55" t="e">
        <f>AND('GA55 Entry'!K45,"AAAAAF/d85w=")</f>
        <v>#VALUE!</v>
      </c>
      <c r="FB55" t="e">
        <f>AND('GA55 Entry'!L45,"AAAAAF/d850=")</f>
        <v>#VALUE!</v>
      </c>
      <c r="FC55" t="e">
        <f>AND('GA55 Entry'!M45,"AAAAAF/d854=")</f>
        <v>#VALUE!</v>
      </c>
      <c r="FD55" t="e">
        <f>AND('GA55 Entry'!N45,"AAAAAF/d858=")</f>
        <v>#VALUE!</v>
      </c>
      <c r="FE55" t="e">
        <f>AND('GA55 Entry'!O45,"AAAAAF/d86A=")</f>
        <v>#VALUE!</v>
      </c>
      <c r="FF55" t="e">
        <f>AND('GA55 Entry'!P45,"AAAAAF/d86E=")</f>
        <v>#VALUE!</v>
      </c>
      <c r="FG55" t="e">
        <f>AND('GA55 Entry'!Q45,"AAAAAF/d86I=")</f>
        <v>#VALUE!</v>
      </c>
      <c r="FH55" t="e">
        <f>AND('GA55 Entry'!S45,"AAAAAF/d86M=")</f>
        <v>#VALUE!</v>
      </c>
      <c r="FI55" t="e">
        <f>AND('GA55 Entry'!#REF!,"AAAAAF/d86Q=")</f>
        <v>#REF!</v>
      </c>
      <c r="FJ55" t="e">
        <f>AND('GA55 Entry'!T45,"AAAAAF/d86U=")</f>
        <v>#VALUE!</v>
      </c>
      <c r="FK55" t="e">
        <f>AND('GA55 Entry'!U45,"AAAAAF/d86Y=")</f>
        <v>#VALUE!</v>
      </c>
      <c r="FL55" t="e">
        <f>AND('GA55 Entry'!V45,"AAAAAF/d86c=")</f>
        <v>#VALUE!</v>
      </c>
      <c r="FM55" t="e">
        <f>AND('GA55 Entry'!#REF!,"AAAAAF/d86g=")</f>
        <v>#REF!</v>
      </c>
      <c r="FN55" t="e">
        <f>AND('GA55 Entry'!#REF!,"AAAAAF/d86k=")</f>
        <v>#REF!</v>
      </c>
      <c r="FO55" t="e">
        <f>AND('GA55 Entry'!X45,"AAAAAF/d86o=")</f>
        <v>#VALUE!</v>
      </c>
      <c r="FP55" t="e">
        <f>AND('GA55 Entry'!Y45,"AAAAAF/d86s=")</f>
        <v>#VALUE!</v>
      </c>
      <c r="FQ55" t="e">
        <f>AND('GA55 Entry'!#REF!,"AAAAAF/d86w=")</f>
        <v>#REF!</v>
      </c>
      <c r="FR55" t="e">
        <f>AND('GA55 Entry'!#REF!,"AAAAAF/d860=")</f>
        <v>#REF!</v>
      </c>
      <c r="FS55" t="e">
        <f>AND('GA55 Entry'!#REF!,"AAAAAF/d864=")</f>
        <v>#REF!</v>
      </c>
      <c r="FT55" t="e">
        <f>AND('GA55 Entry'!#REF!,"AAAAAF/d868=")</f>
        <v>#REF!</v>
      </c>
      <c r="FU55" t="e">
        <f>AND('GA55 Entry'!#REF!,"AAAAAF/d87A=")</f>
        <v>#REF!</v>
      </c>
      <c r="FV55" t="e">
        <f>AND('GA55 Entry'!#REF!,"AAAAAF/d87E=")</f>
        <v>#REF!</v>
      </c>
      <c r="FW55" t="e">
        <f>AND('GA55 Entry'!#REF!,"AAAAAF/d87I=")</f>
        <v>#REF!</v>
      </c>
      <c r="FX55" t="e">
        <f>AND('GA55 Entry'!#REF!,"AAAAAF/d87M=")</f>
        <v>#REF!</v>
      </c>
      <c r="FY55" t="e">
        <f>AND('GA55 Entry'!#REF!,"AAAAAF/d87Q=")</f>
        <v>#REF!</v>
      </c>
      <c r="FZ55" t="e">
        <f>AND('GA55 Entry'!Z45,"AAAAAF/d87U=")</f>
        <v>#VALUE!</v>
      </c>
      <c r="GA55" t="e">
        <f>AND('GA55 Entry'!AA45,"AAAAAF/d87Y=")</f>
        <v>#VALUE!</v>
      </c>
      <c r="GB55" t="e">
        <f>AND('GA55 Entry'!#REF!,"AAAAAF/d87c=")</f>
        <v>#REF!</v>
      </c>
      <c r="GC55" t="e">
        <f>AND('GA55 Entry'!#REF!,"AAAAAF/d87g=")</f>
        <v>#REF!</v>
      </c>
      <c r="GD55" t="e">
        <f>AND('GA55 Entry'!#REF!,"AAAAAF/d87k=")</f>
        <v>#REF!</v>
      </c>
      <c r="GE55" t="e">
        <f>AND('GA55 Entry'!AB45,"AAAAAF/d87o=")</f>
        <v>#VALUE!</v>
      </c>
      <c r="GF55" t="e">
        <f>AND('GA55 Entry'!AC45,"AAAAAF/d87s=")</f>
        <v>#VALUE!</v>
      </c>
      <c r="GG55" t="e">
        <f>AND('GA55 Entry'!#REF!,"AAAAAF/d87w=")</f>
        <v>#REF!</v>
      </c>
      <c r="GH55">
        <f>IF('GA55 Entry'!46:46,"AAAAAF/d870=",0)</f>
        <v>0</v>
      </c>
      <c r="GI55" t="e">
        <f>AND('GA55 Entry'!B46,"AAAAAF/d874=")</f>
        <v>#VALUE!</v>
      </c>
      <c r="GJ55" t="e">
        <f>AND('GA55 Entry'!#REF!,"AAAAAF/d878=")</f>
        <v>#REF!</v>
      </c>
      <c r="GK55" t="e">
        <f>AND('GA55 Entry'!C46,"AAAAAF/d88A=")</f>
        <v>#VALUE!</v>
      </c>
      <c r="GL55" t="e">
        <f>AND('GA55 Entry'!#REF!,"AAAAAF/d88E=")</f>
        <v>#REF!</v>
      </c>
      <c r="GM55" t="e">
        <f>AND('GA55 Entry'!#REF!,"AAAAAF/d88I=")</f>
        <v>#REF!</v>
      </c>
      <c r="GN55" t="e">
        <f>AND('GA55 Entry'!#REF!,"AAAAAF/d88M=")</f>
        <v>#REF!</v>
      </c>
      <c r="GO55" t="e">
        <f>AND('GA55 Entry'!#REF!,"AAAAAF/d88Q=")</f>
        <v>#REF!</v>
      </c>
      <c r="GP55" t="e">
        <f>AND('GA55 Entry'!#REF!,"AAAAAF/d88U=")</f>
        <v>#REF!</v>
      </c>
      <c r="GQ55" t="e">
        <f>AND('GA55 Entry'!D46,"AAAAAF/d88Y=")</f>
        <v>#VALUE!</v>
      </c>
      <c r="GR55" t="e">
        <f>AND('GA55 Entry'!#REF!,"AAAAAF/d88c=")</f>
        <v>#REF!</v>
      </c>
      <c r="GS55" t="e">
        <f>AND('GA55 Entry'!E46,"AAAAAF/d88g=")</f>
        <v>#VALUE!</v>
      </c>
      <c r="GT55" t="e">
        <f>AND('GA55 Entry'!F46,"AAAAAF/d88k=")</f>
        <v>#VALUE!</v>
      </c>
      <c r="GU55" t="e">
        <f>AND('GA55 Entry'!G46,"AAAAAF/d88o=")</f>
        <v>#VALUE!</v>
      </c>
      <c r="GV55" t="e">
        <f>AND('GA55 Entry'!H46,"AAAAAF/d88s=")</f>
        <v>#VALUE!</v>
      </c>
      <c r="GW55" t="e">
        <f>AND('GA55 Entry'!I46,"AAAAAF/d88w=")</f>
        <v>#VALUE!</v>
      </c>
      <c r="GX55" t="e">
        <f>AND('GA55 Entry'!J46,"AAAAAF/d880=")</f>
        <v>#VALUE!</v>
      </c>
      <c r="GY55" t="e">
        <f>AND('GA55 Entry'!#REF!,"AAAAAF/d884=")</f>
        <v>#REF!</v>
      </c>
      <c r="GZ55" t="e">
        <f>AND('GA55 Entry'!K46,"AAAAAF/d888=")</f>
        <v>#VALUE!</v>
      </c>
      <c r="HA55" t="e">
        <f>AND('GA55 Entry'!L46,"AAAAAF/d89A=")</f>
        <v>#VALUE!</v>
      </c>
      <c r="HB55" t="e">
        <f>AND('GA55 Entry'!M46,"AAAAAF/d89E=")</f>
        <v>#VALUE!</v>
      </c>
      <c r="HC55" t="e">
        <f>AND('GA55 Entry'!N46,"AAAAAF/d89I=")</f>
        <v>#VALUE!</v>
      </c>
      <c r="HD55" t="e">
        <f>AND('GA55 Entry'!O46,"AAAAAF/d89M=")</f>
        <v>#VALUE!</v>
      </c>
      <c r="HE55" t="e">
        <f>AND('GA55 Entry'!P46,"AAAAAF/d89Q=")</f>
        <v>#VALUE!</v>
      </c>
      <c r="HF55" t="e">
        <f>AND('GA55 Entry'!Q46,"AAAAAF/d89U=")</f>
        <v>#VALUE!</v>
      </c>
      <c r="HG55" t="e">
        <f>AND('GA55 Entry'!S46,"AAAAAF/d89Y=")</f>
        <v>#VALUE!</v>
      </c>
      <c r="HH55" t="e">
        <f>AND('GA55 Entry'!#REF!,"AAAAAF/d89c=")</f>
        <v>#REF!</v>
      </c>
      <c r="HI55" t="e">
        <f>AND('GA55 Entry'!T46,"AAAAAF/d89g=")</f>
        <v>#VALUE!</v>
      </c>
      <c r="HJ55" t="e">
        <f>AND('GA55 Entry'!U46,"AAAAAF/d89k=")</f>
        <v>#VALUE!</v>
      </c>
      <c r="HK55" t="e">
        <f>AND('GA55 Entry'!V46,"AAAAAF/d89o=")</f>
        <v>#VALUE!</v>
      </c>
      <c r="HL55" t="e">
        <f>AND('GA55 Entry'!#REF!,"AAAAAF/d89s=")</f>
        <v>#REF!</v>
      </c>
      <c r="HM55" t="e">
        <f>AND('GA55 Entry'!#REF!,"AAAAAF/d89w=")</f>
        <v>#REF!</v>
      </c>
      <c r="HN55" t="e">
        <f>AND('GA55 Entry'!X46,"AAAAAF/d890=")</f>
        <v>#VALUE!</v>
      </c>
      <c r="HO55" t="e">
        <f>AND('GA55 Entry'!Y46,"AAAAAF/d894=")</f>
        <v>#VALUE!</v>
      </c>
      <c r="HP55" t="e">
        <f>AND('GA55 Entry'!#REF!,"AAAAAF/d898=")</f>
        <v>#REF!</v>
      </c>
      <c r="HQ55" t="e">
        <f>AND('GA55 Entry'!#REF!,"AAAAAF/d8+A=")</f>
        <v>#REF!</v>
      </c>
      <c r="HR55" t="e">
        <f>AND('GA55 Entry'!#REF!,"AAAAAF/d8+E=")</f>
        <v>#REF!</v>
      </c>
      <c r="HS55" t="e">
        <f>AND('GA55 Entry'!#REF!,"AAAAAF/d8+I=")</f>
        <v>#REF!</v>
      </c>
      <c r="HT55" t="e">
        <f>AND('GA55 Entry'!#REF!,"AAAAAF/d8+M=")</f>
        <v>#REF!</v>
      </c>
      <c r="HU55" t="e">
        <f>AND('GA55 Entry'!#REF!,"AAAAAF/d8+Q=")</f>
        <v>#REF!</v>
      </c>
      <c r="HV55" t="e">
        <f>AND('GA55 Entry'!#REF!,"AAAAAF/d8+U=")</f>
        <v>#REF!</v>
      </c>
      <c r="HW55" t="e">
        <f>AND('GA55 Entry'!#REF!,"AAAAAF/d8+Y=")</f>
        <v>#REF!</v>
      </c>
      <c r="HX55" t="e">
        <f>AND('GA55 Entry'!#REF!,"AAAAAF/d8+c=")</f>
        <v>#REF!</v>
      </c>
      <c r="HY55" t="e">
        <f>AND('GA55 Entry'!Z46,"AAAAAF/d8+g=")</f>
        <v>#VALUE!</v>
      </c>
      <c r="HZ55" t="e">
        <f>AND('GA55 Entry'!AA46,"AAAAAF/d8+k=")</f>
        <v>#VALUE!</v>
      </c>
      <c r="IA55" t="e">
        <f>AND('GA55 Entry'!#REF!,"AAAAAF/d8+o=")</f>
        <v>#REF!</v>
      </c>
      <c r="IB55" t="e">
        <f>AND('GA55 Entry'!#REF!,"AAAAAF/d8+s=")</f>
        <v>#REF!</v>
      </c>
      <c r="IC55" t="e">
        <f>AND('GA55 Entry'!#REF!,"AAAAAF/d8+w=")</f>
        <v>#REF!</v>
      </c>
      <c r="ID55" t="e">
        <f>AND('GA55 Entry'!AB46,"AAAAAF/d8+0=")</f>
        <v>#VALUE!</v>
      </c>
      <c r="IE55" t="e">
        <f>AND('GA55 Entry'!AC46,"AAAAAF/d8+4=")</f>
        <v>#VALUE!</v>
      </c>
      <c r="IF55" t="e">
        <f>AND('GA55 Entry'!#REF!,"AAAAAF/d8+8=")</f>
        <v>#REF!</v>
      </c>
      <c r="IG55">
        <f>IF('GA55 Entry'!47:47,"AAAAAF/d8/A=",0)</f>
        <v>0</v>
      </c>
      <c r="IH55" t="e">
        <f>AND('GA55 Entry'!B47,"AAAAAF/d8/E=")</f>
        <v>#VALUE!</v>
      </c>
      <c r="II55" t="e">
        <f>AND('GA55 Entry'!#REF!,"AAAAAF/d8/I=")</f>
        <v>#REF!</v>
      </c>
      <c r="IJ55" t="e">
        <f>AND('GA55 Entry'!C47,"AAAAAF/d8/M=")</f>
        <v>#VALUE!</v>
      </c>
      <c r="IK55" t="e">
        <f>AND('GA55 Entry'!#REF!,"AAAAAF/d8/Q=")</f>
        <v>#REF!</v>
      </c>
      <c r="IL55" t="e">
        <f>AND('GA55 Entry'!#REF!,"AAAAAF/d8/U=")</f>
        <v>#REF!</v>
      </c>
      <c r="IM55" t="e">
        <f>AND('GA55 Entry'!#REF!,"AAAAAF/d8/Y=")</f>
        <v>#REF!</v>
      </c>
      <c r="IN55" t="e">
        <f>AND('GA55 Entry'!#REF!,"AAAAAF/d8/c=")</f>
        <v>#REF!</v>
      </c>
      <c r="IO55" t="e">
        <f>AND('GA55 Entry'!#REF!,"AAAAAF/d8/g=")</f>
        <v>#REF!</v>
      </c>
      <c r="IP55" t="e">
        <f>AND('GA55 Entry'!D47,"AAAAAF/d8/k=")</f>
        <v>#VALUE!</v>
      </c>
      <c r="IQ55" t="e">
        <f>AND('GA55 Entry'!#REF!,"AAAAAF/d8/o=")</f>
        <v>#REF!</v>
      </c>
      <c r="IR55" t="e">
        <f>AND('GA55 Entry'!E47,"AAAAAF/d8/s=")</f>
        <v>#VALUE!</v>
      </c>
      <c r="IS55" t="e">
        <f>AND('GA55 Entry'!F47,"AAAAAF/d8/w=")</f>
        <v>#VALUE!</v>
      </c>
      <c r="IT55" t="e">
        <f>AND('GA55 Entry'!G47,"AAAAAF/d8/0=")</f>
        <v>#VALUE!</v>
      </c>
      <c r="IU55" t="e">
        <f>AND('GA55 Entry'!H47,"AAAAAF/d8/4=")</f>
        <v>#VALUE!</v>
      </c>
      <c r="IV55" t="e">
        <f>AND('GA55 Entry'!I47,"AAAAAF/d8/8=")</f>
        <v>#VALUE!</v>
      </c>
    </row>
    <row r="56" spans="1:256">
      <c r="A56" t="e">
        <f>AND('GA55 Entry'!J47,"AAAAAFfvNQA=")</f>
        <v>#VALUE!</v>
      </c>
      <c r="B56" t="e">
        <f>AND('GA55 Entry'!#REF!,"AAAAAFfvNQE=")</f>
        <v>#REF!</v>
      </c>
      <c r="C56" t="e">
        <f>AND('GA55 Entry'!K47,"AAAAAFfvNQI=")</f>
        <v>#VALUE!</v>
      </c>
      <c r="D56" t="e">
        <f>AND('GA55 Entry'!L47,"AAAAAFfvNQM=")</f>
        <v>#VALUE!</v>
      </c>
      <c r="E56" t="e">
        <f>AND('GA55 Entry'!M47,"AAAAAFfvNQQ=")</f>
        <v>#VALUE!</v>
      </c>
      <c r="F56" t="e">
        <f>AND('GA55 Entry'!N47,"AAAAAFfvNQU=")</f>
        <v>#VALUE!</v>
      </c>
      <c r="G56" t="e">
        <f>AND('GA55 Entry'!O47,"AAAAAFfvNQY=")</f>
        <v>#VALUE!</v>
      </c>
      <c r="H56" t="e">
        <f>AND('GA55 Entry'!P47,"AAAAAFfvNQc=")</f>
        <v>#VALUE!</v>
      </c>
      <c r="I56" t="e">
        <f>AND('GA55 Entry'!Q47,"AAAAAFfvNQg=")</f>
        <v>#VALUE!</v>
      </c>
      <c r="J56" t="e">
        <f>AND('GA55 Entry'!S47,"AAAAAFfvNQk=")</f>
        <v>#VALUE!</v>
      </c>
      <c r="K56" t="e">
        <f>AND('GA55 Entry'!#REF!,"AAAAAFfvNQo=")</f>
        <v>#REF!</v>
      </c>
      <c r="L56" t="e">
        <f>AND('GA55 Entry'!T47,"AAAAAFfvNQs=")</f>
        <v>#VALUE!</v>
      </c>
      <c r="M56" t="e">
        <f>AND('GA55 Entry'!U47,"AAAAAFfvNQw=")</f>
        <v>#VALUE!</v>
      </c>
      <c r="N56" t="e">
        <f>AND('GA55 Entry'!V47,"AAAAAFfvNQ0=")</f>
        <v>#VALUE!</v>
      </c>
      <c r="O56" t="e">
        <f>AND('GA55 Entry'!#REF!,"AAAAAFfvNQ4=")</f>
        <v>#REF!</v>
      </c>
      <c r="P56" t="e">
        <f>AND('GA55 Entry'!#REF!,"AAAAAFfvNQ8=")</f>
        <v>#REF!</v>
      </c>
      <c r="Q56" t="e">
        <f>AND('GA55 Entry'!X47,"AAAAAFfvNRA=")</f>
        <v>#VALUE!</v>
      </c>
      <c r="R56" t="e">
        <f>AND('GA55 Entry'!Y47,"AAAAAFfvNRE=")</f>
        <v>#VALUE!</v>
      </c>
      <c r="S56" t="e">
        <f>AND('GA55 Entry'!#REF!,"AAAAAFfvNRI=")</f>
        <v>#REF!</v>
      </c>
      <c r="T56" t="e">
        <f>AND('GA55 Entry'!#REF!,"AAAAAFfvNRM=")</f>
        <v>#REF!</v>
      </c>
      <c r="U56" t="e">
        <f>AND('GA55 Entry'!#REF!,"AAAAAFfvNRQ=")</f>
        <v>#REF!</v>
      </c>
      <c r="V56" t="e">
        <f>AND('GA55 Entry'!#REF!,"AAAAAFfvNRU=")</f>
        <v>#REF!</v>
      </c>
      <c r="W56" t="e">
        <f>AND('GA55 Entry'!#REF!,"AAAAAFfvNRY=")</f>
        <v>#REF!</v>
      </c>
      <c r="X56" t="e">
        <f>AND('GA55 Entry'!#REF!,"AAAAAFfvNRc=")</f>
        <v>#REF!</v>
      </c>
      <c r="Y56" t="e">
        <f>AND('GA55 Entry'!#REF!,"AAAAAFfvNRg=")</f>
        <v>#REF!</v>
      </c>
      <c r="Z56" t="e">
        <f>AND('GA55 Entry'!#REF!,"AAAAAFfvNRk=")</f>
        <v>#REF!</v>
      </c>
      <c r="AA56" t="e">
        <f>AND('GA55 Entry'!#REF!,"AAAAAFfvNRo=")</f>
        <v>#REF!</v>
      </c>
      <c r="AB56" t="e">
        <f>AND('GA55 Entry'!Z47,"AAAAAFfvNRs=")</f>
        <v>#VALUE!</v>
      </c>
      <c r="AC56" t="e">
        <f>AND('GA55 Entry'!AA47,"AAAAAFfvNRw=")</f>
        <v>#VALUE!</v>
      </c>
      <c r="AD56" t="e">
        <f>AND('GA55 Entry'!#REF!,"AAAAAFfvNR0=")</f>
        <v>#REF!</v>
      </c>
      <c r="AE56" t="e">
        <f>AND('GA55 Entry'!#REF!,"AAAAAFfvNR4=")</f>
        <v>#REF!</v>
      </c>
      <c r="AF56" t="e">
        <f>AND('GA55 Entry'!#REF!,"AAAAAFfvNR8=")</f>
        <v>#REF!</v>
      </c>
      <c r="AG56" t="e">
        <f>AND('GA55 Entry'!AB47,"AAAAAFfvNSA=")</f>
        <v>#VALUE!</v>
      </c>
      <c r="AH56" t="e">
        <f>AND('GA55 Entry'!AC47,"AAAAAFfvNSE=")</f>
        <v>#VALUE!</v>
      </c>
      <c r="AI56" t="e">
        <f>AND('GA55 Entry'!#REF!,"AAAAAFfvNSI=")</f>
        <v>#REF!</v>
      </c>
      <c r="AJ56">
        <f>IF('GA55 Entry'!48:48,"AAAAAFfvNSM=",0)</f>
        <v>0</v>
      </c>
      <c r="AK56" t="e">
        <f>AND('GA55 Entry'!B48,"AAAAAFfvNSQ=")</f>
        <v>#VALUE!</v>
      </c>
      <c r="AL56" t="e">
        <f>AND('GA55 Entry'!#REF!,"AAAAAFfvNSU=")</f>
        <v>#REF!</v>
      </c>
      <c r="AM56" t="e">
        <f>AND('GA55 Entry'!C48,"AAAAAFfvNSY=")</f>
        <v>#VALUE!</v>
      </c>
      <c r="AN56" t="e">
        <f>AND('GA55 Entry'!#REF!,"AAAAAFfvNSc=")</f>
        <v>#REF!</v>
      </c>
      <c r="AO56" t="e">
        <f>AND('GA55 Entry'!#REF!,"AAAAAFfvNSg=")</f>
        <v>#REF!</v>
      </c>
      <c r="AP56" t="e">
        <f>AND('GA55 Entry'!#REF!,"AAAAAFfvNSk=")</f>
        <v>#REF!</v>
      </c>
      <c r="AQ56" t="e">
        <f>AND('GA55 Entry'!#REF!,"AAAAAFfvNSo=")</f>
        <v>#REF!</v>
      </c>
      <c r="AR56" t="e">
        <f>AND('GA55 Entry'!#REF!,"AAAAAFfvNSs=")</f>
        <v>#REF!</v>
      </c>
      <c r="AS56" t="e">
        <f>AND('GA55 Entry'!D48,"AAAAAFfvNSw=")</f>
        <v>#VALUE!</v>
      </c>
      <c r="AT56" t="e">
        <f>AND('GA55 Entry'!#REF!,"AAAAAFfvNS0=")</f>
        <v>#REF!</v>
      </c>
      <c r="AU56" t="e">
        <f>AND('GA55 Entry'!E48,"AAAAAFfvNS4=")</f>
        <v>#VALUE!</v>
      </c>
      <c r="AV56" t="e">
        <f>AND('GA55 Entry'!F48,"AAAAAFfvNS8=")</f>
        <v>#VALUE!</v>
      </c>
      <c r="AW56" t="e">
        <f>AND('GA55 Entry'!G48,"AAAAAFfvNTA=")</f>
        <v>#VALUE!</v>
      </c>
      <c r="AX56" t="e">
        <f>AND('GA55 Entry'!H48,"AAAAAFfvNTE=")</f>
        <v>#VALUE!</v>
      </c>
      <c r="AY56" t="e">
        <f>AND('GA55 Entry'!I48,"AAAAAFfvNTI=")</f>
        <v>#VALUE!</v>
      </c>
      <c r="AZ56" t="e">
        <f>AND('GA55 Entry'!J48,"AAAAAFfvNTM=")</f>
        <v>#VALUE!</v>
      </c>
      <c r="BA56" t="e">
        <f>AND('GA55 Entry'!#REF!,"AAAAAFfvNTQ=")</f>
        <v>#REF!</v>
      </c>
      <c r="BB56" t="e">
        <f>AND('GA55 Entry'!K48,"AAAAAFfvNTU=")</f>
        <v>#VALUE!</v>
      </c>
      <c r="BC56" t="e">
        <f>AND('GA55 Entry'!L48,"AAAAAFfvNTY=")</f>
        <v>#VALUE!</v>
      </c>
      <c r="BD56" t="e">
        <f>AND('GA55 Entry'!M48,"AAAAAFfvNTc=")</f>
        <v>#VALUE!</v>
      </c>
      <c r="BE56" t="e">
        <f>AND('GA55 Entry'!N48,"AAAAAFfvNTg=")</f>
        <v>#VALUE!</v>
      </c>
      <c r="BF56" t="e">
        <f>AND('GA55 Entry'!O48,"AAAAAFfvNTk=")</f>
        <v>#VALUE!</v>
      </c>
      <c r="BG56" t="e">
        <f>AND('GA55 Entry'!P48,"AAAAAFfvNTo=")</f>
        <v>#VALUE!</v>
      </c>
      <c r="BH56" t="e">
        <f>AND('GA55 Entry'!Q48,"AAAAAFfvNTs=")</f>
        <v>#VALUE!</v>
      </c>
      <c r="BI56" t="e">
        <f>AND('GA55 Entry'!S48,"AAAAAFfvNTw=")</f>
        <v>#VALUE!</v>
      </c>
      <c r="BJ56" t="e">
        <f>AND('GA55 Entry'!#REF!,"AAAAAFfvNT0=")</f>
        <v>#REF!</v>
      </c>
      <c r="BK56" t="e">
        <f>AND('GA55 Entry'!T48,"AAAAAFfvNT4=")</f>
        <v>#VALUE!</v>
      </c>
      <c r="BL56" t="e">
        <f>AND('GA55 Entry'!U48,"AAAAAFfvNT8=")</f>
        <v>#VALUE!</v>
      </c>
      <c r="BM56" t="e">
        <f>AND('GA55 Entry'!V48,"AAAAAFfvNUA=")</f>
        <v>#VALUE!</v>
      </c>
      <c r="BN56" t="e">
        <f>AND('GA55 Entry'!#REF!,"AAAAAFfvNUE=")</f>
        <v>#REF!</v>
      </c>
      <c r="BO56" t="e">
        <f>AND('GA55 Entry'!#REF!,"AAAAAFfvNUI=")</f>
        <v>#REF!</v>
      </c>
      <c r="BP56" t="e">
        <f>AND('GA55 Entry'!X48,"AAAAAFfvNUM=")</f>
        <v>#VALUE!</v>
      </c>
      <c r="BQ56" t="e">
        <f>AND('GA55 Entry'!Y48,"AAAAAFfvNUQ=")</f>
        <v>#VALUE!</v>
      </c>
      <c r="BR56" t="e">
        <f>AND('GA55 Entry'!#REF!,"AAAAAFfvNUU=")</f>
        <v>#REF!</v>
      </c>
      <c r="BS56" t="e">
        <f>AND('GA55 Entry'!#REF!,"AAAAAFfvNUY=")</f>
        <v>#REF!</v>
      </c>
      <c r="BT56" t="e">
        <f>AND('GA55 Entry'!#REF!,"AAAAAFfvNUc=")</f>
        <v>#REF!</v>
      </c>
      <c r="BU56" t="e">
        <f>AND('GA55 Entry'!#REF!,"AAAAAFfvNUg=")</f>
        <v>#REF!</v>
      </c>
      <c r="BV56" t="e">
        <f>AND('GA55 Entry'!#REF!,"AAAAAFfvNUk=")</f>
        <v>#REF!</v>
      </c>
      <c r="BW56" t="e">
        <f>AND('GA55 Entry'!#REF!,"AAAAAFfvNUo=")</f>
        <v>#REF!</v>
      </c>
      <c r="BX56" t="e">
        <f>AND('GA55 Entry'!#REF!,"AAAAAFfvNUs=")</f>
        <v>#REF!</v>
      </c>
      <c r="BY56" t="e">
        <f>AND('GA55 Entry'!#REF!,"AAAAAFfvNUw=")</f>
        <v>#REF!</v>
      </c>
      <c r="BZ56" t="e">
        <f>AND('GA55 Entry'!#REF!,"AAAAAFfvNU0=")</f>
        <v>#REF!</v>
      </c>
      <c r="CA56" t="e">
        <f>AND('GA55 Entry'!Z48,"AAAAAFfvNU4=")</f>
        <v>#VALUE!</v>
      </c>
      <c r="CB56" t="e">
        <f>AND('GA55 Entry'!AA48,"AAAAAFfvNU8=")</f>
        <v>#VALUE!</v>
      </c>
      <c r="CC56" t="e">
        <f>AND('GA55 Entry'!#REF!,"AAAAAFfvNVA=")</f>
        <v>#REF!</v>
      </c>
      <c r="CD56" t="e">
        <f>AND('GA55 Entry'!#REF!,"AAAAAFfvNVE=")</f>
        <v>#REF!</v>
      </c>
      <c r="CE56" t="e">
        <f>AND('GA55 Entry'!#REF!,"AAAAAFfvNVI=")</f>
        <v>#REF!</v>
      </c>
      <c r="CF56" t="e">
        <f>AND('GA55 Entry'!AB48,"AAAAAFfvNVM=")</f>
        <v>#VALUE!</v>
      </c>
      <c r="CG56" t="e">
        <f>AND('GA55 Entry'!AC48,"AAAAAFfvNVQ=")</f>
        <v>#VALUE!</v>
      </c>
      <c r="CH56" t="e">
        <f>AND('GA55 Entry'!#REF!,"AAAAAFfvNVU=")</f>
        <v>#REF!</v>
      </c>
      <c r="CI56">
        <f>IF('GA55 Entry'!49:49,"AAAAAFfvNVY=",0)</f>
        <v>0</v>
      </c>
      <c r="CJ56" t="e">
        <f>AND('GA55 Entry'!B49,"AAAAAFfvNVc=")</f>
        <v>#VALUE!</v>
      </c>
      <c r="CK56" t="e">
        <f>AND('GA55 Entry'!#REF!,"AAAAAFfvNVg=")</f>
        <v>#REF!</v>
      </c>
      <c r="CL56" t="e">
        <f>AND('GA55 Entry'!C49,"AAAAAFfvNVk=")</f>
        <v>#VALUE!</v>
      </c>
      <c r="CM56" t="e">
        <f>AND('GA55 Entry'!#REF!,"AAAAAFfvNVo=")</f>
        <v>#REF!</v>
      </c>
      <c r="CN56" t="e">
        <f>AND('GA55 Entry'!#REF!,"AAAAAFfvNVs=")</f>
        <v>#REF!</v>
      </c>
      <c r="CO56" t="e">
        <f>AND('GA55 Entry'!#REF!,"AAAAAFfvNVw=")</f>
        <v>#REF!</v>
      </c>
      <c r="CP56" t="e">
        <f>AND('GA55 Entry'!#REF!,"AAAAAFfvNV0=")</f>
        <v>#REF!</v>
      </c>
      <c r="CQ56" t="e">
        <f>AND('GA55 Entry'!#REF!,"AAAAAFfvNV4=")</f>
        <v>#REF!</v>
      </c>
      <c r="CR56" t="e">
        <f>AND('GA55 Entry'!D49,"AAAAAFfvNV8=")</f>
        <v>#VALUE!</v>
      </c>
      <c r="CS56" t="e">
        <f>AND('GA55 Entry'!#REF!,"AAAAAFfvNWA=")</f>
        <v>#REF!</v>
      </c>
      <c r="CT56" t="e">
        <f>AND('GA55 Entry'!E49,"AAAAAFfvNWE=")</f>
        <v>#VALUE!</v>
      </c>
      <c r="CU56" t="e">
        <f>AND('GA55 Entry'!F49,"AAAAAFfvNWI=")</f>
        <v>#VALUE!</v>
      </c>
      <c r="CV56" t="e">
        <f>AND('GA55 Entry'!G49,"AAAAAFfvNWM=")</f>
        <v>#VALUE!</v>
      </c>
      <c r="CW56" t="e">
        <f>AND('GA55 Entry'!H49,"AAAAAFfvNWQ=")</f>
        <v>#VALUE!</v>
      </c>
      <c r="CX56" t="e">
        <f>AND('GA55 Entry'!I49,"AAAAAFfvNWU=")</f>
        <v>#VALUE!</v>
      </c>
      <c r="CY56" t="e">
        <f>AND('GA55 Entry'!J49,"AAAAAFfvNWY=")</f>
        <v>#VALUE!</v>
      </c>
      <c r="CZ56" t="e">
        <f>AND('GA55 Entry'!#REF!,"AAAAAFfvNWc=")</f>
        <v>#REF!</v>
      </c>
      <c r="DA56" t="e">
        <f>AND('GA55 Entry'!K49,"AAAAAFfvNWg=")</f>
        <v>#VALUE!</v>
      </c>
      <c r="DB56" t="e">
        <f>AND('GA55 Entry'!L49,"AAAAAFfvNWk=")</f>
        <v>#VALUE!</v>
      </c>
      <c r="DC56" t="e">
        <f>AND('GA55 Entry'!M49,"AAAAAFfvNWo=")</f>
        <v>#VALUE!</v>
      </c>
      <c r="DD56" t="e">
        <f>AND('GA55 Entry'!N49,"AAAAAFfvNWs=")</f>
        <v>#VALUE!</v>
      </c>
      <c r="DE56" t="e">
        <f>AND('GA55 Entry'!O49,"AAAAAFfvNWw=")</f>
        <v>#VALUE!</v>
      </c>
      <c r="DF56" t="e">
        <f>AND('GA55 Entry'!P49,"AAAAAFfvNW0=")</f>
        <v>#VALUE!</v>
      </c>
      <c r="DG56" t="e">
        <f>AND('GA55 Entry'!Q49,"AAAAAFfvNW4=")</f>
        <v>#VALUE!</v>
      </c>
      <c r="DH56" t="e">
        <f>AND('GA55 Entry'!S49,"AAAAAFfvNW8=")</f>
        <v>#VALUE!</v>
      </c>
      <c r="DI56" t="e">
        <f>AND('GA55 Entry'!#REF!,"AAAAAFfvNXA=")</f>
        <v>#REF!</v>
      </c>
      <c r="DJ56" t="e">
        <f>AND('GA55 Entry'!T49,"AAAAAFfvNXE=")</f>
        <v>#VALUE!</v>
      </c>
      <c r="DK56" t="e">
        <f>AND('GA55 Entry'!U49,"AAAAAFfvNXI=")</f>
        <v>#VALUE!</v>
      </c>
      <c r="DL56" t="e">
        <f>AND('GA55 Entry'!V49,"AAAAAFfvNXM=")</f>
        <v>#VALUE!</v>
      </c>
      <c r="DM56" t="e">
        <f>AND('GA55 Entry'!#REF!,"AAAAAFfvNXQ=")</f>
        <v>#REF!</v>
      </c>
      <c r="DN56" t="e">
        <f>AND('GA55 Entry'!#REF!,"AAAAAFfvNXU=")</f>
        <v>#REF!</v>
      </c>
      <c r="DO56" t="e">
        <f>AND('GA55 Entry'!X49,"AAAAAFfvNXY=")</f>
        <v>#VALUE!</v>
      </c>
      <c r="DP56" t="e">
        <f>AND('GA55 Entry'!Y49,"AAAAAFfvNXc=")</f>
        <v>#VALUE!</v>
      </c>
      <c r="DQ56" t="e">
        <f>AND('GA55 Entry'!#REF!,"AAAAAFfvNXg=")</f>
        <v>#REF!</v>
      </c>
      <c r="DR56" t="e">
        <f>AND('GA55 Entry'!#REF!,"AAAAAFfvNXk=")</f>
        <v>#REF!</v>
      </c>
      <c r="DS56" t="e">
        <f>AND('GA55 Entry'!#REF!,"AAAAAFfvNXo=")</f>
        <v>#REF!</v>
      </c>
      <c r="DT56" t="e">
        <f>AND('GA55 Entry'!#REF!,"AAAAAFfvNXs=")</f>
        <v>#REF!</v>
      </c>
      <c r="DU56" t="e">
        <f>AND('GA55 Entry'!#REF!,"AAAAAFfvNXw=")</f>
        <v>#REF!</v>
      </c>
      <c r="DV56" t="e">
        <f>AND('GA55 Entry'!#REF!,"AAAAAFfvNX0=")</f>
        <v>#REF!</v>
      </c>
      <c r="DW56" t="e">
        <f>AND('GA55 Entry'!#REF!,"AAAAAFfvNX4=")</f>
        <v>#REF!</v>
      </c>
      <c r="DX56" t="e">
        <f>AND('GA55 Entry'!#REF!,"AAAAAFfvNX8=")</f>
        <v>#REF!</v>
      </c>
      <c r="DY56" t="e">
        <f>AND('GA55 Entry'!#REF!,"AAAAAFfvNYA=")</f>
        <v>#REF!</v>
      </c>
      <c r="DZ56" t="e">
        <f>AND('GA55 Entry'!Z49,"AAAAAFfvNYE=")</f>
        <v>#VALUE!</v>
      </c>
      <c r="EA56" t="e">
        <f>AND('GA55 Entry'!AA49,"AAAAAFfvNYI=")</f>
        <v>#VALUE!</v>
      </c>
      <c r="EB56" t="e">
        <f>AND('GA55 Entry'!#REF!,"AAAAAFfvNYM=")</f>
        <v>#REF!</v>
      </c>
      <c r="EC56" t="e">
        <f>AND('GA55 Entry'!#REF!,"AAAAAFfvNYQ=")</f>
        <v>#REF!</v>
      </c>
      <c r="ED56" t="e">
        <f>AND('GA55 Entry'!#REF!,"AAAAAFfvNYU=")</f>
        <v>#REF!</v>
      </c>
      <c r="EE56" t="e">
        <f>AND('GA55 Entry'!AB49,"AAAAAFfvNYY=")</f>
        <v>#VALUE!</v>
      </c>
      <c r="EF56" t="e">
        <f>AND('GA55 Entry'!AC49,"AAAAAFfvNYc=")</f>
        <v>#VALUE!</v>
      </c>
      <c r="EG56" t="e">
        <f>AND('GA55 Entry'!#REF!,"AAAAAFfvNYg=")</f>
        <v>#REF!</v>
      </c>
      <c r="EH56">
        <f>IF('GA55 Entry'!50:50,"AAAAAFfvNYk=",0)</f>
        <v>0</v>
      </c>
      <c r="EI56" t="e">
        <f>AND('GA55 Entry'!B50,"AAAAAFfvNYo=")</f>
        <v>#VALUE!</v>
      </c>
      <c r="EJ56" t="e">
        <f>AND('GA55 Entry'!#REF!,"AAAAAFfvNYs=")</f>
        <v>#REF!</v>
      </c>
      <c r="EK56" t="e">
        <f>AND('GA55 Entry'!C50,"AAAAAFfvNYw=")</f>
        <v>#VALUE!</v>
      </c>
      <c r="EL56" t="e">
        <f>AND('GA55 Entry'!#REF!,"AAAAAFfvNY0=")</f>
        <v>#REF!</v>
      </c>
      <c r="EM56" t="e">
        <f>AND('GA55 Entry'!#REF!,"AAAAAFfvNY4=")</f>
        <v>#REF!</v>
      </c>
      <c r="EN56" t="e">
        <f>AND('GA55 Entry'!#REF!,"AAAAAFfvNY8=")</f>
        <v>#REF!</v>
      </c>
      <c r="EO56" t="e">
        <f>AND('GA55 Entry'!#REF!,"AAAAAFfvNZA=")</f>
        <v>#REF!</v>
      </c>
      <c r="EP56" t="e">
        <f>AND('GA55 Entry'!#REF!,"AAAAAFfvNZE=")</f>
        <v>#REF!</v>
      </c>
      <c r="EQ56" t="e">
        <f>AND('GA55 Entry'!D50,"AAAAAFfvNZI=")</f>
        <v>#VALUE!</v>
      </c>
      <c r="ER56" t="e">
        <f>AND('GA55 Entry'!#REF!,"AAAAAFfvNZM=")</f>
        <v>#REF!</v>
      </c>
      <c r="ES56" t="e">
        <f>AND('GA55 Entry'!E50,"AAAAAFfvNZQ=")</f>
        <v>#VALUE!</v>
      </c>
      <c r="ET56" t="e">
        <f>AND('GA55 Entry'!F50,"AAAAAFfvNZU=")</f>
        <v>#VALUE!</v>
      </c>
      <c r="EU56" t="e">
        <f>AND('GA55 Entry'!G50,"AAAAAFfvNZY=")</f>
        <v>#VALUE!</v>
      </c>
      <c r="EV56" t="e">
        <f>AND('GA55 Entry'!H50,"AAAAAFfvNZc=")</f>
        <v>#VALUE!</v>
      </c>
      <c r="EW56" t="e">
        <f>AND('GA55 Entry'!I50,"AAAAAFfvNZg=")</f>
        <v>#VALUE!</v>
      </c>
      <c r="EX56" t="e">
        <f>AND('GA55 Entry'!J50,"AAAAAFfvNZk=")</f>
        <v>#VALUE!</v>
      </c>
      <c r="EY56" t="e">
        <f>AND('GA55 Entry'!#REF!,"AAAAAFfvNZo=")</f>
        <v>#REF!</v>
      </c>
      <c r="EZ56" t="e">
        <f>AND('GA55 Entry'!K50,"AAAAAFfvNZs=")</f>
        <v>#VALUE!</v>
      </c>
      <c r="FA56" t="e">
        <f>AND('GA55 Entry'!L50,"AAAAAFfvNZw=")</f>
        <v>#VALUE!</v>
      </c>
      <c r="FB56" t="e">
        <f>AND('GA55 Entry'!M50,"AAAAAFfvNZ0=")</f>
        <v>#VALUE!</v>
      </c>
      <c r="FC56" t="e">
        <f>AND('GA55 Entry'!N50,"AAAAAFfvNZ4=")</f>
        <v>#VALUE!</v>
      </c>
      <c r="FD56" t="e">
        <f>AND('GA55 Entry'!O50,"AAAAAFfvNZ8=")</f>
        <v>#VALUE!</v>
      </c>
      <c r="FE56" t="e">
        <f>AND('GA55 Entry'!P50,"AAAAAFfvNaA=")</f>
        <v>#VALUE!</v>
      </c>
      <c r="FF56" t="e">
        <f>AND('GA55 Entry'!Q50,"AAAAAFfvNaE=")</f>
        <v>#VALUE!</v>
      </c>
      <c r="FG56" t="e">
        <f>AND('GA55 Entry'!S50,"AAAAAFfvNaI=")</f>
        <v>#VALUE!</v>
      </c>
      <c r="FH56" t="e">
        <f>AND('GA55 Entry'!#REF!,"AAAAAFfvNaM=")</f>
        <v>#REF!</v>
      </c>
      <c r="FI56" t="e">
        <f>AND('GA55 Entry'!T50,"AAAAAFfvNaQ=")</f>
        <v>#VALUE!</v>
      </c>
      <c r="FJ56" t="e">
        <f>AND('GA55 Entry'!U50,"AAAAAFfvNaU=")</f>
        <v>#VALUE!</v>
      </c>
      <c r="FK56" t="e">
        <f>AND('GA55 Entry'!V50,"AAAAAFfvNaY=")</f>
        <v>#VALUE!</v>
      </c>
      <c r="FL56" t="e">
        <f>AND('GA55 Entry'!#REF!,"AAAAAFfvNac=")</f>
        <v>#REF!</v>
      </c>
      <c r="FM56" t="e">
        <f>AND('GA55 Entry'!#REF!,"AAAAAFfvNag=")</f>
        <v>#REF!</v>
      </c>
      <c r="FN56" t="e">
        <f>AND('GA55 Entry'!X50,"AAAAAFfvNak=")</f>
        <v>#VALUE!</v>
      </c>
      <c r="FO56" t="e">
        <f>AND('GA55 Entry'!Y50,"AAAAAFfvNao=")</f>
        <v>#VALUE!</v>
      </c>
      <c r="FP56" t="e">
        <f>AND('GA55 Entry'!#REF!,"AAAAAFfvNas=")</f>
        <v>#REF!</v>
      </c>
      <c r="FQ56" t="e">
        <f>AND('GA55 Entry'!#REF!,"AAAAAFfvNaw=")</f>
        <v>#REF!</v>
      </c>
      <c r="FR56" t="e">
        <f>AND('GA55 Entry'!#REF!,"AAAAAFfvNa0=")</f>
        <v>#REF!</v>
      </c>
      <c r="FS56" t="e">
        <f>AND('GA55 Entry'!#REF!,"AAAAAFfvNa4=")</f>
        <v>#REF!</v>
      </c>
      <c r="FT56" t="e">
        <f>AND('GA55 Entry'!#REF!,"AAAAAFfvNa8=")</f>
        <v>#REF!</v>
      </c>
      <c r="FU56" t="e">
        <f>AND('GA55 Entry'!#REF!,"AAAAAFfvNbA=")</f>
        <v>#REF!</v>
      </c>
      <c r="FV56" t="e">
        <f>AND('GA55 Entry'!#REF!,"AAAAAFfvNbE=")</f>
        <v>#REF!</v>
      </c>
      <c r="FW56" t="e">
        <f>AND('GA55 Entry'!#REF!,"AAAAAFfvNbI=")</f>
        <v>#REF!</v>
      </c>
      <c r="FX56" t="e">
        <f>AND('GA55 Entry'!#REF!,"AAAAAFfvNbM=")</f>
        <v>#REF!</v>
      </c>
      <c r="FY56" t="e">
        <f>AND('GA55 Entry'!Z50,"AAAAAFfvNbQ=")</f>
        <v>#VALUE!</v>
      </c>
      <c r="FZ56" t="e">
        <f>AND('GA55 Entry'!AA50,"AAAAAFfvNbU=")</f>
        <v>#VALUE!</v>
      </c>
      <c r="GA56" t="e">
        <f>AND('GA55 Entry'!#REF!,"AAAAAFfvNbY=")</f>
        <v>#REF!</v>
      </c>
      <c r="GB56" t="e">
        <f>AND('GA55 Entry'!#REF!,"AAAAAFfvNbc=")</f>
        <v>#REF!</v>
      </c>
      <c r="GC56" t="e">
        <f>AND('GA55 Entry'!#REF!,"AAAAAFfvNbg=")</f>
        <v>#REF!</v>
      </c>
      <c r="GD56" t="e">
        <f>AND('GA55 Entry'!AB50,"AAAAAFfvNbk=")</f>
        <v>#VALUE!</v>
      </c>
      <c r="GE56" t="e">
        <f>AND('GA55 Entry'!AC50,"AAAAAFfvNbo=")</f>
        <v>#VALUE!</v>
      </c>
      <c r="GF56" t="e">
        <f>AND('GA55 Entry'!#REF!,"AAAAAFfvNbs=")</f>
        <v>#REF!</v>
      </c>
      <c r="GG56">
        <f>IF('GA55 Entry'!51:51,"AAAAAFfvNbw=",0)</f>
        <v>0</v>
      </c>
      <c r="GH56" t="e">
        <f>AND('GA55 Entry'!B51,"AAAAAFfvNb0=")</f>
        <v>#VALUE!</v>
      </c>
      <c r="GI56" t="e">
        <f>AND('GA55 Entry'!#REF!,"AAAAAFfvNb4=")</f>
        <v>#REF!</v>
      </c>
      <c r="GJ56" t="e">
        <f>AND('GA55 Entry'!C51,"AAAAAFfvNb8=")</f>
        <v>#VALUE!</v>
      </c>
      <c r="GK56" t="e">
        <f>AND('GA55 Entry'!#REF!,"AAAAAFfvNcA=")</f>
        <v>#REF!</v>
      </c>
      <c r="GL56" t="e">
        <f>AND('GA55 Entry'!#REF!,"AAAAAFfvNcE=")</f>
        <v>#REF!</v>
      </c>
      <c r="GM56" t="e">
        <f>AND('GA55 Entry'!#REF!,"AAAAAFfvNcI=")</f>
        <v>#REF!</v>
      </c>
      <c r="GN56" t="e">
        <f>AND('GA55 Entry'!#REF!,"AAAAAFfvNcM=")</f>
        <v>#REF!</v>
      </c>
      <c r="GO56" t="e">
        <f>AND('GA55 Entry'!#REF!,"AAAAAFfvNcQ=")</f>
        <v>#REF!</v>
      </c>
      <c r="GP56" t="e">
        <f>AND('GA55 Entry'!D51,"AAAAAFfvNcU=")</f>
        <v>#VALUE!</v>
      </c>
      <c r="GQ56" t="e">
        <f>AND('GA55 Entry'!#REF!,"AAAAAFfvNcY=")</f>
        <v>#REF!</v>
      </c>
      <c r="GR56" t="e">
        <f>AND('GA55 Entry'!E51,"AAAAAFfvNcc=")</f>
        <v>#VALUE!</v>
      </c>
      <c r="GS56" t="e">
        <f>AND('GA55 Entry'!F51,"AAAAAFfvNcg=")</f>
        <v>#VALUE!</v>
      </c>
      <c r="GT56" t="e">
        <f>AND('GA55 Entry'!G51,"AAAAAFfvNck=")</f>
        <v>#VALUE!</v>
      </c>
      <c r="GU56" t="e">
        <f>AND('GA55 Entry'!H51,"AAAAAFfvNco=")</f>
        <v>#VALUE!</v>
      </c>
      <c r="GV56" t="e">
        <f>AND('GA55 Entry'!I51,"AAAAAFfvNcs=")</f>
        <v>#VALUE!</v>
      </c>
      <c r="GW56" t="e">
        <f>AND('GA55 Entry'!J51,"AAAAAFfvNcw=")</f>
        <v>#VALUE!</v>
      </c>
      <c r="GX56" t="e">
        <f>AND('GA55 Entry'!#REF!,"AAAAAFfvNc0=")</f>
        <v>#REF!</v>
      </c>
      <c r="GY56" t="e">
        <f>AND('GA55 Entry'!K51,"AAAAAFfvNc4=")</f>
        <v>#VALUE!</v>
      </c>
      <c r="GZ56" t="e">
        <f>AND('GA55 Entry'!L51,"AAAAAFfvNc8=")</f>
        <v>#VALUE!</v>
      </c>
      <c r="HA56" t="e">
        <f>AND('GA55 Entry'!M51,"AAAAAFfvNdA=")</f>
        <v>#VALUE!</v>
      </c>
      <c r="HB56" t="e">
        <f>AND('GA55 Entry'!N51,"AAAAAFfvNdE=")</f>
        <v>#VALUE!</v>
      </c>
      <c r="HC56" t="e">
        <f>AND('GA55 Entry'!O51,"AAAAAFfvNdI=")</f>
        <v>#VALUE!</v>
      </c>
      <c r="HD56" t="e">
        <f>AND('GA55 Entry'!P51,"AAAAAFfvNdM=")</f>
        <v>#VALUE!</v>
      </c>
      <c r="HE56" t="e">
        <f>AND('GA55 Entry'!Q51,"AAAAAFfvNdQ=")</f>
        <v>#VALUE!</v>
      </c>
      <c r="HF56" t="e">
        <f>AND('GA55 Entry'!S51,"AAAAAFfvNdU=")</f>
        <v>#VALUE!</v>
      </c>
      <c r="HG56" t="e">
        <f>AND('GA55 Entry'!#REF!,"AAAAAFfvNdY=")</f>
        <v>#REF!</v>
      </c>
      <c r="HH56" t="e">
        <f>AND('GA55 Entry'!T51,"AAAAAFfvNdc=")</f>
        <v>#VALUE!</v>
      </c>
      <c r="HI56" t="e">
        <f>AND('GA55 Entry'!U51,"AAAAAFfvNdg=")</f>
        <v>#VALUE!</v>
      </c>
      <c r="HJ56" t="e">
        <f>AND('GA55 Entry'!V51,"AAAAAFfvNdk=")</f>
        <v>#VALUE!</v>
      </c>
      <c r="HK56" t="e">
        <f>AND('GA55 Entry'!#REF!,"AAAAAFfvNdo=")</f>
        <v>#REF!</v>
      </c>
      <c r="HL56" t="e">
        <f>AND('GA55 Entry'!#REF!,"AAAAAFfvNds=")</f>
        <v>#REF!</v>
      </c>
      <c r="HM56" t="e">
        <f>AND('GA55 Entry'!X51,"AAAAAFfvNdw=")</f>
        <v>#VALUE!</v>
      </c>
      <c r="HN56" t="e">
        <f>AND('GA55 Entry'!Y51,"AAAAAFfvNd0=")</f>
        <v>#VALUE!</v>
      </c>
      <c r="HO56" t="e">
        <f>AND('GA55 Entry'!#REF!,"AAAAAFfvNd4=")</f>
        <v>#REF!</v>
      </c>
      <c r="HP56" t="e">
        <f>AND('GA55 Entry'!#REF!,"AAAAAFfvNd8=")</f>
        <v>#REF!</v>
      </c>
      <c r="HQ56" t="e">
        <f>AND('GA55 Entry'!#REF!,"AAAAAFfvNeA=")</f>
        <v>#REF!</v>
      </c>
      <c r="HR56" t="e">
        <f>AND('GA55 Entry'!#REF!,"AAAAAFfvNeE=")</f>
        <v>#REF!</v>
      </c>
      <c r="HS56" t="e">
        <f>AND('GA55 Entry'!#REF!,"AAAAAFfvNeI=")</f>
        <v>#REF!</v>
      </c>
      <c r="HT56" t="e">
        <f>AND('GA55 Entry'!#REF!,"AAAAAFfvNeM=")</f>
        <v>#REF!</v>
      </c>
      <c r="HU56" t="e">
        <f>AND('GA55 Entry'!#REF!,"AAAAAFfvNeQ=")</f>
        <v>#REF!</v>
      </c>
      <c r="HV56" t="e">
        <f>AND('GA55 Entry'!#REF!,"AAAAAFfvNeU=")</f>
        <v>#REF!</v>
      </c>
      <c r="HW56" t="e">
        <f>AND('GA55 Entry'!#REF!,"AAAAAFfvNeY=")</f>
        <v>#REF!</v>
      </c>
      <c r="HX56" t="e">
        <f>AND('GA55 Entry'!Z51,"AAAAAFfvNec=")</f>
        <v>#VALUE!</v>
      </c>
      <c r="HY56" t="e">
        <f>AND('GA55 Entry'!AA51,"AAAAAFfvNeg=")</f>
        <v>#VALUE!</v>
      </c>
      <c r="HZ56" t="e">
        <f>AND('GA55 Entry'!#REF!,"AAAAAFfvNek=")</f>
        <v>#REF!</v>
      </c>
      <c r="IA56" t="e">
        <f>AND('GA55 Entry'!#REF!,"AAAAAFfvNeo=")</f>
        <v>#REF!</v>
      </c>
      <c r="IB56" t="e">
        <f>AND('GA55 Entry'!#REF!,"AAAAAFfvNes=")</f>
        <v>#REF!</v>
      </c>
      <c r="IC56" t="e">
        <f>AND('GA55 Entry'!AB51,"AAAAAFfvNew=")</f>
        <v>#VALUE!</v>
      </c>
      <c r="ID56" t="e">
        <f>AND('GA55 Entry'!AC51,"AAAAAFfvNe0=")</f>
        <v>#VALUE!</v>
      </c>
      <c r="IE56" t="e">
        <f>AND('GA55 Entry'!#REF!,"AAAAAFfvNe4=")</f>
        <v>#REF!</v>
      </c>
      <c r="IF56">
        <f>IF('GA55 Entry'!52:52,"AAAAAFfvNe8=",0)</f>
        <v>0</v>
      </c>
      <c r="IG56" t="e">
        <f>AND('GA55 Entry'!B52,"AAAAAFfvNfA=")</f>
        <v>#VALUE!</v>
      </c>
      <c r="IH56" t="e">
        <f>AND('GA55 Entry'!#REF!,"AAAAAFfvNfE=")</f>
        <v>#REF!</v>
      </c>
      <c r="II56" t="e">
        <f>AND('GA55 Entry'!C52,"AAAAAFfvNfI=")</f>
        <v>#VALUE!</v>
      </c>
      <c r="IJ56" t="e">
        <f>AND('GA55 Entry'!#REF!,"AAAAAFfvNfM=")</f>
        <v>#REF!</v>
      </c>
      <c r="IK56" t="e">
        <f>AND('GA55 Entry'!#REF!,"AAAAAFfvNfQ=")</f>
        <v>#REF!</v>
      </c>
      <c r="IL56" t="e">
        <f>AND('GA55 Entry'!#REF!,"AAAAAFfvNfU=")</f>
        <v>#REF!</v>
      </c>
      <c r="IM56" t="e">
        <f>AND('GA55 Entry'!#REF!,"AAAAAFfvNfY=")</f>
        <v>#REF!</v>
      </c>
      <c r="IN56" t="e">
        <f>AND('GA55 Entry'!#REF!,"AAAAAFfvNfc=")</f>
        <v>#REF!</v>
      </c>
      <c r="IO56" t="e">
        <f>AND('GA55 Entry'!D52,"AAAAAFfvNfg=")</f>
        <v>#VALUE!</v>
      </c>
      <c r="IP56" t="e">
        <f>AND('GA55 Entry'!#REF!,"AAAAAFfvNfk=")</f>
        <v>#REF!</v>
      </c>
      <c r="IQ56" t="e">
        <f>AND('GA55 Entry'!E52,"AAAAAFfvNfo=")</f>
        <v>#VALUE!</v>
      </c>
      <c r="IR56" t="e">
        <f>AND('GA55 Entry'!F52,"AAAAAFfvNfs=")</f>
        <v>#VALUE!</v>
      </c>
      <c r="IS56" t="e">
        <f>AND('GA55 Entry'!G52,"AAAAAFfvNfw=")</f>
        <v>#VALUE!</v>
      </c>
      <c r="IT56" t="e">
        <f>AND('GA55 Entry'!H52,"AAAAAFfvNf0=")</f>
        <v>#VALUE!</v>
      </c>
      <c r="IU56" t="e">
        <f>AND('GA55 Entry'!I52,"AAAAAFfvNf4=")</f>
        <v>#VALUE!</v>
      </c>
      <c r="IV56" t="e">
        <f>AND('GA55 Entry'!J52,"AAAAAFfvNf8=")</f>
        <v>#VALUE!</v>
      </c>
    </row>
    <row r="57" spans="1:256">
      <c r="A57" t="e">
        <f>AND('GA55 Entry'!#REF!,"AAAAAF1/2gA=")</f>
        <v>#REF!</v>
      </c>
      <c r="B57" t="e">
        <f>AND('GA55 Entry'!K52,"AAAAAF1/2gE=")</f>
        <v>#VALUE!</v>
      </c>
      <c r="C57" t="e">
        <f>AND('GA55 Entry'!L52,"AAAAAF1/2gI=")</f>
        <v>#VALUE!</v>
      </c>
      <c r="D57" t="e">
        <f>AND('GA55 Entry'!M52,"AAAAAF1/2gM=")</f>
        <v>#VALUE!</v>
      </c>
      <c r="E57" t="e">
        <f>AND('GA55 Entry'!N52,"AAAAAF1/2gQ=")</f>
        <v>#VALUE!</v>
      </c>
      <c r="F57" t="e">
        <f>AND('GA55 Entry'!O52,"AAAAAF1/2gU=")</f>
        <v>#VALUE!</v>
      </c>
      <c r="G57" t="e">
        <f>AND('GA55 Entry'!P52,"AAAAAF1/2gY=")</f>
        <v>#VALUE!</v>
      </c>
      <c r="H57" t="e">
        <f>AND('GA55 Entry'!Q52,"AAAAAF1/2gc=")</f>
        <v>#VALUE!</v>
      </c>
      <c r="I57" t="e">
        <f>AND('GA55 Entry'!S52,"AAAAAF1/2gg=")</f>
        <v>#VALUE!</v>
      </c>
      <c r="J57" t="e">
        <f>AND('GA55 Entry'!#REF!,"AAAAAF1/2gk=")</f>
        <v>#REF!</v>
      </c>
      <c r="K57" t="e">
        <f>AND('GA55 Entry'!T52,"AAAAAF1/2go=")</f>
        <v>#VALUE!</v>
      </c>
      <c r="L57" t="e">
        <f>AND('GA55 Entry'!U52,"AAAAAF1/2gs=")</f>
        <v>#VALUE!</v>
      </c>
      <c r="M57" t="e">
        <f>AND('GA55 Entry'!V52,"AAAAAF1/2gw=")</f>
        <v>#VALUE!</v>
      </c>
      <c r="N57" t="e">
        <f>AND('GA55 Entry'!#REF!,"AAAAAF1/2g0=")</f>
        <v>#REF!</v>
      </c>
      <c r="O57" t="e">
        <f>AND('GA55 Entry'!#REF!,"AAAAAF1/2g4=")</f>
        <v>#REF!</v>
      </c>
      <c r="P57" t="e">
        <f>AND('GA55 Entry'!X52,"AAAAAF1/2g8=")</f>
        <v>#VALUE!</v>
      </c>
      <c r="Q57" t="e">
        <f>AND('GA55 Entry'!Y52,"AAAAAF1/2hA=")</f>
        <v>#VALUE!</v>
      </c>
      <c r="R57" t="e">
        <f>AND('GA55 Entry'!#REF!,"AAAAAF1/2hE=")</f>
        <v>#REF!</v>
      </c>
      <c r="S57" t="e">
        <f>AND('GA55 Entry'!#REF!,"AAAAAF1/2hI=")</f>
        <v>#REF!</v>
      </c>
      <c r="T57" t="e">
        <f>AND('GA55 Entry'!#REF!,"AAAAAF1/2hM=")</f>
        <v>#REF!</v>
      </c>
      <c r="U57" t="e">
        <f>AND('GA55 Entry'!#REF!,"AAAAAF1/2hQ=")</f>
        <v>#REF!</v>
      </c>
      <c r="V57" t="e">
        <f>AND('GA55 Entry'!#REF!,"AAAAAF1/2hU=")</f>
        <v>#REF!</v>
      </c>
      <c r="W57" t="e">
        <f>AND('GA55 Entry'!#REF!,"AAAAAF1/2hY=")</f>
        <v>#REF!</v>
      </c>
      <c r="X57" t="e">
        <f>AND('GA55 Entry'!#REF!,"AAAAAF1/2hc=")</f>
        <v>#REF!</v>
      </c>
      <c r="Y57" t="e">
        <f>AND('GA55 Entry'!#REF!,"AAAAAF1/2hg=")</f>
        <v>#REF!</v>
      </c>
      <c r="Z57" t="e">
        <f>AND('GA55 Entry'!#REF!,"AAAAAF1/2hk=")</f>
        <v>#REF!</v>
      </c>
      <c r="AA57" t="e">
        <f>AND('GA55 Entry'!Z52,"AAAAAF1/2ho=")</f>
        <v>#VALUE!</v>
      </c>
      <c r="AB57" t="e">
        <f>AND('GA55 Entry'!AA52,"AAAAAF1/2hs=")</f>
        <v>#VALUE!</v>
      </c>
      <c r="AC57" t="e">
        <f>AND('GA55 Entry'!#REF!,"AAAAAF1/2hw=")</f>
        <v>#REF!</v>
      </c>
      <c r="AD57" t="e">
        <f>AND('GA55 Entry'!#REF!,"AAAAAF1/2h0=")</f>
        <v>#REF!</v>
      </c>
      <c r="AE57" t="e">
        <f>AND('GA55 Entry'!#REF!,"AAAAAF1/2h4=")</f>
        <v>#REF!</v>
      </c>
      <c r="AF57" t="e">
        <f>AND('GA55 Entry'!AB52,"AAAAAF1/2h8=")</f>
        <v>#VALUE!</v>
      </c>
      <c r="AG57" t="e">
        <f>AND('GA55 Entry'!AC52,"AAAAAF1/2iA=")</f>
        <v>#VALUE!</v>
      </c>
      <c r="AH57" t="e">
        <f>AND('GA55 Entry'!#REF!,"AAAAAF1/2iE=")</f>
        <v>#REF!</v>
      </c>
      <c r="AI57">
        <f>IF('GA55 Entry'!53:53,"AAAAAF1/2iI=",0)</f>
        <v>0</v>
      </c>
      <c r="AJ57" t="e">
        <f>AND('GA55 Entry'!B53,"AAAAAF1/2iM=")</f>
        <v>#VALUE!</v>
      </c>
      <c r="AK57" t="e">
        <f>AND('GA55 Entry'!#REF!,"AAAAAF1/2iQ=")</f>
        <v>#REF!</v>
      </c>
      <c r="AL57" t="e">
        <f>AND('GA55 Entry'!C53,"AAAAAF1/2iU=")</f>
        <v>#VALUE!</v>
      </c>
      <c r="AM57" t="e">
        <f>AND('GA55 Entry'!#REF!,"AAAAAF1/2iY=")</f>
        <v>#REF!</v>
      </c>
      <c r="AN57" t="e">
        <f>AND('GA55 Entry'!#REF!,"AAAAAF1/2ic=")</f>
        <v>#REF!</v>
      </c>
      <c r="AO57" t="e">
        <f>AND('GA55 Entry'!#REF!,"AAAAAF1/2ig=")</f>
        <v>#REF!</v>
      </c>
      <c r="AP57" t="e">
        <f>AND('GA55 Entry'!#REF!,"AAAAAF1/2ik=")</f>
        <v>#REF!</v>
      </c>
      <c r="AQ57" t="e">
        <f>AND('GA55 Entry'!#REF!,"AAAAAF1/2io=")</f>
        <v>#REF!</v>
      </c>
      <c r="AR57" t="e">
        <f>AND('GA55 Entry'!D53,"AAAAAF1/2is=")</f>
        <v>#VALUE!</v>
      </c>
      <c r="AS57" t="e">
        <f>AND('GA55 Entry'!#REF!,"AAAAAF1/2iw=")</f>
        <v>#REF!</v>
      </c>
      <c r="AT57" t="e">
        <f>AND('GA55 Entry'!E53,"AAAAAF1/2i0=")</f>
        <v>#VALUE!</v>
      </c>
      <c r="AU57" t="e">
        <f>AND('GA55 Entry'!F53,"AAAAAF1/2i4=")</f>
        <v>#VALUE!</v>
      </c>
      <c r="AV57" t="e">
        <f>AND('GA55 Entry'!G53,"AAAAAF1/2i8=")</f>
        <v>#VALUE!</v>
      </c>
      <c r="AW57" t="e">
        <f>AND('GA55 Entry'!H53,"AAAAAF1/2jA=")</f>
        <v>#VALUE!</v>
      </c>
      <c r="AX57" t="e">
        <f>AND('GA55 Entry'!I53,"AAAAAF1/2jE=")</f>
        <v>#VALUE!</v>
      </c>
      <c r="AY57" t="e">
        <f>AND('GA55 Entry'!J53,"AAAAAF1/2jI=")</f>
        <v>#VALUE!</v>
      </c>
      <c r="AZ57" t="e">
        <f>AND('GA55 Entry'!#REF!,"AAAAAF1/2jM=")</f>
        <v>#REF!</v>
      </c>
      <c r="BA57" t="e">
        <f>AND('GA55 Entry'!K53,"AAAAAF1/2jQ=")</f>
        <v>#VALUE!</v>
      </c>
      <c r="BB57" t="e">
        <f>AND('GA55 Entry'!L53,"AAAAAF1/2jU=")</f>
        <v>#VALUE!</v>
      </c>
      <c r="BC57" t="e">
        <f>AND('GA55 Entry'!M53,"AAAAAF1/2jY=")</f>
        <v>#VALUE!</v>
      </c>
      <c r="BD57" t="e">
        <f>AND('GA55 Entry'!N53,"AAAAAF1/2jc=")</f>
        <v>#VALUE!</v>
      </c>
      <c r="BE57" t="e">
        <f>AND('GA55 Entry'!O53,"AAAAAF1/2jg=")</f>
        <v>#VALUE!</v>
      </c>
      <c r="BF57" t="e">
        <f>AND('GA55 Entry'!P53,"AAAAAF1/2jk=")</f>
        <v>#VALUE!</v>
      </c>
      <c r="BG57" t="e">
        <f>AND('GA55 Entry'!Q53,"AAAAAF1/2jo=")</f>
        <v>#VALUE!</v>
      </c>
      <c r="BH57" t="e">
        <f>AND('GA55 Entry'!S53,"AAAAAF1/2js=")</f>
        <v>#VALUE!</v>
      </c>
      <c r="BI57" t="e">
        <f>AND('GA55 Entry'!#REF!,"AAAAAF1/2jw=")</f>
        <v>#REF!</v>
      </c>
      <c r="BJ57" t="e">
        <f>AND('GA55 Entry'!T53,"AAAAAF1/2j0=")</f>
        <v>#VALUE!</v>
      </c>
      <c r="BK57" t="e">
        <f>AND('GA55 Entry'!U53,"AAAAAF1/2j4=")</f>
        <v>#VALUE!</v>
      </c>
      <c r="BL57" t="e">
        <f>AND('GA55 Entry'!V53,"AAAAAF1/2j8=")</f>
        <v>#VALUE!</v>
      </c>
      <c r="BM57" t="e">
        <f>AND('GA55 Entry'!#REF!,"AAAAAF1/2kA=")</f>
        <v>#REF!</v>
      </c>
      <c r="BN57" t="e">
        <f>AND('GA55 Entry'!#REF!,"AAAAAF1/2kE=")</f>
        <v>#REF!</v>
      </c>
      <c r="BO57" t="e">
        <f>AND('GA55 Entry'!X53,"AAAAAF1/2kI=")</f>
        <v>#VALUE!</v>
      </c>
      <c r="BP57" t="e">
        <f>AND('GA55 Entry'!Y53,"AAAAAF1/2kM=")</f>
        <v>#VALUE!</v>
      </c>
      <c r="BQ57" t="e">
        <f>AND('GA55 Entry'!#REF!,"AAAAAF1/2kQ=")</f>
        <v>#REF!</v>
      </c>
      <c r="BR57" t="e">
        <f>AND('GA55 Entry'!#REF!,"AAAAAF1/2kU=")</f>
        <v>#REF!</v>
      </c>
      <c r="BS57" t="e">
        <f>AND('GA55 Entry'!#REF!,"AAAAAF1/2kY=")</f>
        <v>#REF!</v>
      </c>
      <c r="BT57" t="e">
        <f>AND('GA55 Entry'!#REF!,"AAAAAF1/2kc=")</f>
        <v>#REF!</v>
      </c>
      <c r="BU57" t="e">
        <f>AND('GA55 Entry'!#REF!,"AAAAAF1/2kg=")</f>
        <v>#REF!</v>
      </c>
      <c r="BV57" t="e">
        <f>AND('GA55 Entry'!#REF!,"AAAAAF1/2kk=")</f>
        <v>#REF!</v>
      </c>
      <c r="BW57" t="e">
        <f>AND('GA55 Entry'!#REF!,"AAAAAF1/2ko=")</f>
        <v>#REF!</v>
      </c>
      <c r="BX57" t="e">
        <f>AND('GA55 Entry'!#REF!,"AAAAAF1/2ks=")</f>
        <v>#REF!</v>
      </c>
      <c r="BY57" t="e">
        <f>AND('GA55 Entry'!#REF!,"AAAAAF1/2kw=")</f>
        <v>#REF!</v>
      </c>
      <c r="BZ57" t="e">
        <f>AND('GA55 Entry'!Z53,"AAAAAF1/2k0=")</f>
        <v>#VALUE!</v>
      </c>
      <c r="CA57" t="e">
        <f>AND('GA55 Entry'!AA53,"AAAAAF1/2k4=")</f>
        <v>#VALUE!</v>
      </c>
      <c r="CB57" t="e">
        <f>AND('GA55 Entry'!#REF!,"AAAAAF1/2k8=")</f>
        <v>#REF!</v>
      </c>
      <c r="CC57" t="e">
        <f>AND('GA55 Entry'!#REF!,"AAAAAF1/2lA=")</f>
        <v>#REF!</v>
      </c>
      <c r="CD57" t="e">
        <f>AND('GA55 Entry'!#REF!,"AAAAAF1/2lE=")</f>
        <v>#REF!</v>
      </c>
      <c r="CE57" t="e">
        <f>AND('GA55 Entry'!AB53,"AAAAAF1/2lI=")</f>
        <v>#VALUE!</v>
      </c>
      <c r="CF57" t="e">
        <f>AND('GA55 Entry'!AC53,"AAAAAF1/2lM=")</f>
        <v>#VALUE!</v>
      </c>
      <c r="CG57" t="e">
        <f>AND('GA55 Entry'!#REF!,"AAAAAF1/2lQ=")</f>
        <v>#REF!</v>
      </c>
      <c r="CH57">
        <f>IF('GA55 Entry'!54:54,"AAAAAF1/2lU=",0)</f>
        <v>0</v>
      </c>
      <c r="CI57" t="e">
        <f>AND('GA55 Entry'!B54,"AAAAAF1/2lY=")</f>
        <v>#VALUE!</v>
      </c>
      <c r="CJ57" t="e">
        <f>AND('GA55 Entry'!#REF!,"AAAAAF1/2lc=")</f>
        <v>#REF!</v>
      </c>
      <c r="CK57" t="e">
        <f>AND('GA55 Entry'!C54,"AAAAAF1/2lg=")</f>
        <v>#VALUE!</v>
      </c>
      <c r="CL57" t="e">
        <f>AND('GA55 Entry'!#REF!,"AAAAAF1/2lk=")</f>
        <v>#REF!</v>
      </c>
      <c r="CM57" t="e">
        <f>AND('GA55 Entry'!#REF!,"AAAAAF1/2lo=")</f>
        <v>#REF!</v>
      </c>
      <c r="CN57" t="e">
        <f>AND('GA55 Entry'!#REF!,"AAAAAF1/2ls=")</f>
        <v>#REF!</v>
      </c>
      <c r="CO57" t="e">
        <f>AND('GA55 Entry'!#REF!,"AAAAAF1/2lw=")</f>
        <v>#REF!</v>
      </c>
      <c r="CP57" t="e">
        <f>AND('GA55 Entry'!#REF!,"AAAAAF1/2l0=")</f>
        <v>#REF!</v>
      </c>
      <c r="CQ57" t="e">
        <f>AND('GA55 Entry'!D54,"AAAAAF1/2l4=")</f>
        <v>#VALUE!</v>
      </c>
      <c r="CR57" t="e">
        <f>AND('GA55 Entry'!#REF!,"AAAAAF1/2l8=")</f>
        <v>#REF!</v>
      </c>
      <c r="CS57" t="e">
        <f>AND('GA55 Entry'!E54,"AAAAAF1/2mA=")</f>
        <v>#VALUE!</v>
      </c>
      <c r="CT57" t="e">
        <f>AND('GA55 Entry'!F54,"AAAAAF1/2mE=")</f>
        <v>#VALUE!</v>
      </c>
      <c r="CU57" t="e">
        <f>AND('GA55 Entry'!G54,"AAAAAF1/2mI=")</f>
        <v>#VALUE!</v>
      </c>
      <c r="CV57" t="e">
        <f>AND('GA55 Entry'!H54,"AAAAAF1/2mM=")</f>
        <v>#VALUE!</v>
      </c>
      <c r="CW57" t="e">
        <f>AND('GA55 Entry'!I54,"AAAAAF1/2mQ=")</f>
        <v>#VALUE!</v>
      </c>
      <c r="CX57" t="e">
        <f>AND('GA55 Entry'!J54,"AAAAAF1/2mU=")</f>
        <v>#VALUE!</v>
      </c>
      <c r="CY57" t="e">
        <f>AND('GA55 Entry'!#REF!,"AAAAAF1/2mY=")</f>
        <v>#REF!</v>
      </c>
      <c r="CZ57" t="e">
        <f>AND('GA55 Entry'!K54,"AAAAAF1/2mc=")</f>
        <v>#VALUE!</v>
      </c>
      <c r="DA57" t="e">
        <f>AND('GA55 Entry'!L54,"AAAAAF1/2mg=")</f>
        <v>#VALUE!</v>
      </c>
      <c r="DB57" t="e">
        <f>AND('GA55 Entry'!M54,"AAAAAF1/2mk=")</f>
        <v>#VALUE!</v>
      </c>
      <c r="DC57" t="e">
        <f>AND('GA55 Entry'!N54,"AAAAAF1/2mo=")</f>
        <v>#VALUE!</v>
      </c>
      <c r="DD57" t="e">
        <f>AND('GA55 Entry'!O54,"AAAAAF1/2ms=")</f>
        <v>#VALUE!</v>
      </c>
      <c r="DE57" t="e">
        <f>AND('GA55 Entry'!P54,"AAAAAF1/2mw=")</f>
        <v>#VALUE!</v>
      </c>
      <c r="DF57" t="e">
        <f>AND('GA55 Entry'!Q54,"AAAAAF1/2m0=")</f>
        <v>#VALUE!</v>
      </c>
      <c r="DG57" t="e">
        <f>AND('GA55 Entry'!S54,"AAAAAF1/2m4=")</f>
        <v>#VALUE!</v>
      </c>
      <c r="DH57" t="e">
        <f>AND('GA55 Entry'!#REF!,"AAAAAF1/2m8=")</f>
        <v>#REF!</v>
      </c>
      <c r="DI57" t="e">
        <f>AND('GA55 Entry'!T54,"AAAAAF1/2nA=")</f>
        <v>#VALUE!</v>
      </c>
      <c r="DJ57" t="e">
        <f>AND('GA55 Entry'!U54,"AAAAAF1/2nE=")</f>
        <v>#VALUE!</v>
      </c>
      <c r="DK57" t="e">
        <f>AND('GA55 Entry'!V54,"AAAAAF1/2nI=")</f>
        <v>#VALUE!</v>
      </c>
      <c r="DL57" t="e">
        <f>AND('GA55 Entry'!#REF!,"AAAAAF1/2nM=")</f>
        <v>#REF!</v>
      </c>
      <c r="DM57" t="e">
        <f>AND('GA55 Entry'!#REF!,"AAAAAF1/2nQ=")</f>
        <v>#REF!</v>
      </c>
      <c r="DN57" t="e">
        <f>AND('GA55 Entry'!X54,"AAAAAF1/2nU=")</f>
        <v>#VALUE!</v>
      </c>
      <c r="DO57" t="e">
        <f>AND('GA55 Entry'!Y54,"AAAAAF1/2nY=")</f>
        <v>#VALUE!</v>
      </c>
      <c r="DP57" t="e">
        <f>AND('GA55 Entry'!#REF!,"AAAAAF1/2nc=")</f>
        <v>#REF!</v>
      </c>
      <c r="DQ57" t="e">
        <f>AND('GA55 Entry'!#REF!,"AAAAAF1/2ng=")</f>
        <v>#REF!</v>
      </c>
      <c r="DR57" t="e">
        <f>AND('GA55 Entry'!#REF!,"AAAAAF1/2nk=")</f>
        <v>#REF!</v>
      </c>
      <c r="DS57" t="e">
        <f>AND('GA55 Entry'!#REF!,"AAAAAF1/2no=")</f>
        <v>#REF!</v>
      </c>
      <c r="DT57" t="e">
        <f>AND('GA55 Entry'!#REF!,"AAAAAF1/2ns=")</f>
        <v>#REF!</v>
      </c>
      <c r="DU57" t="e">
        <f>AND('GA55 Entry'!#REF!,"AAAAAF1/2nw=")</f>
        <v>#REF!</v>
      </c>
      <c r="DV57" t="e">
        <f>AND('GA55 Entry'!#REF!,"AAAAAF1/2n0=")</f>
        <v>#REF!</v>
      </c>
      <c r="DW57" t="e">
        <f>AND('GA55 Entry'!#REF!,"AAAAAF1/2n4=")</f>
        <v>#REF!</v>
      </c>
      <c r="DX57" t="e">
        <f>AND('GA55 Entry'!#REF!,"AAAAAF1/2n8=")</f>
        <v>#REF!</v>
      </c>
      <c r="DY57" t="e">
        <f>AND('GA55 Entry'!Z54,"AAAAAF1/2oA=")</f>
        <v>#VALUE!</v>
      </c>
      <c r="DZ57" t="e">
        <f>AND('GA55 Entry'!AA54,"AAAAAF1/2oE=")</f>
        <v>#VALUE!</v>
      </c>
      <c r="EA57" t="e">
        <f>AND('GA55 Entry'!#REF!,"AAAAAF1/2oI=")</f>
        <v>#REF!</v>
      </c>
      <c r="EB57" t="e">
        <f>AND('GA55 Entry'!#REF!,"AAAAAF1/2oM=")</f>
        <v>#REF!</v>
      </c>
      <c r="EC57" t="e">
        <f>AND('GA55 Entry'!#REF!,"AAAAAF1/2oQ=")</f>
        <v>#REF!</v>
      </c>
      <c r="ED57" t="e">
        <f>AND('GA55 Entry'!AB54,"AAAAAF1/2oU=")</f>
        <v>#VALUE!</v>
      </c>
      <c r="EE57" t="e">
        <f>AND('GA55 Entry'!AC54,"AAAAAF1/2oY=")</f>
        <v>#VALUE!</v>
      </c>
      <c r="EF57" t="e">
        <f>AND('GA55 Entry'!#REF!,"AAAAAF1/2oc=")</f>
        <v>#REF!</v>
      </c>
      <c r="EG57">
        <f>IF('GA55 Entry'!55:55,"AAAAAF1/2og=",0)</f>
        <v>0</v>
      </c>
      <c r="EH57" t="e">
        <f>AND('GA55 Entry'!B55,"AAAAAF1/2ok=")</f>
        <v>#VALUE!</v>
      </c>
      <c r="EI57" t="e">
        <f>AND('GA55 Entry'!#REF!,"AAAAAF1/2oo=")</f>
        <v>#REF!</v>
      </c>
      <c r="EJ57" t="e">
        <f>AND('GA55 Entry'!C55,"AAAAAF1/2os=")</f>
        <v>#VALUE!</v>
      </c>
      <c r="EK57" t="e">
        <f>AND('GA55 Entry'!#REF!,"AAAAAF1/2ow=")</f>
        <v>#REF!</v>
      </c>
      <c r="EL57" t="e">
        <f>AND('GA55 Entry'!#REF!,"AAAAAF1/2o0=")</f>
        <v>#REF!</v>
      </c>
      <c r="EM57" t="e">
        <f>AND('GA55 Entry'!#REF!,"AAAAAF1/2o4=")</f>
        <v>#REF!</v>
      </c>
      <c r="EN57" t="e">
        <f>AND('GA55 Entry'!#REF!,"AAAAAF1/2o8=")</f>
        <v>#REF!</v>
      </c>
      <c r="EO57" t="e">
        <f>AND('GA55 Entry'!#REF!,"AAAAAF1/2pA=")</f>
        <v>#REF!</v>
      </c>
      <c r="EP57" t="e">
        <f>AND('GA55 Entry'!D55,"AAAAAF1/2pE=")</f>
        <v>#VALUE!</v>
      </c>
      <c r="EQ57" t="e">
        <f>AND('GA55 Entry'!#REF!,"AAAAAF1/2pI=")</f>
        <v>#REF!</v>
      </c>
      <c r="ER57" t="e">
        <f>AND('GA55 Entry'!E55,"AAAAAF1/2pM=")</f>
        <v>#VALUE!</v>
      </c>
      <c r="ES57" t="e">
        <f>AND('GA55 Entry'!F55,"AAAAAF1/2pQ=")</f>
        <v>#VALUE!</v>
      </c>
      <c r="ET57" t="e">
        <f>AND('GA55 Entry'!G55,"AAAAAF1/2pU=")</f>
        <v>#VALUE!</v>
      </c>
      <c r="EU57" t="e">
        <f>AND('GA55 Entry'!H55,"AAAAAF1/2pY=")</f>
        <v>#VALUE!</v>
      </c>
      <c r="EV57" t="e">
        <f>AND('GA55 Entry'!I55,"AAAAAF1/2pc=")</f>
        <v>#VALUE!</v>
      </c>
      <c r="EW57" t="e">
        <f>AND('GA55 Entry'!J55,"AAAAAF1/2pg=")</f>
        <v>#VALUE!</v>
      </c>
      <c r="EX57" t="e">
        <f>AND('GA55 Entry'!#REF!,"AAAAAF1/2pk=")</f>
        <v>#REF!</v>
      </c>
      <c r="EY57" t="e">
        <f>AND('GA55 Entry'!K55,"AAAAAF1/2po=")</f>
        <v>#VALUE!</v>
      </c>
      <c r="EZ57" t="e">
        <f>AND('GA55 Entry'!L55,"AAAAAF1/2ps=")</f>
        <v>#VALUE!</v>
      </c>
      <c r="FA57" t="e">
        <f>AND('GA55 Entry'!M55,"AAAAAF1/2pw=")</f>
        <v>#VALUE!</v>
      </c>
      <c r="FB57" t="e">
        <f>AND('GA55 Entry'!N55,"AAAAAF1/2p0=")</f>
        <v>#VALUE!</v>
      </c>
      <c r="FC57" t="e">
        <f>AND('GA55 Entry'!O55,"AAAAAF1/2p4=")</f>
        <v>#VALUE!</v>
      </c>
      <c r="FD57" t="e">
        <f>AND('GA55 Entry'!P55,"AAAAAF1/2p8=")</f>
        <v>#VALUE!</v>
      </c>
      <c r="FE57" t="e">
        <f>AND('GA55 Entry'!Q55,"AAAAAF1/2qA=")</f>
        <v>#VALUE!</v>
      </c>
      <c r="FF57" t="e">
        <f>AND('GA55 Entry'!S55,"AAAAAF1/2qE=")</f>
        <v>#VALUE!</v>
      </c>
      <c r="FG57" t="e">
        <f>AND('GA55 Entry'!#REF!,"AAAAAF1/2qI=")</f>
        <v>#REF!</v>
      </c>
      <c r="FH57" t="e">
        <f>AND('GA55 Entry'!T55,"AAAAAF1/2qM=")</f>
        <v>#VALUE!</v>
      </c>
      <c r="FI57" t="e">
        <f>AND('GA55 Entry'!U55,"AAAAAF1/2qQ=")</f>
        <v>#VALUE!</v>
      </c>
      <c r="FJ57" t="e">
        <f>AND('GA55 Entry'!V55,"AAAAAF1/2qU=")</f>
        <v>#VALUE!</v>
      </c>
      <c r="FK57" t="e">
        <f>AND('GA55 Entry'!#REF!,"AAAAAF1/2qY=")</f>
        <v>#REF!</v>
      </c>
      <c r="FL57" t="e">
        <f>AND('GA55 Entry'!#REF!,"AAAAAF1/2qc=")</f>
        <v>#REF!</v>
      </c>
      <c r="FM57" t="e">
        <f>AND('GA55 Entry'!X55,"AAAAAF1/2qg=")</f>
        <v>#VALUE!</v>
      </c>
      <c r="FN57" t="e">
        <f>AND('GA55 Entry'!Y55,"AAAAAF1/2qk=")</f>
        <v>#VALUE!</v>
      </c>
      <c r="FO57" t="e">
        <f>AND('GA55 Entry'!#REF!,"AAAAAF1/2qo=")</f>
        <v>#REF!</v>
      </c>
      <c r="FP57" t="e">
        <f>AND('GA55 Entry'!#REF!,"AAAAAF1/2qs=")</f>
        <v>#REF!</v>
      </c>
      <c r="FQ57" t="e">
        <f>AND('GA55 Entry'!#REF!,"AAAAAF1/2qw=")</f>
        <v>#REF!</v>
      </c>
      <c r="FR57" t="e">
        <f>AND('GA55 Entry'!#REF!,"AAAAAF1/2q0=")</f>
        <v>#REF!</v>
      </c>
      <c r="FS57" t="e">
        <f>AND('GA55 Entry'!#REF!,"AAAAAF1/2q4=")</f>
        <v>#REF!</v>
      </c>
      <c r="FT57" t="e">
        <f>AND('GA55 Entry'!#REF!,"AAAAAF1/2q8=")</f>
        <v>#REF!</v>
      </c>
      <c r="FU57" t="e">
        <f>AND('GA55 Entry'!#REF!,"AAAAAF1/2rA=")</f>
        <v>#REF!</v>
      </c>
      <c r="FV57" t="e">
        <f>AND('GA55 Entry'!#REF!,"AAAAAF1/2rE=")</f>
        <v>#REF!</v>
      </c>
      <c r="FW57" t="e">
        <f>AND('GA55 Entry'!#REF!,"AAAAAF1/2rI=")</f>
        <v>#REF!</v>
      </c>
      <c r="FX57" t="e">
        <f>AND('GA55 Entry'!Z55,"AAAAAF1/2rM=")</f>
        <v>#VALUE!</v>
      </c>
      <c r="FY57" t="e">
        <f>AND('GA55 Entry'!AA55,"AAAAAF1/2rQ=")</f>
        <v>#VALUE!</v>
      </c>
      <c r="FZ57" t="e">
        <f>AND('GA55 Entry'!#REF!,"AAAAAF1/2rU=")</f>
        <v>#REF!</v>
      </c>
      <c r="GA57" t="e">
        <f>AND('GA55 Entry'!#REF!,"AAAAAF1/2rY=")</f>
        <v>#REF!</v>
      </c>
      <c r="GB57" t="e">
        <f>AND('GA55 Entry'!#REF!,"AAAAAF1/2rc=")</f>
        <v>#REF!</v>
      </c>
      <c r="GC57" t="e">
        <f>AND('GA55 Entry'!AB55,"AAAAAF1/2rg=")</f>
        <v>#VALUE!</v>
      </c>
      <c r="GD57" t="e">
        <f>AND('GA55 Entry'!AC55,"AAAAAF1/2rk=")</f>
        <v>#VALUE!</v>
      </c>
      <c r="GE57" t="e">
        <f>AND('GA55 Entry'!#REF!,"AAAAAF1/2ro=")</f>
        <v>#REF!</v>
      </c>
      <c r="GF57">
        <f>IF('GA55 Entry'!56:56,"AAAAAF1/2rs=",0)</f>
        <v>0</v>
      </c>
      <c r="GG57" t="e">
        <f>AND('GA55 Entry'!B56,"AAAAAF1/2rw=")</f>
        <v>#VALUE!</v>
      </c>
      <c r="GH57" t="e">
        <f>AND('GA55 Entry'!#REF!,"AAAAAF1/2r0=")</f>
        <v>#REF!</v>
      </c>
      <c r="GI57" t="e">
        <f>AND('GA55 Entry'!C56,"AAAAAF1/2r4=")</f>
        <v>#VALUE!</v>
      </c>
      <c r="GJ57" t="e">
        <f>AND('GA55 Entry'!#REF!,"AAAAAF1/2r8=")</f>
        <v>#REF!</v>
      </c>
      <c r="GK57" t="e">
        <f>AND('GA55 Entry'!#REF!,"AAAAAF1/2sA=")</f>
        <v>#REF!</v>
      </c>
      <c r="GL57" t="e">
        <f>AND('GA55 Entry'!#REF!,"AAAAAF1/2sE=")</f>
        <v>#REF!</v>
      </c>
      <c r="GM57" t="e">
        <f>AND('GA55 Entry'!#REF!,"AAAAAF1/2sI=")</f>
        <v>#REF!</v>
      </c>
      <c r="GN57" t="e">
        <f>AND('GA55 Entry'!#REF!,"AAAAAF1/2sM=")</f>
        <v>#REF!</v>
      </c>
      <c r="GO57" t="e">
        <f>AND('GA55 Entry'!D56,"AAAAAF1/2sQ=")</f>
        <v>#VALUE!</v>
      </c>
      <c r="GP57" t="e">
        <f>AND('GA55 Entry'!#REF!,"AAAAAF1/2sU=")</f>
        <v>#REF!</v>
      </c>
      <c r="GQ57" t="e">
        <f>AND('GA55 Entry'!E56,"AAAAAF1/2sY=")</f>
        <v>#VALUE!</v>
      </c>
      <c r="GR57" t="e">
        <f>AND('GA55 Entry'!F56,"AAAAAF1/2sc=")</f>
        <v>#VALUE!</v>
      </c>
      <c r="GS57" t="e">
        <f>AND('GA55 Entry'!G56,"AAAAAF1/2sg=")</f>
        <v>#VALUE!</v>
      </c>
      <c r="GT57" t="e">
        <f>AND('GA55 Entry'!H56,"AAAAAF1/2sk=")</f>
        <v>#VALUE!</v>
      </c>
      <c r="GU57" t="e">
        <f>AND('GA55 Entry'!I56,"AAAAAF1/2so=")</f>
        <v>#VALUE!</v>
      </c>
      <c r="GV57" t="e">
        <f>AND('GA55 Entry'!J56,"AAAAAF1/2ss=")</f>
        <v>#VALUE!</v>
      </c>
      <c r="GW57" t="e">
        <f>AND('GA55 Entry'!#REF!,"AAAAAF1/2sw=")</f>
        <v>#REF!</v>
      </c>
      <c r="GX57" t="e">
        <f>AND('GA55 Entry'!K56,"AAAAAF1/2s0=")</f>
        <v>#VALUE!</v>
      </c>
      <c r="GY57" t="e">
        <f>AND('GA55 Entry'!L56,"AAAAAF1/2s4=")</f>
        <v>#VALUE!</v>
      </c>
      <c r="GZ57" t="e">
        <f>AND('GA55 Entry'!M56,"AAAAAF1/2s8=")</f>
        <v>#VALUE!</v>
      </c>
      <c r="HA57" t="e">
        <f>AND('GA55 Entry'!N56,"AAAAAF1/2tA=")</f>
        <v>#VALUE!</v>
      </c>
      <c r="HB57" t="e">
        <f>AND('GA55 Entry'!O56,"AAAAAF1/2tE=")</f>
        <v>#VALUE!</v>
      </c>
      <c r="HC57" t="e">
        <f>AND('GA55 Entry'!P56,"AAAAAF1/2tI=")</f>
        <v>#VALUE!</v>
      </c>
      <c r="HD57" t="e">
        <f>AND('GA55 Entry'!Q56,"AAAAAF1/2tM=")</f>
        <v>#VALUE!</v>
      </c>
      <c r="HE57" t="e">
        <f>AND('GA55 Entry'!S56,"AAAAAF1/2tQ=")</f>
        <v>#VALUE!</v>
      </c>
      <c r="HF57" t="e">
        <f>AND('GA55 Entry'!#REF!,"AAAAAF1/2tU=")</f>
        <v>#REF!</v>
      </c>
      <c r="HG57" t="e">
        <f>AND('GA55 Entry'!T56,"AAAAAF1/2tY=")</f>
        <v>#VALUE!</v>
      </c>
      <c r="HH57" t="e">
        <f>AND('GA55 Entry'!U56,"AAAAAF1/2tc=")</f>
        <v>#VALUE!</v>
      </c>
      <c r="HI57" t="e">
        <f>AND('GA55 Entry'!V56,"AAAAAF1/2tg=")</f>
        <v>#VALUE!</v>
      </c>
      <c r="HJ57" t="e">
        <f>AND('GA55 Entry'!#REF!,"AAAAAF1/2tk=")</f>
        <v>#REF!</v>
      </c>
      <c r="HK57" t="e">
        <f>AND('GA55 Entry'!#REF!,"AAAAAF1/2to=")</f>
        <v>#REF!</v>
      </c>
      <c r="HL57" t="e">
        <f>AND('GA55 Entry'!X56,"AAAAAF1/2ts=")</f>
        <v>#VALUE!</v>
      </c>
      <c r="HM57" t="e">
        <f>AND('GA55 Entry'!Y56,"AAAAAF1/2tw=")</f>
        <v>#VALUE!</v>
      </c>
      <c r="HN57" t="e">
        <f>AND('GA55 Entry'!#REF!,"AAAAAF1/2t0=")</f>
        <v>#REF!</v>
      </c>
      <c r="HO57" t="e">
        <f>AND('GA55 Entry'!#REF!,"AAAAAF1/2t4=")</f>
        <v>#REF!</v>
      </c>
      <c r="HP57" t="e">
        <f>AND('GA55 Entry'!#REF!,"AAAAAF1/2t8=")</f>
        <v>#REF!</v>
      </c>
      <c r="HQ57" t="e">
        <f>AND('GA55 Entry'!#REF!,"AAAAAF1/2uA=")</f>
        <v>#REF!</v>
      </c>
      <c r="HR57" t="e">
        <f>AND('GA55 Entry'!#REF!,"AAAAAF1/2uE=")</f>
        <v>#REF!</v>
      </c>
      <c r="HS57" t="e">
        <f>AND('GA55 Entry'!#REF!,"AAAAAF1/2uI=")</f>
        <v>#REF!</v>
      </c>
      <c r="HT57" t="e">
        <f>AND('GA55 Entry'!#REF!,"AAAAAF1/2uM=")</f>
        <v>#REF!</v>
      </c>
      <c r="HU57" t="e">
        <f>AND('GA55 Entry'!#REF!,"AAAAAF1/2uQ=")</f>
        <v>#REF!</v>
      </c>
      <c r="HV57" t="e">
        <f>AND('GA55 Entry'!#REF!,"AAAAAF1/2uU=")</f>
        <v>#REF!</v>
      </c>
      <c r="HW57" t="e">
        <f>AND('GA55 Entry'!Z56,"AAAAAF1/2uY=")</f>
        <v>#VALUE!</v>
      </c>
      <c r="HX57" t="e">
        <f>AND('GA55 Entry'!AA56,"AAAAAF1/2uc=")</f>
        <v>#VALUE!</v>
      </c>
      <c r="HY57" t="e">
        <f>AND('GA55 Entry'!#REF!,"AAAAAF1/2ug=")</f>
        <v>#REF!</v>
      </c>
      <c r="HZ57" t="e">
        <f>AND('GA55 Entry'!#REF!,"AAAAAF1/2uk=")</f>
        <v>#REF!</v>
      </c>
      <c r="IA57" t="e">
        <f>AND('GA55 Entry'!#REF!,"AAAAAF1/2uo=")</f>
        <v>#REF!</v>
      </c>
      <c r="IB57" t="e">
        <f>AND('GA55 Entry'!AB56,"AAAAAF1/2us=")</f>
        <v>#VALUE!</v>
      </c>
      <c r="IC57" t="e">
        <f>AND('GA55 Entry'!AC56,"AAAAAF1/2uw=")</f>
        <v>#VALUE!</v>
      </c>
      <c r="ID57" t="e">
        <f>AND('GA55 Entry'!#REF!,"AAAAAF1/2u0=")</f>
        <v>#REF!</v>
      </c>
      <c r="IE57">
        <f>IF('GA55 Entry'!57:57,"AAAAAF1/2u4=",0)</f>
        <v>0</v>
      </c>
      <c r="IF57" t="e">
        <f>AND('GA55 Entry'!B57,"AAAAAF1/2u8=")</f>
        <v>#VALUE!</v>
      </c>
      <c r="IG57" t="e">
        <f>AND('GA55 Entry'!#REF!,"AAAAAF1/2vA=")</f>
        <v>#REF!</v>
      </c>
      <c r="IH57" t="e">
        <f>AND('GA55 Entry'!C57,"AAAAAF1/2vE=")</f>
        <v>#VALUE!</v>
      </c>
      <c r="II57" t="e">
        <f>AND('GA55 Entry'!#REF!,"AAAAAF1/2vI=")</f>
        <v>#REF!</v>
      </c>
      <c r="IJ57" t="e">
        <f>AND('GA55 Entry'!#REF!,"AAAAAF1/2vM=")</f>
        <v>#REF!</v>
      </c>
      <c r="IK57" t="e">
        <f>AND('GA55 Entry'!#REF!,"AAAAAF1/2vQ=")</f>
        <v>#REF!</v>
      </c>
      <c r="IL57" t="e">
        <f>AND('GA55 Entry'!#REF!,"AAAAAF1/2vU=")</f>
        <v>#REF!</v>
      </c>
      <c r="IM57" t="e">
        <f>AND('GA55 Entry'!#REF!,"AAAAAF1/2vY=")</f>
        <v>#REF!</v>
      </c>
      <c r="IN57" t="e">
        <f>AND('GA55 Entry'!D57,"AAAAAF1/2vc=")</f>
        <v>#VALUE!</v>
      </c>
      <c r="IO57" t="e">
        <f>AND('GA55 Entry'!#REF!,"AAAAAF1/2vg=")</f>
        <v>#REF!</v>
      </c>
      <c r="IP57" t="e">
        <f>AND('GA55 Entry'!E57,"AAAAAF1/2vk=")</f>
        <v>#VALUE!</v>
      </c>
      <c r="IQ57" t="e">
        <f>AND('GA55 Entry'!F57,"AAAAAF1/2vo=")</f>
        <v>#VALUE!</v>
      </c>
      <c r="IR57" t="e">
        <f>AND('GA55 Entry'!G57,"AAAAAF1/2vs=")</f>
        <v>#VALUE!</v>
      </c>
      <c r="IS57" t="e">
        <f>AND('GA55 Entry'!H57,"AAAAAF1/2vw=")</f>
        <v>#VALUE!</v>
      </c>
      <c r="IT57" t="e">
        <f>AND('GA55 Entry'!I57,"AAAAAF1/2v0=")</f>
        <v>#VALUE!</v>
      </c>
      <c r="IU57" t="e">
        <f>AND('GA55 Entry'!J57,"AAAAAF1/2v4=")</f>
        <v>#VALUE!</v>
      </c>
      <c r="IV57" t="e">
        <f>AND('GA55 Entry'!#REF!,"AAAAAF1/2v8=")</f>
        <v>#REF!</v>
      </c>
    </row>
    <row r="58" spans="1:256">
      <c r="A58" t="e">
        <f>AND('GA55 Entry'!K57,"AAAAAB3n4QA=")</f>
        <v>#VALUE!</v>
      </c>
      <c r="B58" t="e">
        <f>AND('GA55 Entry'!L57,"AAAAAB3n4QE=")</f>
        <v>#VALUE!</v>
      </c>
      <c r="C58" t="e">
        <f>AND('GA55 Entry'!M57,"AAAAAB3n4QI=")</f>
        <v>#VALUE!</v>
      </c>
      <c r="D58" t="e">
        <f>AND('GA55 Entry'!N57,"AAAAAB3n4QM=")</f>
        <v>#VALUE!</v>
      </c>
      <c r="E58" t="e">
        <f>AND('GA55 Entry'!O57,"AAAAAB3n4QQ=")</f>
        <v>#VALUE!</v>
      </c>
      <c r="F58" t="e">
        <f>AND('GA55 Entry'!P57,"AAAAAB3n4QU=")</f>
        <v>#VALUE!</v>
      </c>
      <c r="G58" t="e">
        <f>AND('GA55 Entry'!Q57,"AAAAAB3n4QY=")</f>
        <v>#VALUE!</v>
      </c>
      <c r="H58" t="e">
        <f>AND('GA55 Entry'!S57,"AAAAAB3n4Qc=")</f>
        <v>#VALUE!</v>
      </c>
      <c r="I58" t="e">
        <f>AND('GA55 Entry'!#REF!,"AAAAAB3n4Qg=")</f>
        <v>#REF!</v>
      </c>
      <c r="J58" t="e">
        <f>AND('GA55 Entry'!T57,"AAAAAB3n4Qk=")</f>
        <v>#VALUE!</v>
      </c>
      <c r="K58" t="e">
        <f>AND('GA55 Entry'!U57,"AAAAAB3n4Qo=")</f>
        <v>#VALUE!</v>
      </c>
      <c r="L58" t="e">
        <f>AND('GA55 Entry'!V57,"AAAAAB3n4Qs=")</f>
        <v>#VALUE!</v>
      </c>
      <c r="M58" t="e">
        <f>AND('GA55 Entry'!#REF!,"AAAAAB3n4Qw=")</f>
        <v>#REF!</v>
      </c>
      <c r="N58" t="e">
        <f>AND('GA55 Entry'!#REF!,"AAAAAB3n4Q0=")</f>
        <v>#REF!</v>
      </c>
      <c r="O58" t="e">
        <f>AND('GA55 Entry'!X57,"AAAAAB3n4Q4=")</f>
        <v>#VALUE!</v>
      </c>
      <c r="P58" t="e">
        <f>AND('GA55 Entry'!Y57,"AAAAAB3n4Q8=")</f>
        <v>#VALUE!</v>
      </c>
      <c r="Q58" t="e">
        <f>AND('GA55 Entry'!#REF!,"AAAAAB3n4RA=")</f>
        <v>#REF!</v>
      </c>
      <c r="R58" t="e">
        <f>AND('GA55 Entry'!#REF!,"AAAAAB3n4RE=")</f>
        <v>#REF!</v>
      </c>
      <c r="S58" t="e">
        <f>AND('GA55 Entry'!#REF!,"AAAAAB3n4RI=")</f>
        <v>#REF!</v>
      </c>
      <c r="T58" t="e">
        <f>AND('GA55 Entry'!#REF!,"AAAAAB3n4RM=")</f>
        <v>#REF!</v>
      </c>
      <c r="U58" t="e">
        <f>AND('GA55 Entry'!#REF!,"AAAAAB3n4RQ=")</f>
        <v>#REF!</v>
      </c>
      <c r="V58" t="e">
        <f>AND('GA55 Entry'!#REF!,"AAAAAB3n4RU=")</f>
        <v>#REF!</v>
      </c>
      <c r="W58" t="e">
        <f>AND('GA55 Entry'!#REF!,"AAAAAB3n4RY=")</f>
        <v>#REF!</v>
      </c>
      <c r="X58" t="e">
        <f>AND('GA55 Entry'!#REF!,"AAAAAB3n4Rc=")</f>
        <v>#REF!</v>
      </c>
      <c r="Y58" t="e">
        <f>AND('GA55 Entry'!#REF!,"AAAAAB3n4Rg=")</f>
        <v>#REF!</v>
      </c>
      <c r="Z58" t="e">
        <f>AND('GA55 Entry'!Z57,"AAAAAB3n4Rk=")</f>
        <v>#VALUE!</v>
      </c>
      <c r="AA58" t="e">
        <f>AND('GA55 Entry'!AA57,"AAAAAB3n4Ro=")</f>
        <v>#VALUE!</v>
      </c>
      <c r="AB58" t="e">
        <f>AND('GA55 Entry'!#REF!,"AAAAAB3n4Rs=")</f>
        <v>#REF!</v>
      </c>
      <c r="AC58" t="e">
        <f>AND('GA55 Entry'!#REF!,"AAAAAB3n4Rw=")</f>
        <v>#REF!</v>
      </c>
      <c r="AD58" t="e">
        <f>AND('GA55 Entry'!#REF!,"AAAAAB3n4R0=")</f>
        <v>#REF!</v>
      </c>
      <c r="AE58" t="e">
        <f>AND('GA55 Entry'!AB57,"AAAAAB3n4R4=")</f>
        <v>#VALUE!</v>
      </c>
      <c r="AF58" t="e">
        <f>AND('GA55 Entry'!AC57,"AAAAAB3n4R8=")</f>
        <v>#VALUE!</v>
      </c>
      <c r="AG58" t="e">
        <f>AND('GA55 Entry'!#REF!,"AAAAAB3n4SA=")</f>
        <v>#REF!</v>
      </c>
      <c r="AH58">
        <f>IF('GA55 Entry'!58:58,"AAAAAB3n4SE=",0)</f>
        <v>0</v>
      </c>
      <c r="AI58" t="e">
        <f>AND('GA55 Entry'!B58,"AAAAAB3n4SI=")</f>
        <v>#VALUE!</v>
      </c>
      <c r="AJ58" t="e">
        <f>AND('GA55 Entry'!#REF!,"AAAAAB3n4SM=")</f>
        <v>#REF!</v>
      </c>
      <c r="AK58" t="e">
        <f>AND('GA55 Entry'!C58,"AAAAAB3n4SQ=")</f>
        <v>#VALUE!</v>
      </c>
      <c r="AL58" t="e">
        <f>AND('GA55 Entry'!#REF!,"AAAAAB3n4SU=")</f>
        <v>#REF!</v>
      </c>
      <c r="AM58" t="e">
        <f>AND('GA55 Entry'!#REF!,"AAAAAB3n4SY=")</f>
        <v>#REF!</v>
      </c>
      <c r="AN58" t="e">
        <f>AND('GA55 Entry'!#REF!,"AAAAAB3n4Sc=")</f>
        <v>#REF!</v>
      </c>
      <c r="AO58" t="e">
        <f>AND('GA55 Entry'!#REF!,"AAAAAB3n4Sg=")</f>
        <v>#REF!</v>
      </c>
      <c r="AP58" t="e">
        <f>AND('GA55 Entry'!#REF!,"AAAAAB3n4Sk=")</f>
        <v>#REF!</v>
      </c>
      <c r="AQ58" t="e">
        <f>AND('GA55 Entry'!D58,"AAAAAB3n4So=")</f>
        <v>#VALUE!</v>
      </c>
      <c r="AR58" t="e">
        <f>AND('GA55 Entry'!#REF!,"AAAAAB3n4Ss=")</f>
        <v>#REF!</v>
      </c>
      <c r="AS58" t="e">
        <f>AND('GA55 Entry'!E58,"AAAAAB3n4Sw=")</f>
        <v>#VALUE!</v>
      </c>
      <c r="AT58" t="e">
        <f>AND('GA55 Entry'!F58,"AAAAAB3n4S0=")</f>
        <v>#VALUE!</v>
      </c>
      <c r="AU58" t="e">
        <f>AND('GA55 Entry'!G58,"AAAAAB3n4S4=")</f>
        <v>#VALUE!</v>
      </c>
      <c r="AV58" t="e">
        <f>AND('GA55 Entry'!H58,"AAAAAB3n4S8=")</f>
        <v>#VALUE!</v>
      </c>
      <c r="AW58" t="e">
        <f>AND('GA55 Entry'!I58,"AAAAAB3n4TA=")</f>
        <v>#VALUE!</v>
      </c>
      <c r="AX58" t="e">
        <f>AND('GA55 Entry'!J58,"AAAAAB3n4TE=")</f>
        <v>#VALUE!</v>
      </c>
      <c r="AY58" t="e">
        <f>AND('GA55 Entry'!#REF!,"AAAAAB3n4TI=")</f>
        <v>#REF!</v>
      </c>
      <c r="AZ58" t="e">
        <f>AND('GA55 Entry'!K58,"AAAAAB3n4TM=")</f>
        <v>#VALUE!</v>
      </c>
      <c r="BA58" t="e">
        <f>AND('GA55 Entry'!L58,"AAAAAB3n4TQ=")</f>
        <v>#VALUE!</v>
      </c>
      <c r="BB58" t="e">
        <f>AND('GA55 Entry'!M58,"AAAAAB3n4TU=")</f>
        <v>#VALUE!</v>
      </c>
      <c r="BC58" t="e">
        <f>AND('GA55 Entry'!N58,"AAAAAB3n4TY=")</f>
        <v>#VALUE!</v>
      </c>
      <c r="BD58" t="e">
        <f>AND('GA55 Entry'!O58,"AAAAAB3n4Tc=")</f>
        <v>#VALUE!</v>
      </c>
      <c r="BE58" t="e">
        <f>AND('GA55 Entry'!P58,"AAAAAB3n4Tg=")</f>
        <v>#VALUE!</v>
      </c>
      <c r="BF58" t="e">
        <f>AND('GA55 Entry'!Q58,"AAAAAB3n4Tk=")</f>
        <v>#VALUE!</v>
      </c>
      <c r="BG58" t="e">
        <f>AND('GA55 Entry'!S58,"AAAAAB3n4To=")</f>
        <v>#VALUE!</v>
      </c>
      <c r="BH58" t="e">
        <f>AND('GA55 Entry'!#REF!,"AAAAAB3n4Ts=")</f>
        <v>#REF!</v>
      </c>
      <c r="BI58" t="e">
        <f>AND('GA55 Entry'!T58,"AAAAAB3n4Tw=")</f>
        <v>#VALUE!</v>
      </c>
      <c r="BJ58" t="e">
        <f>AND('GA55 Entry'!U58,"AAAAAB3n4T0=")</f>
        <v>#VALUE!</v>
      </c>
      <c r="BK58" t="e">
        <f>AND('GA55 Entry'!V58,"AAAAAB3n4T4=")</f>
        <v>#VALUE!</v>
      </c>
      <c r="BL58" t="e">
        <f>AND('GA55 Entry'!#REF!,"AAAAAB3n4T8=")</f>
        <v>#REF!</v>
      </c>
      <c r="BM58" t="e">
        <f>AND('GA55 Entry'!#REF!,"AAAAAB3n4UA=")</f>
        <v>#REF!</v>
      </c>
      <c r="BN58" t="e">
        <f>AND('GA55 Entry'!X58,"AAAAAB3n4UE=")</f>
        <v>#VALUE!</v>
      </c>
      <c r="BO58" t="e">
        <f>AND('GA55 Entry'!Y58,"AAAAAB3n4UI=")</f>
        <v>#VALUE!</v>
      </c>
      <c r="BP58" t="e">
        <f>AND('GA55 Entry'!#REF!,"AAAAAB3n4UM=")</f>
        <v>#REF!</v>
      </c>
      <c r="BQ58" t="e">
        <f>AND('GA55 Entry'!#REF!,"AAAAAB3n4UQ=")</f>
        <v>#REF!</v>
      </c>
      <c r="BR58" t="e">
        <f>AND('GA55 Entry'!#REF!,"AAAAAB3n4UU=")</f>
        <v>#REF!</v>
      </c>
      <c r="BS58" t="e">
        <f>AND('GA55 Entry'!#REF!,"AAAAAB3n4UY=")</f>
        <v>#REF!</v>
      </c>
      <c r="BT58" t="e">
        <f>AND('GA55 Entry'!#REF!,"AAAAAB3n4Uc=")</f>
        <v>#REF!</v>
      </c>
      <c r="BU58" t="e">
        <f>AND('GA55 Entry'!#REF!,"AAAAAB3n4Ug=")</f>
        <v>#REF!</v>
      </c>
      <c r="BV58" t="e">
        <f>AND('GA55 Entry'!#REF!,"AAAAAB3n4Uk=")</f>
        <v>#REF!</v>
      </c>
      <c r="BW58" t="e">
        <f>AND('GA55 Entry'!#REF!,"AAAAAB3n4Uo=")</f>
        <v>#REF!</v>
      </c>
      <c r="BX58" t="e">
        <f>AND('GA55 Entry'!#REF!,"AAAAAB3n4Us=")</f>
        <v>#REF!</v>
      </c>
      <c r="BY58" t="e">
        <f>AND('GA55 Entry'!Z58,"AAAAAB3n4Uw=")</f>
        <v>#VALUE!</v>
      </c>
      <c r="BZ58" t="e">
        <f>AND('GA55 Entry'!AA58,"AAAAAB3n4U0=")</f>
        <v>#VALUE!</v>
      </c>
      <c r="CA58" t="e">
        <f>AND('GA55 Entry'!#REF!,"AAAAAB3n4U4=")</f>
        <v>#REF!</v>
      </c>
      <c r="CB58" t="e">
        <f>AND('GA55 Entry'!#REF!,"AAAAAB3n4U8=")</f>
        <v>#REF!</v>
      </c>
      <c r="CC58" t="e">
        <f>AND('GA55 Entry'!#REF!,"AAAAAB3n4VA=")</f>
        <v>#REF!</v>
      </c>
      <c r="CD58" t="e">
        <f>AND('GA55 Entry'!AB58,"AAAAAB3n4VE=")</f>
        <v>#VALUE!</v>
      </c>
      <c r="CE58" t="e">
        <f>AND('GA55 Entry'!AC58,"AAAAAB3n4VI=")</f>
        <v>#VALUE!</v>
      </c>
      <c r="CF58" t="e">
        <f>AND('GA55 Entry'!#REF!,"AAAAAB3n4VM=")</f>
        <v>#REF!</v>
      </c>
      <c r="CG58">
        <f>IF('GA55 Entry'!59:59,"AAAAAB3n4VQ=",0)</f>
        <v>0</v>
      </c>
      <c r="CH58" t="e">
        <f>AND('GA55 Entry'!B59,"AAAAAB3n4VU=")</f>
        <v>#VALUE!</v>
      </c>
      <c r="CI58" t="e">
        <f>AND('GA55 Entry'!#REF!,"AAAAAB3n4VY=")</f>
        <v>#REF!</v>
      </c>
      <c r="CJ58" t="e">
        <f>AND('GA55 Entry'!C59,"AAAAAB3n4Vc=")</f>
        <v>#VALUE!</v>
      </c>
      <c r="CK58" t="e">
        <f>AND('GA55 Entry'!#REF!,"AAAAAB3n4Vg=")</f>
        <v>#REF!</v>
      </c>
      <c r="CL58" t="e">
        <f>AND('GA55 Entry'!#REF!,"AAAAAB3n4Vk=")</f>
        <v>#REF!</v>
      </c>
      <c r="CM58" t="e">
        <f>AND('GA55 Entry'!#REF!,"AAAAAB3n4Vo=")</f>
        <v>#REF!</v>
      </c>
      <c r="CN58" t="e">
        <f>AND('GA55 Entry'!#REF!,"AAAAAB3n4Vs=")</f>
        <v>#REF!</v>
      </c>
      <c r="CO58" t="e">
        <f>AND('GA55 Entry'!#REF!,"AAAAAB3n4Vw=")</f>
        <v>#REF!</v>
      </c>
      <c r="CP58" t="e">
        <f>AND('GA55 Entry'!D59,"AAAAAB3n4V0=")</f>
        <v>#VALUE!</v>
      </c>
      <c r="CQ58" t="e">
        <f>AND('GA55 Entry'!#REF!,"AAAAAB3n4V4=")</f>
        <v>#REF!</v>
      </c>
      <c r="CR58" t="e">
        <f>AND('GA55 Entry'!E59,"AAAAAB3n4V8=")</f>
        <v>#VALUE!</v>
      </c>
      <c r="CS58" t="e">
        <f>AND('GA55 Entry'!F59,"AAAAAB3n4WA=")</f>
        <v>#VALUE!</v>
      </c>
      <c r="CT58" t="e">
        <f>AND('GA55 Entry'!G59,"AAAAAB3n4WE=")</f>
        <v>#VALUE!</v>
      </c>
      <c r="CU58" t="e">
        <f>AND('GA55 Entry'!H59,"AAAAAB3n4WI=")</f>
        <v>#VALUE!</v>
      </c>
      <c r="CV58" t="e">
        <f>AND('GA55 Entry'!I59,"AAAAAB3n4WM=")</f>
        <v>#VALUE!</v>
      </c>
      <c r="CW58" t="e">
        <f>AND('GA55 Entry'!J59,"AAAAAB3n4WQ=")</f>
        <v>#VALUE!</v>
      </c>
      <c r="CX58" t="e">
        <f>AND('GA55 Entry'!#REF!,"AAAAAB3n4WU=")</f>
        <v>#REF!</v>
      </c>
      <c r="CY58" t="e">
        <f>AND('GA55 Entry'!K59,"AAAAAB3n4WY=")</f>
        <v>#VALUE!</v>
      </c>
      <c r="CZ58" t="e">
        <f>AND('GA55 Entry'!L59,"AAAAAB3n4Wc=")</f>
        <v>#VALUE!</v>
      </c>
      <c r="DA58" t="e">
        <f>AND('GA55 Entry'!M59,"AAAAAB3n4Wg=")</f>
        <v>#VALUE!</v>
      </c>
      <c r="DB58" t="e">
        <f>AND('GA55 Entry'!N59,"AAAAAB3n4Wk=")</f>
        <v>#VALUE!</v>
      </c>
      <c r="DC58" t="e">
        <f>AND('GA55 Entry'!O59,"AAAAAB3n4Wo=")</f>
        <v>#VALUE!</v>
      </c>
      <c r="DD58" t="e">
        <f>AND('GA55 Entry'!P59,"AAAAAB3n4Ws=")</f>
        <v>#VALUE!</v>
      </c>
      <c r="DE58" t="e">
        <f>AND('GA55 Entry'!Q59,"AAAAAB3n4Ww=")</f>
        <v>#VALUE!</v>
      </c>
      <c r="DF58" t="e">
        <f>AND('GA55 Entry'!S59,"AAAAAB3n4W0=")</f>
        <v>#VALUE!</v>
      </c>
      <c r="DG58" t="e">
        <f>AND('GA55 Entry'!#REF!,"AAAAAB3n4W4=")</f>
        <v>#REF!</v>
      </c>
      <c r="DH58" t="e">
        <f>AND('GA55 Entry'!T59,"AAAAAB3n4W8=")</f>
        <v>#VALUE!</v>
      </c>
      <c r="DI58" t="e">
        <f>AND('GA55 Entry'!U59,"AAAAAB3n4XA=")</f>
        <v>#VALUE!</v>
      </c>
      <c r="DJ58" t="e">
        <f>AND('GA55 Entry'!V59,"AAAAAB3n4XE=")</f>
        <v>#VALUE!</v>
      </c>
      <c r="DK58" t="e">
        <f>AND('GA55 Entry'!#REF!,"AAAAAB3n4XI=")</f>
        <v>#REF!</v>
      </c>
      <c r="DL58" t="e">
        <f>AND('GA55 Entry'!#REF!,"AAAAAB3n4XM=")</f>
        <v>#REF!</v>
      </c>
      <c r="DM58" t="e">
        <f>AND('GA55 Entry'!X59,"AAAAAB3n4XQ=")</f>
        <v>#VALUE!</v>
      </c>
      <c r="DN58" t="e">
        <f>AND('GA55 Entry'!Y59,"AAAAAB3n4XU=")</f>
        <v>#VALUE!</v>
      </c>
      <c r="DO58" t="e">
        <f>AND('GA55 Entry'!#REF!,"AAAAAB3n4XY=")</f>
        <v>#REF!</v>
      </c>
      <c r="DP58" t="e">
        <f>AND('GA55 Entry'!#REF!,"AAAAAB3n4Xc=")</f>
        <v>#REF!</v>
      </c>
      <c r="DQ58" t="e">
        <f>AND('GA55 Entry'!#REF!,"AAAAAB3n4Xg=")</f>
        <v>#REF!</v>
      </c>
      <c r="DR58" t="e">
        <f>AND('GA55 Entry'!#REF!,"AAAAAB3n4Xk=")</f>
        <v>#REF!</v>
      </c>
      <c r="DS58" t="e">
        <f>AND('GA55 Entry'!#REF!,"AAAAAB3n4Xo=")</f>
        <v>#REF!</v>
      </c>
      <c r="DT58" t="e">
        <f>AND('GA55 Entry'!#REF!,"AAAAAB3n4Xs=")</f>
        <v>#REF!</v>
      </c>
      <c r="DU58" t="e">
        <f>AND('GA55 Entry'!#REF!,"AAAAAB3n4Xw=")</f>
        <v>#REF!</v>
      </c>
      <c r="DV58" t="e">
        <f>AND('GA55 Entry'!#REF!,"AAAAAB3n4X0=")</f>
        <v>#REF!</v>
      </c>
      <c r="DW58" t="e">
        <f>AND('GA55 Entry'!#REF!,"AAAAAB3n4X4=")</f>
        <v>#REF!</v>
      </c>
      <c r="DX58" t="e">
        <f>AND('GA55 Entry'!Z59,"AAAAAB3n4X8=")</f>
        <v>#VALUE!</v>
      </c>
      <c r="DY58" t="e">
        <f>AND('GA55 Entry'!AA59,"AAAAAB3n4YA=")</f>
        <v>#VALUE!</v>
      </c>
      <c r="DZ58" t="e">
        <f>AND('GA55 Entry'!#REF!,"AAAAAB3n4YE=")</f>
        <v>#REF!</v>
      </c>
      <c r="EA58" t="e">
        <f>AND('GA55 Entry'!#REF!,"AAAAAB3n4YI=")</f>
        <v>#REF!</v>
      </c>
      <c r="EB58" t="e">
        <f>AND('GA55 Entry'!#REF!,"AAAAAB3n4YM=")</f>
        <v>#REF!</v>
      </c>
      <c r="EC58" t="e">
        <f>AND('GA55 Entry'!AB59,"AAAAAB3n4YQ=")</f>
        <v>#VALUE!</v>
      </c>
      <c r="ED58" t="e">
        <f>AND('GA55 Entry'!AC59,"AAAAAB3n4YU=")</f>
        <v>#VALUE!</v>
      </c>
      <c r="EE58" t="e">
        <f>AND('GA55 Entry'!#REF!,"AAAAAB3n4YY=")</f>
        <v>#REF!</v>
      </c>
      <c r="EF58">
        <f>IF('GA55 Entry'!60:60,"AAAAAB3n4Yc=",0)</f>
        <v>0</v>
      </c>
      <c r="EG58" t="e">
        <f>AND('GA55 Entry'!B60,"AAAAAB3n4Yg=")</f>
        <v>#VALUE!</v>
      </c>
      <c r="EH58" t="e">
        <f>AND('GA55 Entry'!#REF!,"AAAAAB3n4Yk=")</f>
        <v>#REF!</v>
      </c>
      <c r="EI58" t="e">
        <f>AND('GA55 Entry'!C60,"AAAAAB3n4Yo=")</f>
        <v>#VALUE!</v>
      </c>
      <c r="EJ58" t="e">
        <f>AND('GA55 Entry'!#REF!,"AAAAAB3n4Ys=")</f>
        <v>#REF!</v>
      </c>
      <c r="EK58" t="e">
        <f>AND('GA55 Entry'!#REF!,"AAAAAB3n4Yw=")</f>
        <v>#REF!</v>
      </c>
      <c r="EL58" t="e">
        <f>AND('GA55 Entry'!#REF!,"AAAAAB3n4Y0=")</f>
        <v>#REF!</v>
      </c>
      <c r="EM58" t="e">
        <f>AND('GA55 Entry'!#REF!,"AAAAAB3n4Y4=")</f>
        <v>#REF!</v>
      </c>
      <c r="EN58" t="e">
        <f>AND('GA55 Entry'!#REF!,"AAAAAB3n4Y8=")</f>
        <v>#REF!</v>
      </c>
      <c r="EO58" t="e">
        <f>AND('GA55 Entry'!D60,"AAAAAB3n4ZA=")</f>
        <v>#VALUE!</v>
      </c>
      <c r="EP58" t="e">
        <f>AND('GA55 Entry'!#REF!,"AAAAAB3n4ZE=")</f>
        <v>#REF!</v>
      </c>
      <c r="EQ58" t="e">
        <f>AND('GA55 Entry'!E60,"AAAAAB3n4ZI=")</f>
        <v>#VALUE!</v>
      </c>
      <c r="ER58" t="e">
        <f>AND('GA55 Entry'!F60,"AAAAAB3n4ZM=")</f>
        <v>#VALUE!</v>
      </c>
      <c r="ES58" t="e">
        <f>AND('GA55 Entry'!G60,"AAAAAB3n4ZQ=")</f>
        <v>#VALUE!</v>
      </c>
      <c r="ET58" t="e">
        <f>AND('GA55 Entry'!H60,"AAAAAB3n4ZU=")</f>
        <v>#VALUE!</v>
      </c>
      <c r="EU58" t="e">
        <f>AND('GA55 Entry'!I60,"AAAAAB3n4ZY=")</f>
        <v>#VALUE!</v>
      </c>
      <c r="EV58" t="e">
        <f>AND('GA55 Entry'!J60,"AAAAAB3n4Zc=")</f>
        <v>#VALUE!</v>
      </c>
      <c r="EW58" t="e">
        <f>AND('GA55 Entry'!#REF!,"AAAAAB3n4Zg=")</f>
        <v>#REF!</v>
      </c>
      <c r="EX58" t="e">
        <f>AND('GA55 Entry'!K60,"AAAAAB3n4Zk=")</f>
        <v>#VALUE!</v>
      </c>
      <c r="EY58" t="e">
        <f>AND('GA55 Entry'!L60,"AAAAAB3n4Zo=")</f>
        <v>#VALUE!</v>
      </c>
      <c r="EZ58" t="e">
        <f>AND('GA55 Entry'!M60,"AAAAAB3n4Zs=")</f>
        <v>#VALUE!</v>
      </c>
      <c r="FA58" t="e">
        <f>AND('GA55 Entry'!N60,"AAAAAB3n4Zw=")</f>
        <v>#VALUE!</v>
      </c>
      <c r="FB58" t="e">
        <f>AND('GA55 Entry'!O60,"AAAAAB3n4Z0=")</f>
        <v>#VALUE!</v>
      </c>
      <c r="FC58" t="e">
        <f>AND('GA55 Entry'!P60,"AAAAAB3n4Z4=")</f>
        <v>#VALUE!</v>
      </c>
      <c r="FD58" t="e">
        <f>AND('GA55 Entry'!Q60,"AAAAAB3n4Z8=")</f>
        <v>#VALUE!</v>
      </c>
      <c r="FE58" t="e">
        <f>AND('GA55 Entry'!S60,"AAAAAB3n4aA=")</f>
        <v>#VALUE!</v>
      </c>
      <c r="FF58" t="e">
        <f>AND('GA55 Entry'!#REF!,"AAAAAB3n4aE=")</f>
        <v>#REF!</v>
      </c>
      <c r="FG58" t="e">
        <f>AND('GA55 Entry'!T60,"AAAAAB3n4aI=")</f>
        <v>#VALUE!</v>
      </c>
      <c r="FH58" t="e">
        <f>AND('GA55 Entry'!U60,"AAAAAB3n4aM=")</f>
        <v>#VALUE!</v>
      </c>
      <c r="FI58" t="e">
        <f>AND('GA55 Entry'!V60,"AAAAAB3n4aQ=")</f>
        <v>#VALUE!</v>
      </c>
      <c r="FJ58" t="e">
        <f>AND('GA55 Entry'!#REF!,"AAAAAB3n4aU=")</f>
        <v>#REF!</v>
      </c>
      <c r="FK58" t="e">
        <f>AND('GA55 Entry'!#REF!,"AAAAAB3n4aY=")</f>
        <v>#REF!</v>
      </c>
      <c r="FL58" t="e">
        <f>AND('GA55 Entry'!X60,"AAAAAB3n4ac=")</f>
        <v>#VALUE!</v>
      </c>
      <c r="FM58" t="e">
        <f>AND('GA55 Entry'!Y60,"AAAAAB3n4ag=")</f>
        <v>#VALUE!</v>
      </c>
      <c r="FN58" t="e">
        <f>AND('GA55 Entry'!#REF!,"AAAAAB3n4ak=")</f>
        <v>#REF!</v>
      </c>
      <c r="FO58" t="e">
        <f>AND('GA55 Entry'!#REF!,"AAAAAB3n4ao=")</f>
        <v>#REF!</v>
      </c>
      <c r="FP58" t="e">
        <f>AND('GA55 Entry'!#REF!,"AAAAAB3n4as=")</f>
        <v>#REF!</v>
      </c>
      <c r="FQ58" t="e">
        <f>AND('GA55 Entry'!#REF!,"AAAAAB3n4aw=")</f>
        <v>#REF!</v>
      </c>
      <c r="FR58" t="e">
        <f>AND('GA55 Entry'!#REF!,"AAAAAB3n4a0=")</f>
        <v>#REF!</v>
      </c>
      <c r="FS58" t="e">
        <f>AND('GA55 Entry'!#REF!,"AAAAAB3n4a4=")</f>
        <v>#REF!</v>
      </c>
      <c r="FT58" t="e">
        <f>AND('GA55 Entry'!#REF!,"AAAAAB3n4a8=")</f>
        <v>#REF!</v>
      </c>
      <c r="FU58" t="e">
        <f>AND('GA55 Entry'!#REF!,"AAAAAB3n4bA=")</f>
        <v>#REF!</v>
      </c>
      <c r="FV58" t="e">
        <f>AND('GA55 Entry'!#REF!,"AAAAAB3n4bE=")</f>
        <v>#REF!</v>
      </c>
      <c r="FW58" t="e">
        <f>AND('GA55 Entry'!Z60,"AAAAAB3n4bI=")</f>
        <v>#VALUE!</v>
      </c>
      <c r="FX58" t="e">
        <f>AND('GA55 Entry'!AA60,"AAAAAB3n4bM=")</f>
        <v>#VALUE!</v>
      </c>
      <c r="FY58" t="e">
        <f>AND('GA55 Entry'!#REF!,"AAAAAB3n4bQ=")</f>
        <v>#REF!</v>
      </c>
      <c r="FZ58" t="e">
        <f>AND('GA55 Entry'!#REF!,"AAAAAB3n4bU=")</f>
        <v>#REF!</v>
      </c>
      <c r="GA58" t="e">
        <f>AND('GA55 Entry'!#REF!,"AAAAAB3n4bY=")</f>
        <v>#REF!</v>
      </c>
      <c r="GB58" t="e">
        <f>AND('GA55 Entry'!AB60,"AAAAAB3n4bc=")</f>
        <v>#VALUE!</v>
      </c>
      <c r="GC58" t="e">
        <f>AND('GA55 Entry'!AC60,"AAAAAB3n4bg=")</f>
        <v>#VALUE!</v>
      </c>
      <c r="GD58" t="e">
        <f>AND('GA55 Entry'!#REF!,"AAAAAB3n4bk=")</f>
        <v>#REF!</v>
      </c>
      <c r="GE58">
        <f>IF('GA55 Entry'!61:61,"AAAAAB3n4bo=",0)</f>
        <v>0</v>
      </c>
      <c r="GF58" t="e">
        <f>AND('GA55 Entry'!B61,"AAAAAB3n4bs=")</f>
        <v>#VALUE!</v>
      </c>
      <c r="GG58" t="e">
        <f>AND('GA55 Entry'!#REF!,"AAAAAB3n4bw=")</f>
        <v>#REF!</v>
      </c>
      <c r="GH58" t="e">
        <f>AND('GA55 Entry'!C61,"AAAAAB3n4b0=")</f>
        <v>#VALUE!</v>
      </c>
      <c r="GI58" t="e">
        <f>AND('GA55 Entry'!#REF!,"AAAAAB3n4b4=")</f>
        <v>#REF!</v>
      </c>
      <c r="GJ58" t="e">
        <f>AND('GA55 Entry'!#REF!,"AAAAAB3n4b8=")</f>
        <v>#REF!</v>
      </c>
      <c r="GK58" t="e">
        <f>AND('GA55 Entry'!#REF!,"AAAAAB3n4cA=")</f>
        <v>#REF!</v>
      </c>
      <c r="GL58" t="e">
        <f>AND('GA55 Entry'!#REF!,"AAAAAB3n4cE=")</f>
        <v>#REF!</v>
      </c>
      <c r="GM58" t="e">
        <f>AND('GA55 Entry'!#REF!,"AAAAAB3n4cI=")</f>
        <v>#REF!</v>
      </c>
      <c r="GN58" t="e">
        <f>AND('GA55 Entry'!D61,"AAAAAB3n4cM=")</f>
        <v>#VALUE!</v>
      </c>
      <c r="GO58" t="e">
        <f>AND('GA55 Entry'!#REF!,"AAAAAB3n4cQ=")</f>
        <v>#REF!</v>
      </c>
      <c r="GP58" t="e">
        <f>AND('GA55 Entry'!E61,"AAAAAB3n4cU=")</f>
        <v>#VALUE!</v>
      </c>
      <c r="GQ58" t="e">
        <f>AND('GA55 Entry'!F61,"AAAAAB3n4cY=")</f>
        <v>#VALUE!</v>
      </c>
      <c r="GR58" t="e">
        <f>AND('GA55 Entry'!G61,"AAAAAB3n4cc=")</f>
        <v>#VALUE!</v>
      </c>
      <c r="GS58" t="e">
        <f>AND('GA55 Entry'!H61,"AAAAAB3n4cg=")</f>
        <v>#VALUE!</v>
      </c>
      <c r="GT58" t="e">
        <f>AND('GA55 Entry'!I61,"AAAAAB3n4ck=")</f>
        <v>#VALUE!</v>
      </c>
      <c r="GU58" t="e">
        <f>AND('GA55 Entry'!J61,"AAAAAB3n4co=")</f>
        <v>#VALUE!</v>
      </c>
      <c r="GV58" t="e">
        <f>AND('GA55 Entry'!#REF!,"AAAAAB3n4cs=")</f>
        <v>#REF!</v>
      </c>
      <c r="GW58" t="e">
        <f>AND('GA55 Entry'!K61,"AAAAAB3n4cw=")</f>
        <v>#VALUE!</v>
      </c>
      <c r="GX58" t="e">
        <f>AND('GA55 Entry'!L61,"AAAAAB3n4c0=")</f>
        <v>#VALUE!</v>
      </c>
      <c r="GY58" t="e">
        <f>AND('GA55 Entry'!M61,"AAAAAB3n4c4=")</f>
        <v>#VALUE!</v>
      </c>
      <c r="GZ58" t="e">
        <f>AND('GA55 Entry'!N61,"AAAAAB3n4c8=")</f>
        <v>#VALUE!</v>
      </c>
      <c r="HA58" t="e">
        <f>AND('GA55 Entry'!O61,"AAAAAB3n4dA=")</f>
        <v>#VALUE!</v>
      </c>
      <c r="HB58" t="e">
        <f>AND('GA55 Entry'!P61,"AAAAAB3n4dE=")</f>
        <v>#VALUE!</v>
      </c>
      <c r="HC58" t="e">
        <f>AND('GA55 Entry'!Q61,"AAAAAB3n4dI=")</f>
        <v>#VALUE!</v>
      </c>
      <c r="HD58" t="e">
        <f>AND('GA55 Entry'!S61,"AAAAAB3n4dM=")</f>
        <v>#VALUE!</v>
      </c>
      <c r="HE58" t="e">
        <f>AND('GA55 Entry'!#REF!,"AAAAAB3n4dQ=")</f>
        <v>#REF!</v>
      </c>
      <c r="HF58" t="e">
        <f>AND('GA55 Entry'!T61,"AAAAAB3n4dU=")</f>
        <v>#VALUE!</v>
      </c>
      <c r="HG58" t="e">
        <f>AND('GA55 Entry'!U61,"AAAAAB3n4dY=")</f>
        <v>#VALUE!</v>
      </c>
      <c r="HH58" t="e">
        <f>AND('GA55 Entry'!V61,"AAAAAB3n4dc=")</f>
        <v>#VALUE!</v>
      </c>
      <c r="HI58" t="e">
        <f>AND('GA55 Entry'!#REF!,"AAAAAB3n4dg=")</f>
        <v>#REF!</v>
      </c>
      <c r="HJ58" t="e">
        <f>AND('GA55 Entry'!#REF!,"AAAAAB3n4dk=")</f>
        <v>#REF!</v>
      </c>
      <c r="HK58" t="e">
        <f>AND('GA55 Entry'!X61,"AAAAAB3n4do=")</f>
        <v>#VALUE!</v>
      </c>
      <c r="HL58" t="e">
        <f>AND('GA55 Entry'!Y61,"AAAAAB3n4ds=")</f>
        <v>#VALUE!</v>
      </c>
      <c r="HM58" t="e">
        <f>AND('GA55 Entry'!#REF!,"AAAAAB3n4dw=")</f>
        <v>#REF!</v>
      </c>
      <c r="HN58" t="e">
        <f>AND('GA55 Entry'!#REF!,"AAAAAB3n4d0=")</f>
        <v>#REF!</v>
      </c>
      <c r="HO58" t="e">
        <f>AND('GA55 Entry'!#REF!,"AAAAAB3n4d4=")</f>
        <v>#REF!</v>
      </c>
      <c r="HP58" t="e">
        <f>AND('GA55 Entry'!#REF!,"AAAAAB3n4d8=")</f>
        <v>#REF!</v>
      </c>
      <c r="HQ58" t="e">
        <f>AND('GA55 Entry'!#REF!,"AAAAAB3n4eA=")</f>
        <v>#REF!</v>
      </c>
      <c r="HR58" t="e">
        <f>AND('GA55 Entry'!#REF!,"AAAAAB3n4eE=")</f>
        <v>#REF!</v>
      </c>
      <c r="HS58" t="e">
        <f>AND('GA55 Entry'!#REF!,"AAAAAB3n4eI=")</f>
        <v>#REF!</v>
      </c>
      <c r="HT58" t="e">
        <f>AND('GA55 Entry'!#REF!,"AAAAAB3n4eM=")</f>
        <v>#REF!</v>
      </c>
      <c r="HU58" t="e">
        <f>AND('GA55 Entry'!#REF!,"AAAAAB3n4eQ=")</f>
        <v>#REF!</v>
      </c>
      <c r="HV58" t="e">
        <f>AND('GA55 Entry'!Z61,"AAAAAB3n4eU=")</f>
        <v>#VALUE!</v>
      </c>
      <c r="HW58" t="e">
        <f>AND('GA55 Entry'!AA61,"AAAAAB3n4eY=")</f>
        <v>#VALUE!</v>
      </c>
      <c r="HX58" t="e">
        <f>AND('GA55 Entry'!#REF!,"AAAAAB3n4ec=")</f>
        <v>#REF!</v>
      </c>
      <c r="HY58" t="e">
        <f>AND('GA55 Entry'!#REF!,"AAAAAB3n4eg=")</f>
        <v>#REF!</v>
      </c>
      <c r="HZ58" t="e">
        <f>AND('GA55 Entry'!#REF!,"AAAAAB3n4ek=")</f>
        <v>#REF!</v>
      </c>
      <c r="IA58" t="e">
        <f>AND('GA55 Entry'!AB61,"AAAAAB3n4eo=")</f>
        <v>#VALUE!</v>
      </c>
      <c r="IB58" t="e">
        <f>AND('GA55 Entry'!AC61,"AAAAAB3n4es=")</f>
        <v>#VALUE!</v>
      </c>
      <c r="IC58" t="e">
        <f>AND('GA55 Entry'!#REF!,"AAAAAB3n4ew=")</f>
        <v>#REF!</v>
      </c>
      <c r="ID58">
        <f>IF('GA55 Entry'!62:62,"AAAAAB3n4e0=",0)</f>
        <v>0</v>
      </c>
      <c r="IE58" t="e">
        <f>AND('GA55 Entry'!B62,"AAAAAB3n4e4=")</f>
        <v>#VALUE!</v>
      </c>
      <c r="IF58" t="e">
        <f>AND('GA55 Entry'!#REF!,"AAAAAB3n4e8=")</f>
        <v>#REF!</v>
      </c>
      <c r="IG58" t="e">
        <f>AND('GA55 Entry'!C62,"AAAAAB3n4fA=")</f>
        <v>#VALUE!</v>
      </c>
      <c r="IH58" t="e">
        <f>AND('GA55 Entry'!#REF!,"AAAAAB3n4fE=")</f>
        <v>#REF!</v>
      </c>
      <c r="II58" t="e">
        <f>AND('GA55 Entry'!#REF!,"AAAAAB3n4fI=")</f>
        <v>#REF!</v>
      </c>
      <c r="IJ58" t="e">
        <f>AND('GA55 Entry'!#REF!,"AAAAAB3n4fM=")</f>
        <v>#REF!</v>
      </c>
      <c r="IK58" t="e">
        <f>AND('GA55 Entry'!#REF!,"AAAAAB3n4fQ=")</f>
        <v>#REF!</v>
      </c>
      <c r="IL58" t="e">
        <f>AND('GA55 Entry'!#REF!,"AAAAAB3n4fU=")</f>
        <v>#REF!</v>
      </c>
      <c r="IM58" t="e">
        <f>AND('GA55 Entry'!D62,"AAAAAB3n4fY=")</f>
        <v>#VALUE!</v>
      </c>
      <c r="IN58" t="e">
        <f>AND('GA55 Entry'!#REF!,"AAAAAB3n4fc=")</f>
        <v>#REF!</v>
      </c>
      <c r="IO58" t="e">
        <f>AND('GA55 Entry'!E62,"AAAAAB3n4fg=")</f>
        <v>#VALUE!</v>
      </c>
      <c r="IP58" t="e">
        <f>AND('GA55 Entry'!F62,"AAAAAB3n4fk=")</f>
        <v>#VALUE!</v>
      </c>
      <c r="IQ58" t="e">
        <f>AND('GA55 Entry'!G62,"AAAAAB3n4fo=")</f>
        <v>#VALUE!</v>
      </c>
      <c r="IR58" t="e">
        <f>AND('GA55 Entry'!H62,"AAAAAB3n4fs=")</f>
        <v>#VALUE!</v>
      </c>
      <c r="IS58" t="e">
        <f>AND('GA55 Entry'!I62,"AAAAAB3n4fw=")</f>
        <v>#VALUE!</v>
      </c>
      <c r="IT58" t="e">
        <f>AND('GA55 Entry'!J62,"AAAAAB3n4f0=")</f>
        <v>#VALUE!</v>
      </c>
      <c r="IU58" t="e">
        <f>AND('GA55 Entry'!#REF!,"AAAAAB3n4f4=")</f>
        <v>#REF!</v>
      </c>
      <c r="IV58" t="e">
        <f>AND('GA55 Entry'!K62,"AAAAAB3n4f8=")</f>
        <v>#VALUE!</v>
      </c>
    </row>
    <row r="59" spans="1:256">
      <c r="A59" t="e">
        <f>AND('GA55 Entry'!L62,"AAAAAH9/jgA=")</f>
        <v>#VALUE!</v>
      </c>
      <c r="B59" t="e">
        <f>AND('GA55 Entry'!M62,"AAAAAH9/jgE=")</f>
        <v>#VALUE!</v>
      </c>
      <c r="C59" t="e">
        <f>AND('GA55 Entry'!N62,"AAAAAH9/jgI=")</f>
        <v>#VALUE!</v>
      </c>
      <c r="D59" t="e">
        <f>AND('GA55 Entry'!O62,"AAAAAH9/jgM=")</f>
        <v>#VALUE!</v>
      </c>
      <c r="E59" t="e">
        <f>AND('GA55 Entry'!P62,"AAAAAH9/jgQ=")</f>
        <v>#VALUE!</v>
      </c>
      <c r="F59" t="e">
        <f>AND('GA55 Entry'!Q62,"AAAAAH9/jgU=")</f>
        <v>#VALUE!</v>
      </c>
      <c r="G59" t="e">
        <f>AND('GA55 Entry'!S62,"AAAAAH9/jgY=")</f>
        <v>#VALUE!</v>
      </c>
      <c r="H59" t="e">
        <f>AND('GA55 Entry'!#REF!,"AAAAAH9/jgc=")</f>
        <v>#REF!</v>
      </c>
      <c r="I59" t="e">
        <f>AND('GA55 Entry'!T62,"AAAAAH9/jgg=")</f>
        <v>#VALUE!</v>
      </c>
      <c r="J59" t="e">
        <f>AND('GA55 Entry'!U62,"AAAAAH9/jgk=")</f>
        <v>#VALUE!</v>
      </c>
      <c r="K59" t="e">
        <f>AND('GA55 Entry'!V62,"AAAAAH9/jgo=")</f>
        <v>#VALUE!</v>
      </c>
      <c r="L59" t="e">
        <f>AND('GA55 Entry'!#REF!,"AAAAAH9/jgs=")</f>
        <v>#REF!</v>
      </c>
      <c r="M59" t="e">
        <f>AND('GA55 Entry'!#REF!,"AAAAAH9/jgw=")</f>
        <v>#REF!</v>
      </c>
      <c r="N59" t="e">
        <f>AND('GA55 Entry'!X62,"AAAAAH9/jg0=")</f>
        <v>#VALUE!</v>
      </c>
      <c r="O59" t="e">
        <f>AND('GA55 Entry'!Y62,"AAAAAH9/jg4=")</f>
        <v>#VALUE!</v>
      </c>
      <c r="P59" t="e">
        <f>AND('GA55 Entry'!#REF!,"AAAAAH9/jg8=")</f>
        <v>#REF!</v>
      </c>
      <c r="Q59" t="e">
        <f>AND('GA55 Entry'!#REF!,"AAAAAH9/jhA=")</f>
        <v>#REF!</v>
      </c>
      <c r="R59" t="e">
        <f>AND('GA55 Entry'!#REF!,"AAAAAH9/jhE=")</f>
        <v>#REF!</v>
      </c>
      <c r="S59" t="e">
        <f>AND('GA55 Entry'!#REF!,"AAAAAH9/jhI=")</f>
        <v>#REF!</v>
      </c>
      <c r="T59" t="e">
        <f>AND('GA55 Entry'!#REF!,"AAAAAH9/jhM=")</f>
        <v>#REF!</v>
      </c>
      <c r="U59" t="e">
        <f>AND('GA55 Entry'!#REF!,"AAAAAH9/jhQ=")</f>
        <v>#REF!</v>
      </c>
      <c r="V59" t="e">
        <f>AND('GA55 Entry'!#REF!,"AAAAAH9/jhU=")</f>
        <v>#REF!</v>
      </c>
      <c r="W59" t="e">
        <f>AND('GA55 Entry'!#REF!,"AAAAAH9/jhY=")</f>
        <v>#REF!</v>
      </c>
      <c r="X59" t="e">
        <f>AND('GA55 Entry'!#REF!,"AAAAAH9/jhc=")</f>
        <v>#REF!</v>
      </c>
      <c r="Y59" t="e">
        <f>AND('GA55 Entry'!Z62,"AAAAAH9/jhg=")</f>
        <v>#VALUE!</v>
      </c>
      <c r="Z59" t="e">
        <f>AND('GA55 Entry'!AA62,"AAAAAH9/jhk=")</f>
        <v>#VALUE!</v>
      </c>
      <c r="AA59" t="e">
        <f>AND('GA55 Entry'!#REF!,"AAAAAH9/jho=")</f>
        <v>#REF!</v>
      </c>
      <c r="AB59" t="e">
        <f>AND('GA55 Entry'!#REF!,"AAAAAH9/jhs=")</f>
        <v>#REF!</v>
      </c>
      <c r="AC59" t="e">
        <f>AND('GA55 Entry'!#REF!,"AAAAAH9/jhw=")</f>
        <v>#REF!</v>
      </c>
      <c r="AD59" t="e">
        <f>AND('GA55 Entry'!AB62,"AAAAAH9/jh0=")</f>
        <v>#VALUE!</v>
      </c>
      <c r="AE59" t="e">
        <f>AND('GA55 Entry'!AC62,"AAAAAH9/jh4=")</f>
        <v>#VALUE!</v>
      </c>
      <c r="AF59" t="e">
        <f>AND('GA55 Entry'!#REF!,"AAAAAH9/jh8=")</f>
        <v>#REF!</v>
      </c>
      <c r="AG59">
        <f>IF('GA55 Entry'!63:63,"AAAAAH9/jiA=",0)</f>
        <v>0</v>
      </c>
      <c r="AH59" t="e">
        <f>AND('GA55 Entry'!B63,"AAAAAH9/jiE=")</f>
        <v>#VALUE!</v>
      </c>
      <c r="AI59" t="e">
        <f>AND('GA55 Entry'!#REF!,"AAAAAH9/jiI=")</f>
        <v>#REF!</v>
      </c>
      <c r="AJ59" t="e">
        <f>AND('GA55 Entry'!C63,"AAAAAH9/jiM=")</f>
        <v>#VALUE!</v>
      </c>
      <c r="AK59" t="e">
        <f>AND('GA55 Entry'!#REF!,"AAAAAH9/jiQ=")</f>
        <v>#REF!</v>
      </c>
      <c r="AL59" t="e">
        <f>AND('GA55 Entry'!#REF!,"AAAAAH9/jiU=")</f>
        <v>#REF!</v>
      </c>
      <c r="AM59" t="e">
        <f>AND('GA55 Entry'!#REF!,"AAAAAH9/jiY=")</f>
        <v>#REF!</v>
      </c>
      <c r="AN59" t="e">
        <f>AND('GA55 Entry'!#REF!,"AAAAAH9/jic=")</f>
        <v>#REF!</v>
      </c>
      <c r="AO59" t="e">
        <f>AND('GA55 Entry'!#REF!,"AAAAAH9/jig=")</f>
        <v>#REF!</v>
      </c>
      <c r="AP59" t="e">
        <f>AND('GA55 Entry'!D63,"AAAAAH9/jik=")</f>
        <v>#VALUE!</v>
      </c>
      <c r="AQ59" t="e">
        <f>AND('GA55 Entry'!#REF!,"AAAAAH9/jio=")</f>
        <v>#REF!</v>
      </c>
      <c r="AR59" t="e">
        <f>AND('GA55 Entry'!E63,"AAAAAH9/jis=")</f>
        <v>#VALUE!</v>
      </c>
      <c r="AS59" t="e">
        <f>AND('GA55 Entry'!F63,"AAAAAH9/jiw=")</f>
        <v>#VALUE!</v>
      </c>
      <c r="AT59" t="e">
        <f>AND('GA55 Entry'!G63,"AAAAAH9/ji0=")</f>
        <v>#VALUE!</v>
      </c>
      <c r="AU59" t="e">
        <f>AND('GA55 Entry'!H63,"AAAAAH9/ji4=")</f>
        <v>#VALUE!</v>
      </c>
      <c r="AV59" t="e">
        <f>AND('GA55 Entry'!I63,"AAAAAH9/ji8=")</f>
        <v>#VALUE!</v>
      </c>
      <c r="AW59" t="e">
        <f>AND('GA55 Entry'!J63,"AAAAAH9/jjA=")</f>
        <v>#VALUE!</v>
      </c>
      <c r="AX59" t="e">
        <f>AND('GA55 Entry'!#REF!,"AAAAAH9/jjE=")</f>
        <v>#REF!</v>
      </c>
      <c r="AY59" t="e">
        <f>AND('GA55 Entry'!K63,"AAAAAH9/jjI=")</f>
        <v>#VALUE!</v>
      </c>
      <c r="AZ59" t="e">
        <f>AND('GA55 Entry'!L63,"AAAAAH9/jjM=")</f>
        <v>#VALUE!</v>
      </c>
      <c r="BA59" t="e">
        <f>AND('GA55 Entry'!M63,"AAAAAH9/jjQ=")</f>
        <v>#VALUE!</v>
      </c>
      <c r="BB59" t="e">
        <f>AND('GA55 Entry'!N63,"AAAAAH9/jjU=")</f>
        <v>#VALUE!</v>
      </c>
      <c r="BC59" t="e">
        <f>AND('GA55 Entry'!O63,"AAAAAH9/jjY=")</f>
        <v>#VALUE!</v>
      </c>
      <c r="BD59" t="e">
        <f>AND('GA55 Entry'!P63,"AAAAAH9/jjc=")</f>
        <v>#VALUE!</v>
      </c>
      <c r="BE59" t="e">
        <f>AND('GA55 Entry'!Q63,"AAAAAH9/jjg=")</f>
        <v>#VALUE!</v>
      </c>
      <c r="BF59" t="e">
        <f>AND('GA55 Entry'!S63,"AAAAAH9/jjk=")</f>
        <v>#VALUE!</v>
      </c>
      <c r="BG59" t="e">
        <f>AND('GA55 Entry'!#REF!,"AAAAAH9/jjo=")</f>
        <v>#REF!</v>
      </c>
      <c r="BH59" t="e">
        <f>AND('GA55 Entry'!T63,"AAAAAH9/jjs=")</f>
        <v>#VALUE!</v>
      </c>
      <c r="BI59" t="e">
        <f>AND('GA55 Entry'!U63,"AAAAAH9/jjw=")</f>
        <v>#VALUE!</v>
      </c>
      <c r="BJ59" t="e">
        <f>AND('GA55 Entry'!V63,"AAAAAH9/jj0=")</f>
        <v>#VALUE!</v>
      </c>
      <c r="BK59" t="e">
        <f>AND('GA55 Entry'!#REF!,"AAAAAH9/jj4=")</f>
        <v>#REF!</v>
      </c>
      <c r="BL59" t="e">
        <f>AND('GA55 Entry'!#REF!,"AAAAAH9/jj8=")</f>
        <v>#REF!</v>
      </c>
      <c r="BM59" t="e">
        <f>AND('GA55 Entry'!X63,"AAAAAH9/jkA=")</f>
        <v>#VALUE!</v>
      </c>
      <c r="BN59" t="e">
        <f>AND('GA55 Entry'!Y63,"AAAAAH9/jkE=")</f>
        <v>#VALUE!</v>
      </c>
      <c r="BO59" t="e">
        <f>AND('GA55 Entry'!#REF!,"AAAAAH9/jkI=")</f>
        <v>#REF!</v>
      </c>
      <c r="BP59" t="e">
        <f>AND('GA55 Entry'!#REF!,"AAAAAH9/jkM=")</f>
        <v>#REF!</v>
      </c>
      <c r="BQ59" t="e">
        <f>AND('GA55 Entry'!#REF!,"AAAAAH9/jkQ=")</f>
        <v>#REF!</v>
      </c>
      <c r="BR59" t="e">
        <f>AND('GA55 Entry'!#REF!,"AAAAAH9/jkU=")</f>
        <v>#REF!</v>
      </c>
      <c r="BS59" t="e">
        <f>AND('GA55 Entry'!#REF!,"AAAAAH9/jkY=")</f>
        <v>#REF!</v>
      </c>
      <c r="BT59" t="e">
        <f>AND('GA55 Entry'!#REF!,"AAAAAH9/jkc=")</f>
        <v>#REF!</v>
      </c>
      <c r="BU59" t="e">
        <f>AND('GA55 Entry'!#REF!,"AAAAAH9/jkg=")</f>
        <v>#REF!</v>
      </c>
      <c r="BV59" t="e">
        <f>AND('GA55 Entry'!#REF!,"AAAAAH9/jkk=")</f>
        <v>#REF!</v>
      </c>
      <c r="BW59" t="e">
        <f>AND('GA55 Entry'!#REF!,"AAAAAH9/jko=")</f>
        <v>#REF!</v>
      </c>
      <c r="BX59" t="e">
        <f>AND('GA55 Entry'!Z63,"AAAAAH9/jks=")</f>
        <v>#VALUE!</v>
      </c>
      <c r="BY59" t="e">
        <f>AND('GA55 Entry'!AA63,"AAAAAH9/jkw=")</f>
        <v>#VALUE!</v>
      </c>
      <c r="BZ59" t="e">
        <f>AND('GA55 Entry'!#REF!,"AAAAAH9/jk0=")</f>
        <v>#REF!</v>
      </c>
      <c r="CA59" t="e">
        <f>AND('GA55 Entry'!#REF!,"AAAAAH9/jk4=")</f>
        <v>#REF!</v>
      </c>
      <c r="CB59" t="e">
        <f>AND('GA55 Entry'!#REF!,"AAAAAH9/jk8=")</f>
        <v>#REF!</v>
      </c>
      <c r="CC59" t="e">
        <f>AND('GA55 Entry'!AB63,"AAAAAH9/jlA=")</f>
        <v>#VALUE!</v>
      </c>
      <c r="CD59" t="e">
        <f>AND('GA55 Entry'!AC63,"AAAAAH9/jlE=")</f>
        <v>#VALUE!</v>
      </c>
      <c r="CE59" t="e">
        <f>AND('GA55 Entry'!#REF!,"AAAAAH9/jlI=")</f>
        <v>#REF!</v>
      </c>
      <c r="CF59">
        <f>IF('GA55 Entry'!64:64,"AAAAAH9/jlM=",0)</f>
        <v>0</v>
      </c>
      <c r="CG59" t="e">
        <f>AND('GA55 Entry'!B64,"AAAAAH9/jlQ=")</f>
        <v>#VALUE!</v>
      </c>
      <c r="CH59" t="e">
        <f>AND('GA55 Entry'!#REF!,"AAAAAH9/jlU=")</f>
        <v>#REF!</v>
      </c>
      <c r="CI59" t="e">
        <f>AND('GA55 Entry'!C64,"AAAAAH9/jlY=")</f>
        <v>#VALUE!</v>
      </c>
      <c r="CJ59" t="e">
        <f>AND('GA55 Entry'!#REF!,"AAAAAH9/jlc=")</f>
        <v>#REF!</v>
      </c>
      <c r="CK59" t="e">
        <f>AND('GA55 Entry'!#REF!,"AAAAAH9/jlg=")</f>
        <v>#REF!</v>
      </c>
      <c r="CL59" t="e">
        <f>AND('GA55 Entry'!#REF!,"AAAAAH9/jlk=")</f>
        <v>#REF!</v>
      </c>
      <c r="CM59" t="e">
        <f>AND('GA55 Entry'!#REF!,"AAAAAH9/jlo=")</f>
        <v>#REF!</v>
      </c>
      <c r="CN59" t="e">
        <f>AND('GA55 Entry'!#REF!,"AAAAAH9/jls=")</f>
        <v>#REF!</v>
      </c>
      <c r="CO59" t="e">
        <f>AND('GA55 Entry'!D64,"AAAAAH9/jlw=")</f>
        <v>#VALUE!</v>
      </c>
      <c r="CP59" t="e">
        <f>AND('GA55 Entry'!#REF!,"AAAAAH9/jl0=")</f>
        <v>#REF!</v>
      </c>
      <c r="CQ59" t="e">
        <f>AND('GA55 Entry'!E64,"AAAAAH9/jl4=")</f>
        <v>#VALUE!</v>
      </c>
      <c r="CR59" t="e">
        <f>AND('GA55 Entry'!F64,"AAAAAH9/jl8=")</f>
        <v>#VALUE!</v>
      </c>
      <c r="CS59" t="e">
        <f>AND('GA55 Entry'!G64,"AAAAAH9/jmA=")</f>
        <v>#VALUE!</v>
      </c>
      <c r="CT59" t="e">
        <f>AND('GA55 Entry'!H64,"AAAAAH9/jmE=")</f>
        <v>#VALUE!</v>
      </c>
      <c r="CU59" t="e">
        <f>AND('GA55 Entry'!I64,"AAAAAH9/jmI=")</f>
        <v>#VALUE!</v>
      </c>
      <c r="CV59" t="e">
        <f>AND('GA55 Entry'!J64,"AAAAAH9/jmM=")</f>
        <v>#VALUE!</v>
      </c>
      <c r="CW59" t="e">
        <f>AND('GA55 Entry'!#REF!,"AAAAAH9/jmQ=")</f>
        <v>#REF!</v>
      </c>
      <c r="CX59" t="e">
        <f>AND('GA55 Entry'!K64,"AAAAAH9/jmU=")</f>
        <v>#VALUE!</v>
      </c>
      <c r="CY59" t="e">
        <f>AND('GA55 Entry'!L64,"AAAAAH9/jmY=")</f>
        <v>#VALUE!</v>
      </c>
      <c r="CZ59" t="e">
        <f>AND('GA55 Entry'!M64,"AAAAAH9/jmc=")</f>
        <v>#VALUE!</v>
      </c>
      <c r="DA59" t="e">
        <f>AND('GA55 Entry'!N64,"AAAAAH9/jmg=")</f>
        <v>#VALUE!</v>
      </c>
      <c r="DB59" t="e">
        <f>AND('GA55 Entry'!O64,"AAAAAH9/jmk=")</f>
        <v>#VALUE!</v>
      </c>
      <c r="DC59" t="e">
        <f>AND('GA55 Entry'!P64,"AAAAAH9/jmo=")</f>
        <v>#VALUE!</v>
      </c>
      <c r="DD59" t="e">
        <f>AND('GA55 Entry'!Q64,"AAAAAH9/jms=")</f>
        <v>#VALUE!</v>
      </c>
      <c r="DE59" t="e">
        <f>AND('GA55 Entry'!S64,"AAAAAH9/jmw=")</f>
        <v>#VALUE!</v>
      </c>
      <c r="DF59" t="e">
        <f>AND('GA55 Entry'!#REF!,"AAAAAH9/jm0=")</f>
        <v>#REF!</v>
      </c>
      <c r="DG59" t="e">
        <f>AND('GA55 Entry'!T64,"AAAAAH9/jm4=")</f>
        <v>#VALUE!</v>
      </c>
      <c r="DH59" t="e">
        <f>AND('GA55 Entry'!U64,"AAAAAH9/jm8=")</f>
        <v>#VALUE!</v>
      </c>
      <c r="DI59" t="e">
        <f>AND('GA55 Entry'!V64,"AAAAAH9/jnA=")</f>
        <v>#VALUE!</v>
      </c>
      <c r="DJ59" t="e">
        <f>AND('GA55 Entry'!#REF!,"AAAAAH9/jnE=")</f>
        <v>#REF!</v>
      </c>
      <c r="DK59" t="e">
        <f>AND('GA55 Entry'!#REF!,"AAAAAH9/jnI=")</f>
        <v>#REF!</v>
      </c>
      <c r="DL59" t="e">
        <f>AND('GA55 Entry'!X64,"AAAAAH9/jnM=")</f>
        <v>#VALUE!</v>
      </c>
      <c r="DM59" t="e">
        <f>AND('GA55 Entry'!Y64,"AAAAAH9/jnQ=")</f>
        <v>#VALUE!</v>
      </c>
      <c r="DN59" t="e">
        <f>AND('GA55 Entry'!#REF!,"AAAAAH9/jnU=")</f>
        <v>#REF!</v>
      </c>
      <c r="DO59" t="e">
        <f>AND('GA55 Entry'!#REF!,"AAAAAH9/jnY=")</f>
        <v>#REF!</v>
      </c>
      <c r="DP59" t="e">
        <f>AND('GA55 Entry'!#REF!,"AAAAAH9/jnc=")</f>
        <v>#REF!</v>
      </c>
      <c r="DQ59" t="e">
        <f>AND('GA55 Entry'!#REF!,"AAAAAH9/jng=")</f>
        <v>#REF!</v>
      </c>
      <c r="DR59" t="e">
        <f>AND('GA55 Entry'!#REF!,"AAAAAH9/jnk=")</f>
        <v>#REF!</v>
      </c>
      <c r="DS59" t="e">
        <f>AND('GA55 Entry'!#REF!,"AAAAAH9/jno=")</f>
        <v>#REF!</v>
      </c>
      <c r="DT59" t="e">
        <f>AND('GA55 Entry'!#REF!,"AAAAAH9/jns=")</f>
        <v>#REF!</v>
      </c>
      <c r="DU59" t="e">
        <f>AND('GA55 Entry'!#REF!,"AAAAAH9/jnw=")</f>
        <v>#REF!</v>
      </c>
      <c r="DV59" t="e">
        <f>AND('GA55 Entry'!#REF!,"AAAAAH9/jn0=")</f>
        <v>#REF!</v>
      </c>
      <c r="DW59" t="e">
        <f>AND('GA55 Entry'!Z64,"AAAAAH9/jn4=")</f>
        <v>#VALUE!</v>
      </c>
      <c r="DX59" t="e">
        <f>AND('GA55 Entry'!AA64,"AAAAAH9/jn8=")</f>
        <v>#VALUE!</v>
      </c>
      <c r="DY59" t="e">
        <f>AND('GA55 Entry'!#REF!,"AAAAAH9/joA=")</f>
        <v>#REF!</v>
      </c>
      <c r="DZ59" t="e">
        <f>AND('GA55 Entry'!#REF!,"AAAAAH9/joE=")</f>
        <v>#REF!</v>
      </c>
      <c r="EA59" t="e">
        <f>AND('GA55 Entry'!#REF!,"AAAAAH9/joI=")</f>
        <v>#REF!</v>
      </c>
      <c r="EB59" t="e">
        <f>AND('GA55 Entry'!AB64,"AAAAAH9/joM=")</f>
        <v>#VALUE!</v>
      </c>
      <c r="EC59" t="e">
        <f>AND('GA55 Entry'!AC64,"AAAAAH9/joQ=")</f>
        <v>#VALUE!</v>
      </c>
      <c r="ED59" t="e">
        <f>AND('GA55 Entry'!#REF!,"AAAAAH9/joU=")</f>
        <v>#REF!</v>
      </c>
      <c r="EE59">
        <f>IF('GA55 Entry'!65:65,"AAAAAH9/joY=",0)</f>
        <v>0</v>
      </c>
      <c r="EF59" t="e">
        <f>AND('GA55 Entry'!B65,"AAAAAH9/joc=")</f>
        <v>#VALUE!</v>
      </c>
      <c r="EG59" t="e">
        <f>AND('GA55 Entry'!#REF!,"AAAAAH9/jog=")</f>
        <v>#REF!</v>
      </c>
      <c r="EH59" t="e">
        <f>AND('GA55 Entry'!C65,"AAAAAH9/jok=")</f>
        <v>#VALUE!</v>
      </c>
      <c r="EI59" t="e">
        <f>AND('GA55 Entry'!#REF!,"AAAAAH9/joo=")</f>
        <v>#REF!</v>
      </c>
      <c r="EJ59" t="e">
        <f>AND('GA55 Entry'!#REF!,"AAAAAH9/jos=")</f>
        <v>#REF!</v>
      </c>
      <c r="EK59" t="e">
        <f>AND('GA55 Entry'!#REF!,"AAAAAH9/jow=")</f>
        <v>#REF!</v>
      </c>
      <c r="EL59" t="e">
        <f>AND('GA55 Entry'!#REF!,"AAAAAH9/jo0=")</f>
        <v>#REF!</v>
      </c>
      <c r="EM59" t="e">
        <f>AND('GA55 Entry'!#REF!,"AAAAAH9/jo4=")</f>
        <v>#REF!</v>
      </c>
      <c r="EN59" t="e">
        <f>AND('GA55 Entry'!D65,"AAAAAH9/jo8=")</f>
        <v>#VALUE!</v>
      </c>
      <c r="EO59" t="e">
        <f>AND('GA55 Entry'!#REF!,"AAAAAH9/jpA=")</f>
        <v>#REF!</v>
      </c>
      <c r="EP59" t="e">
        <f>AND('GA55 Entry'!E65,"AAAAAH9/jpE=")</f>
        <v>#VALUE!</v>
      </c>
      <c r="EQ59" t="e">
        <f>AND('GA55 Entry'!F65,"AAAAAH9/jpI=")</f>
        <v>#VALUE!</v>
      </c>
      <c r="ER59" t="e">
        <f>AND('GA55 Entry'!G65,"AAAAAH9/jpM=")</f>
        <v>#VALUE!</v>
      </c>
      <c r="ES59" t="e">
        <f>AND('GA55 Entry'!H65,"AAAAAH9/jpQ=")</f>
        <v>#VALUE!</v>
      </c>
      <c r="ET59" t="e">
        <f>AND('GA55 Entry'!I65,"AAAAAH9/jpU=")</f>
        <v>#VALUE!</v>
      </c>
      <c r="EU59" t="e">
        <f>AND('GA55 Entry'!J65,"AAAAAH9/jpY=")</f>
        <v>#VALUE!</v>
      </c>
      <c r="EV59" t="e">
        <f>AND('GA55 Entry'!#REF!,"AAAAAH9/jpc=")</f>
        <v>#REF!</v>
      </c>
      <c r="EW59" t="e">
        <f>AND('GA55 Entry'!K65,"AAAAAH9/jpg=")</f>
        <v>#VALUE!</v>
      </c>
      <c r="EX59" t="e">
        <f>AND('GA55 Entry'!L65,"AAAAAH9/jpk=")</f>
        <v>#VALUE!</v>
      </c>
      <c r="EY59" t="e">
        <f>AND('GA55 Entry'!M65,"AAAAAH9/jpo=")</f>
        <v>#VALUE!</v>
      </c>
      <c r="EZ59" t="e">
        <f>AND('GA55 Entry'!N65,"AAAAAH9/jps=")</f>
        <v>#VALUE!</v>
      </c>
      <c r="FA59" t="e">
        <f>AND('GA55 Entry'!O65,"AAAAAH9/jpw=")</f>
        <v>#VALUE!</v>
      </c>
      <c r="FB59" t="e">
        <f>AND('GA55 Entry'!P65,"AAAAAH9/jp0=")</f>
        <v>#VALUE!</v>
      </c>
      <c r="FC59" t="e">
        <f>AND('GA55 Entry'!Q65,"AAAAAH9/jp4=")</f>
        <v>#VALUE!</v>
      </c>
      <c r="FD59" t="e">
        <f>AND('GA55 Entry'!S65,"AAAAAH9/jp8=")</f>
        <v>#VALUE!</v>
      </c>
      <c r="FE59" t="e">
        <f>AND('GA55 Entry'!#REF!,"AAAAAH9/jqA=")</f>
        <v>#REF!</v>
      </c>
      <c r="FF59" t="e">
        <f>AND('GA55 Entry'!T65,"AAAAAH9/jqE=")</f>
        <v>#VALUE!</v>
      </c>
      <c r="FG59" t="e">
        <f>AND('GA55 Entry'!U65,"AAAAAH9/jqI=")</f>
        <v>#VALUE!</v>
      </c>
      <c r="FH59" t="e">
        <f>AND('GA55 Entry'!V65,"AAAAAH9/jqM=")</f>
        <v>#VALUE!</v>
      </c>
      <c r="FI59" t="e">
        <f>AND('GA55 Entry'!#REF!,"AAAAAH9/jqQ=")</f>
        <v>#REF!</v>
      </c>
      <c r="FJ59" t="e">
        <f>AND('GA55 Entry'!#REF!,"AAAAAH9/jqU=")</f>
        <v>#REF!</v>
      </c>
      <c r="FK59" t="e">
        <f>AND('GA55 Entry'!X65,"AAAAAH9/jqY=")</f>
        <v>#VALUE!</v>
      </c>
      <c r="FL59" t="e">
        <f>AND('GA55 Entry'!Y65,"AAAAAH9/jqc=")</f>
        <v>#VALUE!</v>
      </c>
      <c r="FM59" t="e">
        <f>AND('GA55 Entry'!#REF!,"AAAAAH9/jqg=")</f>
        <v>#REF!</v>
      </c>
      <c r="FN59" t="e">
        <f>AND('GA55 Entry'!#REF!,"AAAAAH9/jqk=")</f>
        <v>#REF!</v>
      </c>
      <c r="FO59" t="e">
        <f>AND('GA55 Entry'!#REF!,"AAAAAH9/jqo=")</f>
        <v>#REF!</v>
      </c>
      <c r="FP59" t="e">
        <f>AND('GA55 Entry'!#REF!,"AAAAAH9/jqs=")</f>
        <v>#REF!</v>
      </c>
      <c r="FQ59" t="e">
        <f>AND('GA55 Entry'!#REF!,"AAAAAH9/jqw=")</f>
        <v>#REF!</v>
      </c>
      <c r="FR59" t="e">
        <f>AND('GA55 Entry'!#REF!,"AAAAAH9/jq0=")</f>
        <v>#REF!</v>
      </c>
      <c r="FS59" t="e">
        <f>AND('GA55 Entry'!#REF!,"AAAAAH9/jq4=")</f>
        <v>#REF!</v>
      </c>
      <c r="FT59" t="e">
        <f>AND('GA55 Entry'!#REF!,"AAAAAH9/jq8=")</f>
        <v>#REF!</v>
      </c>
      <c r="FU59" t="e">
        <f>AND('GA55 Entry'!#REF!,"AAAAAH9/jrA=")</f>
        <v>#REF!</v>
      </c>
      <c r="FV59" t="e">
        <f>AND('GA55 Entry'!Z65,"AAAAAH9/jrE=")</f>
        <v>#VALUE!</v>
      </c>
      <c r="FW59" t="e">
        <f>AND('GA55 Entry'!AA65,"AAAAAH9/jrI=")</f>
        <v>#VALUE!</v>
      </c>
      <c r="FX59" t="e">
        <f>AND('GA55 Entry'!#REF!,"AAAAAH9/jrM=")</f>
        <v>#REF!</v>
      </c>
      <c r="FY59" t="e">
        <f>AND('GA55 Entry'!#REF!,"AAAAAH9/jrQ=")</f>
        <v>#REF!</v>
      </c>
      <c r="FZ59" t="e">
        <f>AND('GA55 Entry'!#REF!,"AAAAAH9/jrU=")</f>
        <v>#REF!</v>
      </c>
      <c r="GA59" t="e">
        <f>AND('GA55 Entry'!AB65,"AAAAAH9/jrY=")</f>
        <v>#VALUE!</v>
      </c>
      <c r="GB59" t="e">
        <f>AND('GA55 Entry'!AC65,"AAAAAH9/jrc=")</f>
        <v>#VALUE!</v>
      </c>
      <c r="GC59" t="e">
        <f>AND('GA55 Entry'!#REF!,"AAAAAH9/jrg=")</f>
        <v>#REF!</v>
      </c>
      <c r="GD59">
        <f>IF('GA55 Entry'!66:66,"AAAAAH9/jrk=",0)</f>
        <v>0</v>
      </c>
      <c r="GE59" t="e">
        <f>AND('GA55 Entry'!B66,"AAAAAH9/jro=")</f>
        <v>#VALUE!</v>
      </c>
      <c r="GF59" t="e">
        <f>AND('GA55 Entry'!#REF!,"AAAAAH9/jrs=")</f>
        <v>#REF!</v>
      </c>
      <c r="GG59" t="e">
        <f>AND('GA55 Entry'!C66,"AAAAAH9/jrw=")</f>
        <v>#VALUE!</v>
      </c>
      <c r="GH59" t="e">
        <f>AND('GA55 Entry'!#REF!,"AAAAAH9/jr0=")</f>
        <v>#REF!</v>
      </c>
      <c r="GI59" t="e">
        <f>AND('GA55 Entry'!#REF!,"AAAAAH9/jr4=")</f>
        <v>#REF!</v>
      </c>
      <c r="GJ59" t="e">
        <f>AND('GA55 Entry'!#REF!,"AAAAAH9/jr8=")</f>
        <v>#REF!</v>
      </c>
      <c r="GK59" t="e">
        <f>AND('GA55 Entry'!#REF!,"AAAAAH9/jsA=")</f>
        <v>#REF!</v>
      </c>
      <c r="GL59" t="e">
        <f>AND('GA55 Entry'!#REF!,"AAAAAH9/jsE=")</f>
        <v>#REF!</v>
      </c>
      <c r="GM59" t="e">
        <f>AND('GA55 Entry'!D66,"AAAAAH9/jsI=")</f>
        <v>#VALUE!</v>
      </c>
      <c r="GN59" t="e">
        <f>AND('GA55 Entry'!#REF!,"AAAAAH9/jsM=")</f>
        <v>#REF!</v>
      </c>
      <c r="GO59" t="e">
        <f>AND('GA55 Entry'!E66,"AAAAAH9/jsQ=")</f>
        <v>#VALUE!</v>
      </c>
      <c r="GP59" t="e">
        <f>AND('GA55 Entry'!F66,"AAAAAH9/jsU=")</f>
        <v>#VALUE!</v>
      </c>
      <c r="GQ59" t="e">
        <f>AND('GA55 Entry'!G66,"AAAAAH9/jsY=")</f>
        <v>#VALUE!</v>
      </c>
      <c r="GR59" t="e">
        <f>AND('GA55 Entry'!H66,"AAAAAH9/jsc=")</f>
        <v>#VALUE!</v>
      </c>
      <c r="GS59" t="e">
        <f>AND('GA55 Entry'!I66,"AAAAAH9/jsg=")</f>
        <v>#VALUE!</v>
      </c>
      <c r="GT59" t="e">
        <f>AND('GA55 Entry'!J66,"AAAAAH9/jsk=")</f>
        <v>#VALUE!</v>
      </c>
      <c r="GU59" t="e">
        <f>AND('GA55 Entry'!#REF!,"AAAAAH9/jso=")</f>
        <v>#REF!</v>
      </c>
      <c r="GV59" t="e">
        <f>AND('GA55 Entry'!K66,"AAAAAH9/jss=")</f>
        <v>#VALUE!</v>
      </c>
      <c r="GW59" t="e">
        <f>AND('GA55 Entry'!L66,"AAAAAH9/jsw=")</f>
        <v>#VALUE!</v>
      </c>
      <c r="GX59" t="e">
        <f>AND('GA55 Entry'!M66,"AAAAAH9/js0=")</f>
        <v>#VALUE!</v>
      </c>
      <c r="GY59" t="e">
        <f>AND('GA55 Entry'!N66,"AAAAAH9/js4=")</f>
        <v>#VALUE!</v>
      </c>
      <c r="GZ59" t="e">
        <f>AND('GA55 Entry'!O66,"AAAAAH9/js8=")</f>
        <v>#VALUE!</v>
      </c>
      <c r="HA59" t="e">
        <f>AND('GA55 Entry'!P66,"AAAAAH9/jtA=")</f>
        <v>#VALUE!</v>
      </c>
      <c r="HB59" t="e">
        <f>AND('GA55 Entry'!Q66,"AAAAAH9/jtE=")</f>
        <v>#VALUE!</v>
      </c>
      <c r="HC59" t="e">
        <f>AND('GA55 Entry'!S66,"AAAAAH9/jtI=")</f>
        <v>#VALUE!</v>
      </c>
      <c r="HD59" t="e">
        <f>AND('GA55 Entry'!#REF!,"AAAAAH9/jtM=")</f>
        <v>#REF!</v>
      </c>
      <c r="HE59" t="e">
        <f>AND('GA55 Entry'!T66,"AAAAAH9/jtQ=")</f>
        <v>#VALUE!</v>
      </c>
      <c r="HF59" t="e">
        <f>AND('GA55 Entry'!U66,"AAAAAH9/jtU=")</f>
        <v>#VALUE!</v>
      </c>
      <c r="HG59" t="e">
        <f>AND('GA55 Entry'!V66,"AAAAAH9/jtY=")</f>
        <v>#VALUE!</v>
      </c>
      <c r="HH59" t="e">
        <f>AND('GA55 Entry'!#REF!,"AAAAAH9/jtc=")</f>
        <v>#REF!</v>
      </c>
      <c r="HI59" t="e">
        <f>AND('GA55 Entry'!#REF!,"AAAAAH9/jtg=")</f>
        <v>#REF!</v>
      </c>
      <c r="HJ59" t="e">
        <f>AND('GA55 Entry'!X66,"AAAAAH9/jtk=")</f>
        <v>#VALUE!</v>
      </c>
      <c r="HK59" t="e">
        <f>AND('GA55 Entry'!Y66,"AAAAAH9/jto=")</f>
        <v>#VALUE!</v>
      </c>
      <c r="HL59" t="e">
        <f>AND('GA55 Entry'!#REF!,"AAAAAH9/jts=")</f>
        <v>#REF!</v>
      </c>
      <c r="HM59" t="e">
        <f>AND('GA55 Entry'!#REF!,"AAAAAH9/jtw=")</f>
        <v>#REF!</v>
      </c>
      <c r="HN59" t="e">
        <f>AND('GA55 Entry'!#REF!,"AAAAAH9/jt0=")</f>
        <v>#REF!</v>
      </c>
      <c r="HO59" t="e">
        <f>AND('GA55 Entry'!#REF!,"AAAAAH9/jt4=")</f>
        <v>#REF!</v>
      </c>
      <c r="HP59" t="e">
        <f>AND('GA55 Entry'!#REF!,"AAAAAH9/jt8=")</f>
        <v>#REF!</v>
      </c>
      <c r="HQ59" t="e">
        <f>AND('GA55 Entry'!#REF!,"AAAAAH9/juA=")</f>
        <v>#REF!</v>
      </c>
      <c r="HR59" t="e">
        <f>AND('GA55 Entry'!#REF!,"AAAAAH9/juE=")</f>
        <v>#REF!</v>
      </c>
      <c r="HS59" t="e">
        <f>AND('GA55 Entry'!#REF!,"AAAAAH9/juI=")</f>
        <v>#REF!</v>
      </c>
      <c r="HT59" t="e">
        <f>AND('GA55 Entry'!#REF!,"AAAAAH9/juM=")</f>
        <v>#REF!</v>
      </c>
      <c r="HU59" t="e">
        <f>AND('GA55 Entry'!Z66,"AAAAAH9/juQ=")</f>
        <v>#VALUE!</v>
      </c>
      <c r="HV59" t="e">
        <f>AND('GA55 Entry'!AA66,"AAAAAH9/juU=")</f>
        <v>#VALUE!</v>
      </c>
      <c r="HW59" t="e">
        <f>AND('GA55 Entry'!#REF!,"AAAAAH9/juY=")</f>
        <v>#REF!</v>
      </c>
      <c r="HX59" t="e">
        <f>AND('GA55 Entry'!#REF!,"AAAAAH9/juc=")</f>
        <v>#REF!</v>
      </c>
      <c r="HY59" t="e">
        <f>AND('GA55 Entry'!#REF!,"AAAAAH9/jug=")</f>
        <v>#REF!</v>
      </c>
      <c r="HZ59" t="e">
        <f>AND('GA55 Entry'!AB66,"AAAAAH9/juk=")</f>
        <v>#VALUE!</v>
      </c>
      <c r="IA59" t="e">
        <f>AND('GA55 Entry'!AC66,"AAAAAH9/juo=")</f>
        <v>#VALUE!</v>
      </c>
      <c r="IB59" t="e">
        <f>AND('GA55 Entry'!#REF!,"AAAAAH9/jus=")</f>
        <v>#REF!</v>
      </c>
      <c r="IC59">
        <f>IF('GA55 Entry'!67:67,"AAAAAH9/juw=",0)</f>
        <v>0</v>
      </c>
      <c r="ID59" t="e">
        <f>AND('GA55 Entry'!B67,"AAAAAH9/ju0=")</f>
        <v>#VALUE!</v>
      </c>
      <c r="IE59" t="e">
        <f>AND('GA55 Entry'!#REF!,"AAAAAH9/ju4=")</f>
        <v>#REF!</v>
      </c>
      <c r="IF59" t="e">
        <f>AND('GA55 Entry'!C67,"AAAAAH9/ju8=")</f>
        <v>#VALUE!</v>
      </c>
      <c r="IG59" t="e">
        <f>AND('GA55 Entry'!#REF!,"AAAAAH9/jvA=")</f>
        <v>#REF!</v>
      </c>
      <c r="IH59" t="e">
        <f>AND('GA55 Entry'!#REF!,"AAAAAH9/jvE=")</f>
        <v>#REF!</v>
      </c>
      <c r="II59" t="e">
        <f>AND('GA55 Entry'!#REF!,"AAAAAH9/jvI=")</f>
        <v>#REF!</v>
      </c>
      <c r="IJ59" t="e">
        <f>AND('GA55 Entry'!#REF!,"AAAAAH9/jvM=")</f>
        <v>#REF!</v>
      </c>
      <c r="IK59" t="e">
        <f>AND('GA55 Entry'!#REF!,"AAAAAH9/jvQ=")</f>
        <v>#REF!</v>
      </c>
      <c r="IL59" t="e">
        <f>AND('GA55 Entry'!D67,"AAAAAH9/jvU=")</f>
        <v>#VALUE!</v>
      </c>
      <c r="IM59" t="e">
        <f>AND('GA55 Entry'!#REF!,"AAAAAH9/jvY=")</f>
        <v>#REF!</v>
      </c>
      <c r="IN59" t="e">
        <f>AND('GA55 Entry'!E67,"AAAAAH9/jvc=")</f>
        <v>#VALUE!</v>
      </c>
      <c r="IO59" t="e">
        <f>AND('GA55 Entry'!F67,"AAAAAH9/jvg=")</f>
        <v>#VALUE!</v>
      </c>
      <c r="IP59" t="e">
        <f>AND('GA55 Entry'!G67,"AAAAAH9/jvk=")</f>
        <v>#VALUE!</v>
      </c>
      <c r="IQ59" t="e">
        <f>AND('GA55 Entry'!H67,"AAAAAH9/jvo=")</f>
        <v>#VALUE!</v>
      </c>
      <c r="IR59" t="e">
        <f>AND('GA55 Entry'!I67,"AAAAAH9/jvs=")</f>
        <v>#VALUE!</v>
      </c>
      <c r="IS59" t="e">
        <f>AND('GA55 Entry'!J67,"AAAAAH9/jvw=")</f>
        <v>#VALUE!</v>
      </c>
      <c r="IT59" t="e">
        <f>AND('GA55 Entry'!#REF!,"AAAAAH9/jv0=")</f>
        <v>#REF!</v>
      </c>
      <c r="IU59" t="e">
        <f>AND('GA55 Entry'!K67,"AAAAAH9/jv4=")</f>
        <v>#VALUE!</v>
      </c>
      <c r="IV59" t="e">
        <f>AND('GA55 Entry'!L67,"AAAAAH9/jv8=")</f>
        <v>#VALUE!</v>
      </c>
    </row>
    <row r="60" spans="1:256">
      <c r="A60" t="e">
        <f>AND('GA55 Entry'!M67,"AAAAAGf/fgA=")</f>
        <v>#VALUE!</v>
      </c>
      <c r="B60" t="e">
        <f>AND('GA55 Entry'!N67,"AAAAAGf/fgE=")</f>
        <v>#VALUE!</v>
      </c>
      <c r="C60" t="e">
        <f>AND('GA55 Entry'!O67,"AAAAAGf/fgI=")</f>
        <v>#VALUE!</v>
      </c>
      <c r="D60" t="e">
        <f>AND('GA55 Entry'!P67,"AAAAAGf/fgM=")</f>
        <v>#VALUE!</v>
      </c>
      <c r="E60" t="e">
        <f>AND('GA55 Entry'!Q67,"AAAAAGf/fgQ=")</f>
        <v>#VALUE!</v>
      </c>
      <c r="F60" t="e">
        <f>AND('GA55 Entry'!S67,"AAAAAGf/fgU=")</f>
        <v>#VALUE!</v>
      </c>
      <c r="G60" t="e">
        <f>AND('GA55 Entry'!#REF!,"AAAAAGf/fgY=")</f>
        <v>#REF!</v>
      </c>
      <c r="H60" t="e">
        <f>AND('GA55 Entry'!T67,"AAAAAGf/fgc=")</f>
        <v>#VALUE!</v>
      </c>
      <c r="I60" t="e">
        <f>AND('GA55 Entry'!U67,"AAAAAGf/fgg=")</f>
        <v>#VALUE!</v>
      </c>
      <c r="J60" t="e">
        <f>AND('GA55 Entry'!V67,"AAAAAGf/fgk=")</f>
        <v>#VALUE!</v>
      </c>
      <c r="K60" t="e">
        <f>AND('GA55 Entry'!#REF!,"AAAAAGf/fgo=")</f>
        <v>#REF!</v>
      </c>
      <c r="L60" t="e">
        <f>AND('GA55 Entry'!#REF!,"AAAAAGf/fgs=")</f>
        <v>#REF!</v>
      </c>
      <c r="M60" t="e">
        <f>AND('GA55 Entry'!X67,"AAAAAGf/fgw=")</f>
        <v>#VALUE!</v>
      </c>
      <c r="N60" t="e">
        <f>AND('GA55 Entry'!Y67,"AAAAAGf/fg0=")</f>
        <v>#VALUE!</v>
      </c>
      <c r="O60" t="e">
        <f>AND('GA55 Entry'!#REF!,"AAAAAGf/fg4=")</f>
        <v>#REF!</v>
      </c>
      <c r="P60" t="e">
        <f>AND('GA55 Entry'!#REF!,"AAAAAGf/fg8=")</f>
        <v>#REF!</v>
      </c>
      <c r="Q60" t="e">
        <f>AND('GA55 Entry'!#REF!,"AAAAAGf/fhA=")</f>
        <v>#REF!</v>
      </c>
      <c r="R60" t="e">
        <f>AND('GA55 Entry'!#REF!,"AAAAAGf/fhE=")</f>
        <v>#REF!</v>
      </c>
      <c r="S60" t="e">
        <f>AND('GA55 Entry'!#REF!,"AAAAAGf/fhI=")</f>
        <v>#REF!</v>
      </c>
      <c r="T60" t="e">
        <f>AND('GA55 Entry'!#REF!,"AAAAAGf/fhM=")</f>
        <v>#REF!</v>
      </c>
      <c r="U60" t="e">
        <f>AND('GA55 Entry'!#REF!,"AAAAAGf/fhQ=")</f>
        <v>#REF!</v>
      </c>
      <c r="V60" t="e">
        <f>AND('GA55 Entry'!#REF!,"AAAAAGf/fhU=")</f>
        <v>#REF!</v>
      </c>
      <c r="W60" t="e">
        <f>AND('GA55 Entry'!#REF!,"AAAAAGf/fhY=")</f>
        <v>#REF!</v>
      </c>
      <c r="X60" t="e">
        <f>AND('GA55 Entry'!Z67,"AAAAAGf/fhc=")</f>
        <v>#VALUE!</v>
      </c>
      <c r="Y60" t="e">
        <f>AND('GA55 Entry'!AA67,"AAAAAGf/fhg=")</f>
        <v>#VALUE!</v>
      </c>
      <c r="Z60" t="e">
        <f>AND('GA55 Entry'!#REF!,"AAAAAGf/fhk=")</f>
        <v>#REF!</v>
      </c>
      <c r="AA60" t="e">
        <f>AND('GA55 Entry'!#REF!,"AAAAAGf/fho=")</f>
        <v>#REF!</v>
      </c>
      <c r="AB60" t="e">
        <f>AND('GA55 Entry'!#REF!,"AAAAAGf/fhs=")</f>
        <v>#REF!</v>
      </c>
      <c r="AC60" t="e">
        <f>AND('GA55 Entry'!AB67,"AAAAAGf/fhw=")</f>
        <v>#VALUE!</v>
      </c>
      <c r="AD60" t="e">
        <f>AND('GA55 Entry'!AC67,"AAAAAGf/fh0=")</f>
        <v>#VALUE!</v>
      </c>
      <c r="AE60" t="e">
        <f>AND('GA55 Entry'!#REF!,"AAAAAGf/fh4=")</f>
        <v>#REF!</v>
      </c>
      <c r="AF60">
        <f>IF('GA55 Entry'!68:68,"AAAAAGf/fh8=",0)</f>
        <v>0</v>
      </c>
      <c r="AG60" t="e">
        <f>AND('GA55 Entry'!B68,"AAAAAGf/fiA=")</f>
        <v>#VALUE!</v>
      </c>
      <c r="AH60" t="e">
        <f>AND('GA55 Entry'!#REF!,"AAAAAGf/fiE=")</f>
        <v>#REF!</v>
      </c>
      <c r="AI60" t="e">
        <f>AND('GA55 Entry'!C68,"AAAAAGf/fiI=")</f>
        <v>#VALUE!</v>
      </c>
      <c r="AJ60" t="e">
        <f>AND('GA55 Entry'!#REF!,"AAAAAGf/fiM=")</f>
        <v>#REF!</v>
      </c>
      <c r="AK60" t="e">
        <f>AND('GA55 Entry'!#REF!,"AAAAAGf/fiQ=")</f>
        <v>#REF!</v>
      </c>
      <c r="AL60" t="e">
        <f>AND('GA55 Entry'!#REF!,"AAAAAGf/fiU=")</f>
        <v>#REF!</v>
      </c>
      <c r="AM60" t="e">
        <f>AND('GA55 Entry'!#REF!,"AAAAAGf/fiY=")</f>
        <v>#REF!</v>
      </c>
      <c r="AN60" t="e">
        <f>AND('GA55 Entry'!#REF!,"AAAAAGf/fic=")</f>
        <v>#REF!</v>
      </c>
      <c r="AO60" t="e">
        <f>AND('GA55 Entry'!D68,"AAAAAGf/fig=")</f>
        <v>#VALUE!</v>
      </c>
      <c r="AP60" t="e">
        <f>AND('GA55 Entry'!#REF!,"AAAAAGf/fik=")</f>
        <v>#REF!</v>
      </c>
      <c r="AQ60" t="e">
        <f>AND('GA55 Entry'!E68,"AAAAAGf/fio=")</f>
        <v>#VALUE!</v>
      </c>
      <c r="AR60" t="e">
        <f>AND('GA55 Entry'!F68,"AAAAAGf/fis=")</f>
        <v>#VALUE!</v>
      </c>
      <c r="AS60" t="e">
        <f>AND('GA55 Entry'!G68,"AAAAAGf/fiw=")</f>
        <v>#VALUE!</v>
      </c>
      <c r="AT60" t="e">
        <f>AND('GA55 Entry'!H68,"AAAAAGf/fi0=")</f>
        <v>#VALUE!</v>
      </c>
      <c r="AU60" t="e">
        <f>AND('GA55 Entry'!I68,"AAAAAGf/fi4=")</f>
        <v>#VALUE!</v>
      </c>
      <c r="AV60" t="e">
        <f>AND('GA55 Entry'!J68,"AAAAAGf/fi8=")</f>
        <v>#VALUE!</v>
      </c>
      <c r="AW60" t="e">
        <f>AND('GA55 Entry'!#REF!,"AAAAAGf/fjA=")</f>
        <v>#REF!</v>
      </c>
      <c r="AX60" t="e">
        <f>AND('GA55 Entry'!K68,"AAAAAGf/fjE=")</f>
        <v>#VALUE!</v>
      </c>
      <c r="AY60" t="e">
        <f>AND('GA55 Entry'!L68,"AAAAAGf/fjI=")</f>
        <v>#VALUE!</v>
      </c>
      <c r="AZ60" t="e">
        <f>AND('GA55 Entry'!M68,"AAAAAGf/fjM=")</f>
        <v>#VALUE!</v>
      </c>
      <c r="BA60" t="e">
        <f>AND('GA55 Entry'!N68,"AAAAAGf/fjQ=")</f>
        <v>#VALUE!</v>
      </c>
      <c r="BB60" t="e">
        <f>AND('GA55 Entry'!O68,"AAAAAGf/fjU=")</f>
        <v>#VALUE!</v>
      </c>
      <c r="BC60" t="e">
        <f>AND('GA55 Entry'!P68,"AAAAAGf/fjY=")</f>
        <v>#VALUE!</v>
      </c>
      <c r="BD60" t="e">
        <f>AND('GA55 Entry'!Q68,"AAAAAGf/fjc=")</f>
        <v>#VALUE!</v>
      </c>
      <c r="BE60" t="e">
        <f>AND('GA55 Entry'!S68,"AAAAAGf/fjg=")</f>
        <v>#VALUE!</v>
      </c>
      <c r="BF60" t="e">
        <f>AND('GA55 Entry'!#REF!,"AAAAAGf/fjk=")</f>
        <v>#REF!</v>
      </c>
      <c r="BG60" t="e">
        <f>AND('GA55 Entry'!T68,"AAAAAGf/fjo=")</f>
        <v>#VALUE!</v>
      </c>
      <c r="BH60" t="e">
        <f>AND('GA55 Entry'!U68,"AAAAAGf/fjs=")</f>
        <v>#VALUE!</v>
      </c>
      <c r="BI60" t="e">
        <f>AND('GA55 Entry'!V68,"AAAAAGf/fjw=")</f>
        <v>#VALUE!</v>
      </c>
      <c r="BJ60" t="e">
        <f>AND('GA55 Entry'!#REF!,"AAAAAGf/fj0=")</f>
        <v>#REF!</v>
      </c>
      <c r="BK60" t="e">
        <f>AND('GA55 Entry'!#REF!,"AAAAAGf/fj4=")</f>
        <v>#REF!</v>
      </c>
      <c r="BL60" t="e">
        <f>AND('GA55 Entry'!X68,"AAAAAGf/fj8=")</f>
        <v>#VALUE!</v>
      </c>
      <c r="BM60" t="e">
        <f>AND('GA55 Entry'!Y68,"AAAAAGf/fkA=")</f>
        <v>#VALUE!</v>
      </c>
      <c r="BN60" t="e">
        <f>AND('GA55 Entry'!#REF!,"AAAAAGf/fkE=")</f>
        <v>#REF!</v>
      </c>
      <c r="BO60" t="e">
        <f>AND('GA55 Entry'!#REF!,"AAAAAGf/fkI=")</f>
        <v>#REF!</v>
      </c>
      <c r="BP60" t="e">
        <f>AND('GA55 Entry'!#REF!,"AAAAAGf/fkM=")</f>
        <v>#REF!</v>
      </c>
      <c r="BQ60" t="e">
        <f>AND('GA55 Entry'!#REF!,"AAAAAGf/fkQ=")</f>
        <v>#REF!</v>
      </c>
      <c r="BR60" t="e">
        <f>AND('GA55 Entry'!#REF!,"AAAAAGf/fkU=")</f>
        <v>#REF!</v>
      </c>
      <c r="BS60" t="e">
        <f>AND('GA55 Entry'!#REF!,"AAAAAGf/fkY=")</f>
        <v>#REF!</v>
      </c>
      <c r="BT60" t="e">
        <f>AND('GA55 Entry'!#REF!,"AAAAAGf/fkc=")</f>
        <v>#REF!</v>
      </c>
      <c r="BU60" t="e">
        <f>AND('GA55 Entry'!#REF!,"AAAAAGf/fkg=")</f>
        <v>#REF!</v>
      </c>
      <c r="BV60" t="e">
        <f>AND('GA55 Entry'!#REF!,"AAAAAGf/fkk=")</f>
        <v>#REF!</v>
      </c>
      <c r="BW60" t="e">
        <f>AND('GA55 Entry'!Z68,"AAAAAGf/fko=")</f>
        <v>#VALUE!</v>
      </c>
      <c r="BX60" t="e">
        <f>AND('GA55 Entry'!AA68,"AAAAAGf/fks=")</f>
        <v>#VALUE!</v>
      </c>
      <c r="BY60" t="e">
        <f>AND('GA55 Entry'!#REF!,"AAAAAGf/fkw=")</f>
        <v>#REF!</v>
      </c>
      <c r="BZ60" t="e">
        <f>AND('GA55 Entry'!#REF!,"AAAAAGf/fk0=")</f>
        <v>#REF!</v>
      </c>
      <c r="CA60" t="e">
        <f>AND('GA55 Entry'!#REF!,"AAAAAGf/fk4=")</f>
        <v>#REF!</v>
      </c>
      <c r="CB60" t="e">
        <f>AND('GA55 Entry'!AB68,"AAAAAGf/fk8=")</f>
        <v>#VALUE!</v>
      </c>
      <c r="CC60" t="e">
        <f>AND('GA55 Entry'!AC68,"AAAAAGf/flA=")</f>
        <v>#VALUE!</v>
      </c>
      <c r="CD60" t="e">
        <f>AND('GA55 Entry'!#REF!,"AAAAAGf/flE=")</f>
        <v>#REF!</v>
      </c>
      <c r="CE60">
        <f>IF('GA55 Entry'!69:69,"AAAAAGf/flI=",0)</f>
        <v>0</v>
      </c>
      <c r="CF60" t="e">
        <f>AND('GA55 Entry'!B69,"AAAAAGf/flM=")</f>
        <v>#VALUE!</v>
      </c>
      <c r="CG60" t="e">
        <f>AND('GA55 Entry'!#REF!,"AAAAAGf/flQ=")</f>
        <v>#REF!</v>
      </c>
      <c r="CH60" t="e">
        <f>AND('GA55 Entry'!C69,"AAAAAGf/flU=")</f>
        <v>#VALUE!</v>
      </c>
      <c r="CI60" t="e">
        <f>AND('GA55 Entry'!#REF!,"AAAAAGf/flY=")</f>
        <v>#REF!</v>
      </c>
      <c r="CJ60" t="e">
        <f>AND('GA55 Entry'!#REF!,"AAAAAGf/flc=")</f>
        <v>#REF!</v>
      </c>
      <c r="CK60" t="e">
        <f>AND('GA55 Entry'!#REF!,"AAAAAGf/flg=")</f>
        <v>#REF!</v>
      </c>
      <c r="CL60" t="e">
        <f>AND('GA55 Entry'!#REF!,"AAAAAGf/flk=")</f>
        <v>#REF!</v>
      </c>
      <c r="CM60" t="e">
        <f>AND('GA55 Entry'!#REF!,"AAAAAGf/flo=")</f>
        <v>#REF!</v>
      </c>
      <c r="CN60" t="e">
        <f>AND('GA55 Entry'!D69,"AAAAAGf/fls=")</f>
        <v>#VALUE!</v>
      </c>
      <c r="CO60" t="e">
        <f>AND('GA55 Entry'!#REF!,"AAAAAGf/flw=")</f>
        <v>#REF!</v>
      </c>
      <c r="CP60" t="e">
        <f>AND('GA55 Entry'!E69,"AAAAAGf/fl0=")</f>
        <v>#VALUE!</v>
      </c>
      <c r="CQ60" t="e">
        <f>AND('GA55 Entry'!F69,"AAAAAGf/fl4=")</f>
        <v>#VALUE!</v>
      </c>
      <c r="CR60" t="e">
        <f>AND('GA55 Entry'!G69,"AAAAAGf/fl8=")</f>
        <v>#VALUE!</v>
      </c>
      <c r="CS60" t="e">
        <f>AND('GA55 Entry'!H69,"AAAAAGf/fmA=")</f>
        <v>#VALUE!</v>
      </c>
      <c r="CT60" t="e">
        <f>AND('GA55 Entry'!I69,"AAAAAGf/fmE=")</f>
        <v>#VALUE!</v>
      </c>
      <c r="CU60" t="e">
        <f>AND('GA55 Entry'!J69,"AAAAAGf/fmI=")</f>
        <v>#VALUE!</v>
      </c>
      <c r="CV60" t="e">
        <f>AND('GA55 Entry'!#REF!,"AAAAAGf/fmM=")</f>
        <v>#REF!</v>
      </c>
      <c r="CW60" t="e">
        <f>AND('GA55 Entry'!K69,"AAAAAGf/fmQ=")</f>
        <v>#VALUE!</v>
      </c>
      <c r="CX60" t="e">
        <f>AND('GA55 Entry'!L69,"AAAAAGf/fmU=")</f>
        <v>#VALUE!</v>
      </c>
      <c r="CY60" t="e">
        <f>AND('GA55 Entry'!M69,"AAAAAGf/fmY=")</f>
        <v>#VALUE!</v>
      </c>
      <c r="CZ60" t="e">
        <f>AND('GA55 Entry'!N69,"AAAAAGf/fmc=")</f>
        <v>#VALUE!</v>
      </c>
      <c r="DA60" t="e">
        <f>AND('GA55 Entry'!O69,"AAAAAGf/fmg=")</f>
        <v>#VALUE!</v>
      </c>
      <c r="DB60" t="e">
        <f>AND('GA55 Entry'!P69,"AAAAAGf/fmk=")</f>
        <v>#VALUE!</v>
      </c>
      <c r="DC60" t="e">
        <f>AND('GA55 Entry'!Q69,"AAAAAGf/fmo=")</f>
        <v>#VALUE!</v>
      </c>
      <c r="DD60" t="e">
        <f>AND('GA55 Entry'!S69,"AAAAAGf/fms=")</f>
        <v>#VALUE!</v>
      </c>
      <c r="DE60" t="e">
        <f>AND('GA55 Entry'!#REF!,"AAAAAGf/fmw=")</f>
        <v>#REF!</v>
      </c>
      <c r="DF60" t="e">
        <f>AND('GA55 Entry'!T69,"AAAAAGf/fm0=")</f>
        <v>#VALUE!</v>
      </c>
      <c r="DG60" t="e">
        <f>AND('GA55 Entry'!U69,"AAAAAGf/fm4=")</f>
        <v>#VALUE!</v>
      </c>
      <c r="DH60" t="e">
        <f>AND('GA55 Entry'!V69,"AAAAAGf/fm8=")</f>
        <v>#VALUE!</v>
      </c>
      <c r="DI60" t="e">
        <f>AND('GA55 Entry'!#REF!,"AAAAAGf/fnA=")</f>
        <v>#REF!</v>
      </c>
      <c r="DJ60" t="e">
        <f>AND('GA55 Entry'!#REF!,"AAAAAGf/fnE=")</f>
        <v>#REF!</v>
      </c>
      <c r="DK60" t="e">
        <f>AND('GA55 Entry'!X69,"AAAAAGf/fnI=")</f>
        <v>#VALUE!</v>
      </c>
      <c r="DL60" t="e">
        <f>AND('GA55 Entry'!Y69,"AAAAAGf/fnM=")</f>
        <v>#VALUE!</v>
      </c>
      <c r="DM60" t="e">
        <f>AND('GA55 Entry'!#REF!,"AAAAAGf/fnQ=")</f>
        <v>#REF!</v>
      </c>
      <c r="DN60" t="e">
        <f>AND('GA55 Entry'!#REF!,"AAAAAGf/fnU=")</f>
        <v>#REF!</v>
      </c>
      <c r="DO60" t="e">
        <f>AND('GA55 Entry'!#REF!,"AAAAAGf/fnY=")</f>
        <v>#REF!</v>
      </c>
      <c r="DP60" t="e">
        <f>AND('GA55 Entry'!#REF!,"AAAAAGf/fnc=")</f>
        <v>#REF!</v>
      </c>
      <c r="DQ60" t="e">
        <f>AND('GA55 Entry'!#REF!,"AAAAAGf/fng=")</f>
        <v>#REF!</v>
      </c>
      <c r="DR60" t="e">
        <f>AND('GA55 Entry'!#REF!,"AAAAAGf/fnk=")</f>
        <v>#REF!</v>
      </c>
      <c r="DS60" t="e">
        <f>AND('GA55 Entry'!#REF!,"AAAAAGf/fno=")</f>
        <v>#REF!</v>
      </c>
      <c r="DT60" t="e">
        <f>AND('GA55 Entry'!#REF!,"AAAAAGf/fns=")</f>
        <v>#REF!</v>
      </c>
      <c r="DU60" t="e">
        <f>AND('GA55 Entry'!#REF!,"AAAAAGf/fnw=")</f>
        <v>#REF!</v>
      </c>
      <c r="DV60" t="e">
        <f>AND('GA55 Entry'!Z69,"AAAAAGf/fn0=")</f>
        <v>#VALUE!</v>
      </c>
      <c r="DW60" t="e">
        <f>AND('GA55 Entry'!AA69,"AAAAAGf/fn4=")</f>
        <v>#VALUE!</v>
      </c>
      <c r="DX60" t="e">
        <f>AND('GA55 Entry'!#REF!,"AAAAAGf/fn8=")</f>
        <v>#REF!</v>
      </c>
      <c r="DY60" t="e">
        <f>AND('GA55 Entry'!#REF!,"AAAAAGf/foA=")</f>
        <v>#REF!</v>
      </c>
      <c r="DZ60" t="e">
        <f>AND('GA55 Entry'!#REF!,"AAAAAGf/foE=")</f>
        <v>#REF!</v>
      </c>
      <c r="EA60" t="e">
        <f>AND('GA55 Entry'!AB69,"AAAAAGf/foI=")</f>
        <v>#VALUE!</v>
      </c>
      <c r="EB60" t="e">
        <f>AND('GA55 Entry'!AC69,"AAAAAGf/foM=")</f>
        <v>#VALUE!</v>
      </c>
      <c r="EC60" t="e">
        <f>AND('GA55 Entry'!#REF!,"AAAAAGf/foQ=")</f>
        <v>#REF!</v>
      </c>
      <c r="ED60">
        <f>IF('GA55 Entry'!70:70,"AAAAAGf/foU=",0)</f>
        <v>0</v>
      </c>
      <c r="EE60" t="e">
        <f>AND('GA55 Entry'!B70,"AAAAAGf/foY=")</f>
        <v>#VALUE!</v>
      </c>
      <c r="EF60" t="e">
        <f>AND('GA55 Entry'!#REF!,"AAAAAGf/foc=")</f>
        <v>#REF!</v>
      </c>
      <c r="EG60" t="e">
        <f>AND('GA55 Entry'!C70,"AAAAAGf/fog=")</f>
        <v>#VALUE!</v>
      </c>
      <c r="EH60" t="e">
        <f>AND('GA55 Entry'!#REF!,"AAAAAGf/fok=")</f>
        <v>#REF!</v>
      </c>
      <c r="EI60" t="e">
        <f>AND('GA55 Entry'!#REF!,"AAAAAGf/foo=")</f>
        <v>#REF!</v>
      </c>
      <c r="EJ60" t="e">
        <f>AND('GA55 Entry'!#REF!,"AAAAAGf/fos=")</f>
        <v>#REF!</v>
      </c>
      <c r="EK60" t="e">
        <f>AND('GA55 Entry'!#REF!,"AAAAAGf/fow=")</f>
        <v>#REF!</v>
      </c>
      <c r="EL60" t="e">
        <f>AND('GA55 Entry'!#REF!,"AAAAAGf/fo0=")</f>
        <v>#REF!</v>
      </c>
      <c r="EM60" t="e">
        <f>AND('GA55 Entry'!D70,"AAAAAGf/fo4=")</f>
        <v>#VALUE!</v>
      </c>
      <c r="EN60" t="e">
        <f>AND('GA55 Entry'!#REF!,"AAAAAGf/fo8=")</f>
        <v>#REF!</v>
      </c>
      <c r="EO60" t="e">
        <f>AND('GA55 Entry'!E70,"AAAAAGf/fpA=")</f>
        <v>#VALUE!</v>
      </c>
      <c r="EP60" t="e">
        <f>AND('GA55 Entry'!F70,"AAAAAGf/fpE=")</f>
        <v>#VALUE!</v>
      </c>
      <c r="EQ60" t="e">
        <f>AND('GA55 Entry'!G70,"AAAAAGf/fpI=")</f>
        <v>#VALUE!</v>
      </c>
      <c r="ER60" t="e">
        <f>AND('GA55 Entry'!H70,"AAAAAGf/fpM=")</f>
        <v>#VALUE!</v>
      </c>
      <c r="ES60" t="e">
        <f>AND('GA55 Entry'!I70,"AAAAAGf/fpQ=")</f>
        <v>#VALUE!</v>
      </c>
      <c r="ET60" t="e">
        <f>AND('GA55 Entry'!J70,"AAAAAGf/fpU=")</f>
        <v>#VALUE!</v>
      </c>
      <c r="EU60" t="e">
        <f>AND('GA55 Entry'!#REF!,"AAAAAGf/fpY=")</f>
        <v>#REF!</v>
      </c>
      <c r="EV60" t="e">
        <f>AND('GA55 Entry'!K70,"AAAAAGf/fpc=")</f>
        <v>#VALUE!</v>
      </c>
      <c r="EW60" t="e">
        <f>AND('GA55 Entry'!L70,"AAAAAGf/fpg=")</f>
        <v>#VALUE!</v>
      </c>
      <c r="EX60" t="e">
        <f>AND('GA55 Entry'!M70,"AAAAAGf/fpk=")</f>
        <v>#VALUE!</v>
      </c>
      <c r="EY60" t="e">
        <f>AND('GA55 Entry'!N70,"AAAAAGf/fpo=")</f>
        <v>#VALUE!</v>
      </c>
      <c r="EZ60" t="e">
        <f>AND('GA55 Entry'!O70,"AAAAAGf/fps=")</f>
        <v>#VALUE!</v>
      </c>
      <c r="FA60" t="e">
        <f>AND('GA55 Entry'!P70,"AAAAAGf/fpw=")</f>
        <v>#VALUE!</v>
      </c>
      <c r="FB60" t="e">
        <f>AND('GA55 Entry'!Q70,"AAAAAGf/fp0=")</f>
        <v>#VALUE!</v>
      </c>
      <c r="FC60" t="e">
        <f>AND('GA55 Entry'!S70,"AAAAAGf/fp4=")</f>
        <v>#VALUE!</v>
      </c>
      <c r="FD60" t="e">
        <f>AND('GA55 Entry'!#REF!,"AAAAAGf/fp8=")</f>
        <v>#REF!</v>
      </c>
      <c r="FE60" t="e">
        <f>AND('GA55 Entry'!T70,"AAAAAGf/fqA=")</f>
        <v>#VALUE!</v>
      </c>
      <c r="FF60" t="e">
        <f>AND('GA55 Entry'!U70,"AAAAAGf/fqE=")</f>
        <v>#VALUE!</v>
      </c>
      <c r="FG60" t="e">
        <f>AND('GA55 Entry'!V70,"AAAAAGf/fqI=")</f>
        <v>#VALUE!</v>
      </c>
      <c r="FH60" t="e">
        <f>AND('GA55 Entry'!#REF!,"AAAAAGf/fqM=")</f>
        <v>#REF!</v>
      </c>
      <c r="FI60" t="e">
        <f>AND('GA55 Entry'!#REF!,"AAAAAGf/fqQ=")</f>
        <v>#REF!</v>
      </c>
      <c r="FJ60" t="e">
        <f>AND('GA55 Entry'!X70,"AAAAAGf/fqU=")</f>
        <v>#VALUE!</v>
      </c>
      <c r="FK60" t="e">
        <f>AND('GA55 Entry'!Y70,"AAAAAGf/fqY=")</f>
        <v>#VALUE!</v>
      </c>
      <c r="FL60" t="e">
        <f>AND('GA55 Entry'!#REF!,"AAAAAGf/fqc=")</f>
        <v>#REF!</v>
      </c>
      <c r="FM60" t="e">
        <f>AND('GA55 Entry'!#REF!,"AAAAAGf/fqg=")</f>
        <v>#REF!</v>
      </c>
      <c r="FN60" t="e">
        <f>AND('GA55 Entry'!#REF!,"AAAAAGf/fqk=")</f>
        <v>#REF!</v>
      </c>
      <c r="FO60" t="e">
        <f>AND('GA55 Entry'!#REF!,"AAAAAGf/fqo=")</f>
        <v>#REF!</v>
      </c>
      <c r="FP60" t="e">
        <f>AND('GA55 Entry'!#REF!,"AAAAAGf/fqs=")</f>
        <v>#REF!</v>
      </c>
      <c r="FQ60" t="e">
        <f>AND('GA55 Entry'!#REF!,"AAAAAGf/fqw=")</f>
        <v>#REF!</v>
      </c>
      <c r="FR60" t="e">
        <f>AND('GA55 Entry'!#REF!,"AAAAAGf/fq0=")</f>
        <v>#REF!</v>
      </c>
      <c r="FS60" t="e">
        <f>AND('GA55 Entry'!#REF!,"AAAAAGf/fq4=")</f>
        <v>#REF!</v>
      </c>
      <c r="FT60" t="e">
        <f>AND('GA55 Entry'!#REF!,"AAAAAGf/fq8=")</f>
        <v>#REF!</v>
      </c>
      <c r="FU60" t="e">
        <f>AND('GA55 Entry'!Z70,"AAAAAGf/frA=")</f>
        <v>#VALUE!</v>
      </c>
      <c r="FV60" t="e">
        <f>AND('GA55 Entry'!AA70,"AAAAAGf/frE=")</f>
        <v>#VALUE!</v>
      </c>
      <c r="FW60" t="e">
        <f>AND('GA55 Entry'!#REF!,"AAAAAGf/frI=")</f>
        <v>#REF!</v>
      </c>
      <c r="FX60" t="e">
        <f>AND('GA55 Entry'!#REF!,"AAAAAGf/frM=")</f>
        <v>#REF!</v>
      </c>
      <c r="FY60" t="e">
        <f>AND('GA55 Entry'!#REF!,"AAAAAGf/frQ=")</f>
        <v>#REF!</v>
      </c>
      <c r="FZ60" t="e">
        <f>AND('GA55 Entry'!AB70,"AAAAAGf/frU=")</f>
        <v>#VALUE!</v>
      </c>
      <c r="GA60" t="e">
        <f>AND('GA55 Entry'!AC70,"AAAAAGf/frY=")</f>
        <v>#VALUE!</v>
      </c>
      <c r="GB60" t="e">
        <f>AND('GA55 Entry'!#REF!,"AAAAAGf/frc=")</f>
        <v>#REF!</v>
      </c>
      <c r="GC60">
        <f>IF('GA55 Entry'!71:71,"AAAAAGf/frg=",0)</f>
        <v>0</v>
      </c>
      <c r="GD60" t="e">
        <f>AND('GA55 Entry'!B71,"AAAAAGf/frk=")</f>
        <v>#VALUE!</v>
      </c>
      <c r="GE60" t="e">
        <f>AND('GA55 Entry'!#REF!,"AAAAAGf/fro=")</f>
        <v>#REF!</v>
      </c>
      <c r="GF60" t="e">
        <f>AND('GA55 Entry'!C71,"AAAAAGf/frs=")</f>
        <v>#VALUE!</v>
      </c>
      <c r="GG60" t="e">
        <f>AND('GA55 Entry'!#REF!,"AAAAAGf/frw=")</f>
        <v>#REF!</v>
      </c>
      <c r="GH60" t="e">
        <f>AND('GA55 Entry'!#REF!,"AAAAAGf/fr0=")</f>
        <v>#REF!</v>
      </c>
      <c r="GI60" t="e">
        <f>AND('GA55 Entry'!#REF!,"AAAAAGf/fr4=")</f>
        <v>#REF!</v>
      </c>
      <c r="GJ60" t="e">
        <f>AND('GA55 Entry'!#REF!,"AAAAAGf/fr8=")</f>
        <v>#REF!</v>
      </c>
      <c r="GK60" t="e">
        <f>AND('GA55 Entry'!#REF!,"AAAAAGf/fsA=")</f>
        <v>#REF!</v>
      </c>
      <c r="GL60" t="e">
        <f>AND('GA55 Entry'!D71,"AAAAAGf/fsE=")</f>
        <v>#VALUE!</v>
      </c>
      <c r="GM60" t="e">
        <f>AND('GA55 Entry'!#REF!,"AAAAAGf/fsI=")</f>
        <v>#REF!</v>
      </c>
      <c r="GN60" t="e">
        <f>AND('GA55 Entry'!E71,"AAAAAGf/fsM=")</f>
        <v>#VALUE!</v>
      </c>
      <c r="GO60" t="e">
        <f>AND('GA55 Entry'!F71,"AAAAAGf/fsQ=")</f>
        <v>#VALUE!</v>
      </c>
      <c r="GP60" t="e">
        <f>AND('GA55 Entry'!G71,"AAAAAGf/fsU=")</f>
        <v>#VALUE!</v>
      </c>
      <c r="GQ60" t="e">
        <f>AND('GA55 Entry'!H71,"AAAAAGf/fsY=")</f>
        <v>#VALUE!</v>
      </c>
      <c r="GR60" t="e">
        <f>AND('GA55 Entry'!I71,"AAAAAGf/fsc=")</f>
        <v>#VALUE!</v>
      </c>
      <c r="GS60" t="e">
        <f>AND('GA55 Entry'!J71,"AAAAAGf/fsg=")</f>
        <v>#VALUE!</v>
      </c>
      <c r="GT60" t="e">
        <f>AND('GA55 Entry'!#REF!,"AAAAAGf/fsk=")</f>
        <v>#REF!</v>
      </c>
      <c r="GU60" t="e">
        <f>AND('GA55 Entry'!K71,"AAAAAGf/fso=")</f>
        <v>#VALUE!</v>
      </c>
      <c r="GV60" t="e">
        <f>AND('GA55 Entry'!L71,"AAAAAGf/fss=")</f>
        <v>#VALUE!</v>
      </c>
      <c r="GW60" t="e">
        <f>AND('GA55 Entry'!M71,"AAAAAGf/fsw=")</f>
        <v>#VALUE!</v>
      </c>
      <c r="GX60" t="e">
        <f>AND('GA55 Entry'!N71,"AAAAAGf/fs0=")</f>
        <v>#VALUE!</v>
      </c>
      <c r="GY60" t="e">
        <f>AND('GA55 Entry'!O71,"AAAAAGf/fs4=")</f>
        <v>#VALUE!</v>
      </c>
      <c r="GZ60" t="e">
        <f>AND('GA55 Entry'!P71,"AAAAAGf/fs8=")</f>
        <v>#VALUE!</v>
      </c>
      <c r="HA60" t="e">
        <f>AND('GA55 Entry'!Q71,"AAAAAGf/ftA=")</f>
        <v>#VALUE!</v>
      </c>
      <c r="HB60" t="e">
        <f>AND('GA55 Entry'!S71,"AAAAAGf/ftE=")</f>
        <v>#VALUE!</v>
      </c>
      <c r="HC60" t="e">
        <f>AND('GA55 Entry'!#REF!,"AAAAAGf/ftI=")</f>
        <v>#REF!</v>
      </c>
      <c r="HD60" t="e">
        <f>AND('GA55 Entry'!T71,"AAAAAGf/ftM=")</f>
        <v>#VALUE!</v>
      </c>
      <c r="HE60" t="e">
        <f>AND('GA55 Entry'!U71,"AAAAAGf/ftQ=")</f>
        <v>#VALUE!</v>
      </c>
      <c r="HF60" t="e">
        <f>AND('GA55 Entry'!V71,"AAAAAGf/ftU=")</f>
        <v>#VALUE!</v>
      </c>
      <c r="HG60" t="e">
        <f>AND('GA55 Entry'!#REF!,"AAAAAGf/ftY=")</f>
        <v>#REF!</v>
      </c>
      <c r="HH60" t="e">
        <f>AND('GA55 Entry'!#REF!,"AAAAAGf/ftc=")</f>
        <v>#REF!</v>
      </c>
      <c r="HI60" t="e">
        <f>AND('GA55 Entry'!X71,"AAAAAGf/ftg=")</f>
        <v>#VALUE!</v>
      </c>
      <c r="HJ60" t="e">
        <f>AND('GA55 Entry'!Y71,"AAAAAGf/ftk=")</f>
        <v>#VALUE!</v>
      </c>
      <c r="HK60" t="e">
        <f>AND('GA55 Entry'!#REF!,"AAAAAGf/fto=")</f>
        <v>#REF!</v>
      </c>
      <c r="HL60" t="e">
        <f>AND('GA55 Entry'!#REF!,"AAAAAGf/fts=")</f>
        <v>#REF!</v>
      </c>
      <c r="HM60" t="e">
        <f>AND('GA55 Entry'!#REF!,"AAAAAGf/ftw=")</f>
        <v>#REF!</v>
      </c>
      <c r="HN60" t="e">
        <f>AND('GA55 Entry'!#REF!,"AAAAAGf/ft0=")</f>
        <v>#REF!</v>
      </c>
      <c r="HO60" t="e">
        <f>AND('GA55 Entry'!#REF!,"AAAAAGf/ft4=")</f>
        <v>#REF!</v>
      </c>
      <c r="HP60" t="e">
        <f>AND('GA55 Entry'!#REF!,"AAAAAGf/ft8=")</f>
        <v>#REF!</v>
      </c>
      <c r="HQ60" t="e">
        <f>AND('GA55 Entry'!#REF!,"AAAAAGf/fuA=")</f>
        <v>#REF!</v>
      </c>
      <c r="HR60" t="e">
        <f>AND('GA55 Entry'!#REF!,"AAAAAGf/fuE=")</f>
        <v>#REF!</v>
      </c>
      <c r="HS60" t="e">
        <f>AND('GA55 Entry'!#REF!,"AAAAAGf/fuI=")</f>
        <v>#REF!</v>
      </c>
      <c r="HT60" t="e">
        <f>AND('GA55 Entry'!Z71,"AAAAAGf/fuM=")</f>
        <v>#VALUE!</v>
      </c>
      <c r="HU60" t="e">
        <f>AND('GA55 Entry'!AA71,"AAAAAGf/fuQ=")</f>
        <v>#VALUE!</v>
      </c>
      <c r="HV60" t="e">
        <f>AND('GA55 Entry'!#REF!,"AAAAAGf/fuU=")</f>
        <v>#REF!</v>
      </c>
      <c r="HW60" t="e">
        <f>AND('GA55 Entry'!#REF!,"AAAAAGf/fuY=")</f>
        <v>#REF!</v>
      </c>
      <c r="HX60" t="e">
        <f>AND('GA55 Entry'!#REF!,"AAAAAGf/fuc=")</f>
        <v>#REF!</v>
      </c>
      <c r="HY60" t="e">
        <f>AND('GA55 Entry'!AB71,"AAAAAGf/fug=")</f>
        <v>#VALUE!</v>
      </c>
      <c r="HZ60" t="e">
        <f>AND('GA55 Entry'!AC71,"AAAAAGf/fuk=")</f>
        <v>#VALUE!</v>
      </c>
      <c r="IA60" t="e">
        <f>AND('GA55 Entry'!#REF!,"AAAAAGf/fuo=")</f>
        <v>#REF!</v>
      </c>
      <c r="IB60">
        <f>IF('GA55 Entry'!72:72,"AAAAAGf/fus=",0)</f>
        <v>0</v>
      </c>
      <c r="IC60" t="e">
        <f>AND('GA55 Entry'!B72,"AAAAAGf/fuw=")</f>
        <v>#VALUE!</v>
      </c>
      <c r="ID60" t="e">
        <f>AND('GA55 Entry'!#REF!,"AAAAAGf/fu0=")</f>
        <v>#REF!</v>
      </c>
      <c r="IE60" t="e">
        <f>AND('GA55 Entry'!C72,"AAAAAGf/fu4=")</f>
        <v>#VALUE!</v>
      </c>
      <c r="IF60" t="e">
        <f>AND('GA55 Entry'!#REF!,"AAAAAGf/fu8=")</f>
        <v>#REF!</v>
      </c>
      <c r="IG60" t="e">
        <f>AND('GA55 Entry'!#REF!,"AAAAAGf/fvA=")</f>
        <v>#REF!</v>
      </c>
      <c r="IH60" t="e">
        <f>AND('GA55 Entry'!#REF!,"AAAAAGf/fvE=")</f>
        <v>#REF!</v>
      </c>
      <c r="II60" t="e">
        <f>AND('GA55 Entry'!#REF!,"AAAAAGf/fvI=")</f>
        <v>#REF!</v>
      </c>
      <c r="IJ60" t="e">
        <f>AND('GA55 Entry'!#REF!,"AAAAAGf/fvM=")</f>
        <v>#REF!</v>
      </c>
      <c r="IK60" t="e">
        <f>AND('GA55 Entry'!D72,"AAAAAGf/fvQ=")</f>
        <v>#VALUE!</v>
      </c>
      <c r="IL60" t="e">
        <f>AND('GA55 Entry'!#REF!,"AAAAAGf/fvU=")</f>
        <v>#REF!</v>
      </c>
      <c r="IM60" t="e">
        <f>AND('GA55 Entry'!E72,"AAAAAGf/fvY=")</f>
        <v>#VALUE!</v>
      </c>
      <c r="IN60" t="e">
        <f>AND('GA55 Entry'!F72,"AAAAAGf/fvc=")</f>
        <v>#VALUE!</v>
      </c>
      <c r="IO60" t="e">
        <f>AND('GA55 Entry'!G72,"AAAAAGf/fvg=")</f>
        <v>#VALUE!</v>
      </c>
      <c r="IP60" t="e">
        <f>AND('GA55 Entry'!H72,"AAAAAGf/fvk=")</f>
        <v>#VALUE!</v>
      </c>
      <c r="IQ60" t="e">
        <f>AND('GA55 Entry'!I72,"AAAAAGf/fvo=")</f>
        <v>#VALUE!</v>
      </c>
      <c r="IR60" t="e">
        <f>AND('GA55 Entry'!J72,"AAAAAGf/fvs=")</f>
        <v>#VALUE!</v>
      </c>
      <c r="IS60" t="e">
        <f>AND('GA55 Entry'!#REF!,"AAAAAGf/fvw=")</f>
        <v>#REF!</v>
      </c>
      <c r="IT60" t="e">
        <f>AND('GA55 Entry'!K72,"AAAAAGf/fv0=")</f>
        <v>#VALUE!</v>
      </c>
      <c r="IU60" t="e">
        <f>AND('GA55 Entry'!L72,"AAAAAGf/fv4=")</f>
        <v>#VALUE!</v>
      </c>
      <c r="IV60" t="e">
        <f>AND('GA55 Entry'!M72,"AAAAAGf/fv8=")</f>
        <v>#VALUE!</v>
      </c>
    </row>
    <row r="61" spans="1:256">
      <c r="A61" t="e">
        <f>AND('GA55 Entry'!N72,"AAAAAD//HQA=")</f>
        <v>#VALUE!</v>
      </c>
      <c r="B61" t="e">
        <f>AND('GA55 Entry'!O72,"AAAAAD//HQE=")</f>
        <v>#VALUE!</v>
      </c>
      <c r="C61" t="e">
        <f>AND('GA55 Entry'!P72,"AAAAAD//HQI=")</f>
        <v>#VALUE!</v>
      </c>
      <c r="D61" t="e">
        <f>AND('GA55 Entry'!Q72,"AAAAAD//HQM=")</f>
        <v>#VALUE!</v>
      </c>
      <c r="E61" t="e">
        <f>AND('GA55 Entry'!S72,"AAAAAD//HQQ=")</f>
        <v>#VALUE!</v>
      </c>
      <c r="F61" t="e">
        <f>AND('GA55 Entry'!#REF!,"AAAAAD//HQU=")</f>
        <v>#REF!</v>
      </c>
      <c r="G61" t="e">
        <f>AND('GA55 Entry'!T72,"AAAAAD//HQY=")</f>
        <v>#VALUE!</v>
      </c>
      <c r="H61" t="e">
        <f>AND('GA55 Entry'!U72,"AAAAAD//HQc=")</f>
        <v>#VALUE!</v>
      </c>
      <c r="I61" t="e">
        <f>AND('GA55 Entry'!V72,"AAAAAD//HQg=")</f>
        <v>#VALUE!</v>
      </c>
      <c r="J61" t="e">
        <f>AND('GA55 Entry'!#REF!,"AAAAAD//HQk=")</f>
        <v>#REF!</v>
      </c>
      <c r="K61" t="e">
        <f>AND('GA55 Entry'!#REF!,"AAAAAD//HQo=")</f>
        <v>#REF!</v>
      </c>
      <c r="L61" t="e">
        <f>AND('GA55 Entry'!X72,"AAAAAD//HQs=")</f>
        <v>#VALUE!</v>
      </c>
      <c r="M61" t="e">
        <f>AND('GA55 Entry'!Y72,"AAAAAD//HQw=")</f>
        <v>#VALUE!</v>
      </c>
      <c r="N61" t="e">
        <f>AND('GA55 Entry'!#REF!,"AAAAAD//HQ0=")</f>
        <v>#REF!</v>
      </c>
      <c r="O61" t="e">
        <f>AND('GA55 Entry'!#REF!,"AAAAAD//HQ4=")</f>
        <v>#REF!</v>
      </c>
      <c r="P61" t="e">
        <f>AND('GA55 Entry'!#REF!,"AAAAAD//HQ8=")</f>
        <v>#REF!</v>
      </c>
      <c r="Q61" t="e">
        <f>AND('GA55 Entry'!#REF!,"AAAAAD//HRA=")</f>
        <v>#REF!</v>
      </c>
      <c r="R61" t="e">
        <f>AND('GA55 Entry'!#REF!,"AAAAAD//HRE=")</f>
        <v>#REF!</v>
      </c>
      <c r="S61" t="e">
        <f>AND('GA55 Entry'!#REF!,"AAAAAD//HRI=")</f>
        <v>#REF!</v>
      </c>
      <c r="T61" t="e">
        <f>AND('GA55 Entry'!#REF!,"AAAAAD//HRM=")</f>
        <v>#REF!</v>
      </c>
      <c r="U61" t="e">
        <f>AND('GA55 Entry'!#REF!,"AAAAAD//HRQ=")</f>
        <v>#REF!</v>
      </c>
      <c r="V61" t="e">
        <f>AND('GA55 Entry'!#REF!,"AAAAAD//HRU=")</f>
        <v>#REF!</v>
      </c>
      <c r="W61" t="e">
        <f>AND('GA55 Entry'!Z72,"AAAAAD//HRY=")</f>
        <v>#VALUE!</v>
      </c>
      <c r="X61" t="e">
        <f>AND('GA55 Entry'!AA72,"AAAAAD//HRc=")</f>
        <v>#VALUE!</v>
      </c>
      <c r="Y61" t="e">
        <f>AND('GA55 Entry'!#REF!,"AAAAAD//HRg=")</f>
        <v>#REF!</v>
      </c>
      <c r="Z61" t="e">
        <f>AND('GA55 Entry'!#REF!,"AAAAAD//HRk=")</f>
        <v>#REF!</v>
      </c>
      <c r="AA61" t="e">
        <f>AND('GA55 Entry'!#REF!,"AAAAAD//HRo=")</f>
        <v>#REF!</v>
      </c>
      <c r="AB61" t="e">
        <f>AND('GA55 Entry'!AB72,"AAAAAD//HRs=")</f>
        <v>#VALUE!</v>
      </c>
      <c r="AC61" t="e">
        <f>AND('GA55 Entry'!AC72,"AAAAAD//HRw=")</f>
        <v>#VALUE!</v>
      </c>
      <c r="AD61" t="e">
        <f>AND('GA55 Entry'!#REF!,"AAAAAD//HR0=")</f>
        <v>#REF!</v>
      </c>
      <c r="AE61">
        <f>IF('GA55 Entry'!73:73,"AAAAAD//HR4=",0)</f>
        <v>0</v>
      </c>
      <c r="AF61" t="e">
        <f>AND('GA55 Entry'!B73,"AAAAAD//HR8=")</f>
        <v>#VALUE!</v>
      </c>
      <c r="AG61" t="e">
        <f>AND('GA55 Entry'!#REF!,"AAAAAD//HSA=")</f>
        <v>#REF!</v>
      </c>
      <c r="AH61" t="e">
        <f>AND('GA55 Entry'!C73,"AAAAAD//HSE=")</f>
        <v>#VALUE!</v>
      </c>
      <c r="AI61" t="e">
        <f>AND('GA55 Entry'!#REF!,"AAAAAD//HSI=")</f>
        <v>#REF!</v>
      </c>
      <c r="AJ61" t="e">
        <f>AND('GA55 Entry'!#REF!,"AAAAAD//HSM=")</f>
        <v>#REF!</v>
      </c>
      <c r="AK61" t="e">
        <f>AND('GA55 Entry'!#REF!,"AAAAAD//HSQ=")</f>
        <v>#REF!</v>
      </c>
      <c r="AL61" t="e">
        <f>AND('GA55 Entry'!#REF!,"AAAAAD//HSU=")</f>
        <v>#REF!</v>
      </c>
      <c r="AM61" t="e">
        <f>AND('GA55 Entry'!#REF!,"AAAAAD//HSY=")</f>
        <v>#REF!</v>
      </c>
      <c r="AN61" t="e">
        <f>AND('GA55 Entry'!D73,"AAAAAD//HSc=")</f>
        <v>#VALUE!</v>
      </c>
      <c r="AO61" t="e">
        <f>AND('GA55 Entry'!#REF!,"AAAAAD//HSg=")</f>
        <v>#REF!</v>
      </c>
      <c r="AP61" t="e">
        <f>AND('GA55 Entry'!E73,"AAAAAD//HSk=")</f>
        <v>#VALUE!</v>
      </c>
      <c r="AQ61" t="e">
        <f>AND('GA55 Entry'!F73,"AAAAAD//HSo=")</f>
        <v>#VALUE!</v>
      </c>
      <c r="AR61" t="e">
        <f>AND('GA55 Entry'!G73,"AAAAAD//HSs=")</f>
        <v>#VALUE!</v>
      </c>
      <c r="AS61" t="e">
        <f>AND('GA55 Entry'!H73,"AAAAAD//HSw=")</f>
        <v>#VALUE!</v>
      </c>
      <c r="AT61" t="e">
        <f>AND('GA55 Entry'!I73,"AAAAAD//HS0=")</f>
        <v>#VALUE!</v>
      </c>
      <c r="AU61" t="e">
        <f>AND('GA55 Entry'!J73,"AAAAAD//HS4=")</f>
        <v>#VALUE!</v>
      </c>
      <c r="AV61" t="e">
        <f>AND('GA55 Entry'!#REF!,"AAAAAD//HS8=")</f>
        <v>#REF!</v>
      </c>
      <c r="AW61" t="e">
        <f>AND('GA55 Entry'!K73,"AAAAAD//HTA=")</f>
        <v>#VALUE!</v>
      </c>
      <c r="AX61" t="e">
        <f>AND('GA55 Entry'!L73,"AAAAAD//HTE=")</f>
        <v>#VALUE!</v>
      </c>
      <c r="AY61" t="e">
        <f>AND('GA55 Entry'!M73,"AAAAAD//HTI=")</f>
        <v>#VALUE!</v>
      </c>
      <c r="AZ61" t="e">
        <f>AND('GA55 Entry'!N73,"AAAAAD//HTM=")</f>
        <v>#VALUE!</v>
      </c>
      <c r="BA61" t="e">
        <f>AND('GA55 Entry'!O73,"AAAAAD//HTQ=")</f>
        <v>#VALUE!</v>
      </c>
      <c r="BB61" t="e">
        <f>AND('GA55 Entry'!P73,"AAAAAD//HTU=")</f>
        <v>#VALUE!</v>
      </c>
      <c r="BC61" t="e">
        <f>AND('GA55 Entry'!Q73,"AAAAAD//HTY=")</f>
        <v>#VALUE!</v>
      </c>
      <c r="BD61" t="e">
        <f>AND('GA55 Entry'!S73,"AAAAAD//HTc=")</f>
        <v>#VALUE!</v>
      </c>
      <c r="BE61" t="e">
        <f>AND('GA55 Entry'!#REF!,"AAAAAD//HTg=")</f>
        <v>#REF!</v>
      </c>
      <c r="BF61" t="e">
        <f>AND('GA55 Entry'!T73,"AAAAAD//HTk=")</f>
        <v>#VALUE!</v>
      </c>
      <c r="BG61" t="e">
        <f>AND('GA55 Entry'!U73,"AAAAAD//HTo=")</f>
        <v>#VALUE!</v>
      </c>
      <c r="BH61" t="e">
        <f>AND('GA55 Entry'!V73,"AAAAAD//HTs=")</f>
        <v>#VALUE!</v>
      </c>
      <c r="BI61" t="e">
        <f>AND('GA55 Entry'!#REF!,"AAAAAD//HTw=")</f>
        <v>#REF!</v>
      </c>
      <c r="BJ61" t="e">
        <f>AND('GA55 Entry'!#REF!,"AAAAAD//HT0=")</f>
        <v>#REF!</v>
      </c>
      <c r="BK61" t="e">
        <f>AND('GA55 Entry'!X73,"AAAAAD//HT4=")</f>
        <v>#VALUE!</v>
      </c>
      <c r="BL61" t="e">
        <f>AND('GA55 Entry'!Y73,"AAAAAD//HT8=")</f>
        <v>#VALUE!</v>
      </c>
      <c r="BM61" t="e">
        <f>AND('GA55 Entry'!#REF!,"AAAAAD//HUA=")</f>
        <v>#REF!</v>
      </c>
      <c r="BN61" t="e">
        <f>AND('GA55 Entry'!#REF!,"AAAAAD//HUE=")</f>
        <v>#REF!</v>
      </c>
      <c r="BO61" t="e">
        <f>AND('GA55 Entry'!#REF!,"AAAAAD//HUI=")</f>
        <v>#REF!</v>
      </c>
      <c r="BP61" t="e">
        <f>AND('GA55 Entry'!#REF!,"AAAAAD//HUM=")</f>
        <v>#REF!</v>
      </c>
      <c r="BQ61" t="e">
        <f>AND('GA55 Entry'!#REF!,"AAAAAD//HUQ=")</f>
        <v>#REF!</v>
      </c>
      <c r="BR61" t="e">
        <f>AND('GA55 Entry'!#REF!,"AAAAAD//HUU=")</f>
        <v>#REF!</v>
      </c>
      <c r="BS61" t="e">
        <f>AND('GA55 Entry'!#REF!,"AAAAAD//HUY=")</f>
        <v>#REF!</v>
      </c>
      <c r="BT61" t="e">
        <f>AND('GA55 Entry'!#REF!,"AAAAAD//HUc=")</f>
        <v>#REF!</v>
      </c>
      <c r="BU61" t="e">
        <f>AND('GA55 Entry'!#REF!,"AAAAAD//HUg=")</f>
        <v>#REF!</v>
      </c>
      <c r="BV61" t="e">
        <f>AND('GA55 Entry'!Z73,"AAAAAD//HUk=")</f>
        <v>#VALUE!</v>
      </c>
      <c r="BW61" t="e">
        <f>AND('GA55 Entry'!AA73,"AAAAAD//HUo=")</f>
        <v>#VALUE!</v>
      </c>
      <c r="BX61" t="e">
        <f>AND('GA55 Entry'!#REF!,"AAAAAD//HUs=")</f>
        <v>#REF!</v>
      </c>
      <c r="BY61" t="e">
        <f>AND('GA55 Entry'!#REF!,"AAAAAD//HUw=")</f>
        <v>#REF!</v>
      </c>
      <c r="BZ61" t="e">
        <f>AND('GA55 Entry'!#REF!,"AAAAAD//HU0=")</f>
        <v>#REF!</v>
      </c>
      <c r="CA61" t="e">
        <f>AND('GA55 Entry'!AB73,"AAAAAD//HU4=")</f>
        <v>#VALUE!</v>
      </c>
      <c r="CB61" t="e">
        <f>AND('GA55 Entry'!AC73,"AAAAAD//HU8=")</f>
        <v>#VALUE!</v>
      </c>
      <c r="CC61" t="e">
        <f>AND('GA55 Entry'!#REF!,"AAAAAD//HVA=")</f>
        <v>#REF!</v>
      </c>
      <c r="CD61">
        <f>IF('GA55 Entry'!74:74,"AAAAAD//HVE=",0)</f>
        <v>0</v>
      </c>
      <c r="CE61" t="e">
        <f>AND('GA55 Entry'!B74,"AAAAAD//HVI=")</f>
        <v>#VALUE!</v>
      </c>
      <c r="CF61" t="e">
        <f>AND('GA55 Entry'!#REF!,"AAAAAD//HVM=")</f>
        <v>#REF!</v>
      </c>
      <c r="CG61" t="e">
        <f>AND('GA55 Entry'!C74,"AAAAAD//HVQ=")</f>
        <v>#VALUE!</v>
      </c>
      <c r="CH61" t="e">
        <f>AND('GA55 Entry'!#REF!,"AAAAAD//HVU=")</f>
        <v>#REF!</v>
      </c>
      <c r="CI61" t="e">
        <f>AND('GA55 Entry'!#REF!,"AAAAAD//HVY=")</f>
        <v>#REF!</v>
      </c>
      <c r="CJ61" t="e">
        <f>AND('GA55 Entry'!#REF!,"AAAAAD//HVc=")</f>
        <v>#REF!</v>
      </c>
      <c r="CK61" t="e">
        <f>AND('GA55 Entry'!#REF!,"AAAAAD//HVg=")</f>
        <v>#REF!</v>
      </c>
      <c r="CL61" t="e">
        <f>AND('GA55 Entry'!#REF!,"AAAAAD//HVk=")</f>
        <v>#REF!</v>
      </c>
      <c r="CM61" t="e">
        <f>AND('GA55 Entry'!D74,"AAAAAD//HVo=")</f>
        <v>#VALUE!</v>
      </c>
      <c r="CN61" t="e">
        <f>AND('GA55 Entry'!#REF!,"AAAAAD//HVs=")</f>
        <v>#REF!</v>
      </c>
      <c r="CO61" t="e">
        <f>AND('GA55 Entry'!E74,"AAAAAD//HVw=")</f>
        <v>#VALUE!</v>
      </c>
      <c r="CP61" t="e">
        <f>AND('GA55 Entry'!F74,"AAAAAD//HV0=")</f>
        <v>#VALUE!</v>
      </c>
      <c r="CQ61" t="e">
        <f>AND('GA55 Entry'!G74,"AAAAAD//HV4=")</f>
        <v>#VALUE!</v>
      </c>
      <c r="CR61" t="e">
        <f>AND('GA55 Entry'!H74,"AAAAAD//HV8=")</f>
        <v>#VALUE!</v>
      </c>
      <c r="CS61" t="e">
        <f>AND('GA55 Entry'!I74,"AAAAAD//HWA=")</f>
        <v>#VALUE!</v>
      </c>
      <c r="CT61" t="e">
        <f>AND('GA55 Entry'!J74,"AAAAAD//HWE=")</f>
        <v>#VALUE!</v>
      </c>
      <c r="CU61" t="e">
        <f>AND('GA55 Entry'!#REF!,"AAAAAD//HWI=")</f>
        <v>#REF!</v>
      </c>
      <c r="CV61" t="e">
        <f>AND('GA55 Entry'!K74,"AAAAAD//HWM=")</f>
        <v>#VALUE!</v>
      </c>
      <c r="CW61" t="e">
        <f>AND('GA55 Entry'!L74,"AAAAAD//HWQ=")</f>
        <v>#VALUE!</v>
      </c>
      <c r="CX61" t="e">
        <f>AND('GA55 Entry'!M74,"AAAAAD//HWU=")</f>
        <v>#VALUE!</v>
      </c>
      <c r="CY61" t="e">
        <f>AND('GA55 Entry'!N74,"AAAAAD//HWY=")</f>
        <v>#VALUE!</v>
      </c>
      <c r="CZ61" t="e">
        <f>AND('GA55 Entry'!O74,"AAAAAD//HWc=")</f>
        <v>#VALUE!</v>
      </c>
      <c r="DA61" t="e">
        <f>AND('GA55 Entry'!P74,"AAAAAD//HWg=")</f>
        <v>#VALUE!</v>
      </c>
      <c r="DB61" t="e">
        <f>AND('GA55 Entry'!Q74,"AAAAAD//HWk=")</f>
        <v>#VALUE!</v>
      </c>
      <c r="DC61" t="e">
        <f>AND('GA55 Entry'!S74,"AAAAAD//HWo=")</f>
        <v>#VALUE!</v>
      </c>
      <c r="DD61" t="e">
        <f>AND('GA55 Entry'!#REF!,"AAAAAD//HWs=")</f>
        <v>#REF!</v>
      </c>
      <c r="DE61" t="e">
        <f>AND('GA55 Entry'!T74,"AAAAAD//HWw=")</f>
        <v>#VALUE!</v>
      </c>
      <c r="DF61" t="e">
        <f>AND('GA55 Entry'!U74,"AAAAAD//HW0=")</f>
        <v>#VALUE!</v>
      </c>
      <c r="DG61" t="e">
        <f>AND('GA55 Entry'!V74,"AAAAAD//HW4=")</f>
        <v>#VALUE!</v>
      </c>
      <c r="DH61" t="e">
        <f>AND('GA55 Entry'!#REF!,"AAAAAD//HW8=")</f>
        <v>#REF!</v>
      </c>
      <c r="DI61" t="e">
        <f>AND('GA55 Entry'!#REF!,"AAAAAD//HXA=")</f>
        <v>#REF!</v>
      </c>
      <c r="DJ61" t="e">
        <f>AND('GA55 Entry'!X74,"AAAAAD//HXE=")</f>
        <v>#VALUE!</v>
      </c>
      <c r="DK61" t="e">
        <f>AND('GA55 Entry'!Y74,"AAAAAD//HXI=")</f>
        <v>#VALUE!</v>
      </c>
      <c r="DL61" t="e">
        <f>AND('GA55 Entry'!#REF!,"AAAAAD//HXM=")</f>
        <v>#REF!</v>
      </c>
      <c r="DM61" t="e">
        <f>AND('GA55 Entry'!#REF!,"AAAAAD//HXQ=")</f>
        <v>#REF!</v>
      </c>
      <c r="DN61" t="e">
        <f>AND('GA55 Entry'!#REF!,"AAAAAD//HXU=")</f>
        <v>#REF!</v>
      </c>
      <c r="DO61" t="e">
        <f>AND('GA55 Entry'!#REF!,"AAAAAD//HXY=")</f>
        <v>#REF!</v>
      </c>
      <c r="DP61" t="e">
        <f>AND('GA55 Entry'!#REF!,"AAAAAD//HXc=")</f>
        <v>#REF!</v>
      </c>
      <c r="DQ61" t="e">
        <f>AND('GA55 Entry'!#REF!,"AAAAAD//HXg=")</f>
        <v>#REF!</v>
      </c>
      <c r="DR61" t="e">
        <f>AND('GA55 Entry'!#REF!,"AAAAAD//HXk=")</f>
        <v>#REF!</v>
      </c>
      <c r="DS61" t="e">
        <f>AND('GA55 Entry'!#REF!,"AAAAAD//HXo=")</f>
        <v>#REF!</v>
      </c>
      <c r="DT61" t="e">
        <f>AND('GA55 Entry'!#REF!,"AAAAAD//HXs=")</f>
        <v>#REF!</v>
      </c>
      <c r="DU61" t="e">
        <f>AND('GA55 Entry'!Z74,"AAAAAD//HXw=")</f>
        <v>#VALUE!</v>
      </c>
      <c r="DV61" t="e">
        <f>AND('GA55 Entry'!AA74,"AAAAAD//HX0=")</f>
        <v>#VALUE!</v>
      </c>
      <c r="DW61" t="e">
        <f>AND('GA55 Entry'!#REF!,"AAAAAD//HX4=")</f>
        <v>#REF!</v>
      </c>
      <c r="DX61" t="e">
        <f>AND('GA55 Entry'!#REF!,"AAAAAD//HX8=")</f>
        <v>#REF!</v>
      </c>
      <c r="DY61" t="e">
        <f>AND('GA55 Entry'!#REF!,"AAAAAD//HYA=")</f>
        <v>#REF!</v>
      </c>
      <c r="DZ61" t="e">
        <f>AND('GA55 Entry'!AB74,"AAAAAD//HYE=")</f>
        <v>#VALUE!</v>
      </c>
      <c r="EA61" t="e">
        <f>AND('GA55 Entry'!AC74,"AAAAAD//HYI=")</f>
        <v>#VALUE!</v>
      </c>
      <c r="EB61" t="e">
        <f>AND('GA55 Entry'!#REF!,"AAAAAD//HYM=")</f>
        <v>#REF!</v>
      </c>
      <c r="EC61">
        <f>IF('GA55 Entry'!75:75,"AAAAAD//HYQ=",0)</f>
        <v>0</v>
      </c>
      <c r="ED61" t="e">
        <f>AND('GA55 Entry'!B75,"AAAAAD//HYU=")</f>
        <v>#VALUE!</v>
      </c>
      <c r="EE61" t="e">
        <f>AND('GA55 Entry'!#REF!,"AAAAAD//HYY=")</f>
        <v>#REF!</v>
      </c>
      <c r="EF61" t="e">
        <f>AND('GA55 Entry'!C75,"AAAAAD//HYc=")</f>
        <v>#VALUE!</v>
      </c>
      <c r="EG61" t="e">
        <f>AND('GA55 Entry'!#REF!,"AAAAAD//HYg=")</f>
        <v>#REF!</v>
      </c>
      <c r="EH61" t="e">
        <f>AND('GA55 Entry'!#REF!,"AAAAAD//HYk=")</f>
        <v>#REF!</v>
      </c>
      <c r="EI61" t="e">
        <f>AND('GA55 Entry'!#REF!,"AAAAAD//HYo=")</f>
        <v>#REF!</v>
      </c>
      <c r="EJ61" t="e">
        <f>AND('GA55 Entry'!#REF!,"AAAAAD//HYs=")</f>
        <v>#REF!</v>
      </c>
      <c r="EK61" t="e">
        <f>AND('GA55 Entry'!#REF!,"AAAAAD//HYw=")</f>
        <v>#REF!</v>
      </c>
      <c r="EL61" t="e">
        <f>AND('GA55 Entry'!D75,"AAAAAD//HY0=")</f>
        <v>#VALUE!</v>
      </c>
      <c r="EM61" t="e">
        <f>AND('GA55 Entry'!#REF!,"AAAAAD//HY4=")</f>
        <v>#REF!</v>
      </c>
      <c r="EN61" t="e">
        <f>AND('GA55 Entry'!E75,"AAAAAD//HY8=")</f>
        <v>#VALUE!</v>
      </c>
      <c r="EO61" t="e">
        <f>AND('GA55 Entry'!F75,"AAAAAD//HZA=")</f>
        <v>#VALUE!</v>
      </c>
      <c r="EP61" t="e">
        <f>AND('GA55 Entry'!G75,"AAAAAD//HZE=")</f>
        <v>#VALUE!</v>
      </c>
      <c r="EQ61" t="e">
        <f>AND('GA55 Entry'!H75,"AAAAAD//HZI=")</f>
        <v>#VALUE!</v>
      </c>
      <c r="ER61" t="e">
        <f>AND('GA55 Entry'!I75,"AAAAAD//HZM=")</f>
        <v>#VALUE!</v>
      </c>
      <c r="ES61" t="e">
        <f>AND('GA55 Entry'!J75,"AAAAAD//HZQ=")</f>
        <v>#VALUE!</v>
      </c>
      <c r="ET61" t="e">
        <f>AND('GA55 Entry'!#REF!,"AAAAAD//HZU=")</f>
        <v>#REF!</v>
      </c>
      <c r="EU61" t="e">
        <f>AND('GA55 Entry'!K75,"AAAAAD//HZY=")</f>
        <v>#VALUE!</v>
      </c>
      <c r="EV61" t="e">
        <f>AND('GA55 Entry'!L75,"AAAAAD//HZc=")</f>
        <v>#VALUE!</v>
      </c>
      <c r="EW61" t="e">
        <f>AND('GA55 Entry'!M75,"AAAAAD//HZg=")</f>
        <v>#VALUE!</v>
      </c>
      <c r="EX61" t="e">
        <f>AND('GA55 Entry'!N75,"AAAAAD//HZk=")</f>
        <v>#VALUE!</v>
      </c>
      <c r="EY61" t="e">
        <f>AND('GA55 Entry'!O75,"AAAAAD//HZo=")</f>
        <v>#VALUE!</v>
      </c>
      <c r="EZ61" t="e">
        <f>AND('GA55 Entry'!P75,"AAAAAD//HZs=")</f>
        <v>#VALUE!</v>
      </c>
      <c r="FA61" t="e">
        <f>AND('GA55 Entry'!Q75,"AAAAAD//HZw=")</f>
        <v>#VALUE!</v>
      </c>
      <c r="FB61" t="e">
        <f>AND('GA55 Entry'!S75,"AAAAAD//HZ0=")</f>
        <v>#VALUE!</v>
      </c>
      <c r="FC61" t="e">
        <f>AND('GA55 Entry'!#REF!,"AAAAAD//HZ4=")</f>
        <v>#REF!</v>
      </c>
      <c r="FD61" t="e">
        <f>AND('GA55 Entry'!T75,"AAAAAD//HZ8=")</f>
        <v>#VALUE!</v>
      </c>
      <c r="FE61" t="e">
        <f>AND('GA55 Entry'!U75,"AAAAAD//HaA=")</f>
        <v>#VALUE!</v>
      </c>
      <c r="FF61" t="e">
        <f>AND('GA55 Entry'!V75,"AAAAAD//HaE=")</f>
        <v>#VALUE!</v>
      </c>
      <c r="FG61" t="e">
        <f>AND('GA55 Entry'!#REF!,"AAAAAD//HaI=")</f>
        <v>#REF!</v>
      </c>
      <c r="FH61" t="e">
        <f>AND('GA55 Entry'!#REF!,"AAAAAD//HaM=")</f>
        <v>#REF!</v>
      </c>
      <c r="FI61" t="e">
        <f>AND('GA55 Entry'!X75,"AAAAAD//HaQ=")</f>
        <v>#VALUE!</v>
      </c>
      <c r="FJ61" t="e">
        <f>AND('GA55 Entry'!Y75,"AAAAAD//HaU=")</f>
        <v>#VALUE!</v>
      </c>
      <c r="FK61" t="e">
        <f>AND('GA55 Entry'!#REF!,"AAAAAD//HaY=")</f>
        <v>#REF!</v>
      </c>
      <c r="FL61" t="e">
        <f>AND('GA55 Entry'!#REF!,"AAAAAD//Hac=")</f>
        <v>#REF!</v>
      </c>
      <c r="FM61" t="e">
        <f>AND('GA55 Entry'!#REF!,"AAAAAD//Hag=")</f>
        <v>#REF!</v>
      </c>
      <c r="FN61" t="e">
        <f>AND('GA55 Entry'!#REF!,"AAAAAD//Hak=")</f>
        <v>#REF!</v>
      </c>
      <c r="FO61" t="e">
        <f>AND('GA55 Entry'!#REF!,"AAAAAD//Hao=")</f>
        <v>#REF!</v>
      </c>
      <c r="FP61" t="e">
        <f>AND('GA55 Entry'!#REF!,"AAAAAD//Has=")</f>
        <v>#REF!</v>
      </c>
      <c r="FQ61" t="e">
        <f>AND('GA55 Entry'!#REF!,"AAAAAD//Haw=")</f>
        <v>#REF!</v>
      </c>
      <c r="FR61" t="e">
        <f>AND('GA55 Entry'!#REF!,"AAAAAD//Ha0=")</f>
        <v>#REF!</v>
      </c>
      <c r="FS61" t="e">
        <f>AND('GA55 Entry'!#REF!,"AAAAAD//Ha4=")</f>
        <v>#REF!</v>
      </c>
      <c r="FT61" t="e">
        <f>AND('GA55 Entry'!Z75,"AAAAAD//Ha8=")</f>
        <v>#VALUE!</v>
      </c>
      <c r="FU61" t="e">
        <f>AND('GA55 Entry'!AA75,"AAAAAD//HbA=")</f>
        <v>#VALUE!</v>
      </c>
      <c r="FV61" t="e">
        <f>AND('GA55 Entry'!#REF!,"AAAAAD//HbE=")</f>
        <v>#REF!</v>
      </c>
      <c r="FW61" t="e">
        <f>AND('GA55 Entry'!#REF!,"AAAAAD//HbI=")</f>
        <v>#REF!</v>
      </c>
      <c r="FX61" t="e">
        <f>AND('GA55 Entry'!#REF!,"AAAAAD//HbM=")</f>
        <v>#REF!</v>
      </c>
      <c r="FY61" t="e">
        <f>AND('GA55 Entry'!AB75,"AAAAAD//HbQ=")</f>
        <v>#VALUE!</v>
      </c>
      <c r="FZ61" t="e">
        <f>AND('GA55 Entry'!AC75,"AAAAAD//HbU=")</f>
        <v>#VALUE!</v>
      </c>
      <c r="GA61" t="e">
        <f>AND('GA55 Entry'!#REF!,"AAAAAD//HbY=")</f>
        <v>#REF!</v>
      </c>
      <c r="GB61">
        <f>IF('GA55 Entry'!76:76,"AAAAAD//Hbc=",0)</f>
        <v>0</v>
      </c>
      <c r="GC61" t="e">
        <f>AND('GA55 Entry'!B76,"AAAAAD//Hbg=")</f>
        <v>#VALUE!</v>
      </c>
      <c r="GD61" t="e">
        <f>AND('GA55 Entry'!#REF!,"AAAAAD//Hbk=")</f>
        <v>#REF!</v>
      </c>
      <c r="GE61" t="e">
        <f>AND('GA55 Entry'!C76,"AAAAAD//Hbo=")</f>
        <v>#VALUE!</v>
      </c>
      <c r="GF61" t="e">
        <f>AND('GA55 Entry'!#REF!,"AAAAAD//Hbs=")</f>
        <v>#REF!</v>
      </c>
      <c r="GG61" t="e">
        <f>AND('GA55 Entry'!#REF!,"AAAAAD//Hbw=")</f>
        <v>#REF!</v>
      </c>
      <c r="GH61" t="e">
        <f>AND('GA55 Entry'!#REF!,"AAAAAD//Hb0=")</f>
        <v>#REF!</v>
      </c>
      <c r="GI61" t="e">
        <f>AND('GA55 Entry'!#REF!,"AAAAAD//Hb4=")</f>
        <v>#REF!</v>
      </c>
      <c r="GJ61" t="e">
        <f>AND('GA55 Entry'!#REF!,"AAAAAD//Hb8=")</f>
        <v>#REF!</v>
      </c>
      <c r="GK61" t="e">
        <f>AND('GA55 Entry'!D76,"AAAAAD//HcA=")</f>
        <v>#VALUE!</v>
      </c>
      <c r="GL61" t="e">
        <f>AND('GA55 Entry'!#REF!,"AAAAAD//HcE=")</f>
        <v>#REF!</v>
      </c>
      <c r="GM61" t="e">
        <f>AND('GA55 Entry'!E76,"AAAAAD//HcI=")</f>
        <v>#VALUE!</v>
      </c>
      <c r="GN61" t="e">
        <f>AND('GA55 Entry'!F76,"AAAAAD//HcM=")</f>
        <v>#VALUE!</v>
      </c>
      <c r="GO61" t="e">
        <f>AND('GA55 Entry'!G76,"AAAAAD//HcQ=")</f>
        <v>#VALUE!</v>
      </c>
      <c r="GP61" t="e">
        <f>AND('GA55 Entry'!H76,"AAAAAD//HcU=")</f>
        <v>#VALUE!</v>
      </c>
      <c r="GQ61" t="e">
        <f>AND('GA55 Entry'!I76,"AAAAAD//HcY=")</f>
        <v>#VALUE!</v>
      </c>
      <c r="GR61" t="e">
        <f>AND('GA55 Entry'!J76,"AAAAAD//Hcc=")</f>
        <v>#VALUE!</v>
      </c>
      <c r="GS61" t="e">
        <f>AND('GA55 Entry'!#REF!,"AAAAAD//Hcg=")</f>
        <v>#REF!</v>
      </c>
      <c r="GT61" t="e">
        <f>AND('GA55 Entry'!K76,"AAAAAD//Hck=")</f>
        <v>#VALUE!</v>
      </c>
      <c r="GU61" t="e">
        <f>AND('GA55 Entry'!L76,"AAAAAD//Hco=")</f>
        <v>#VALUE!</v>
      </c>
      <c r="GV61" t="e">
        <f>AND('GA55 Entry'!M76,"AAAAAD//Hcs=")</f>
        <v>#VALUE!</v>
      </c>
      <c r="GW61" t="e">
        <f>AND('GA55 Entry'!N76,"AAAAAD//Hcw=")</f>
        <v>#VALUE!</v>
      </c>
      <c r="GX61" t="e">
        <f>AND('GA55 Entry'!O76,"AAAAAD//Hc0=")</f>
        <v>#VALUE!</v>
      </c>
      <c r="GY61" t="e">
        <f>AND('GA55 Entry'!P76,"AAAAAD//Hc4=")</f>
        <v>#VALUE!</v>
      </c>
      <c r="GZ61" t="e">
        <f>AND('GA55 Entry'!Q76,"AAAAAD//Hc8=")</f>
        <v>#VALUE!</v>
      </c>
      <c r="HA61" t="e">
        <f>AND('GA55 Entry'!S76,"AAAAAD//HdA=")</f>
        <v>#VALUE!</v>
      </c>
      <c r="HB61" t="e">
        <f>AND('GA55 Entry'!#REF!,"AAAAAD//HdE=")</f>
        <v>#REF!</v>
      </c>
      <c r="HC61" t="e">
        <f>AND('GA55 Entry'!T76,"AAAAAD//HdI=")</f>
        <v>#VALUE!</v>
      </c>
      <c r="HD61" t="e">
        <f>AND('GA55 Entry'!U76,"AAAAAD//HdM=")</f>
        <v>#VALUE!</v>
      </c>
      <c r="HE61" t="e">
        <f>AND('GA55 Entry'!V76,"AAAAAD//HdQ=")</f>
        <v>#VALUE!</v>
      </c>
      <c r="HF61" t="e">
        <f>AND('GA55 Entry'!#REF!,"AAAAAD//HdU=")</f>
        <v>#REF!</v>
      </c>
      <c r="HG61" t="e">
        <f>AND('GA55 Entry'!#REF!,"AAAAAD//HdY=")</f>
        <v>#REF!</v>
      </c>
      <c r="HH61" t="e">
        <f>AND('GA55 Entry'!X76,"AAAAAD//Hdc=")</f>
        <v>#VALUE!</v>
      </c>
      <c r="HI61" t="e">
        <f>AND('GA55 Entry'!Y76,"AAAAAD//Hdg=")</f>
        <v>#VALUE!</v>
      </c>
      <c r="HJ61" t="e">
        <f>AND('GA55 Entry'!#REF!,"AAAAAD//Hdk=")</f>
        <v>#REF!</v>
      </c>
      <c r="HK61" t="e">
        <f>AND('GA55 Entry'!#REF!,"AAAAAD//Hdo=")</f>
        <v>#REF!</v>
      </c>
      <c r="HL61" t="e">
        <f>AND('GA55 Entry'!#REF!,"AAAAAD//Hds=")</f>
        <v>#REF!</v>
      </c>
      <c r="HM61" t="e">
        <f>AND('GA55 Entry'!#REF!,"AAAAAD//Hdw=")</f>
        <v>#REF!</v>
      </c>
      <c r="HN61" t="e">
        <f>AND('GA55 Entry'!#REF!,"AAAAAD//Hd0=")</f>
        <v>#REF!</v>
      </c>
      <c r="HO61" t="e">
        <f>AND('GA55 Entry'!#REF!,"AAAAAD//Hd4=")</f>
        <v>#REF!</v>
      </c>
      <c r="HP61" t="e">
        <f>AND('GA55 Entry'!#REF!,"AAAAAD//Hd8=")</f>
        <v>#REF!</v>
      </c>
      <c r="HQ61" t="e">
        <f>AND('GA55 Entry'!#REF!,"AAAAAD//HeA=")</f>
        <v>#REF!</v>
      </c>
      <c r="HR61" t="e">
        <f>AND('GA55 Entry'!#REF!,"AAAAAD//HeE=")</f>
        <v>#REF!</v>
      </c>
      <c r="HS61" t="e">
        <f>AND('GA55 Entry'!Z76,"AAAAAD//HeI=")</f>
        <v>#VALUE!</v>
      </c>
      <c r="HT61" t="e">
        <f>AND('GA55 Entry'!AA76,"AAAAAD//HeM=")</f>
        <v>#VALUE!</v>
      </c>
      <c r="HU61" t="e">
        <f>AND('GA55 Entry'!#REF!,"AAAAAD//HeQ=")</f>
        <v>#REF!</v>
      </c>
      <c r="HV61" t="e">
        <f>AND('GA55 Entry'!#REF!,"AAAAAD//HeU=")</f>
        <v>#REF!</v>
      </c>
      <c r="HW61" t="e">
        <f>AND('GA55 Entry'!#REF!,"AAAAAD//HeY=")</f>
        <v>#REF!</v>
      </c>
      <c r="HX61" t="e">
        <f>AND('GA55 Entry'!AB76,"AAAAAD//Hec=")</f>
        <v>#VALUE!</v>
      </c>
      <c r="HY61" t="e">
        <f>AND('GA55 Entry'!AC76,"AAAAAD//Heg=")</f>
        <v>#VALUE!</v>
      </c>
      <c r="HZ61" t="e">
        <f>AND('GA55 Entry'!#REF!,"AAAAAD//Hek=")</f>
        <v>#REF!</v>
      </c>
      <c r="IA61">
        <f>IF('GA55 Entry'!77:77,"AAAAAD//Heo=",0)</f>
        <v>0</v>
      </c>
      <c r="IB61" t="e">
        <f>AND('GA55 Entry'!B77,"AAAAAD//Hes=")</f>
        <v>#VALUE!</v>
      </c>
      <c r="IC61" t="e">
        <f>AND('GA55 Entry'!#REF!,"AAAAAD//Hew=")</f>
        <v>#REF!</v>
      </c>
      <c r="ID61" t="e">
        <f>AND('GA55 Entry'!C77,"AAAAAD//He0=")</f>
        <v>#VALUE!</v>
      </c>
      <c r="IE61" t="e">
        <f>AND('GA55 Entry'!#REF!,"AAAAAD//He4=")</f>
        <v>#REF!</v>
      </c>
      <c r="IF61" t="e">
        <f>AND('GA55 Entry'!#REF!,"AAAAAD//He8=")</f>
        <v>#REF!</v>
      </c>
      <c r="IG61" t="e">
        <f>AND('GA55 Entry'!#REF!,"AAAAAD//HfA=")</f>
        <v>#REF!</v>
      </c>
      <c r="IH61" t="e">
        <f>AND('GA55 Entry'!#REF!,"AAAAAD//HfE=")</f>
        <v>#REF!</v>
      </c>
      <c r="II61" t="e">
        <f>AND('GA55 Entry'!#REF!,"AAAAAD//HfI=")</f>
        <v>#REF!</v>
      </c>
      <c r="IJ61" t="e">
        <f>AND('GA55 Entry'!D77,"AAAAAD//HfM=")</f>
        <v>#VALUE!</v>
      </c>
      <c r="IK61" t="e">
        <f>AND('GA55 Entry'!#REF!,"AAAAAD//HfQ=")</f>
        <v>#REF!</v>
      </c>
      <c r="IL61" t="e">
        <f>AND('GA55 Entry'!E77,"AAAAAD//HfU=")</f>
        <v>#VALUE!</v>
      </c>
      <c r="IM61" t="e">
        <f>AND('GA55 Entry'!F77,"AAAAAD//HfY=")</f>
        <v>#VALUE!</v>
      </c>
      <c r="IN61" t="e">
        <f>AND('GA55 Entry'!G77,"AAAAAD//Hfc=")</f>
        <v>#VALUE!</v>
      </c>
      <c r="IO61" t="e">
        <f>AND('GA55 Entry'!H77,"AAAAAD//Hfg=")</f>
        <v>#VALUE!</v>
      </c>
      <c r="IP61" t="e">
        <f>AND('GA55 Entry'!I77,"AAAAAD//Hfk=")</f>
        <v>#VALUE!</v>
      </c>
      <c r="IQ61" t="e">
        <f>AND('GA55 Entry'!J77,"AAAAAD//Hfo=")</f>
        <v>#VALUE!</v>
      </c>
      <c r="IR61" t="e">
        <f>AND('GA55 Entry'!#REF!,"AAAAAD//Hfs=")</f>
        <v>#REF!</v>
      </c>
      <c r="IS61" t="e">
        <f>AND('GA55 Entry'!K77,"AAAAAD//Hfw=")</f>
        <v>#VALUE!</v>
      </c>
      <c r="IT61" t="e">
        <f>AND('GA55 Entry'!L77,"AAAAAD//Hf0=")</f>
        <v>#VALUE!</v>
      </c>
      <c r="IU61" t="e">
        <f>AND('GA55 Entry'!M77,"AAAAAD//Hf4=")</f>
        <v>#VALUE!</v>
      </c>
      <c r="IV61" t="e">
        <f>AND('GA55 Entry'!N77,"AAAAAD//Hf8=")</f>
        <v>#VALUE!</v>
      </c>
    </row>
    <row r="62" spans="1:256">
      <c r="A62" t="e">
        <f>AND('GA55 Entry'!O77,"AAAAAHj+5wA=")</f>
        <v>#VALUE!</v>
      </c>
      <c r="B62" t="e">
        <f>AND('GA55 Entry'!P77,"AAAAAHj+5wE=")</f>
        <v>#VALUE!</v>
      </c>
      <c r="C62" t="e">
        <f>AND('GA55 Entry'!Q77,"AAAAAHj+5wI=")</f>
        <v>#VALUE!</v>
      </c>
      <c r="D62" t="e">
        <f>AND('GA55 Entry'!S77,"AAAAAHj+5wM=")</f>
        <v>#VALUE!</v>
      </c>
      <c r="E62" t="e">
        <f>AND('GA55 Entry'!#REF!,"AAAAAHj+5wQ=")</f>
        <v>#REF!</v>
      </c>
      <c r="F62" t="e">
        <f>AND('GA55 Entry'!T77,"AAAAAHj+5wU=")</f>
        <v>#VALUE!</v>
      </c>
      <c r="G62" t="e">
        <f>AND('GA55 Entry'!U77,"AAAAAHj+5wY=")</f>
        <v>#VALUE!</v>
      </c>
      <c r="H62" t="e">
        <f>AND('GA55 Entry'!V77,"AAAAAHj+5wc=")</f>
        <v>#VALUE!</v>
      </c>
      <c r="I62" t="e">
        <f>AND('GA55 Entry'!#REF!,"AAAAAHj+5wg=")</f>
        <v>#REF!</v>
      </c>
      <c r="J62" t="e">
        <f>AND('GA55 Entry'!#REF!,"AAAAAHj+5wk=")</f>
        <v>#REF!</v>
      </c>
      <c r="K62" t="e">
        <f>AND('GA55 Entry'!X77,"AAAAAHj+5wo=")</f>
        <v>#VALUE!</v>
      </c>
      <c r="L62" t="e">
        <f>AND('GA55 Entry'!Y77,"AAAAAHj+5ws=")</f>
        <v>#VALUE!</v>
      </c>
      <c r="M62" t="e">
        <f>AND('GA55 Entry'!#REF!,"AAAAAHj+5ww=")</f>
        <v>#REF!</v>
      </c>
      <c r="N62" t="e">
        <f>AND('GA55 Entry'!#REF!,"AAAAAHj+5w0=")</f>
        <v>#REF!</v>
      </c>
      <c r="O62" t="e">
        <f>AND('GA55 Entry'!#REF!,"AAAAAHj+5w4=")</f>
        <v>#REF!</v>
      </c>
      <c r="P62" t="e">
        <f>AND('GA55 Entry'!#REF!,"AAAAAHj+5w8=")</f>
        <v>#REF!</v>
      </c>
      <c r="Q62" t="e">
        <f>AND('GA55 Entry'!#REF!,"AAAAAHj+5xA=")</f>
        <v>#REF!</v>
      </c>
      <c r="R62" t="e">
        <f>AND('GA55 Entry'!#REF!,"AAAAAHj+5xE=")</f>
        <v>#REF!</v>
      </c>
      <c r="S62" t="e">
        <f>AND('GA55 Entry'!#REF!,"AAAAAHj+5xI=")</f>
        <v>#REF!</v>
      </c>
      <c r="T62" t="e">
        <f>AND('GA55 Entry'!#REF!,"AAAAAHj+5xM=")</f>
        <v>#REF!</v>
      </c>
      <c r="U62" t="e">
        <f>AND('GA55 Entry'!#REF!,"AAAAAHj+5xQ=")</f>
        <v>#REF!</v>
      </c>
      <c r="V62" t="e">
        <f>AND('GA55 Entry'!Z77,"AAAAAHj+5xU=")</f>
        <v>#VALUE!</v>
      </c>
      <c r="W62" t="e">
        <f>AND('GA55 Entry'!AA77,"AAAAAHj+5xY=")</f>
        <v>#VALUE!</v>
      </c>
      <c r="X62" t="e">
        <f>AND('GA55 Entry'!#REF!,"AAAAAHj+5xc=")</f>
        <v>#REF!</v>
      </c>
      <c r="Y62" t="e">
        <f>AND('GA55 Entry'!#REF!,"AAAAAHj+5xg=")</f>
        <v>#REF!</v>
      </c>
      <c r="Z62" t="e">
        <f>AND('GA55 Entry'!#REF!,"AAAAAHj+5xk=")</f>
        <v>#REF!</v>
      </c>
      <c r="AA62" t="e">
        <f>AND('GA55 Entry'!AB77,"AAAAAHj+5xo=")</f>
        <v>#VALUE!</v>
      </c>
      <c r="AB62" t="e">
        <f>AND('GA55 Entry'!AC77,"AAAAAHj+5xs=")</f>
        <v>#VALUE!</v>
      </c>
      <c r="AC62" t="e">
        <f>AND('GA55 Entry'!#REF!,"AAAAAHj+5xw=")</f>
        <v>#REF!</v>
      </c>
      <c r="AD62">
        <f>IF('GA55 Entry'!78:78,"AAAAAHj+5x0=",0)</f>
        <v>0</v>
      </c>
      <c r="AE62" t="e">
        <f>AND('GA55 Entry'!B78,"AAAAAHj+5x4=")</f>
        <v>#VALUE!</v>
      </c>
      <c r="AF62" t="e">
        <f>AND('GA55 Entry'!#REF!,"AAAAAHj+5x8=")</f>
        <v>#REF!</v>
      </c>
      <c r="AG62" t="e">
        <f>AND('GA55 Entry'!C78,"AAAAAHj+5yA=")</f>
        <v>#VALUE!</v>
      </c>
      <c r="AH62" t="e">
        <f>AND('GA55 Entry'!#REF!,"AAAAAHj+5yE=")</f>
        <v>#REF!</v>
      </c>
      <c r="AI62" t="e">
        <f>AND('GA55 Entry'!#REF!,"AAAAAHj+5yI=")</f>
        <v>#REF!</v>
      </c>
      <c r="AJ62" t="e">
        <f>AND('GA55 Entry'!#REF!,"AAAAAHj+5yM=")</f>
        <v>#REF!</v>
      </c>
      <c r="AK62" t="e">
        <f>AND('GA55 Entry'!#REF!,"AAAAAHj+5yQ=")</f>
        <v>#REF!</v>
      </c>
      <c r="AL62" t="e">
        <f>AND('GA55 Entry'!#REF!,"AAAAAHj+5yU=")</f>
        <v>#REF!</v>
      </c>
      <c r="AM62" t="e">
        <f>AND('GA55 Entry'!D78,"AAAAAHj+5yY=")</f>
        <v>#VALUE!</v>
      </c>
      <c r="AN62" t="e">
        <f>AND('GA55 Entry'!#REF!,"AAAAAHj+5yc=")</f>
        <v>#REF!</v>
      </c>
      <c r="AO62" t="e">
        <f>AND('GA55 Entry'!E78,"AAAAAHj+5yg=")</f>
        <v>#VALUE!</v>
      </c>
      <c r="AP62" t="e">
        <f>AND('GA55 Entry'!F78,"AAAAAHj+5yk=")</f>
        <v>#VALUE!</v>
      </c>
      <c r="AQ62" t="e">
        <f>AND('GA55 Entry'!G78,"AAAAAHj+5yo=")</f>
        <v>#VALUE!</v>
      </c>
      <c r="AR62" t="e">
        <f>AND('GA55 Entry'!H78,"AAAAAHj+5ys=")</f>
        <v>#VALUE!</v>
      </c>
      <c r="AS62" t="e">
        <f>AND('GA55 Entry'!I78,"AAAAAHj+5yw=")</f>
        <v>#VALUE!</v>
      </c>
      <c r="AT62" t="e">
        <f>AND('GA55 Entry'!J78,"AAAAAHj+5y0=")</f>
        <v>#VALUE!</v>
      </c>
      <c r="AU62" t="e">
        <f>AND('GA55 Entry'!#REF!,"AAAAAHj+5y4=")</f>
        <v>#REF!</v>
      </c>
      <c r="AV62" t="e">
        <f>AND('GA55 Entry'!K78,"AAAAAHj+5y8=")</f>
        <v>#VALUE!</v>
      </c>
      <c r="AW62" t="e">
        <f>AND('GA55 Entry'!L78,"AAAAAHj+5zA=")</f>
        <v>#VALUE!</v>
      </c>
      <c r="AX62" t="e">
        <f>AND('GA55 Entry'!M78,"AAAAAHj+5zE=")</f>
        <v>#VALUE!</v>
      </c>
      <c r="AY62" t="e">
        <f>AND('GA55 Entry'!N78,"AAAAAHj+5zI=")</f>
        <v>#VALUE!</v>
      </c>
      <c r="AZ62" t="e">
        <f>AND('GA55 Entry'!O78,"AAAAAHj+5zM=")</f>
        <v>#VALUE!</v>
      </c>
      <c r="BA62" t="e">
        <f>AND('GA55 Entry'!P78,"AAAAAHj+5zQ=")</f>
        <v>#VALUE!</v>
      </c>
      <c r="BB62" t="e">
        <f>AND('GA55 Entry'!Q78,"AAAAAHj+5zU=")</f>
        <v>#VALUE!</v>
      </c>
      <c r="BC62" t="e">
        <f>AND('GA55 Entry'!S78,"AAAAAHj+5zY=")</f>
        <v>#VALUE!</v>
      </c>
      <c r="BD62" t="e">
        <f>AND('GA55 Entry'!#REF!,"AAAAAHj+5zc=")</f>
        <v>#REF!</v>
      </c>
      <c r="BE62" t="e">
        <f>AND('GA55 Entry'!T78,"AAAAAHj+5zg=")</f>
        <v>#VALUE!</v>
      </c>
      <c r="BF62" t="e">
        <f>AND('GA55 Entry'!U78,"AAAAAHj+5zk=")</f>
        <v>#VALUE!</v>
      </c>
      <c r="BG62" t="e">
        <f>AND('GA55 Entry'!V78,"AAAAAHj+5zo=")</f>
        <v>#VALUE!</v>
      </c>
      <c r="BH62" t="e">
        <f>AND('GA55 Entry'!#REF!,"AAAAAHj+5zs=")</f>
        <v>#REF!</v>
      </c>
      <c r="BI62" t="e">
        <f>AND('GA55 Entry'!#REF!,"AAAAAHj+5zw=")</f>
        <v>#REF!</v>
      </c>
      <c r="BJ62" t="e">
        <f>AND('GA55 Entry'!X78,"AAAAAHj+5z0=")</f>
        <v>#VALUE!</v>
      </c>
      <c r="BK62" t="e">
        <f>AND('GA55 Entry'!Y78,"AAAAAHj+5z4=")</f>
        <v>#VALUE!</v>
      </c>
      <c r="BL62" t="e">
        <f>AND('GA55 Entry'!#REF!,"AAAAAHj+5z8=")</f>
        <v>#REF!</v>
      </c>
      <c r="BM62" t="e">
        <f>AND('GA55 Entry'!#REF!,"AAAAAHj+50A=")</f>
        <v>#REF!</v>
      </c>
      <c r="BN62" t="e">
        <f>AND('GA55 Entry'!#REF!,"AAAAAHj+50E=")</f>
        <v>#REF!</v>
      </c>
      <c r="BO62" t="e">
        <f>AND('GA55 Entry'!#REF!,"AAAAAHj+50I=")</f>
        <v>#REF!</v>
      </c>
      <c r="BP62" t="e">
        <f>AND('GA55 Entry'!#REF!,"AAAAAHj+50M=")</f>
        <v>#REF!</v>
      </c>
      <c r="BQ62" t="e">
        <f>AND('GA55 Entry'!#REF!,"AAAAAHj+50Q=")</f>
        <v>#REF!</v>
      </c>
      <c r="BR62" t="e">
        <f>AND('GA55 Entry'!#REF!,"AAAAAHj+50U=")</f>
        <v>#REF!</v>
      </c>
      <c r="BS62" t="e">
        <f>AND('GA55 Entry'!#REF!,"AAAAAHj+50Y=")</f>
        <v>#REF!</v>
      </c>
      <c r="BT62" t="e">
        <f>AND('GA55 Entry'!#REF!,"AAAAAHj+50c=")</f>
        <v>#REF!</v>
      </c>
      <c r="BU62" t="e">
        <f>AND('GA55 Entry'!Z78,"AAAAAHj+50g=")</f>
        <v>#VALUE!</v>
      </c>
      <c r="BV62" t="e">
        <f>AND('GA55 Entry'!AA78,"AAAAAHj+50k=")</f>
        <v>#VALUE!</v>
      </c>
      <c r="BW62" t="e">
        <f>AND('GA55 Entry'!#REF!,"AAAAAHj+50o=")</f>
        <v>#REF!</v>
      </c>
      <c r="BX62" t="e">
        <f>AND('GA55 Entry'!#REF!,"AAAAAHj+50s=")</f>
        <v>#REF!</v>
      </c>
      <c r="BY62" t="e">
        <f>AND('GA55 Entry'!#REF!,"AAAAAHj+50w=")</f>
        <v>#REF!</v>
      </c>
      <c r="BZ62" t="e">
        <f>AND('GA55 Entry'!AB78,"AAAAAHj+500=")</f>
        <v>#VALUE!</v>
      </c>
      <c r="CA62" t="e">
        <f>AND('GA55 Entry'!AC78,"AAAAAHj+504=")</f>
        <v>#VALUE!</v>
      </c>
      <c r="CB62" t="e">
        <f>AND('GA55 Entry'!#REF!,"AAAAAHj+508=")</f>
        <v>#REF!</v>
      </c>
      <c r="CC62">
        <f>IF('GA55 Entry'!79:79,"AAAAAHj+51A=",0)</f>
        <v>0</v>
      </c>
      <c r="CD62" t="e">
        <f>AND('GA55 Entry'!B79,"AAAAAHj+51E=")</f>
        <v>#VALUE!</v>
      </c>
      <c r="CE62" t="e">
        <f>AND('GA55 Entry'!#REF!,"AAAAAHj+51I=")</f>
        <v>#REF!</v>
      </c>
      <c r="CF62" t="e">
        <f>AND('GA55 Entry'!C79,"AAAAAHj+51M=")</f>
        <v>#VALUE!</v>
      </c>
      <c r="CG62" t="e">
        <f>AND('GA55 Entry'!#REF!,"AAAAAHj+51Q=")</f>
        <v>#REF!</v>
      </c>
      <c r="CH62" t="e">
        <f>AND('GA55 Entry'!#REF!,"AAAAAHj+51U=")</f>
        <v>#REF!</v>
      </c>
      <c r="CI62" t="e">
        <f>AND('GA55 Entry'!#REF!,"AAAAAHj+51Y=")</f>
        <v>#REF!</v>
      </c>
      <c r="CJ62" t="e">
        <f>AND('GA55 Entry'!#REF!,"AAAAAHj+51c=")</f>
        <v>#REF!</v>
      </c>
      <c r="CK62" t="e">
        <f>AND('GA55 Entry'!#REF!,"AAAAAHj+51g=")</f>
        <v>#REF!</v>
      </c>
      <c r="CL62" t="e">
        <f>AND('GA55 Entry'!D79,"AAAAAHj+51k=")</f>
        <v>#VALUE!</v>
      </c>
      <c r="CM62" t="e">
        <f>AND('GA55 Entry'!#REF!,"AAAAAHj+51o=")</f>
        <v>#REF!</v>
      </c>
      <c r="CN62" t="e">
        <f>AND('GA55 Entry'!E79,"AAAAAHj+51s=")</f>
        <v>#VALUE!</v>
      </c>
      <c r="CO62" t="e">
        <f>AND('GA55 Entry'!F79,"AAAAAHj+51w=")</f>
        <v>#VALUE!</v>
      </c>
      <c r="CP62" t="e">
        <f>AND('GA55 Entry'!G79,"AAAAAHj+510=")</f>
        <v>#VALUE!</v>
      </c>
      <c r="CQ62" t="e">
        <f>AND('GA55 Entry'!H79,"AAAAAHj+514=")</f>
        <v>#VALUE!</v>
      </c>
      <c r="CR62" t="e">
        <f>AND('GA55 Entry'!I79,"AAAAAHj+518=")</f>
        <v>#VALUE!</v>
      </c>
      <c r="CS62" t="e">
        <f>AND('GA55 Entry'!J79,"AAAAAHj+52A=")</f>
        <v>#VALUE!</v>
      </c>
      <c r="CT62" t="e">
        <f>AND('GA55 Entry'!#REF!,"AAAAAHj+52E=")</f>
        <v>#REF!</v>
      </c>
      <c r="CU62" t="e">
        <f>AND('GA55 Entry'!K79,"AAAAAHj+52I=")</f>
        <v>#VALUE!</v>
      </c>
      <c r="CV62" t="e">
        <f>AND('GA55 Entry'!L79,"AAAAAHj+52M=")</f>
        <v>#VALUE!</v>
      </c>
      <c r="CW62" t="e">
        <f>AND('GA55 Entry'!M79,"AAAAAHj+52Q=")</f>
        <v>#VALUE!</v>
      </c>
      <c r="CX62" t="e">
        <f>AND('GA55 Entry'!N79,"AAAAAHj+52U=")</f>
        <v>#VALUE!</v>
      </c>
      <c r="CY62" t="e">
        <f>AND('GA55 Entry'!O79,"AAAAAHj+52Y=")</f>
        <v>#VALUE!</v>
      </c>
      <c r="CZ62" t="e">
        <f>AND('GA55 Entry'!P79,"AAAAAHj+52c=")</f>
        <v>#VALUE!</v>
      </c>
      <c r="DA62" t="e">
        <f>AND('GA55 Entry'!Q79,"AAAAAHj+52g=")</f>
        <v>#VALUE!</v>
      </c>
      <c r="DB62" t="e">
        <f>AND('GA55 Entry'!S79,"AAAAAHj+52k=")</f>
        <v>#VALUE!</v>
      </c>
      <c r="DC62" t="e">
        <f>AND('GA55 Entry'!#REF!,"AAAAAHj+52o=")</f>
        <v>#REF!</v>
      </c>
      <c r="DD62" t="e">
        <f>AND('GA55 Entry'!T79,"AAAAAHj+52s=")</f>
        <v>#VALUE!</v>
      </c>
      <c r="DE62" t="e">
        <f>AND('GA55 Entry'!U79,"AAAAAHj+52w=")</f>
        <v>#VALUE!</v>
      </c>
      <c r="DF62" t="e">
        <f>AND('GA55 Entry'!V79,"AAAAAHj+520=")</f>
        <v>#VALUE!</v>
      </c>
      <c r="DG62" t="e">
        <f>AND('GA55 Entry'!#REF!,"AAAAAHj+524=")</f>
        <v>#REF!</v>
      </c>
      <c r="DH62" t="e">
        <f>AND('GA55 Entry'!#REF!,"AAAAAHj+528=")</f>
        <v>#REF!</v>
      </c>
      <c r="DI62" t="e">
        <f>AND('GA55 Entry'!X79,"AAAAAHj+53A=")</f>
        <v>#VALUE!</v>
      </c>
      <c r="DJ62" t="e">
        <f>AND('GA55 Entry'!Y79,"AAAAAHj+53E=")</f>
        <v>#VALUE!</v>
      </c>
      <c r="DK62" t="e">
        <f>AND('GA55 Entry'!#REF!,"AAAAAHj+53I=")</f>
        <v>#REF!</v>
      </c>
      <c r="DL62" t="e">
        <f>AND('GA55 Entry'!#REF!,"AAAAAHj+53M=")</f>
        <v>#REF!</v>
      </c>
      <c r="DM62" t="e">
        <f>AND('GA55 Entry'!#REF!,"AAAAAHj+53Q=")</f>
        <v>#REF!</v>
      </c>
      <c r="DN62" t="e">
        <f>AND('GA55 Entry'!#REF!,"AAAAAHj+53U=")</f>
        <v>#REF!</v>
      </c>
      <c r="DO62" t="e">
        <f>AND('GA55 Entry'!#REF!,"AAAAAHj+53Y=")</f>
        <v>#REF!</v>
      </c>
      <c r="DP62" t="e">
        <f>AND('GA55 Entry'!#REF!,"AAAAAHj+53c=")</f>
        <v>#REF!</v>
      </c>
      <c r="DQ62" t="e">
        <f>AND('GA55 Entry'!#REF!,"AAAAAHj+53g=")</f>
        <v>#REF!</v>
      </c>
      <c r="DR62" t="e">
        <f>AND('GA55 Entry'!#REF!,"AAAAAHj+53k=")</f>
        <v>#REF!</v>
      </c>
      <c r="DS62" t="e">
        <f>AND('GA55 Entry'!#REF!,"AAAAAHj+53o=")</f>
        <v>#REF!</v>
      </c>
      <c r="DT62" t="e">
        <f>AND('GA55 Entry'!Z79,"AAAAAHj+53s=")</f>
        <v>#VALUE!</v>
      </c>
      <c r="DU62" t="e">
        <f>AND('GA55 Entry'!AA79,"AAAAAHj+53w=")</f>
        <v>#VALUE!</v>
      </c>
      <c r="DV62" t="e">
        <f>AND('GA55 Entry'!#REF!,"AAAAAHj+530=")</f>
        <v>#REF!</v>
      </c>
      <c r="DW62" t="e">
        <f>AND('GA55 Entry'!#REF!,"AAAAAHj+534=")</f>
        <v>#REF!</v>
      </c>
      <c r="DX62" t="e">
        <f>AND('GA55 Entry'!#REF!,"AAAAAHj+538=")</f>
        <v>#REF!</v>
      </c>
      <c r="DY62" t="e">
        <f>AND('GA55 Entry'!AB79,"AAAAAHj+54A=")</f>
        <v>#VALUE!</v>
      </c>
      <c r="DZ62" t="e">
        <f>AND('GA55 Entry'!AC79,"AAAAAHj+54E=")</f>
        <v>#VALUE!</v>
      </c>
      <c r="EA62" t="e">
        <f>AND('GA55 Entry'!#REF!,"AAAAAHj+54I=")</f>
        <v>#REF!</v>
      </c>
      <c r="EB62">
        <f>IF('GA55 Entry'!80:80,"AAAAAHj+54M=",0)</f>
        <v>0</v>
      </c>
      <c r="EC62" t="e">
        <f>AND('GA55 Entry'!B80,"AAAAAHj+54Q=")</f>
        <v>#VALUE!</v>
      </c>
      <c r="ED62" t="e">
        <f>AND('GA55 Entry'!#REF!,"AAAAAHj+54U=")</f>
        <v>#REF!</v>
      </c>
      <c r="EE62" t="e">
        <f>AND('GA55 Entry'!C80,"AAAAAHj+54Y=")</f>
        <v>#VALUE!</v>
      </c>
      <c r="EF62" t="e">
        <f>AND('GA55 Entry'!#REF!,"AAAAAHj+54c=")</f>
        <v>#REF!</v>
      </c>
      <c r="EG62" t="e">
        <f>AND('GA55 Entry'!#REF!,"AAAAAHj+54g=")</f>
        <v>#REF!</v>
      </c>
      <c r="EH62" t="e">
        <f>AND('GA55 Entry'!#REF!,"AAAAAHj+54k=")</f>
        <v>#REF!</v>
      </c>
      <c r="EI62" t="e">
        <f>AND('GA55 Entry'!#REF!,"AAAAAHj+54o=")</f>
        <v>#REF!</v>
      </c>
      <c r="EJ62" t="e">
        <f>AND('GA55 Entry'!#REF!,"AAAAAHj+54s=")</f>
        <v>#REF!</v>
      </c>
      <c r="EK62" t="e">
        <f>AND('GA55 Entry'!D80,"AAAAAHj+54w=")</f>
        <v>#VALUE!</v>
      </c>
      <c r="EL62" t="e">
        <f>AND('GA55 Entry'!#REF!,"AAAAAHj+540=")</f>
        <v>#REF!</v>
      </c>
      <c r="EM62" t="e">
        <f>AND('GA55 Entry'!E80,"AAAAAHj+544=")</f>
        <v>#VALUE!</v>
      </c>
      <c r="EN62" t="e">
        <f>AND('GA55 Entry'!F80,"AAAAAHj+548=")</f>
        <v>#VALUE!</v>
      </c>
      <c r="EO62" t="e">
        <f>AND('GA55 Entry'!G80,"AAAAAHj+55A=")</f>
        <v>#VALUE!</v>
      </c>
      <c r="EP62" t="e">
        <f>AND('GA55 Entry'!H80,"AAAAAHj+55E=")</f>
        <v>#VALUE!</v>
      </c>
      <c r="EQ62" t="e">
        <f>AND('GA55 Entry'!I80,"AAAAAHj+55I=")</f>
        <v>#VALUE!</v>
      </c>
      <c r="ER62" t="e">
        <f>AND('GA55 Entry'!J80,"AAAAAHj+55M=")</f>
        <v>#VALUE!</v>
      </c>
      <c r="ES62" t="e">
        <f>AND('GA55 Entry'!#REF!,"AAAAAHj+55Q=")</f>
        <v>#REF!</v>
      </c>
      <c r="ET62" t="e">
        <f>AND('GA55 Entry'!K80,"AAAAAHj+55U=")</f>
        <v>#VALUE!</v>
      </c>
      <c r="EU62" t="e">
        <f>AND('GA55 Entry'!L80,"AAAAAHj+55Y=")</f>
        <v>#VALUE!</v>
      </c>
      <c r="EV62" t="e">
        <f>AND('GA55 Entry'!M80,"AAAAAHj+55c=")</f>
        <v>#VALUE!</v>
      </c>
      <c r="EW62" t="e">
        <f>AND('GA55 Entry'!N80,"AAAAAHj+55g=")</f>
        <v>#VALUE!</v>
      </c>
      <c r="EX62" t="e">
        <f>AND('GA55 Entry'!O80,"AAAAAHj+55k=")</f>
        <v>#VALUE!</v>
      </c>
      <c r="EY62" t="e">
        <f>AND('GA55 Entry'!P80,"AAAAAHj+55o=")</f>
        <v>#VALUE!</v>
      </c>
      <c r="EZ62" t="e">
        <f>AND('GA55 Entry'!Q80,"AAAAAHj+55s=")</f>
        <v>#VALUE!</v>
      </c>
      <c r="FA62" t="e">
        <f>AND('GA55 Entry'!S80,"AAAAAHj+55w=")</f>
        <v>#VALUE!</v>
      </c>
      <c r="FB62" t="e">
        <f>AND('GA55 Entry'!#REF!,"AAAAAHj+550=")</f>
        <v>#REF!</v>
      </c>
      <c r="FC62" t="e">
        <f>AND('GA55 Entry'!T80,"AAAAAHj+554=")</f>
        <v>#VALUE!</v>
      </c>
      <c r="FD62" t="e">
        <f>AND('GA55 Entry'!U80,"AAAAAHj+558=")</f>
        <v>#VALUE!</v>
      </c>
      <c r="FE62" t="e">
        <f>AND('GA55 Entry'!V80,"AAAAAHj+56A=")</f>
        <v>#VALUE!</v>
      </c>
      <c r="FF62" t="e">
        <f>AND('GA55 Entry'!#REF!,"AAAAAHj+56E=")</f>
        <v>#REF!</v>
      </c>
      <c r="FG62" t="e">
        <f>AND('GA55 Entry'!#REF!,"AAAAAHj+56I=")</f>
        <v>#REF!</v>
      </c>
      <c r="FH62" t="e">
        <f>AND('GA55 Entry'!X80,"AAAAAHj+56M=")</f>
        <v>#VALUE!</v>
      </c>
      <c r="FI62" t="e">
        <f>AND('GA55 Entry'!Y80,"AAAAAHj+56Q=")</f>
        <v>#VALUE!</v>
      </c>
      <c r="FJ62" t="e">
        <f>AND('GA55 Entry'!#REF!,"AAAAAHj+56U=")</f>
        <v>#REF!</v>
      </c>
      <c r="FK62" t="e">
        <f>AND('GA55 Entry'!#REF!,"AAAAAHj+56Y=")</f>
        <v>#REF!</v>
      </c>
      <c r="FL62" t="e">
        <f>AND('GA55 Entry'!#REF!,"AAAAAHj+56c=")</f>
        <v>#REF!</v>
      </c>
      <c r="FM62" t="e">
        <f>AND('GA55 Entry'!#REF!,"AAAAAHj+56g=")</f>
        <v>#REF!</v>
      </c>
      <c r="FN62" t="e">
        <f>AND('GA55 Entry'!#REF!,"AAAAAHj+56k=")</f>
        <v>#REF!</v>
      </c>
      <c r="FO62" t="e">
        <f>AND('GA55 Entry'!#REF!,"AAAAAHj+56o=")</f>
        <v>#REF!</v>
      </c>
      <c r="FP62" t="e">
        <f>AND('GA55 Entry'!#REF!,"AAAAAHj+56s=")</f>
        <v>#REF!</v>
      </c>
      <c r="FQ62" t="e">
        <f>AND('GA55 Entry'!#REF!,"AAAAAHj+56w=")</f>
        <v>#REF!</v>
      </c>
      <c r="FR62" t="e">
        <f>AND('GA55 Entry'!#REF!,"AAAAAHj+560=")</f>
        <v>#REF!</v>
      </c>
      <c r="FS62" t="e">
        <f>AND('GA55 Entry'!Z80,"AAAAAHj+564=")</f>
        <v>#VALUE!</v>
      </c>
      <c r="FT62" t="e">
        <f>AND('GA55 Entry'!AA80,"AAAAAHj+568=")</f>
        <v>#VALUE!</v>
      </c>
      <c r="FU62" t="e">
        <f>AND('GA55 Entry'!#REF!,"AAAAAHj+57A=")</f>
        <v>#REF!</v>
      </c>
      <c r="FV62" t="e">
        <f>AND('GA55 Entry'!#REF!,"AAAAAHj+57E=")</f>
        <v>#REF!</v>
      </c>
      <c r="FW62" t="e">
        <f>AND('GA55 Entry'!#REF!,"AAAAAHj+57I=")</f>
        <v>#REF!</v>
      </c>
      <c r="FX62" t="e">
        <f>AND('GA55 Entry'!AB80,"AAAAAHj+57M=")</f>
        <v>#VALUE!</v>
      </c>
      <c r="FY62" t="e">
        <f>AND('GA55 Entry'!AC80,"AAAAAHj+57Q=")</f>
        <v>#VALUE!</v>
      </c>
      <c r="FZ62" t="e">
        <f>AND('GA55 Entry'!#REF!,"AAAAAHj+57U=")</f>
        <v>#REF!</v>
      </c>
      <c r="GA62">
        <f>IF('GA55 Entry'!81:81,"AAAAAHj+57Y=",0)</f>
        <v>0</v>
      </c>
      <c r="GB62" t="e">
        <f>AND('GA55 Entry'!B81,"AAAAAHj+57c=")</f>
        <v>#VALUE!</v>
      </c>
      <c r="GC62" t="e">
        <f>AND('GA55 Entry'!#REF!,"AAAAAHj+57g=")</f>
        <v>#REF!</v>
      </c>
      <c r="GD62" t="e">
        <f>AND('GA55 Entry'!C81,"AAAAAHj+57k=")</f>
        <v>#VALUE!</v>
      </c>
      <c r="GE62" t="e">
        <f>AND('GA55 Entry'!#REF!,"AAAAAHj+57o=")</f>
        <v>#REF!</v>
      </c>
      <c r="GF62" t="e">
        <f>AND('GA55 Entry'!#REF!,"AAAAAHj+57s=")</f>
        <v>#REF!</v>
      </c>
      <c r="GG62" t="e">
        <f>AND('GA55 Entry'!#REF!,"AAAAAHj+57w=")</f>
        <v>#REF!</v>
      </c>
      <c r="GH62" t="e">
        <f>AND('GA55 Entry'!#REF!,"AAAAAHj+570=")</f>
        <v>#REF!</v>
      </c>
      <c r="GI62" t="e">
        <f>AND('GA55 Entry'!#REF!,"AAAAAHj+574=")</f>
        <v>#REF!</v>
      </c>
      <c r="GJ62" t="e">
        <f>AND('GA55 Entry'!D81,"AAAAAHj+578=")</f>
        <v>#VALUE!</v>
      </c>
      <c r="GK62" t="e">
        <f>AND('GA55 Entry'!#REF!,"AAAAAHj+58A=")</f>
        <v>#REF!</v>
      </c>
      <c r="GL62" t="e">
        <f>AND('GA55 Entry'!E81,"AAAAAHj+58E=")</f>
        <v>#VALUE!</v>
      </c>
      <c r="GM62" t="e">
        <f>AND('GA55 Entry'!F81,"AAAAAHj+58I=")</f>
        <v>#VALUE!</v>
      </c>
      <c r="GN62" t="e">
        <f>AND('GA55 Entry'!G81,"AAAAAHj+58M=")</f>
        <v>#VALUE!</v>
      </c>
      <c r="GO62" t="e">
        <f>AND('GA55 Entry'!H81,"AAAAAHj+58Q=")</f>
        <v>#VALUE!</v>
      </c>
      <c r="GP62" t="e">
        <f>AND('GA55 Entry'!I81,"AAAAAHj+58U=")</f>
        <v>#VALUE!</v>
      </c>
      <c r="GQ62" t="e">
        <f>AND('GA55 Entry'!J81,"AAAAAHj+58Y=")</f>
        <v>#VALUE!</v>
      </c>
      <c r="GR62" t="e">
        <f>AND('GA55 Entry'!#REF!,"AAAAAHj+58c=")</f>
        <v>#REF!</v>
      </c>
      <c r="GS62" t="e">
        <f>AND('GA55 Entry'!K81,"AAAAAHj+58g=")</f>
        <v>#VALUE!</v>
      </c>
      <c r="GT62" t="e">
        <f>AND('GA55 Entry'!L81,"AAAAAHj+58k=")</f>
        <v>#VALUE!</v>
      </c>
      <c r="GU62" t="e">
        <f>AND('GA55 Entry'!M81,"AAAAAHj+58o=")</f>
        <v>#VALUE!</v>
      </c>
      <c r="GV62" t="e">
        <f>AND('GA55 Entry'!N81,"AAAAAHj+58s=")</f>
        <v>#VALUE!</v>
      </c>
      <c r="GW62" t="e">
        <f>AND('GA55 Entry'!O81,"AAAAAHj+58w=")</f>
        <v>#VALUE!</v>
      </c>
      <c r="GX62" t="e">
        <f>AND('GA55 Entry'!P81,"AAAAAHj+580=")</f>
        <v>#VALUE!</v>
      </c>
      <c r="GY62" t="e">
        <f>AND('GA55 Entry'!Q81,"AAAAAHj+584=")</f>
        <v>#VALUE!</v>
      </c>
      <c r="GZ62" t="e">
        <f>AND('GA55 Entry'!S81,"AAAAAHj+588=")</f>
        <v>#VALUE!</v>
      </c>
      <c r="HA62" t="e">
        <f>AND('GA55 Entry'!#REF!,"AAAAAHj+59A=")</f>
        <v>#REF!</v>
      </c>
      <c r="HB62" t="e">
        <f>AND('GA55 Entry'!T81,"AAAAAHj+59E=")</f>
        <v>#VALUE!</v>
      </c>
      <c r="HC62" t="e">
        <f>AND('GA55 Entry'!U81,"AAAAAHj+59I=")</f>
        <v>#VALUE!</v>
      </c>
      <c r="HD62" t="e">
        <f>AND('GA55 Entry'!V81,"AAAAAHj+59M=")</f>
        <v>#VALUE!</v>
      </c>
      <c r="HE62" t="e">
        <f>AND('GA55 Entry'!#REF!,"AAAAAHj+59Q=")</f>
        <v>#REF!</v>
      </c>
      <c r="HF62" t="e">
        <f>AND('GA55 Entry'!#REF!,"AAAAAHj+59U=")</f>
        <v>#REF!</v>
      </c>
      <c r="HG62" t="e">
        <f>AND('GA55 Entry'!X81,"AAAAAHj+59Y=")</f>
        <v>#VALUE!</v>
      </c>
      <c r="HH62" t="e">
        <f>AND('GA55 Entry'!Y81,"AAAAAHj+59c=")</f>
        <v>#VALUE!</v>
      </c>
      <c r="HI62" t="e">
        <f>AND('GA55 Entry'!#REF!,"AAAAAHj+59g=")</f>
        <v>#REF!</v>
      </c>
      <c r="HJ62" t="e">
        <f>AND('GA55 Entry'!#REF!,"AAAAAHj+59k=")</f>
        <v>#REF!</v>
      </c>
      <c r="HK62" t="e">
        <f>AND('GA55 Entry'!#REF!,"AAAAAHj+59o=")</f>
        <v>#REF!</v>
      </c>
      <c r="HL62" t="e">
        <f>AND('GA55 Entry'!#REF!,"AAAAAHj+59s=")</f>
        <v>#REF!</v>
      </c>
      <c r="HM62" t="e">
        <f>AND('GA55 Entry'!#REF!,"AAAAAHj+59w=")</f>
        <v>#REF!</v>
      </c>
      <c r="HN62" t="e">
        <f>AND('GA55 Entry'!#REF!,"AAAAAHj+590=")</f>
        <v>#REF!</v>
      </c>
      <c r="HO62" t="e">
        <f>AND('GA55 Entry'!#REF!,"AAAAAHj+594=")</f>
        <v>#REF!</v>
      </c>
      <c r="HP62" t="e">
        <f>AND('GA55 Entry'!#REF!,"AAAAAHj+598=")</f>
        <v>#REF!</v>
      </c>
      <c r="HQ62" t="e">
        <f>AND('GA55 Entry'!#REF!,"AAAAAHj+5+A=")</f>
        <v>#REF!</v>
      </c>
      <c r="HR62" t="e">
        <f>AND('GA55 Entry'!Z81,"AAAAAHj+5+E=")</f>
        <v>#VALUE!</v>
      </c>
      <c r="HS62" t="e">
        <f>AND('GA55 Entry'!AA81,"AAAAAHj+5+I=")</f>
        <v>#VALUE!</v>
      </c>
      <c r="HT62" t="e">
        <f>AND('GA55 Entry'!#REF!,"AAAAAHj+5+M=")</f>
        <v>#REF!</v>
      </c>
      <c r="HU62" t="e">
        <f>AND('GA55 Entry'!#REF!,"AAAAAHj+5+Q=")</f>
        <v>#REF!</v>
      </c>
      <c r="HV62" t="e">
        <f>AND('GA55 Entry'!#REF!,"AAAAAHj+5+U=")</f>
        <v>#REF!</v>
      </c>
      <c r="HW62" t="e">
        <f>AND('GA55 Entry'!AB81,"AAAAAHj+5+Y=")</f>
        <v>#VALUE!</v>
      </c>
      <c r="HX62" t="e">
        <f>AND('GA55 Entry'!AC81,"AAAAAHj+5+c=")</f>
        <v>#VALUE!</v>
      </c>
      <c r="HY62" t="e">
        <f>AND('GA55 Entry'!#REF!,"AAAAAHj+5+g=")</f>
        <v>#REF!</v>
      </c>
      <c r="HZ62">
        <f>IF('GA55 Entry'!82:82,"AAAAAHj+5+k=",0)</f>
        <v>0</v>
      </c>
      <c r="IA62" t="e">
        <f>AND('GA55 Entry'!B82,"AAAAAHj+5+o=")</f>
        <v>#VALUE!</v>
      </c>
      <c r="IB62" t="e">
        <f>AND('GA55 Entry'!#REF!,"AAAAAHj+5+s=")</f>
        <v>#REF!</v>
      </c>
      <c r="IC62" t="e">
        <f>AND('GA55 Entry'!C82,"AAAAAHj+5+w=")</f>
        <v>#VALUE!</v>
      </c>
      <c r="ID62" t="e">
        <f>AND('GA55 Entry'!#REF!,"AAAAAHj+5+0=")</f>
        <v>#REF!</v>
      </c>
      <c r="IE62" t="e">
        <f>AND('GA55 Entry'!#REF!,"AAAAAHj+5+4=")</f>
        <v>#REF!</v>
      </c>
      <c r="IF62" t="e">
        <f>AND('GA55 Entry'!#REF!,"AAAAAHj+5+8=")</f>
        <v>#REF!</v>
      </c>
      <c r="IG62" t="e">
        <f>AND('GA55 Entry'!#REF!,"AAAAAHj+5/A=")</f>
        <v>#REF!</v>
      </c>
      <c r="IH62" t="e">
        <f>AND('GA55 Entry'!#REF!,"AAAAAHj+5/E=")</f>
        <v>#REF!</v>
      </c>
      <c r="II62" t="e">
        <f>AND('GA55 Entry'!D82,"AAAAAHj+5/I=")</f>
        <v>#VALUE!</v>
      </c>
      <c r="IJ62" t="e">
        <f>AND('GA55 Entry'!#REF!,"AAAAAHj+5/M=")</f>
        <v>#REF!</v>
      </c>
      <c r="IK62" t="e">
        <f>AND('GA55 Entry'!E82,"AAAAAHj+5/Q=")</f>
        <v>#VALUE!</v>
      </c>
      <c r="IL62" t="e">
        <f>AND('GA55 Entry'!F82,"AAAAAHj+5/U=")</f>
        <v>#VALUE!</v>
      </c>
      <c r="IM62" t="e">
        <f>AND('GA55 Entry'!G82,"AAAAAHj+5/Y=")</f>
        <v>#VALUE!</v>
      </c>
      <c r="IN62" t="e">
        <f>AND('GA55 Entry'!H82,"AAAAAHj+5/c=")</f>
        <v>#VALUE!</v>
      </c>
      <c r="IO62" t="e">
        <f>AND('GA55 Entry'!I82,"AAAAAHj+5/g=")</f>
        <v>#VALUE!</v>
      </c>
      <c r="IP62" t="e">
        <f>AND('GA55 Entry'!J82,"AAAAAHj+5/k=")</f>
        <v>#VALUE!</v>
      </c>
      <c r="IQ62" t="e">
        <f>AND('GA55 Entry'!#REF!,"AAAAAHj+5/o=")</f>
        <v>#REF!</v>
      </c>
      <c r="IR62" t="e">
        <f>AND('GA55 Entry'!K82,"AAAAAHj+5/s=")</f>
        <v>#VALUE!</v>
      </c>
      <c r="IS62" t="e">
        <f>AND('GA55 Entry'!L82,"AAAAAHj+5/w=")</f>
        <v>#VALUE!</v>
      </c>
      <c r="IT62" t="e">
        <f>AND('GA55 Entry'!M82,"AAAAAHj+5/0=")</f>
        <v>#VALUE!</v>
      </c>
      <c r="IU62" t="e">
        <f>AND('GA55 Entry'!N82,"AAAAAHj+5/4=")</f>
        <v>#VALUE!</v>
      </c>
      <c r="IV62" t="e">
        <f>AND('GA55 Entry'!O82,"AAAAAHj+5/8=")</f>
        <v>#VALUE!</v>
      </c>
    </row>
    <row r="63" spans="1:256">
      <c r="A63" t="e">
        <f>AND('GA55 Entry'!P82,"AAAAAHY9/AA=")</f>
        <v>#VALUE!</v>
      </c>
      <c r="B63" t="e">
        <f>AND('GA55 Entry'!Q82,"AAAAAHY9/AE=")</f>
        <v>#VALUE!</v>
      </c>
      <c r="C63" t="e">
        <f>AND('GA55 Entry'!S82,"AAAAAHY9/AI=")</f>
        <v>#VALUE!</v>
      </c>
      <c r="D63" t="e">
        <f>AND('GA55 Entry'!#REF!,"AAAAAHY9/AM=")</f>
        <v>#REF!</v>
      </c>
      <c r="E63" t="e">
        <f>AND('GA55 Entry'!T82,"AAAAAHY9/AQ=")</f>
        <v>#VALUE!</v>
      </c>
      <c r="F63" t="e">
        <f>AND('GA55 Entry'!U82,"AAAAAHY9/AU=")</f>
        <v>#VALUE!</v>
      </c>
      <c r="G63" t="e">
        <f>AND('GA55 Entry'!V82,"AAAAAHY9/AY=")</f>
        <v>#VALUE!</v>
      </c>
      <c r="H63" t="e">
        <f>AND('GA55 Entry'!#REF!,"AAAAAHY9/Ac=")</f>
        <v>#REF!</v>
      </c>
      <c r="I63" t="e">
        <f>AND('GA55 Entry'!#REF!,"AAAAAHY9/Ag=")</f>
        <v>#REF!</v>
      </c>
      <c r="J63" t="e">
        <f>AND('GA55 Entry'!X82,"AAAAAHY9/Ak=")</f>
        <v>#VALUE!</v>
      </c>
      <c r="K63" t="e">
        <f>AND('GA55 Entry'!Y82,"AAAAAHY9/Ao=")</f>
        <v>#VALUE!</v>
      </c>
      <c r="L63" t="e">
        <f>AND('GA55 Entry'!#REF!,"AAAAAHY9/As=")</f>
        <v>#REF!</v>
      </c>
      <c r="M63" t="e">
        <f>AND('GA55 Entry'!#REF!,"AAAAAHY9/Aw=")</f>
        <v>#REF!</v>
      </c>
      <c r="N63" t="e">
        <f>AND('GA55 Entry'!#REF!,"AAAAAHY9/A0=")</f>
        <v>#REF!</v>
      </c>
      <c r="O63" t="e">
        <f>AND('GA55 Entry'!#REF!,"AAAAAHY9/A4=")</f>
        <v>#REF!</v>
      </c>
      <c r="P63" t="e">
        <f>AND('GA55 Entry'!#REF!,"AAAAAHY9/A8=")</f>
        <v>#REF!</v>
      </c>
      <c r="Q63" t="e">
        <f>AND('GA55 Entry'!#REF!,"AAAAAHY9/BA=")</f>
        <v>#REF!</v>
      </c>
      <c r="R63" t="e">
        <f>AND('GA55 Entry'!#REF!,"AAAAAHY9/BE=")</f>
        <v>#REF!</v>
      </c>
      <c r="S63" t="e">
        <f>AND('GA55 Entry'!#REF!,"AAAAAHY9/BI=")</f>
        <v>#REF!</v>
      </c>
      <c r="T63" t="e">
        <f>AND('GA55 Entry'!#REF!,"AAAAAHY9/BM=")</f>
        <v>#REF!</v>
      </c>
      <c r="U63" t="e">
        <f>AND('GA55 Entry'!Z82,"AAAAAHY9/BQ=")</f>
        <v>#VALUE!</v>
      </c>
      <c r="V63" t="e">
        <f>AND('GA55 Entry'!AA82,"AAAAAHY9/BU=")</f>
        <v>#VALUE!</v>
      </c>
      <c r="W63" t="e">
        <f>AND('GA55 Entry'!#REF!,"AAAAAHY9/BY=")</f>
        <v>#REF!</v>
      </c>
      <c r="X63" t="e">
        <f>AND('GA55 Entry'!#REF!,"AAAAAHY9/Bc=")</f>
        <v>#REF!</v>
      </c>
      <c r="Y63" t="e">
        <f>AND('GA55 Entry'!#REF!,"AAAAAHY9/Bg=")</f>
        <v>#REF!</v>
      </c>
      <c r="Z63" t="e">
        <f>AND('GA55 Entry'!AB82,"AAAAAHY9/Bk=")</f>
        <v>#VALUE!</v>
      </c>
      <c r="AA63" t="e">
        <f>AND('GA55 Entry'!AC82,"AAAAAHY9/Bo=")</f>
        <v>#VALUE!</v>
      </c>
      <c r="AB63" t="e">
        <f>AND('GA55 Entry'!#REF!,"AAAAAHY9/Bs=")</f>
        <v>#REF!</v>
      </c>
      <c r="AC63">
        <f>IF('GA55 Entry'!83:83,"AAAAAHY9/Bw=",0)</f>
        <v>0</v>
      </c>
      <c r="AD63" t="e">
        <f>AND('GA55 Entry'!B83,"AAAAAHY9/B0=")</f>
        <v>#VALUE!</v>
      </c>
      <c r="AE63" t="e">
        <f>AND('GA55 Entry'!#REF!,"AAAAAHY9/B4=")</f>
        <v>#REF!</v>
      </c>
      <c r="AF63" t="e">
        <f>AND('GA55 Entry'!C83,"AAAAAHY9/B8=")</f>
        <v>#VALUE!</v>
      </c>
      <c r="AG63" t="e">
        <f>AND('GA55 Entry'!#REF!,"AAAAAHY9/CA=")</f>
        <v>#REF!</v>
      </c>
      <c r="AH63" t="e">
        <f>AND('GA55 Entry'!#REF!,"AAAAAHY9/CE=")</f>
        <v>#REF!</v>
      </c>
      <c r="AI63" t="e">
        <f>AND('GA55 Entry'!#REF!,"AAAAAHY9/CI=")</f>
        <v>#REF!</v>
      </c>
      <c r="AJ63" t="e">
        <f>AND('GA55 Entry'!#REF!,"AAAAAHY9/CM=")</f>
        <v>#REF!</v>
      </c>
      <c r="AK63" t="e">
        <f>AND('GA55 Entry'!#REF!,"AAAAAHY9/CQ=")</f>
        <v>#REF!</v>
      </c>
      <c r="AL63" t="e">
        <f>AND('GA55 Entry'!D83,"AAAAAHY9/CU=")</f>
        <v>#VALUE!</v>
      </c>
      <c r="AM63" t="e">
        <f>AND('GA55 Entry'!#REF!,"AAAAAHY9/CY=")</f>
        <v>#REF!</v>
      </c>
      <c r="AN63" t="e">
        <f>AND('GA55 Entry'!E83,"AAAAAHY9/Cc=")</f>
        <v>#VALUE!</v>
      </c>
      <c r="AO63" t="e">
        <f>AND('GA55 Entry'!F83,"AAAAAHY9/Cg=")</f>
        <v>#VALUE!</v>
      </c>
      <c r="AP63" t="e">
        <f>AND('GA55 Entry'!G83,"AAAAAHY9/Ck=")</f>
        <v>#VALUE!</v>
      </c>
      <c r="AQ63" t="e">
        <f>AND('GA55 Entry'!H83,"AAAAAHY9/Co=")</f>
        <v>#VALUE!</v>
      </c>
      <c r="AR63" t="e">
        <f>AND('GA55 Entry'!I83,"AAAAAHY9/Cs=")</f>
        <v>#VALUE!</v>
      </c>
      <c r="AS63" t="e">
        <f>AND('GA55 Entry'!J83,"AAAAAHY9/Cw=")</f>
        <v>#VALUE!</v>
      </c>
      <c r="AT63" t="e">
        <f>AND('GA55 Entry'!#REF!,"AAAAAHY9/C0=")</f>
        <v>#REF!</v>
      </c>
      <c r="AU63" t="e">
        <f>AND('GA55 Entry'!K83,"AAAAAHY9/C4=")</f>
        <v>#VALUE!</v>
      </c>
      <c r="AV63" t="e">
        <f>AND('GA55 Entry'!L83,"AAAAAHY9/C8=")</f>
        <v>#VALUE!</v>
      </c>
      <c r="AW63" t="e">
        <f>AND('GA55 Entry'!M83,"AAAAAHY9/DA=")</f>
        <v>#VALUE!</v>
      </c>
      <c r="AX63" t="e">
        <f>AND('GA55 Entry'!N83,"AAAAAHY9/DE=")</f>
        <v>#VALUE!</v>
      </c>
      <c r="AY63" t="e">
        <f>AND('GA55 Entry'!O83,"AAAAAHY9/DI=")</f>
        <v>#VALUE!</v>
      </c>
      <c r="AZ63" t="e">
        <f>AND('GA55 Entry'!P83,"AAAAAHY9/DM=")</f>
        <v>#VALUE!</v>
      </c>
      <c r="BA63" t="e">
        <f>AND('GA55 Entry'!Q83,"AAAAAHY9/DQ=")</f>
        <v>#VALUE!</v>
      </c>
      <c r="BB63" t="e">
        <f>AND('GA55 Entry'!S83,"AAAAAHY9/DU=")</f>
        <v>#VALUE!</v>
      </c>
      <c r="BC63" t="e">
        <f>AND('GA55 Entry'!#REF!,"AAAAAHY9/DY=")</f>
        <v>#REF!</v>
      </c>
      <c r="BD63" t="e">
        <f>AND('GA55 Entry'!T83,"AAAAAHY9/Dc=")</f>
        <v>#VALUE!</v>
      </c>
      <c r="BE63" t="e">
        <f>AND('GA55 Entry'!U83,"AAAAAHY9/Dg=")</f>
        <v>#VALUE!</v>
      </c>
      <c r="BF63" t="e">
        <f>AND('GA55 Entry'!V83,"AAAAAHY9/Dk=")</f>
        <v>#VALUE!</v>
      </c>
      <c r="BG63" t="e">
        <f>AND('GA55 Entry'!#REF!,"AAAAAHY9/Do=")</f>
        <v>#REF!</v>
      </c>
      <c r="BH63" t="e">
        <f>AND('GA55 Entry'!#REF!,"AAAAAHY9/Ds=")</f>
        <v>#REF!</v>
      </c>
      <c r="BI63" t="e">
        <f>AND('GA55 Entry'!X83,"AAAAAHY9/Dw=")</f>
        <v>#VALUE!</v>
      </c>
      <c r="BJ63" t="e">
        <f>AND('GA55 Entry'!Y83,"AAAAAHY9/D0=")</f>
        <v>#VALUE!</v>
      </c>
      <c r="BK63" t="e">
        <f>AND('GA55 Entry'!#REF!,"AAAAAHY9/D4=")</f>
        <v>#REF!</v>
      </c>
      <c r="BL63" t="e">
        <f>AND('GA55 Entry'!#REF!,"AAAAAHY9/D8=")</f>
        <v>#REF!</v>
      </c>
      <c r="BM63" t="e">
        <f>AND('GA55 Entry'!#REF!,"AAAAAHY9/EA=")</f>
        <v>#REF!</v>
      </c>
      <c r="BN63" t="e">
        <f>AND('GA55 Entry'!#REF!,"AAAAAHY9/EE=")</f>
        <v>#REF!</v>
      </c>
      <c r="BO63" t="e">
        <f>AND('GA55 Entry'!#REF!,"AAAAAHY9/EI=")</f>
        <v>#REF!</v>
      </c>
      <c r="BP63" t="e">
        <f>AND('GA55 Entry'!#REF!,"AAAAAHY9/EM=")</f>
        <v>#REF!</v>
      </c>
      <c r="BQ63" t="e">
        <f>AND('GA55 Entry'!#REF!,"AAAAAHY9/EQ=")</f>
        <v>#REF!</v>
      </c>
      <c r="BR63" t="e">
        <f>AND('GA55 Entry'!#REF!,"AAAAAHY9/EU=")</f>
        <v>#REF!</v>
      </c>
      <c r="BS63" t="e">
        <f>AND('GA55 Entry'!#REF!,"AAAAAHY9/EY=")</f>
        <v>#REF!</v>
      </c>
      <c r="BT63" t="e">
        <f>AND('GA55 Entry'!Z83,"AAAAAHY9/Ec=")</f>
        <v>#VALUE!</v>
      </c>
      <c r="BU63" t="e">
        <f>AND('GA55 Entry'!AA83,"AAAAAHY9/Eg=")</f>
        <v>#VALUE!</v>
      </c>
      <c r="BV63" t="e">
        <f>AND('GA55 Entry'!#REF!,"AAAAAHY9/Ek=")</f>
        <v>#REF!</v>
      </c>
      <c r="BW63" t="e">
        <f>AND('GA55 Entry'!#REF!,"AAAAAHY9/Eo=")</f>
        <v>#REF!</v>
      </c>
      <c r="BX63" t="e">
        <f>AND('GA55 Entry'!#REF!,"AAAAAHY9/Es=")</f>
        <v>#REF!</v>
      </c>
      <c r="BY63" t="e">
        <f>AND('GA55 Entry'!AB83,"AAAAAHY9/Ew=")</f>
        <v>#VALUE!</v>
      </c>
      <c r="BZ63" t="e">
        <f>AND('GA55 Entry'!AC83,"AAAAAHY9/E0=")</f>
        <v>#VALUE!</v>
      </c>
      <c r="CA63" t="e">
        <f>AND('GA55 Entry'!#REF!,"AAAAAHY9/E4=")</f>
        <v>#REF!</v>
      </c>
      <c r="CB63">
        <f>IF('GA55 Entry'!84:84,"AAAAAHY9/E8=",0)</f>
        <v>0</v>
      </c>
      <c r="CC63" t="e">
        <f>AND('GA55 Entry'!B84,"AAAAAHY9/FA=")</f>
        <v>#VALUE!</v>
      </c>
      <c r="CD63" t="e">
        <f>AND('GA55 Entry'!#REF!,"AAAAAHY9/FE=")</f>
        <v>#REF!</v>
      </c>
      <c r="CE63" t="e">
        <f>AND('GA55 Entry'!C84,"AAAAAHY9/FI=")</f>
        <v>#VALUE!</v>
      </c>
      <c r="CF63" t="e">
        <f>AND('GA55 Entry'!#REF!,"AAAAAHY9/FM=")</f>
        <v>#REF!</v>
      </c>
      <c r="CG63" t="e">
        <f>AND('GA55 Entry'!#REF!,"AAAAAHY9/FQ=")</f>
        <v>#REF!</v>
      </c>
      <c r="CH63" t="e">
        <f>AND('GA55 Entry'!#REF!,"AAAAAHY9/FU=")</f>
        <v>#REF!</v>
      </c>
      <c r="CI63" t="e">
        <f>AND('GA55 Entry'!#REF!,"AAAAAHY9/FY=")</f>
        <v>#REF!</v>
      </c>
      <c r="CJ63" t="e">
        <f>AND('GA55 Entry'!#REF!,"AAAAAHY9/Fc=")</f>
        <v>#REF!</v>
      </c>
      <c r="CK63" t="e">
        <f>AND('GA55 Entry'!D84,"AAAAAHY9/Fg=")</f>
        <v>#VALUE!</v>
      </c>
      <c r="CL63" t="e">
        <f>AND('GA55 Entry'!#REF!,"AAAAAHY9/Fk=")</f>
        <v>#REF!</v>
      </c>
      <c r="CM63" t="e">
        <f>AND('GA55 Entry'!E84,"AAAAAHY9/Fo=")</f>
        <v>#VALUE!</v>
      </c>
      <c r="CN63" t="e">
        <f>AND('GA55 Entry'!F84,"AAAAAHY9/Fs=")</f>
        <v>#VALUE!</v>
      </c>
      <c r="CO63" t="e">
        <f>AND('GA55 Entry'!G84,"AAAAAHY9/Fw=")</f>
        <v>#VALUE!</v>
      </c>
      <c r="CP63" t="e">
        <f>AND('GA55 Entry'!H84,"AAAAAHY9/F0=")</f>
        <v>#VALUE!</v>
      </c>
      <c r="CQ63" t="e">
        <f>AND('GA55 Entry'!I84,"AAAAAHY9/F4=")</f>
        <v>#VALUE!</v>
      </c>
      <c r="CR63" t="e">
        <f>AND('GA55 Entry'!J84,"AAAAAHY9/F8=")</f>
        <v>#VALUE!</v>
      </c>
      <c r="CS63" t="e">
        <f>AND('GA55 Entry'!#REF!,"AAAAAHY9/GA=")</f>
        <v>#REF!</v>
      </c>
      <c r="CT63" t="e">
        <f>AND('GA55 Entry'!K84,"AAAAAHY9/GE=")</f>
        <v>#VALUE!</v>
      </c>
      <c r="CU63" t="e">
        <f>AND('GA55 Entry'!L84,"AAAAAHY9/GI=")</f>
        <v>#VALUE!</v>
      </c>
      <c r="CV63" t="e">
        <f>AND('GA55 Entry'!M84,"AAAAAHY9/GM=")</f>
        <v>#VALUE!</v>
      </c>
      <c r="CW63" t="e">
        <f>AND('GA55 Entry'!N84,"AAAAAHY9/GQ=")</f>
        <v>#VALUE!</v>
      </c>
      <c r="CX63" t="e">
        <f>AND('GA55 Entry'!O84,"AAAAAHY9/GU=")</f>
        <v>#VALUE!</v>
      </c>
      <c r="CY63" t="e">
        <f>AND('GA55 Entry'!P84,"AAAAAHY9/GY=")</f>
        <v>#VALUE!</v>
      </c>
      <c r="CZ63" t="e">
        <f>AND('GA55 Entry'!Q84,"AAAAAHY9/Gc=")</f>
        <v>#VALUE!</v>
      </c>
      <c r="DA63" t="e">
        <f>AND('GA55 Entry'!S84,"AAAAAHY9/Gg=")</f>
        <v>#VALUE!</v>
      </c>
      <c r="DB63" t="e">
        <f>AND('GA55 Entry'!#REF!,"AAAAAHY9/Gk=")</f>
        <v>#REF!</v>
      </c>
      <c r="DC63" t="e">
        <f>AND('GA55 Entry'!T84,"AAAAAHY9/Go=")</f>
        <v>#VALUE!</v>
      </c>
      <c r="DD63" t="e">
        <f>AND('GA55 Entry'!U84,"AAAAAHY9/Gs=")</f>
        <v>#VALUE!</v>
      </c>
      <c r="DE63" t="e">
        <f>AND('GA55 Entry'!V84,"AAAAAHY9/Gw=")</f>
        <v>#VALUE!</v>
      </c>
      <c r="DF63" t="e">
        <f>AND('GA55 Entry'!#REF!,"AAAAAHY9/G0=")</f>
        <v>#REF!</v>
      </c>
      <c r="DG63" t="e">
        <f>AND('GA55 Entry'!#REF!,"AAAAAHY9/G4=")</f>
        <v>#REF!</v>
      </c>
      <c r="DH63" t="e">
        <f>AND('GA55 Entry'!X84,"AAAAAHY9/G8=")</f>
        <v>#VALUE!</v>
      </c>
      <c r="DI63" t="e">
        <f>AND('GA55 Entry'!Y84,"AAAAAHY9/HA=")</f>
        <v>#VALUE!</v>
      </c>
      <c r="DJ63" t="e">
        <f>AND('GA55 Entry'!#REF!,"AAAAAHY9/HE=")</f>
        <v>#REF!</v>
      </c>
      <c r="DK63" t="e">
        <f>AND('GA55 Entry'!#REF!,"AAAAAHY9/HI=")</f>
        <v>#REF!</v>
      </c>
      <c r="DL63" t="e">
        <f>AND('GA55 Entry'!#REF!,"AAAAAHY9/HM=")</f>
        <v>#REF!</v>
      </c>
      <c r="DM63" t="e">
        <f>AND('GA55 Entry'!#REF!,"AAAAAHY9/HQ=")</f>
        <v>#REF!</v>
      </c>
      <c r="DN63" t="e">
        <f>AND('GA55 Entry'!#REF!,"AAAAAHY9/HU=")</f>
        <v>#REF!</v>
      </c>
      <c r="DO63" t="e">
        <f>AND('GA55 Entry'!#REF!,"AAAAAHY9/HY=")</f>
        <v>#REF!</v>
      </c>
      <c r="DP63" t="e">
        <f>AND('GA55 Entry'!#REF!,"AAAAAHY9/Hc=")</f>
        <v>#REF!</v>
      </c>
      <c r="DQ63" t="e">
        <f>AND('GA55 Entry'!#REF!,"AAAAAHY9/Hg=")</f>
        <v>#REF!</v>
      </c>
      <c r="DR63" t="e">
        <f>AND('GA55 Entry'!#REF!,"AAAAAHY9/Hk=")</f>
        <v>#REF!</v>
      </c>
      <c r="DS63" t="e">
        <f>AND('GA55 Entry'!Z84,"AAAAAHY9/Ho=")</f>
        <v>#VALUE!</v>
      </c>
      <c r="DT63" t="e">
        <f>AND('GA55 Entry'!AA84,"AAAAAHY9/Hs=")</f>
        <v>#VALUE!</v>
      </c>
      <c r="DU63" t="e">
        <f>AND('GA55 Entry'!#REF!,"AAAAAHY9/Hw=")</f>
        <v>#REF!</v>
      </c>
      <c r="DV63" t="e">
        <f>AND('GA55 Entry'!#REF!,"AAAAAHY9/H0=")</f>
        <v>#REF!</v>
      </c>
      <c r="DW63" t="e">
        <f>AND('GA55 Entry'!#REF!,"AAAAAHY9/H4=")</f>
        <v>#REF!</v>
      </c>
      <c r="DX63" t="e">
        <f>AND('GA55 Entry'!AB84,"AAAAAHY9/H8=")</f>
        <v>#VALUE!</v>
      </c>
      <c r="DY63" t="e">
        <f>AND('GA55 Entry'!AC84,"AAAAAHY9/IA=")</f>
        <v>#VALUE!</v>
      </c>
      <c r="DZ63" t="e">
        <f>AND('GA55 Entry'!#REF!,"AAAAAHY9/IE=")</f>
        <v>#REF!</v>
      </c>
      <c r="EA63">
        <f>IF('GA55 Entry'!85:85,"AAAAAHY9/II=",0)</f>
        <v>0</v>
      </c>
      <c r="EB63" t="e">
        <f>AND('GA55 Entry'!B85,"AAAAAHY9/IM=")</f>
        <v>#VALUE!</v>
      </c>
      <c r="EC63" t="e">
        <f>AND('GA55 Entry'!#REF!,"AAAAAHY9/IQ=")</f>
        <v>#REF!</v>
      </c>
      <c r="ED63" t="e">
        <f>AND('GA55 Entry'!C85,"AAAAAHY9/IU=")</f>
        <v>#VALUE!</v>
      </c>
      <c r="EE63" t="e">
        <f>AND('GA55 Entry'!#REF!,"AAAAAHY9/IY=")</f>
        <v>#REF!</v>
      </c>
      <c r="EF63" t="e">
        <f>AND('GA55 Entry'!#REF!,"AAAAAHY9/Ic=")</f>
        <v>#REF!</v>
      </c>
      <c r="EG63" t="e">
        <f>AND('GA55 Entry'!#REF!,"AAAAAHY9/Ig=")</f>
        <v>#REF!</v>
      </c>
      <c r="EH63" t="e">
        <f>AND('GA55 Entry'!#REF!,"AAAAAHY9/Ik=")</f>
        <v>#REF!</v>
      </c>
      <c r="EI63" t="e">
        <f>AND('GA55 Entry'!#REF!,"AAAAAHY9/Io=")</f>
        <v>#REF!</v>
      </c>
      <c r="EJ63" t="e">
        <f>AND('GA55 Entry'!D85,"AAAAAHY9/Is=")</f>
        <v>#VALUE!</v>
      </c>
      <c r="EK63" t="e">
        <f>AND('GA55 Entry'!#REF!,"AAAAAHY9/Iw=")</f>
        <v>#REF!</v>
      </c>
      <c r="EL63" t="e">
        <f>AND('GA55 Entry'!E85,"AAAAAHY9/I0=")</f>
        <v>#VALUE!</v>
      </c>
      <c r="EM63" t="e">
        <f>AND('GA55 Entry'!F85,"AAAAAHY9/I4=")</f>
        <v>#VALUE!</v>
      </c>
      <c r="EN63" t="e">
        <f>AND('GA55 Entry'!G85,"AAAAAHY9/I8=")</f>
        <v>#VALUE!</v>
      </c>
      <c r="EO63" t="e">
        <f>AND('GA55 Entry'!H85,"AAAAAHY9/JA=")</f>
        <v>#VALUE!</v>
      </c>
      <c r="EP63" t="e">
        <f>AND('GA55 Entry'!I85,"AAAAAHY9/JE=")</f>
        <v>#VALUE!</v>
      </c>
      <c r="EQ63" t="e">
        <f>AND('GA55 Entry'!J85,"AAAAAHY9/JI=")</f>
        <v>#VALUE!</v>
      </c>
      <c r="ER63" t="e">
        <f>AND('GA55 Entry'!#REF!,"AAAAAHY9/JM=")</f>
        <v>#REF!</v>
      </c>
      <c r="ES63" t="e">
        <f>AND('GA55 Entry'!K85,"AAAAAHY9/JQ=")</f>
        <v>#VALUE!</v>
      </c>
      <c r="ET63" t="e">
        <f>AND('GA55 Entry'!L85,"AAAAAHY9/JU=")</f>
        <v>#VALUE!</v>
      </c>
      <c r="EU63" t="e">
        <f>AND('GA55 Entry'!M85,"AAAAAHY9/JY=")</f>
        <v>#VALUE!</v>
      </c>
      <c r="EV63" t="e">
        <f>AND('GA55 Entry'!N85,"AAAAAHY9/Jc=")</f>
        <v>#VALUE!</v>
      </c>
      <c r="EW63" t="e">
        <f>AND('GA55 Entry'!O85,"AAAAAHY9/Jg=")</f>
        <v>#VALUE!</v>
      </c>
      <c r="EX63" t="e">
        <f>AND('GA55 Entry'!P85,"AAAAAHY9/Jk=")</f>
        <v>#VALUE!</v>
      </c>
      <c r="EY63" t="e">
        <f>AND('GA55 Entry'!Q85,"AAAAAHY9/Jo=")</f>
        <v>#VALUE!</v>
      </c>
      <c r="EZ63" t="e">
        <f>AND('GA55 Entry'!S85,"AAAAAHY9/Js=")</f>
        <v>#VALUE!</v>
      </c>
      <c r="FA63" t="e">
        <f>AND('GA55 Entry'!#REF!,"AAAAAHY9/Jw=")</f>
        <v>#REF!</v>
      </c>
      <c r="FB63" t="e">
        <f>AND('GA55 Entry'!T85,"AAAAAHY9/J0=")</f>
        <v>#VALUE!</v>
      </c>
      <c r="FC63" t="e">
        <f>AND('GA55 Entry'!U85,"AAAAAHY9/J4=")</f>
        <v>#VALUE!</v>
      </c>
      <c r="FD63" t="e">
        <f>AND('GA55 Entry'!V85,"AAAAAHY9/J8=")</f>
        <v>#VALUE!</v>
      </c>
      <c r="FE63" t="e">
        <f>AND('GA55 Entry'!#REF!,"AAAAAHY9/KA=")</f>
        <v>#REF!</v>
      </c>
      <c r="FF63" t="e">
        <f>AND('GA55 Entry'!#REF!,"AAAAAHY9/KE=")</f>
        <v>#REF!</v>
      </c>
      <c r="FG63" t="e">
        <f>AND('GA55 Entry'!X85,"AAAAAHY9/KI=")</f>
        <v>#VALUE!</v>
      </c>
      <c r="FH63" t="e">
        <f>AND('GA55 Entry'!Y85,"AAAAAHY9/KM=")</f>
        <v>#VALUE!</v>
      </c>
      <c r="FI63" t="e">
        <f>AND('GA55 Entry'!#REF!,"AAAAAHY9/KQ=")</f>
        <v>#REF!</v>
      </c>
      <c r="FJ63" t="e">
        <f>AND('GA55 Entry'!#REF!,"AAAAAHY9/KU=")</f>
        <v>#REF!</v>
      </c>
      <c r="FK63" t="e">
        <f>AND('GA55 Entry'!#REF!,"AAAAAHY9/KY=")</f>
        <v>#REF!</v>
      </c>
      <c r="FL63" t="e">
        <f>AND('GA55 Entry'!#REF!,"AAAAAHY9/Kc=")</f>
        <v>#REF!</v>
      </c>
      <c r="FM63" t="e">
        <f>AND('GA55 Entry'!#REF!,"AAAAAHY9/Kg=")</f>
        <v>#REF!</v>
      </c>
      <c r="FN63" t="e">
        <f>AND('GA55 Entry'!#REF!,"AAAAAHY9/Kk=")</f>
        <v>#REF!</v>
      </c>
      <c r="FO63" t="e">
        <f>AND('GA55 Entry'!#REF!,"AAAAAHY9/Ko=")</f>
        <v>#REF!</v>
      </c>
      <c r="FP63" t="e">
        <f>AND('GA55 Entry'!#REF!,"AAAAAHY9/Ks=")</f>
        <v>#REF!</v>
      </c>
      <c r="FQ63" t="e">
        <f>AND('GA55 Entry'!#REF!,"AAAAAHY9/Kw=")</f>
        <v>#REF!</v>
      </c>
      <c r="FR63" t="e">
        <f>AND('GA55 Entry'!Z85,"AAAAAHY9/K0=")</f>
        <v>#VALUE!</v>
      </c>
      <c r="FS63" t="e">
        <f>AND('GA55 Entry'!AA85,"AAAAAHY9/K4=")</f>
        <v>#VALUE!</v>
      </c>
      <c r="FT63" t="e">
        <f>AND('GA55 Entry'!#REF!,"AAAAAHY9/K8=")</f>
        <v>#REF!</v>
      </c>
      <c r="FU63" t="e">
        <f>AND('GA55 Entry'!#REF!,"AAAAAHY9/LA=")</f>
        <v>#REF!</v>
      </c>
      <c r="FV63" t="e">
        <f>AND('GA55 Entry'!#REF!,"AAAAAHY9/LE=")</f>
        <v>#REF!</v>
      </c>
      <c r="FW63" t="e">
        <f>AND('GA55 Entry'!AB85,"AAAAAHY9/LI=")</f>
        <v>#VALUE!</v>
      </c>
      <c r="FX63" t="e">
        <f>AND('GA55 Entry'!AC85,"AAAAAHY9/LM=")</f>
        <v>#VALUE!</v>
      </c>
      <c r="FY63" t="e">
        <f>AND('GA55 Entry'!#REF!,"AAAAAHY9/LQ=")</f>
        <v>#REF!</v>
      </c>
      <c r="FZ63">
        <f>IF('GA55 Entry'!86:86,"AAAAAHY9/LU=",0)</f>
        <v>0</v>
      </c>
      <c r="GA63" t="e">
        <f>AND('GA55 Entry'!B86,"AAAAAHY9/LY=")</f>
        <v>#VALUE!</v>
      </c>
      <c r="GB63" t="e">
        <f>AND('GA55 Entry'!#REF!,"AAAAAHY9/Lc=")</f>
        <v>#REF!</v>
      </c>
      <c r="GC63" t="e">
        <f>AND('GA55 Entry'!C86,"AAAAAHY9/Lg=")</f>
        <v>#VALUE!</v>
      </c>
      <c r="GD63" t="e">
        <f>AND('GA55 Entry'!#REF!,"AAAAAHY9/Lk=")</f>
        <v>#REF!</v>
      </c>
      <c r="GE63" t="e">
        <f>AND('GA55 Entry'!#REF!,"AAAAAHY9/Lo=")</f>
        <v>#REF!</v>
      </c>
      <c r="GF63" t="e">
        <f>AND('GA55 Entry'!#REF!,"AAAAAHY9/Ls=")</f>
        <v>#REF!</v>
      </c>
      <c r="GG63" t="e">
        <f>AND('GA55 Entry'!#REF!,"AAAAAHY9/Lw=")</f>
        <v>#REF!</v>
      </c>
      <c r="GH63" t="e">
        <f>AND('GA55 Entry'!#REF!,"AAAAAHY9/L0=")</f>
        <v>#REF!</v>
      </c>
      <c r="GI63" t="e">
        <f>AND('GA55 Entry'!D86,"AAAAAHY9/L4=")</f>
        <v>#VALUE!</v>
      </c>
      <c r="GJ63" t="e">
        <f>AND('GA55 Entry'!#REF!,"AAAAAHY9/L8=")</f>
        <v>#REF!</v>
      </c>
      <c r="GK63" t="e">
        <f>AND('GA55 Entry'!E86,"AAAAAHY9/MA=")</f>
        <v>#VALUE!</v>
      </c>
      <c r="GL63" t="e">
        <f>AND('GA55 Entry'!F86,"AAAAAHY9/ME=")</f>
        <v>#VALUE!</v>
      </c>
      <c r="GM63" t="e">
        <f>AND('GA55 Entry'!G86,"AAAAAHY9/MI=")</f>
        <v>#VALUE!</v>
      </c>
      <c r="GN63" t="e">
        <f>AND('GA55 Entry'!H86,"AAAAAHY9/MM=")</f>
        <v>#VALUE!</v>
      </c>
      <c r="GO63" t="e">
        <f>AND('GA55 Entry'!I86,"AAAAAHY9/MQ=")</f>
        <v>#VALUE!</v>
      </c>
      <c r="GP63" t="e">
        <f>AND('GA55 Entry'!J86,"AAAAAHY9/MU=")</f>
        <v>#VALUE!</v>
      </c>
      <c r="GQ63" t="e">
        <f>AND('GA55 Entry'!#REF!,"AAAAAHY9/MY=")</f>
        <v>#REF!</v>
      </c>
      <c r="GR63" t="e">
        <f>AND('GA55 Entry'!K86,"AAAAAHY9/Mc=")</f>
        <v>#VALUE!</v>
      </c>
      <c r="GS63" t="e">
        <f>AND('GA55 Entry'!L86,"AAAAAHY9/Mg=")</f>
        <v>#VALUE!</v>
      </c>
      <c r="GT63" t="e">
        <f>AND('GA55 Entry'!M86,"AAAAAHY9/Mk=")</f>
        <v>#VALUE!</v>
      </c>
      <c r="GU63" t="e">
        <f>AND('GA55 Entry'!N86,"AAAAAHY9/Mo=")</f>
        <v>#VALUE!</v>
      </c>
      <c r="GV63" t="e">
        <f>AND('GA55 Entry'!O86,"AAAAAHY9/Ms=")</f>
        <v>#VALUE!</v>
      </c>
      <c r="GW63" t="e">
        <f>AND('GA55 Entry'!P86,"AAAAAHY9/Mw=")</f>
        <v>#VALUE!</v>
      </c>
      <c r="GX63" t="e">
        <f>AND('GA55 Entry'!Q86,"AAAAAHY9/M0=")</f>
        <v>#VALUE!</v>
      </c>
      <c r="GY63" t="e">
        <f>AND('GA55 Entry'!S86,"AAAAAHY9/M4=")</f>
        <v>#VALUE!</v>
      </c>
      <c r="GZ63" t="e">
        <f>AND('GA55 Entry'!#REF!,"AAAAAHY9/M8=")</f>
        <v>#REF!</v>
      </c>
      <c r="HA63" t="e">
        <f>AND('GA55 Entry'!T86,"AAAAAHY9/NA=")</f>
        <v>#VALUE!</v>
      </c>
      <c r="HB63" t="e">
        <f>AND('GA55 Entry'!U86,"AAAAAHY9/NE=")</f>
        <v>#VALUE!</v>
      </c>
      <c r="HC63" t="e">
        <f>AND('GA55 Entry'!V86,"AAAAAHY9/NI=")</f>
        <v>#VALUE!</v>
      </c>
      <c r="HD63" t="e">
        <f>AND('GA55 Entry'!#REF!,"AAAAAHY9/NM=")</f>
        <v>#REF!</v>
      </c>
      <c r="HE63" t="e">
        <f>AND('GA55 Entry'!#REF!,"AAAAAHY9/NQ=")</f>
        <v>#REF!</v>
      </c>
      <c r="HF63" t="e">
        <f>AND('GA55 Entry'!X86,"AAAAAHY9/NU=")</f>
        <v>#VALUE!</v>
      </c>
      <c r="HG63" t="e">
        <f>AND('GA55 Entry'!Y86,"AAAAAHY9/NY=")</f>
        <v>#VALUE!</v>
      </c>
      <c r="HH63" t="e">
        <f>AND('GA55 Entry'!#REF!,"AAAAAHY9/Nc=")</f>
        <v>#REF!</v>
      </c>
      <c r="HI63" t="e">
        <f>AND('GA55 Entry'!#REF!,"AAAAAHY9/Ng=")</f>
        <v>#REF!</v>
      </c>
      <c r="HJ63" t="e">
        <f>AND('GA55 Entry'!#REF!,"AAAAAHY9/Nk=")</f>
        <v>#REF!</v>
      </c>
      <c r="HK63" t="e">
        <f>AND('GA55 Entry'!#REF!,"AAAAAHY9/No=")</f>
        <v>#REF!</v>
      </c>
      <c r="HL63" t="e">
        <f>AND('GA55 Entry'!#REF!,"AAAAAHY9/Ns=")</f>
        <v>#REF!</v>
      </c>
      <c r="HM63" t="e">
        <f>AND('GA55 Entry'!#REF!,"AAAAAHY9/Nw=")</f>
        <v>#REF!</v>
      </c>
      <c r="HN63" t="e">
        <f>AND('GA55 Entry'!#REF!,"AAAAAHY9/N0=")</f>
        <v>#REF!</v>
      </c>
      <c r="HO63" t="e">
        <f>AND('GA55 Entry'!#REF!,"AAAAAHY9/N4=")</f>
        <v>#REF!</v>
      </c>
      <c r="HP63" t="e">
        <f>AND('GA55 Entry'!#REF!,"AAAAAHY9/N8=")</f>
        <v>#REF!</v>
      </c>
      <c r="HQ63" t="e">
        <f>AND('GA55 Entry'!Z86,"AAAAAHY9/OA=")</f>
        <v>#VALUE!</v>
      </c>
      <c r="HR63" t="e">
        <f>AND('GA55 Entry'!AA86,"AAAAAHY9/OE=")</f>
        <v>#VALUE!</v>
      </c>
      <c r="HS63" t="e">
        <f>AND('GA55 Entry'!#REF!,"AAAAAHY9/OI=")</f>
        <v>#REF!</v>
      </c>
      <c r="HT63" t="e">
        <f>AND('GA55 Entry'!#REF!,"AAAAAHY9/OM=")</f>
        <v>#REF!</v>
      </c>
      <c r="HU63" t="e">
        <f>AND('GA55 Entry'!#REF!,"AAAAAHY9/OQ=")</f>
        <v>#REF!</v>
      </c>
      <c r="HV63" t="e">
        <f>AND('GA55 Entry'!AB86,"AAAAAHY9/OU=")</f>
        <v>#VALUE!</v>
      </c>
      <c r="HW63" t="e">
        <f>AND('GA55 Entry'!AC86,"AAAAAHY9/OY=")</f>
        <v>#VALUE!</v>
      </c>
      <c r="HX63" t="e">
        <f>AND('GA55 Entry'!#REF!,"AAAAAHY9/Oc=")</f>
        <v>#REF!</v>
      </c>
      <c r="HY63">
        <f>IF('GA55 Entry'!87:87,"AAAAAHY9/Og=",0)</f>
        <v>0</v>
      </c>
      <c r="HZ63" t="e">
        <f>AND('GA55 Entry'!B87,"AAAAAHY9/Ok=")</f>
        <v>#VALUE!</v>
      </c>
      <c r="IA63" t="e">
        <f>AND('GA55 Entry'!#REF!,"AAAAAHY9/Oo=")</f>
        <v>#REF!</v>
      </c>
      <c r="IB63" t="e">
        <f>AND('GA55 Entry'!C87,"AAAAAHY9/Os=")</f>
        <v>#VALUE!</v>
      </c>
      <c r="IC63" t="e">
        <f>AND('GA55 Entry'!#REF!,"AAAAAHY9/Ow=")</f>
        <v>#REF!</v>
      </c>
      <c r="ID63" t="e">
        <f>AND('GA55 Entry'!#REF!,"AAAAAHY9/O0=")</f>
        <v>#REF!</v>
      </c>
      <c r="IE63" t="e">
        <f>AND('GA55 Entry'!#REF!,"AAAAAHY9/O4=")</f>
        <v>#REF!</v>
      </c>
      <c r="IF63" t="e">
        <f>AND('GA55 Entry'!#REF!,"AAAAAHY9/O8=")</f>
        <v>#REF!</v>
      </c>
      <c r="IG63" t="e">
        <f>AND('GA55 Entry'!#REF!,"AAAAAHY9/PA=")</f>
        <v>#REF!</v>
      </c>
      <c r="IH63" t="e">
        <f>AND('GA55 Entry'!D87,"AAAAAHY9/PE=")</f>
        <v>#VALUE!</v>
      </c>
      <c r="II63" t="e">
        <f>AND('GA55 Entry'!#REF!,"AAAAAHY9/PI=")</f>
        <v>#REF!</v>
      </c>
      <c r="IJ63" t="e">
        <f>AND('GA55 Entry'!E87,"AAAAAHY9/PM=")</f>
        <v>#VALUE!</v>
      </c>
      <c r="IK63" t="e">
        <f>AND('GA55 Entry'!F87,"AAAAAHY9/PQ=")</f>
        <v>#VALUE!</v>
      </c>
      <c r="IL63" t="e">
        <f>AND('GA55 Entry'!G87,"AAAAAHY9/PU=")</f>
        <v>#VALUE!</v>
      </c>
      <c r="IM63" t="e">
        <f>AND('GA55 Entry'!H87,"AAAAAHY9/PY=")</f>
        <v>#VALUE!</v>
      </c>
      <c r="IN63" t="e">
        <f>AND('GA55 Entry'!I87,"AAAAAHY9/Pc=")</f>
        <v>#VALUE!</v>
      </c>
      <c r="IO63" t="e">
        <f>AND('GA55 Entry'!J87,"AAAAAHY9/Pg=")</f>
        <v>#VALUE!</v>
      </c>
      <c r="IP63" t="e">
        <f>AND('GA55 Entry'!#REF!,"AAAAAHY9/Pk=")</f>
        <v>#REF!</v>
      </c>
      <c r="IQ63" t="e">
        <f>AND('GA55 Entry'!K87,"AAAAAHY9/Po=")</f>
        <v>#VALUE!</v>
      </c>
      <c r="IR63" t="e">
        <f>AND('GA55 Entry'!L87,"AAAAAHY9/Ps=")</f>
        <v>#VALUE!</v>
      </c>
      <c r="IS63" t="e">
        <f>AND('GA55 Entry'!M87,"AAAAAHY9/Pw=")</f>
        <v>#VALUE!</v>
      </c>
      <c r="IT63" t="e">
        <f>AND('GA55 Entry'!N87,"AAAAAHY9/P0=")</f>
        <v>#VALUE!</v>
      </c>
      <c r="IU63" t="e">
        <f>AND('GA55 Entry'!O87,"AAAAAHY9/P4=")</f>
        <v>#VALUE!</v>
      </c>
      <c r="IV63" t="e">
        <f>AND('GA55 Entry'!P87,"AAAAAHY9/P8=")</f>
        <v>#VALUE!</v>
      </c>
    </row>
    <row r="64" spans="1:256">
      <c r="A64" t="e">
        <f>AND('GA55 Entry'!Q87,"AAAAAHP7fgA=")</f>
        <v>#VALUE!</v>
      </c>
      <c r="B64" t="e">
        <f>AND('GA55 Entry'!S87,"AAAAAHP7fgE=")</f>
        <v>#VALUE!</v>
      </c>
      <c r="C64" t="e">
        <f>AND('GA55 Entry'!#REF!,"AAAAAHP7fgI=")</f>
        <v>#REF!</v>
      </c>
      <c r="D64" t="e">
        <f>AND('GA55 Entry'!T87,"AAAAAHP7fgM=")</f>
        <v>#VALUE!</v>
      </c>
      <c r="E64" t="e">
        <f>AND('GA55 Entry'!U87,"AAAAAHP7fgQ=")</f>
        <v>#VALUE!</v>
      </c>
      <c r="F64" t="e">
        <f>AND('GA55 Entry'!V87,"AAAAAHP7fgU=")</f>
        <v>#VALUE!</v>
      </c>
      <c r="G64" t="e">
        <f>AND('GA55 Entry'!#REF!,"AAAAAHP7fgY=")</f>
        <v>#REF!</v>
      </c>
      <c r="H64" t="e">
        <f>AND('GA55 Entry'!#REF!,"AAAAAHP7fgc=")</f>
        <v>#REF!</v>
      </c>
      <c r="I64" t="e">
        <f>AND('GA55 Entry'!X87,"AAAAAHP7fgg=")</f>
        <v>#VALUE!</v>
      </c>
      <c r="J64" t="e">
        <f>AND('GA55 Entry'!Y87,"AAAAAHP7fgk=")</f>
        <v>#VALUE!</v>
      </c>
      <c r="K64" t="e">
        <f>AND('GA55 Entry'!#REF!,"AAAAAHP7fgo=")</f>
        <v>#REF!</v>
      </c>
      <c r="L64" t="e">
        <f>AND('GA55 Entry'!#REF!,"AAAAAHP7fgs=")</f>
        <v>#REF!</v>
      </c>
      <c r="M64" t="e">
        <f>AND('GA55 Entry'!#REF!,"AAAAAHP7fgw=")</f>
        <v>#REF!</v>
      </c>
      <c r="N64" t="e">
        <f>AND('GA55 Entry'!#REF!,"AAAAAHP7fg0=")</f>
        <v>#REF!</v>
      </c>
      <c r="O64" t="e">
        <f>AND('GA55 Entry'!#REF!,"AAAAAHP7fg4=")</f>
        <v>#REF!</v>
      </c>
      <c r="P64" t="e">
        <f>AND('GA55 Entry'!#REF!,"AAAAAHP7fg8=")</f>
        <v>#REF!</v>
      </c>
      <c r="Q64" t="e">
        <f>AND('GA55 Entry'!#REF!,"AAAAAHP7fhA=")</f>
        <v>#REF!</v>
      </c>
      <c r="R64" t="e">
        <f>AND('GA55 Entry'!#REF!,"AAAAAHP7fhE=")</f>
        <v>#REF!</v>
      </c>
      <c r="S64" t="e">
        <f>AND('GA55 Entry'!#REF!,"AAAAAHP7fhI=")</f>
        <v>#REF!</v>
      </c>
      <c r="T64" t="e">
        <f>AND('GA55 Entry'!Z87,"AAAAAHP7fhM=")</f>
        <v>#VALUE!</v>
      </c>
      <c r="U64" t="e">
        <f>AND('GA55 Entry'!AA87,"AAAAAHP7fhQ=")</f>
        <v>#VALUE!</v>
      </c>
      <c r="V64" t="e">
        <f>AND('GA55 Entry'!#REF!,"AAAAAHP7fhU=")</f>
        <v>#REF!</v>
      </c>
      <c r="W64" t="e">
        <f>AND('GA55 Entry'!#REF!,"AAAAAHP7fhY=")</f>
        <v>#REF!</v>
      </c>
      <c r="X64" t="e">
        <f>AND('GA55 Entry'!#REF!,"AAAAAHP7fhc=")</f>
        <v>#REF!</v>
      </c>
      <c r="Y64" t="e">
        <f>AND('GA55 Entry'!AB87,"AAAAAHP7fhg=")</f>
        <v>#VALUE!</v>
      </c>
      <c r="Z64" t="e">
        <f>AND('GA55 Entry'!AC87,"AAAAAHP7fhk=")</f>
        <v>#VALUE!</v>
      </c>
      <c r="AA64" t="e">
        <f>AND('GA55 Entry'!#REF!,"AAAAAHP7fho=")</f>
        <v>#REF!</v>
      </c>
      <c r="AB64">
        <f>IF('GA55 Entry'!88:88,"AAAAAHP7fhs=",0)</f>
        <v>0</v>
      </c>
      <c r="AC64" t="e">
        <f>AND('GA55 Entry'!B88,"AAAAAHP7fhw=")</f>
        <v>#VALUE!</v>
      </c>
      <c r="AD64" t="e">
        <f>AND('GA55 Entry'!#REF!,"AAAAAHP7fh0=")</f>
        <v>#REF!</v>
      </c>
      <c r="AE64" t="e">
        <f>AND('GA55 Entry'!C88,"AAAAAHP7fh4=")</f>
        <v>#VALUE!</v>
      </c>
      <c r="AF64" t="e">
        <f>AND('GA55 Entry'!#REF!,"AAAAAHP7fh8=")</f>
        <v>#REF!</v>
      </c>
      <c r="AG64" t="e">
        <f>AND('GA55 Entry'!#REF!,"AAAAAHP7fiA=")</f>
        <v>#REF!</v>
      </c>
      <c r="AH64" t="e">
        <f>AND('GA55 Entry'!#REF!,"AAAAAHP7fiE=")</f>
        <v>#REF!</v>
      </c>
      <c r="AI64" t="e">
        <f>AND('GA55 Entry'!#REF!,"AAAAAHP7fiI=")</f>
        <v>#REF!</v>
      </c>
      <c r="AJ64" t="e">
        <f>AND('GA55 Entry'!#REF!,"AAAAAHP7fiM=")</f>
        <v>#REF!</v>
      </c>
      <c r="AK64" t="e">
        <f>AND('GA55 Entry'!D88,"AAAAAHP7fiQ=")</f>
        <v>#VALUE!</v>
      </c>
      <c r="AL64" t="e">
        <f>AND('GA55 Entry'!#REF!,"AAAAAHP7fiU=")</f>
        <v>#REF!</v>
      </c>
      <c r="AM64" t="e">
        <f>AND('GA55 Entry'!E88,"AAAAAHP7fiY=")</f>
        <v>#VALUE!</v>
      </c>
      <c r="AN64" t="e">
        <f>AND('GA55 Entry'!F88,"AAAAAHP7fic=")</f>
        <v>#VALUE!</v>
      </c>
      <c r="AO64" t="e">
        <f>AND('GA55 Entry'!G88,"AAAAAHP7fig=")</f>
        <v>#VALUE!</v>
      </c>
      <c r="AP64" t="e">
        <f>AND('GA55 Entry'!H88,"AAAAAHP7fik=")</f>
        <v>#VALUE!</v>
      </c>
      <c r="AQ64" t="e">
        <f>AND('GA55 Entry'!I88,"AAAAAHP7fio=")</f>
        <v>#VALUE!</v>
      </c>
      <c r="AR64" t="e">
        <f>AND('GA55 Entry'!J88,"AAAAAHP7fis=")</f>
        <v>#VALUE!</v>
      </c>
      <c r="AS64" t="e">
        <f>AND('GA55 Entry'!#REF!,"AAAAAHP7fiw=")</f>
        <v>#REF!</v>
      </c>
      <c r="AT64" t="e">
        <f>AND('GA55 Entry'!K88,"AAAAAHP7fi0=")</f>
        <v>#VALUE!</v>
      </c>
      <c r="AU64" t="e">
        <f>AND('GA55 Entry'!L88,"AAAAAHP7fi4=")</f>
        <v>#VALUE!</v>
      </c>
      <c r="AV64" t="e">
        <f>AND('GA55 Entry'!M88,"AAAAAHP7fi8=")</f>
        <v>#VALUE!</v>
      </c>
      <c r="AW64" t="e">
        <f>AND('GA55 Entry'!N88,"AAAAAHP7fjA=")</f>
        <v>#VALUE!</v>
      </c>
      <c r="AX64" t="e">
        <f>AND('GA55 Entry'!O88,"AAAAAHP7fjE=")</f>
        <v>#VALUE!</v>
      </c>
      <c r="AY64" t="e">
        <f>AND('GA55 Entry'!P88,"AAAAAHP7fjI=")</f>
        <v>#VALUE!</v>
      </c>
      <c r="AZ64" t="e">
        <f>AND('GA55 Entry'!Q88,"AAAAAHP7fjM=")</f>
        <v>#VALUE!</v>
      </c>
      <c r="BA64" t="e">
        <f>AND('GA55 Entry'!S88,"AAAAAHP7fjQ=")</f>
        <v>#VALUE!</v>
      </c>
      <c r="BB64" t="e">
        <f>AND('GA55 Entry'!#REF!,"AAAAAHP7fjU=")</f>
        <v>#REF!</v>
      </c>
      <c r="BC64" t="e">
        <f>AND('GA55 Entry'!T88,"AAAAAHP7fjY=")</f>
        <v>#VALUE!</v>
      </c>
      <c r="BD64" t="e">
        <f>AND('GA55 Entry'!U88,"AAAAAHP7fjc=")</f>
        <v>#VALUE!</v>
      </c>
      <c r="BE64" t="e">
        <f>AND('GA55 Entry'!V88,"AAAAAHP7fjg=")</f>
        <v>#VALUE!</v>
      </c>
      <c r="BF64" t="e">
        <f>AND('GA55 Entry'!#REF!,"AAAAAHP7fjk=")</f>
        <v>#REF!</v>
      </c>
      <c r="BG64" t="e">
        <f>AND('GA55 Entry'!#REF!,"AAAAAHP7fjo=")</f>
        <v>#REF!</v>
      </c>
      <c r="BH64" t="e">
        <f>AND('GA55 Entry'!X88,"AAAAAHP7fjs=")</f>
        <v>#VALUE!</v>
      </c>
      <c r="BI64" t="e">
        <f>AND('GA55 Entry'!Y88,"AAAAAHP7fjw=")</f>
        <v>#VALUE!</v>
      </c>
      <c r="BJ64" t="e">
        <f>AND('GA55 Entry'!#REF!,"AAAAAHP7fj0=")</f>
        <v>#REF!</v>
      </c>
      <c r="BK64" t="e">
        <f>AND('GA55 Entry'!#REF!,"AAAAAHP7fj4=")</f>
        <v>#REF!</v>
      </c>
      <c r="BL64" t="e">
        <f>AND('GA55 Entry'!#REF!,"AAAAAHP7fj8=")</f>
        <v>#REF!</v>
      </c>
      <c r="BM64" t="e">
        <f>AND('GA55 Entry'!#REF!,"AAAAAHP7fkA=")</f>
        <v>#REF!</v>
      </c>
      <c r="BN64" t="e">
        <f>AND('GA55 Entry'!#REF!,"AAAAAHP7fkE=")</f>
        <v>#REF!</v>
      </c>
      <c r="BO64" t="e">
        <f>AND('GA55 Entry'!#REF!,"AAAAAHP7fkI=")</f>
        <v>#REF!</v>
      </c>
      <c r="BP64" t="e">
        <f>AND('GA55 Entry'!#REF!,"AAAAAHP7fkM=")</f>
        <v>#REF!</v>
      </c>
      <c r="BQ64" t="e">
        <f>AND('GA55 Entry'!#REF!,"AAAAAHP7fkQ=")</f>
        <v>#REF!</v>
      </c>
      <c r="BR64" t="e">
        <f>AND('GA55 Entry'!#REF!,"AAAAAHP7fkU=")</f>
        <v>#REF!</v>
      </c>
      <c r="BS64" t="e">
        <f>AND('GA55 Entry'!Z88,"AAAAAHP7fkY=")</f>
        <v>#VALUE!</v>
      </c>
      <c r="BT64" t="e">
        <f>AND('GA55 Entry'!AA88,"AAAAAHP7fkc=")</f>
        <v>#VALUE!</v>
      </c>
      <c r="BU64" t="e">
        <f>AND('GA55 Entry'!#REF!,"AAAAAHP7fkg=")</f>
        <v>#REF!</v>
      </c>
      <c r="BV64" t="e">
        <f>AND('GA55 Entry'!#REF!,"AAAAAHP7fkk=")</f>
        <v>#REF!</v>
      </c>
      <c r="BW64" t="e">
        <f>AND('GA55 Entry'!#REF!,"AAAAAHP7fko=")</f>
        <v>#REF!</v>
      </c>
      <c r="BX64" t="e">
        <f>AND('GA55 Entry'!AB88,"AAAAAHP7fks=")</f>
        <v>#VALUE!</v>
      </c>
      <c r="BY64" t="e">
        <f>AND('GA55 Entry'!AC88,"AAAAAHP7fkw=")</f>
        <v>#VALUE!</v>
      </c>
      <c r="BZ64" t="e">
        <f>AND('GA55 Entry'!#REF!,"AAAAAHP7fk0=")</f>
        <v>#REF!</v>
      </c>
      <c r="CA64">
        <f>IF('GA55 Entry'!89:89,"AAAAAHP7fk4=",0)</f>
        <v>0</v>
      </c>
      <c r="CB64" t="e">
        <f>AND('GA55 Entry'!B89,"AAAAAHP7fk8=")</f>
        <v>#VALUE!</v>
      </c>
      <c r="CC64" t="e">
        <f>AND('GA55 Entry'!#REF!,"AAAAAHP7flA=")</f>
        <v>#REF!</v>
      </c>
      <c r="CD64" t="e">
        <f>AND('GA55 Entry'!C89,"AAAAAHP7flE=")</f>
        <v>#VALUE!</v>
      </c>
      <c r="CE64" t="e">
        <f>AND('GA55 Entry'!#REF!,"AAAAAHP7flI=")</f>
        <v>#REF!</v>
      </c>
      <c r="CF64" t="e">
        <f>AND('GA55 Entry'!#REF!,"AAAAAHP7flM=")</f>
        <v>#REF!</v>
      </c>
      <c r="CG64" t="e">
        <f>AND('GA55 Entry'!#REF!,"AAAAAHP7flQ=")</f>
        <v>#REF!</v>
      </c>
      <c r="CH64" t="e">
        <f>AND('GA55 Entry'!#REF!,"AAAAAHP7flU=")</f>
        <v>#REF!</v>
      </c>
      <c r="CI64" t="e">
        <f>AND('GA55 Entry'!#REF!,"AAAAAHP7flY=")</f>
        <v>#REF!</v>
      </c>
      <c r="CJ64" t="e">
        <f>AND('GA55 Entry'!D89,"AAAAAHP7flc=")</f>
        <v>#VALUE!</v>
      </c>
      <c r="CK64" t="e">
        <f>AND('GA55 Entry'!#REF!,"AAAAAHP7flg=")</f>
        <v>#REF!</v>
      </c>
      <c r="CL64" t="e">
        <f>AND('GA55 Entry'!E89,"AAAAAHP7flk=")</f>
        <v>#VALUE!</v>
      </c>
      <c r="CM64" t="e">
        <f>AND('GA55 Entry'!F89,"AAAAAHP7flo=")</f>
        <v>#VALUE!</v>
      </c>
      <c r="CN64" t="e">
        <f>AND('GA55 Entry'!G89,"AAAAAHP7fls=")</f>
        <v>#VALUE!</v>
      </c>
      <c r="CO64" t="e">
        <f>AND('GA55 Entry'!H89,"AAAAAHP7flw=")</f>
        <v>#VALUE!</v>
      </c>
      <c r="CP64" t="e">
        <f>AND('GA55 Entry'!I89,"AAAAAHP7fl0=")</f>
        <v>#VALUE!</v>
      </c>
      <c r="CQ64" t="e">
        <f>AND('GA55 Entry'!J89,"AAAAAHP7fl4=")</f>
        <v>#VALUE!</v>
      </c>
      <c r="CR64" t="e">
        <f>AND('GA55 Entry'!#REF!,"AAAAAHP7fl8=")</f>
        <v>#REF!</v>
      </c>
      <c r="CS64" t="e">
        <f>AND('GA55 Entry'!K89,"AAAAAHP7fmA=")</f>
        <v>#VALUE!</v>
      </c>
      <c r="CT64" t="e">
        <f>AND('GA55 Entry'!L89,"AAAAAHP7fmE=")</f>
        <v>#VALUE!</v>
      </c>
      <c r="CU64" t="e">
        <f>AND('GA55 Entry'!M89,"AAAAAHP7fmI=")</f>
        <v>#VALUE!</v>
      </c>
      <c r="CV64" t="e">
        <f>AND('GA55 Entry'!N89,"AAAAAHP7fmM=")</f>
        <v>#VALUE!</v>
      </c>
      <c r="CW64" t="e">
        <f>AND('GA55 Entry'!O89,"AAAAAHP7fmQ=")</f>
        <v>#VALUE!</v>
      </c>
      <c r="CX64" t="e">
        <f>AND('GA55 Entry'!P89,"AAAAAHP7fmU=")</f>
        <v>#VALUE!</v>
      </c>
      <c r="CY64" t="e">
        <f>AND('GA55 Entry'!Q89,"AAAAAHP7fmY=")</f>
        <v>#VALUE!</v>
      </c>
      <c r="CZ64" t="e">
        <f>AND('GA55 Entry'!S89,"AAAAAHP7fmc=")</f>
        <v>#VALUE!</v>
      </c>
      <c r="DA64" t="e">
        <f>AND('GA55 Entry'!#REF!,"AAAAAHP7fmg=")</f>
        <v>#REF!</v>
      </c>
      <c r="DB64" t="e">
        <f>AND('GA55 Entry'!T89,"AAAAAHP7fmk=")</f>
        <v>#VALUE!</v>
      </c>
      <c r="DC64" t="e">
        <f>AND('GA55 Entry'!U89,"AAAAAHP7fmo=")</f>
        <v>#VALUE!</v>
      </c>
      <c r="DD64" t="e">
        <f>AND('GA55 Entry'!V89,"AAAAAHP7fms=")</f>
        <v>#VALUE!</v>
      </c>
      <c r="DE64" t="e">
        <f>AND('GA55 Entry'!#REF!,"AAAAAHP7fmw=")</f>
        <v>#REF!</v>
      </c>
      <c r="DF64" t="e">
        <f>AND('GA55 Entry'!#REF!,"AAAAAHP7fm0=")</f>
        <v>#REF!</v>
      </c>
      <c r="DG64" t="e">
        <f>AND('GA55 Entry'!X89,"AAAAAHP7fm4=")</f>
        <v>#VALUE!</v>
      </c>
      <c r="DH64" t="e">
        <f>AND('GA55 Entry'!Y89,"AAAAAHP7fm8=")</f>
        <v>#VALUE!</v>
      </c>
      <c r="DI64" t="e">
        <f>AND('GA55 Entry'!#REF!,"AAAAAHP7fnA=")</f>
        <v>#REF!</v>
      </c>
      <c r="DJ64" t="e">
        <f>AND('GA55 Entry'!#REF!,"AAAAAHP7fnE=")</f>
        <v>#REF!</v>
      </c>
      <c r="DK64" t="e">
        <f>AND('GA55 Entry'!#REF!,"AAAAAHP7fnI=")</f>
        <v>#REF!</v>
      </c>
      <c r="DL64" t="e">
        <f>AND('GA55 Entry'!#REF!,"AAAAAHP7fnM=")</f>
        <v>#REF!</v>
      </c>
      <c r="DM64" t="e">
        <f>AND('GA55 Entry'!#REF!,"AAAAAHP7fnQ=")</f>
        <v>#REF!</v>
      </c>
      <c r="DN64" t="e">
        <f>AND('GA55 Entry'!#REF!,"AAAAAHP7fnU=")</f>
        <v>#REF!</v>
      </c>
      <c r="DO64" t="e">
        <f>AND('GA55 Entry'!#REF!,"AAAAAHP7fnY=")</f>
        <v>#REF!</v>
      </c>
      <c r="DP64" t="e">
        <f>AND('GA55 Entry'!#REF!,"AAAAAHP7fnc=")</f>
        <v>#REF!</v>
      </c>
      <c r="DQ64" t="e">
        <f>AND('GA55 Entry'!#REF!,"AAAAAHP7fng=")</f>
        <v>#REF!</v>
      </c>
      <c r="DR64" t="e">
        <f>AND('GA55 Entry'!Z89,"AAAAAHP7fnk=")</f>
        <v>#VALUE!</v>
      </c>
      <c r="DS64" t="e">
        <f>AND('GA55 Entry'!AA89,"AAAAAHP7fno=")</f>
        <v>#VALUE!</v>
      </c>
      <c r="DT64" t="e">
        <f>AND('GA55 Entry'!#REF!,"AAAAAHP7fns=")</f>
        <v>#REF!</v>
      </c>
      <c r="DU64" t="e">
        <f>AND('GA55 Entry'!#REF!,"AAAAAHP7fnw=")</f>
        <v>#REF!</v>
      </c>
      <c r="DV64" t="e">
        <f>AND('GA55 Entry'!#REF!,"AAAAAHP7fn0=")</f>
        <v>#REF!</v>
      </c>
      <c r="DW64" t="e">
        <f>AND('GA55 Entry'!AB89,"AAAAAHP7fn4=")</f>
        <v>#VALUE!</v>
      </c>
      <c r="DX64" t="e">
        <f>AND('GA55 Entry'!AC89,"AAAAAHP7fn8=")</f>
        <v>#VALUE!</v>
      </c>
      <c r="DY64" t="e">
        <f>AND('GA55 Entry'!#REF!,"AAAAAHP7foA=")</f>
        <v>#REF!</v>
      </c>
      <c r="DZ64">
        <f>IF('GA55 Entry'!90:90,"AAAAAHP7foE=",0)</f>
        <v>0</v>
      </c>
      <c r="EA64" t="e">
        <f>AND('GA55 Entry'!B90,"AAAAAHP7foI=")</f>
        <v>#VALUE!</v>
      </c>
      <c r="EB64" t="e">
        <f>AND('GA55 Entry'!#REF!,"AAAAAHP7foM=")</f>
        <v>#REF!</v>
      </c>
      <c r="EC64" t="e">
        <f>AND('GA55 Entry'!C90,"AAAAAHP7foQ=")</f>
        <v>#VALUE!</v>
      </c>
      <c r="ED64" t="e">
        <f>AND('GA55 Entry'!#REF!,"AAAAAHP7foU=")</f>
        <v>#REF!</v>
      </c>
      <c r="EE64" t="e">
        <f>AND('GA55 Entry'!#REF!,"AAAAAHP7foY=")</f>
        <v>#REF!</v>
      </c>
      <c r="EF64" t="e">
        <f>AND('GA55 Entry'!#REF!,"AAAAAHP7foc=")</f>
        <v>#REF!</v>
      </c>
      <c r="EG64" t="e">
        <f>AND('GA55 Entry'!#REF!,"AAAAAHP7fog=")</f>
        <v>#REF!</v>
      </c>
      <c r="EH64" t="e">
        <f>AND('GA55 Entry'!#REF!,"AAAAAHP7fok=")</f>
        <v>#REF!</v>
      </c>
      <c r="EI64" t="e">
        <f>AND('GA55 Entry'!D90,"AAAAAHP7foo=")</f>
        <v>#VALUE!</v>
      </c>
      <c r="EJ64" t="e">
        <f>AND('GA55 Entry'!#REF!,"AAAAAHP7fos=")</f>
        <v>#REF!</v>
      </c>
      <c r="EK64" t="e">
        <f>AND('GA55 Entry'!E90,"AAAAAHP7fow=")</f>
        <v>#VALUE!</v>
      </c>
      <c r="EL64" t="e">
        <f>AND('GA55 Entry'!F90,"AAAAAHP7fo0=")</f>
        <v>#VALUE!</v>
      </c>
      <c r="EM64" t="e">
        <f>AND('GA55 Entry'!G90,"AAAAAHP7fo4=")</f>
        <v>#VALUE!</v>
      </c>
      <c r="EN64" t="e">
        <f>AND('GA55 Entry'!H90,"AAAAAHP7fo8=")</f>
        <v>#VALUE!</v>
      </c>
      <c r="EO64" t="e">
        <f>AND('GA55 Entry'!I90,"AAAAAHP7fpA=")</f>
        <v>#VALUE!</v>
      </c>
      <c r="EP64" t="e">
        <f>AND('GA55 Entry'!J90,"AAAAAHP7fpE=")</f>
        <v>#VALUE!</v>
      </c>
      <c r="EQ64" t="e">
        <f>AND('GA55 Entry'!#REF!,"AAAAAHP7fpI=")</f>
        <v>#REF!</v>
      </c>
      <c r="ER64" t="e">
        <f>AND('GA55 Entry'!K90,"AAAAAHP7fpM=")</f>
        <v>#VALUE!</v>
      </c>
      <c r="ES64" t="e">
        <f>AND('GA55 Entry'!L90,"AAAAAHP7fpQ=")</f>
        <v>#VALUE!</v>
      </c>
      <c r="ET64" t="e">
        <f>AND('GA55 Entry'!M90,"AAAAAHP7fpU=")</f>
        <v>#VALUE!</v>
      </c>
      <c r="EU64" t="e">
        <f>AND('GA55 Entry'!N90,"AAAAAHP7fpY=")</f>
        <v>#VALUE!</v>
      </c>
      <c r="EV64" t="e">
        <f>AND('GA55 Entry'!O90,"AAAAAHP7fpc=")</f>
        <v>#VALUE!</v>
      </c>
      <c r="EW64" t="e">
        <f>AND('GA55 Entry'!P90,"AAAAAHP7fpg=")</f>
        <v>#VALUE!</v>
      </c>
      <c r="EX64" t="e">
        <f>AND('GA55 Entry'!Q90,"AAAAAHP7fpk=")</f>
        <v>#VALUE!</v>
      </c>
      <c r="EY64" t="e">
        <f>AND('GA55 Entry'!S90,"AAAAAHP7fpo=")</f>
        <v>#VALUE!</v>
      </c>
      <c r="EZ64" t="e">
        <f>AND('GA55 Entry'!#REF!,"AAAAAHP7fps=")</f>
        <v>#REF!</v>
      </c>
      <c r="FA64" t="e">
        <f>AND('GA55 Entry'!T90,"AAAAAHP7fpw=")</f>
        <v>#VALUE!</v>
      </c>
      <c r="FB64" t="e">
        <f>AND('GA55 Entry'!U90,"AAAAAHP7fp0=")</f>
        <v>#VALUE!</v>
      </c>
      <c r="FC64" t="e">
        <f>AND('GA55 Entry'!V90,"AAAAAHP7fp4=")</f>
        <v>#VALUE!</v>
      </c>
      <c r="FD64" t="e">
        <f>AND('GA55 Entry'!#REF!,"AAAAAHP7fp8=")</f>
        <v>#REF!</v>
      </c>
      <c r="FE64" t="e">
        <f>AND('GA55 Entry'!#REF!,"AAAAAHP7fqA=")</f>
        <v>#REF!</v>
      </c>
      <c r="FF64" t="e">
        <f>AND('GA55 Entry'!X90,"AAAAAHP7fqE=")</f>
        <v>#VALUE!</v>
      </c>
      <c r="FG64" t="e">
        <f>AND('GA55 Entry'!Y90,"AAAAAHP7fqI=")</f>
        <v>#VALUE!</v>
      </c>
      <c r="FH64" t="e">
        <f>AND('GA55 Entry'!#REF!,"AAAAAHP7fqM=")</f>
        <v>#REF!</v>
      </c>
      <c r="FI64" t="e">
        <f>AND('GA55 Entry'!#REF!,"AAAAAHP7fqQ=")</f>
        <v>#REF!</v>
      </c>
      <c r="FJ64" t="e">
        <f>AND('GA55 Entry'!#REF!,"AAAAAHP7fqU=")</f>
        <v>#REF!</v>
      </c>
      <c r="FK64" t="e">
        <f>AND('GA55 Entry'!#REF!,"AAAAAHP7fqY=")</f>
        <v>#REF!</v>
      </c>
      <c r="FL64" t="e">
        <f>AND('GA55 Entry'!#REF!,"AAAAAHP7fqc=")</f>
        <v>#REF!</v>
      </c>
      <c r="FM64" t="e">
        <f>AND('GA55 Entry'!#REF!,"AAAAAHP7fqg=")</f>
        <v>#REF!</v>
      </c>
      <c r="FN64" t="e">
        <f>AND('GA55 Entry'!#REF!,"AAAAAHP7fqk=")</f>
        <v>#REF!</v>
      </c>
      <c r="FO64" t="e">
        <f>AND('GA55 Entry'!#REF!,"AAAAAHP7fqo=")</f>
        <v>#REF!</v>
      </c>
      <c r="FP64" t="e">
        <f>AND('GA55 Entry'!#REF!,"AAAAAHP7fqs=")</f>
        <v>#REF!</v>
      </c>
      <c r="FQ64" t="e">
        <f>AND('GA55 Entry'!Z90,"AAAAAHP7fqw=")</f>
        <v>#VALUE!</v>
      </c>
      <c r="FR64" t="e">
        <f>AND('GA55 Entry'!AA90,"AAAAAHP7fq0=")</f>
        <v>#VALUE!</v>
      </c>
      <c r="FS64" t="e">
        <f>AND('GA55 Entry'!#REF!,"AAAAAHP7fq4=")</f>
        <v>#REF!</v>
      </c>
      <c r="FT64" t="e">
        <f>AND('GA55 Entry'!#REF!,"AAAAAHP7fq8=")</f>
        <v>#REF!</v>
      </c>
      <c r="FU64" t="e">
        <f>AND('GA55 Entry'!#REF!,"AAAAAHP7frA=")</f>
        <v>#REF!</v>
      </c>
      <c r="FV64" t="e">
        <f>AND('GA55 Entry'!AB90,"AAAAAHP7frE=")</f>
        <v>#VALUE!</v>
      </c>
      <c r="FW64" t="e">
        <f>AND('GA55 Entry'!AC90,"AAAAAHP7frI=")</f>
        <v>#VALUE!</v>
      </c>
      <c r="FX64" t="e">
        <f>AND('GA55 Entry'!#REF!,"AAAAAHP7frM=")</f>
        <v>#REF!</v>
      </c>
      <c r="FY64">
        <f>IF('GA55 Entry'!91:91,"AAAAAHP7frQ=",0)</f>
        <v>0</v>
      </c>
      <c r="FZ64" t="e">
        <f>AND('GA55 Entry'!B91,"AAAAAHP7frU=")</f>
        <v>#VALUE!</v>
      </c>
      <c r="GA64" t="e">
        <f>AND('GA55 Entry'!#REF!,"AAAAAHP7frY=")</f>
        <v>#REF!</v>
      </c>
      <c r="GB64" t="e">
        <f>AND('GA55 Entry'!C91,"AAAAAHP7frc=")</f>
        <v>#VALUE!</v>
      </c>
      <c r="GC64" t="e">
        <f>AND('GA55 Entry'!#REF!,"AAAAAHP7frg=")</f>
        <v>#REF!</v>
      </c>
      <c r="GD64" t="e">
        <f>AND('GA55 Entry'!#REF!,"AAAAAHP7frk=")</f>
        <v>#REF!</v>
      </c>
      <c r="GE64" t="e">
        <f>AND('GA55 Entry'!#REF!,"AAAAAHP7fro=")</f>
        <v>#REF!</v>
      </c>
      <c r="GF64" t="e">
        <f>AND('GA55 Entry'!#REF!,"AAAAAHP7frs=")</f>
        <v>#REF!</v>
      </c>
      <c r="GG64" t="e">
        <f>AND('GA55 Entry'!#REF!,"AAAAAHP7frw=")</f>
        <v>#REF!</v>
      </c>
      <c r="GH64" t="e">
        <f>AND('GA55 Entry'!D91,"AAAAAHP7fr0=")</f>
        <v>#VALUE!</v>
      </c>
      <c r="GI64" t="e">
        <f>AND('GA55 Entry'!#REF!,"AAAAAHP7fr4=")</f>
        <v>#REF!</v>
      </c>
      <c r="GJ64" t="e">
        <f>AND('GA55 Entry'!E91,"AAAAAHP7fr8=")</f>
        <v>#VALUE!</v>
      </c>
      <c r="GK64" t="e">
        <f>AND('GA55 Entry'!F91,"AAAAAHP7fsA=")</f>
        <v>#VALUE!</v>
      </c>
      <c r="GL64" t="e">
        <f>AND('GA55 Entry'!G91,"AAAAAHP7fsE=")</f>
        <v>#VALUE!</v>
      </c>
      <c r="GM64" t="e">
        <f>AND('GA55 Entry'!H91,"AAAAAHP7fsI=")</f>
        <v>#VALUE!</v>
      </c>
      <c r="GN64" t="e">
        <f>AND('GA55 Entry'!I91,"AAAAAHP7fsM=")</f>
        <v>#VALUE!</v>
      </c>
      <c r="GO64" t="e">
        <f>AND('GA55 Entry'!J91,"AAAAAHP7fsQ=")</f>
        <v>#VALUE!</v>
      </c>
      <c r="GP64" t="e">
        <f>AND('GA55 Entry'!#REF!,"AAAAAHP7fsU=")</f>
        <v>#REF!</v>
      </c>
      <c r="GQ64" t="e">
        <f>AND('GA55 Entry'!K91,"AAAAAHP7fsY=")</f>
        <v>#VALUE!</v>
      </c>
      <c r="GR64" t="e">
        <f>AND('GA55 Entry'!L91,"AAAAAHP7fsc=")</f>
        <v>#VALUE!</v>
      </c>
      <c r="GS64" t="e">
        <f>AND('GA55 Entry'!M91,"AAAAAHP7fsg=")</f>
        <v>#VALUE!</v>
      </c>
      <c r="GT64" t="e">
        <f>AND('GA55 Entry'!N91,"AAAAAHP7fsk=")</f>
        <v>#VALUE!</v>
      </c>
      <c r="GU64" t="e">
        <f>AND('GA55 Entry'!O91,"AAAAAHP7fso=")</f>
        <v>#VALUE!</v>
      </c>
      <c r="GV64" t="e">
        <f>AND('GA55 Entry'!P91,"AAAAAHP7fss=")</f>
        <v>#VALUE!</v>
      </c>
      <c r="GW64" t="e">
        <f>AND('GA55 Entry'!Q91,"AAAAAHP7fsw=")</f>
        <v>#VALUE!</v>
      </c>
      <c r="GX64" t="e">
        <f>AND('GA55 Entry'!S91,"AAAAAHP7fs0=")</f>
        <v>#VALUE!</v>
      </c>
      <c r="GY64" t="e">
        <f>AND('GA55 Entry'!#REF!,"AAAAAHP7fs4=")</f>
        <v>#REF!</v>
      </c>
      <c r="GZ64" t="e">
        <f>AND('GA55 Entry'!T91,"AAAAAHP7fs8=")</f>
        <v>#VALUE!</v>
      </c>
      <c r="HA64" t="e">
        <f>AND('GA55 Entry'!U91,"AAAAAHP7ftA=")</f>
        <v>#VALUE!</v>
      </c>
      <c r="HB64" t="e">
        <f>AND('GA55 Entry'!V91,"AAAAAHP7ftE=")</f>
        <v>#VALUE!</v>
      </c>
      <c r="HC64" t="e">
        <f>AND('GA55 Entry'!#REF!,"AAAAAHP7ftI=")</f>
        <v>#REF!</v>
      </c>
      <c r="HD64" t="e">
        <f>AND('GA55 Entry'!#REF!,"AAAAAHP7ftM=")</f>
        <v>#REF!</v>
      </c>
      <c r="HE64" t="e">
        <f>AND('GA55 Entry'!X91,"AAAAAHP7ftQ=")</f>
        <v>#VALUE!</v>
      </c>
      <c r="HF64" t="e">
        <f>AND('GA55 Entry'!Y91,"AAAAAHP7ftU=")</f>
        <v>#VALUE!</v>
      </c>
      <c r="HG64" t="e">
        <f>AND('GA55 Entry'!#REF!,"AAAAAHP7ftY=")</f>
        <v>#REF!</v>
      </c>
      <c r="HH64" t="e">
        <f>AND('GA55 Entry'!#REF!,"AAAAAHP7ftc=")</f>
        <v>#REF!</v>
      </c>
      <c r="HI64" t="e">
        <f>AND('GA55 Entry'!#REF!,"AAAAAHP7ftg=")</f>
        <v>#REF!</v>
      </c>
      <c r="HJ64" t="e">
        <f>AND('GA55 Entry'!#REF!,"AAAAAHP7ftk=")</f>
        <v>#REF!</v>
      </c>
      <c r="HK64" t="e">
        <f>AND('GA55 Entry'!#REF!,"AAAAAHP7fto=")</f>
        <v>#REF!</v>
      </c>
      <c r="HL64" t="e">
        <f>AND('GA55 Entry'!#REF!,"AAAAAHP7fts=")</f>
        <v>#REF!</v>
      </c>
      <c r="HM64" t="e">
        <f>AND('GA55 Entry'!#REF!,"AAAAAHP7ftw=")</f>
        <v>#REF!</v>
      </c>
      <c r="HN64" t="e">
        <f>AND('GA55 Entry'!#REF!,"AAAAAHP7ft0=")</f>
        <v>#REF!</v>
      </c>
      <c r="HO64" t="e">
        <f>AND('GA55 Entry'!#REF!,"AAAAAHP7ft4=")</f>
        <v>#REF!</v>
      </c>
      <c r="HP64" t="e">
        <f>AND('GA55 Entry'!Z91,"AAAAAHP7ft8=")</f>
        <v>#VALUE!</v>
      </c>
      <c r="HQ64" t="e">
        <f>AND('GA55 Entry'!AA91,"AAAAAHP7fuA=")</f>
        <v>#VALUE!</v>
      </c>
      <c r="HR64" t="e">
        <f>AND('GA55 Entry'!#REF!,"AAAAAHP7fuE=")</f>
        <v>#REF!</v>
      </c>
      <c r="HS64" t="e">
        <f>AND('GA55 Entry'!#REF!,"AAAAAHP7fuI=")</f>
        <v>#REF!</v>
      </c>
      <c r="HT64" t="e">
        <f>AND('GA55 Entry'!#REF!,"AAAAAHP7fuM=")</f>
        <v>#REF!</v>
      </c>
      <c r="HU64" t="e">
        <f>AND('GA55 Entry'!AB91,"AAAAAHP7fuQ=")</f>
        <v>#VALUE!</v>
      </c>
      <c r="HV64" t="e">
        <f>AND('GA55 Entry'!AC91,"AAAAAHP7fuU=")</f>
        <v>#VALUE!</v>
      </c>
      <c r="HW64" t="e">
        <f>AND('GA55 Entry'!#REF!,"AAAAAHP7fuY=")</f>
        <v>#REF!</v>
      </c>
      <c r="HX64">
        <f>IF('GA55 Entry'!92:92,"AAAAAHP7fuc=",0)</f>
        <v>0</v>
      </c>
      <c r="HY64" t="e">
        <f>AND('GA55 Entry'!B92,"AAAAAHP7fug=")</f>
        <v>#VALUE!</v>
      </c>
      <c r="HZ64" t="e">
        <f>AND('GA55 Entry'!#REF!,"AAAAAHP7fuk=")</f>
        <v>#REF!</v>
      </c>
      <c r="IA64" t="e">
        <f>AND('GA55 Entry'!C92,"AAAAAHP7fuo=")</f>
        <v>#VALUE!</v>
      </c>
      <c r="IB64" t="e">
        <f>AND('GA55 Entry'!#REF!,"AAAAAHP7fus=")</f>
        <v>#REF!</v>
      </c>
      <c r="IC64" t="e">
        <f>AND('GA55 Entry'!#REF!,"AAAAAHP7fuw=")</f>
        <v>#REF!</v>
      </c>
      <c r="ID64" t="e">
        <f>AND('GA55 Entry'!#REF!,"AAAAAHP7fu0=")</f>
        <v>#REF!</v>
      </c>
      <c r="IE64" t="e">
        <f>AND('GA55 Entry'!#REF!,"AAAAAHP7fu4=")</f>
        <v>#REF!</v>
      </c>
      <c r="IF64" t="e">
        <f>AND('GA55 Entry'!#REF!,"AAAAAHP7fu8=")</f>
        <v>#REF!</v>
      </c>
      <c r="IG64" t="e">
        <f>AND('GA55 Entry'!D92,"AAAAAHP7fvA=")</f>
        <v>#VALUE!</v>
      </c>
      <c r="IH64" t="e">
        <f>AND('GA55 Entry'!#REF!,"AAAAAHP7fvE=")</f>
        <v>#REF!</v>
      </c>
      <c r="II64" t="e">
        <f>AND('GA55 Entry'!E92,"AAAAAHP7fvI=")</f>
        <v>#VALUE!</v>
      </c>
      <c r="IJ64" t="e">
        <f>AND('GA55 Entry'!F92,"AAAAAHP7fvM=")</f>
        <v>#VALUE!</v>
      </c>
      <c r="IK64" t="e">
        <f>AND('GA55 Entry'!G92,"AAAAAHP7fvQ=")</f>
        <v>#VALUE!</v>
      </c>
      <c r="IL64" t="e">
        <f>AND('GA55 Entry'!H92,"AAAAAHP7fvU=")</f>
        <v>#VALUE!</v>
      </c>
      <c r="IM64" t="e">
        <f>AND('GA55 Entry'!I92,"AAAAAHP7fvY=")</f>
        <v>#VALUE!</v>
      </c>
      <c r="IN64" t="e">
        <f>AND('GA55 Entry'!J92,"AAAAAHP7fvc=")</f>
        <v>#VALUE!</v>
      </c>
      <c r="IO64" t="e">
        <f>AND('GA55 Entry'!#REF!,"AAAAAHP7fvg=")</f>
        <v>#REF!</v>
      </c>
      <c r="IP64" t="e">
        <f>AND('GA55 Entry'!K92,"AAAAAHP7fvk=")</f>
        <v>#VALUE!</v>
      </c>
      <c r="IQ64" t="e">
        <f>AND('GA55 Entry'!L92,"AAAAAHP7fvo=")</f>
        <v>#VALUE!</v>
      </c>
      <c r="IR64" t="e">
        <f>AND('GA55 Entry'!M92,"AAAAAHP7fvs=")</f>
        <v>#VALUE!</v>
      </c>
      <c r="IS64" t="e">
        <f>AND('GA55 Entry'!N92,"AAAAAHP7fvw=")</f>
        <v>#VALUE!</v>
      </c>
      <c r="IT64" t="e">
        <f>AND('GA55 Entry'!O92,"AAAAAHP7fv0=")</f>
        <v>#VALUE!</v>
      </c>
      <c r="IU64" t="e">
        <f>AND('GA55 Entry'!P92,"AAAAAHP7fv4=")</f>
        <v>#VALUE!</v>
      </c>
      <c r="IV64" t="e">
        <f>AND('GA55 Entry'!Q92,"AAAAAHP7fv8=")</f>
        <v>#VALUE!</v>
      </c>
    </row>
    <row r="65" spans="1:256">
      <c r="A65" t="e">
        <f>AND('GA55 Entry'!S92,"AAAAAGN+1gA=")</f>
        <v>#VALUE!</v>
      </c>
      <c r="B65" t="e">
        <f>AND('GA55 Entry'!#REF!,"AAAAAGN+1gE=")</f>
        <v>#REF!</v>
      </c>
      <c r="C65" t="e">
        <f>AND('GA55 Entry'!T92,"AAAAAGN+1gI=")</f>
        <v>#VALUE!</v>
      </c>
      <c r="D65" t="e">
        <f>AND('GA55 Entry'!U92,"AAAAAGN+1gM=")</f>
        <v>#VALUE!</v>
      </c>
      <c r="E65" t="e">
        <f>AND('GA55 Entry'!V92,"AAAAAGN+1gQ=")</f>
        <v>#VALUE!</v>
      </c>
      <c r="F65" t="e">
        <f>AND('GA55 Entry'!#REF!,"AAAAAGN+1gU=")</f>
        <v>#REF!</v>
      </c>
      <c r="G65" t="e">
        <f>AND('GA55 Entry'!#REF!,"AAAAAGN+1gY=")</f>
        <v>#REF!</v>
      </c>
      <c r="H65" t="e">
        <f>AND('GA55 Entry'!X92,"AAAAAGN+1gc=")</f>
        <v>#VALUE!</v>
      </c>
      <c r="I65" t="e">
        <f>AND('GA55 Entry'!Y92,"AAAAAGN+1gg=")</f>
        <v>#VALUE!</v>
      </c>
      <c r="J65" t="e">
        <f>AND('GA55 Entry'!#REF!,"AAAAAGN+1gk=")</f>
        <v>#REF!</v>
      </c>
      <c r="K65" t="e">
        <f>AND('GA55 Entry'!#REF!,"AAAAAGN+1go=")</f>
        <v>#REF!</v>
      </c>
      <c r="L65" t="e">
        <f>AND('GA55 Entry'!#REF!,"AAAAAGN+1gs=")</f>
        <v>#REF!</v>
      </c>
      <c r="M65" t="e">
        <f>AND('GA55 Entry'!#REF!,"AAAAAGN+1gw=")</f>
        <v>#REF!</v>
      </c>
      <c r="N65" t="e">
        <f>AND('GA55 Entry'!#REF!,"AAAAAGN+1g0=")</f>
        <v>#REF!</v>
      </c>
      <c r="O65" t="e">
        <f>AND('GA55 Entry'!#REF!,"AAAAAGN+1g4=")</f>
        <v>#REF!</v>
      </c>
      <c r="P65" t="e">
        <f>AND('GA55 Entry'!#REF!,"AAAAAGN+1g8=")</f>
        <v>#REF!</v>
      </c>
      <c r="Q65" t="e">
        <f>AND('GA55 Entry'!#REF!,"AAAAAGN+1hA=")</f>
        <v>#REF!</v>
      </c>
      <c r="R65" t="e">
        <f>AND('GA55 Entry'!#REF!,"AAAAAGN+1hE=")</f>
        <v>#REF!</v>
      </c>
      <c r="S65" t="e">
        <f>AND('GA55 Entry'!Z92,"AAAAAGN+1hI=")</f>
        <v>#VALUE!</v>
      </c>
      <c r="T65" t="e">
        <f>AND('GA55 Entry'!AA92,"AAAAAGN+1hM=")</f>
        <v>#VALUE!</v>
      </c>
      <c r="U65" t="e">
        <f>AND('GA55 Entry'!#REF!,"AAAAAGN+1hQ=")</f>
        <v>#REF!</v>
      </c>
      <c r="V65" t="e">
        <f>AND('GA55 Entry'!#REF!,"AAAAAGN+1hU=")</f>
        <v>#REF!</v>
      </c>
      <c r="W65" t="e">
        <f>AND('GA55 Entry'!#REF!,"AAAAAGN+1hY=")</f>
        <v>#REF!</v>
      </c>
      <c r="X65" t="e">
        <f>AND('GA55 Entry'!AB92,"AAAAAGN+1hc=")</f>
        <v>#VALUE!</v>
      </c>
      <c r="Y65" t="e">
        <f>AND('GA55 Entry'!AC92,"AAAAAGN+1hg=")</f>
        <v>#VALUE!</v>
      </c>
      <c r="Z65" t="e">
        <f>AND('GA55 Entry'!#REF!,"AAAAAGN+1hk=")</f>
        <v>#REF!</v>
      </c>
      <c r="AA65">
        <f>IF('GA55 Entry'!93:93,"AAAAAGN+1ho=",0)</f>
        <v>0</v>
      </c>
      <c r="AB65" t="e">
        <f>AND('GA55 Entry'!B93,"AAAAAGN+1hs=")</f>
        <v>#VALUE!</v>
      </c>
      <c r="AC65" t="e">
        <f>AND('GA55 Entry'!#REF!,"AAAAAGN+1hw=")</f>
        <v>#REF!</v>
      </c>
      <c r="AD65" t="e">
        <f>AND('GA55 Entry'!C93,"AAAAAGN+1h0=")</f>
        <v>#VALUE!</v>
      </c>
      <c r="AE65" t="e">
        <f>AND('GA55 Entry'!#REF!,"AAAAAGN+1h4=")</f>
        <v>#REF!</v>
      </c>
      <c r="AF65" t="e">
        <f>AND('GA55 Entry'!#REF!,"AAAAAGN+1h8=")</f>
        <v>#REF!</v>
      </c>
      <c r="AG65" t="e">
        <f>AND('GA55 Entry'!#REF!,"AAAAAGN+1iA=")</f>
        <v>#REF!</v>
      </c>
      <c r="AH65" t="e">
        <f>AND('GA55 Entry'!#REF!,"AAAAAGN+1iE=")</f>
        <v>#REF!</v>
      </c>
      <c r="AI65" t="e">
        <f>AND('GA55 Entry'!#REF!,"AAAAAGN+1iI=")</f>
        <v>#REF!</v>
      </c>
      <c r="AJ65" t="e">
        <f>AND('GA55 Entry'!D93,"AAAAAGN+1iM=")</f>
        <v>#VALUE!</v>
      </c>
      <c r="AK65" t="e">
        <f>AND('GA55 Entry'!#REF!,"AAAAAGN+1iQ=")</f>
        <v>#REF!</v>
      </c>
      <c r="AL65" t="e">
        <f>AND('GA55 Entry'!E93,"AAAAAGN+1iU=")</f>
        <v>#VALUE!</v>
      </c>
      <c r="AM65" t="e">
        <f>AND('GA55 Entry'!F93,"AAAAAGN+1iY=")</f>
        <v>#VALUE!</v>
      </c>
      <c r="AN65" t="e">
        <f>AND('GA55 Entry'!G93,"AAAAAGN+1ic=")</f>
        <v>#VALUE!</v>
      </c>
      <c r="AO65" t="e">
        <f>AND('GA55 Entry'!H93,"AAAAAGN+1ig=")</f>
        <v>#VALUE!</v>
      </c>
      <c r="AP65" t="e">
        <f>AND('GA55 Entry'!I93,"AAAAAGN+1ik=")</f>
        <v>#VALUE!</v>
      </c>
      <c r="AQ65" t="e">
        <f>AND('GA55 Entry'!J93,"AAAAAGN+1io=")</f>
        <v>#VALUE!</v>
      </c>
      <c r="AR65" t="e">
        <f>AND('GA55 Entry'!#REF!,"AAAAAGN+1is=")</f>
        <v>#REF!</v>
      </c>
      <c r="AS65" t="e">
        <f>AND('GA55 Entry'!K93,"AAAAAGN+1iw=")</f>
        <v>#VALUE!</v>
      </c>
      <c r="AT65" t="e">
        <f>AND('GA55 Entry'!L93,"AAAAAGN+1i0=")</f>
        <v>#VALUE!</v>
      </c>
      <c r="AU65" t="e">
        <f>AND('GA55 Entry'!M93,"AAAAAGN+1i4=")</f>
        <v>#VALUE!</v>
      </c>
      <c r="AV65" t="e">
        <f>AND('GA55 Entry'!N93,"AAAAAGN+1i8=")</f>
        <v>#VALUE!</v>
      </c>
      <c r="AW65" t="e">
        <f>AND('GA55 Entry'!O93,"AAAAAGN+1jA=")</f>
        <v>#VALUE!</v>
      </c>
      <c r="AX65" t="e">
        <f>AND('GA55 Entry'!P93,"AAAAAGN+1jE=")</f>
        <v>#VALUE!</v>
      </c>
      <c r="AY65" t="e">
        <f>AND('GA55 Entry'!Q93,"AAAAAGN+1jI=")</f>
        <v>#VALUE!</v>
      </c>
      <c r="AZ65" t="e">
        <f>AND('GA55 Entry'!S93,"AAAAAGN+1jM=")</f>
        <v>#VALUE!</v>
      </c>
      <c r="BA65" t="e">
        <f>AND('GA55 Entry'!#REF!,"AAAAAGN+1jQ=")</f>
        <v>#REF!</v>
      </c>
      <c r="BB65" t="e">
        <f>AND('GA55 Entry'!T93,"AAAAAGN+1jU=")</f>
        <v>#VALUE!</v>
      </c>
      <c r="BC65" t="e">
        <f>AND('GA55 Entry'!U93,"AAAAAGN+1jY=")</f>
        <v>#VALUE!</v>
      </c>
      <c r="BD65" t="e">
        <f>AND('GA55 Entry'!V93,"AAAAAGN+1jc=")</f>
        <v>#VALUE!</v>
      </c>
      <c r="BE65" t="e">
        <f>AND('GA55 Entry'!#REF!,"AAAAAGN+1jg=")</f>
        <v>#REF!</v>
      </c>
      <c r="BF65" t="e">
        <f>AND('GA55 Entry'!#REF!,"AAAAAGN+1jk=")</f>
        <v>#REF!</v>
      </c>
      <c r="BG65" t="e">
        <f>AND('GA55 Entry'!X93,"AAAAAGN+1jo=")</f>
        <v>#VALUE!</v>
      </c>
      <c r="BH65" t="e">
        <f>AND('GA55 Entry'!Y93,"AAAAAGN+1js=")</f>
        <v>#VALUE!</v>
      </c>
      <c r="BI65" t="e">
        <f>AND('GA55 Entry'!#REF!,"AAAAAGN+1jw=")</f>
        <v>#REF!</v>
      </c>
      <c r="BJ65" t="e">
        <f>AND('GA55 Entry'!#REF!,"AAAAAGN+1j0=")</f>
        <v>#REF!</v>
      </c>
      <c r="BK65" t="e">
        <f>AND('GA55 Entry'!#REF!,"AAAAAGN+1j4=")</f>
        <v>#REF!</v>
      </c>
      <c r="BL65" t="e">
        <f>AND('GA55 Entry'!#REF!,"AAAAAGN+1j8=")</f>
        <v>#REF!</v>
      </c>
      <c r="BM65" t="e">
        <f>AND('GA55 Entry'!#REF!,"AAAAAGN+1kA=")</f>
        <v>#REF!</v>
      </c>
      <c r="BN65" t="e">
        <f>AND('GA55 Entry'!#REF!,"AAAAAGN+1kE=")</f>
        <v>#REF!</v>
      </c>
      <c r="BO65" t="e">
        <f>AND('GA55 Entry'!#REF!,"AAAAAGN+1kI=")</f>
        <v>#REF!</v>
      </c>
      <c r="BP65" t="e">
        <f>AND('GA55 Entry'!#REF!,"AAAAAGN+1kM=")</f>
        <v>#REF!</v>
      </c>
      <c r="BQ65" t="e">
        <f>AND('GA55 Entry'!#REF!,"AAAAAGN+1kQ=")</f>
        <v>#REF!</v>
      </c>
      <c r="BR65" t="e">
        <f>AND('GA55 Entry'!Z93,"AAAAAGN+1kU=")</f>
        <v>#VALUE!</v>
      </c>
      <c r="BS65" t="e">
        <f>AND('GA55 Entry'!AA93,"AAAAAGN+1kY=")</f>
        <v>#VALUE!</v>
      </c>
      <c r="BT65" t="e">
        <f>AND('GA55 Entry'!#REF!,"AAAAAGN+1kc=")</f>
        <v>#REF!</v>
      </c>
      <c r="BU65" t="e">
        <f>AND('GA55 Entry'!#REF!,"AAAAAGN+1kg=")</f>
        <v>#REF!</v>
      </c>
      <c r="BV65" t="e">
        <f>AND('GA55 Entry'!#REF!,"AAAAAGN+1kk=")</f>
        <v>#REF!</v>
      </c>
      <c r="BW65" t="e">
        <f>AND('GA55 Entry'!AB93,"AAAAAGN+1ko=")</f>
        <v>#VALUE!</v>
      </c>
      <c r="BX65" t="e">
        <f>AND('GA55 Entry'!AC93,"AAAAAGN+1ks=")</f>
        <v>#VALUE!</v>
      </c>
      <c r="BY65" t="e">
        <f>AND('GA55 Entry'!#REF!,"AAAAAGN+1kw=")</f>
        <v>#REF!</v>
      </c>
      <c r="BZ65">
        <f>IF('GA55 Entry'!94:94,"AAAAAGN+1k0=",0)</f>
        <v>0</v>
      </c>
      <c r="CA65" t="e">
        <f>AND('GA55 Entry'!B94,"AAAAAGN+1k4=")</f>
        <v>#VALUE!</v>
      </c>
      <c r="CB65" t="e">
        <f>AND('GA55 Entry'!#REF!,"AAAAAGN+1k8=")</f>
        <v>#REF!</v>
      </c>
      <c r="CC65" t="e">
        <f>AND('GA55 Entry'!C94,"AAAAAGN+1lA=")</f>
        <v>#VALUE!</v>
      </c>
      <c r="CD65" t="e">
        <f>AND('GA55 Entry'!#REF!,"AAAAAGN+1lE=")</f>
        <v>#REF!</v>
      </c>
      <c r="CE65" t="e">
        <f>AND('GA55 Entry'!#REF!,"AAAAAGN+1lI=")</f>
        <v>#REF!</v>
      </c>
      <c r="CF65" t="e">
        <f>AND('GA55 Entry'!#REF!,"AAAAAGN+1lM=")</f>
        <v>#REF!</v>
      </c>
      <c r="CG65" t="e">
        <f>AND('GA55 Entry'!#REF!,"AAAAAGN+1lQ=")</f>
        <v>#REF!</v>
      </c>
      <c r="CH65" t="e">
        <f>AND('GA55 Entry'!#REF!,"AAAAAGN+1lU=")</f>
        <v>#REF!</v>
      </c>
      <c r="CI65" t="e">
        <f>AND('GA55 Entry'!D94,"AAAAAGN+1lY=")</f>
        <v>#VALUE!</v>
      </c>
      <c r="CJ65" t="e">
        <f>AND('GA55 Entry'!#REF!,"AAAAAGN+1lc=")</f>
        <v>#REF!</v>
      </c>
      <c r="CK65" t="e">
        <f>AND('GA55 Entry'!E94,"AAAAAGN+1lg=")</f>
        <v>#VALUE!</v>
      </c>
      <c r="CL65" t="e">
        <f>AND('GA55 Entry'!F94,"AAAAAGN+1lk=")</f>
        <v>#VALUE!</v>
      </c>
      <c r="CM65" t="e">
        <f>AND('GA55 Entry'!G94,"AAAAAGN+1lo=")</f>
        <v>#VALUE!</v>
      </c>
      <c r="CN65" t="e">
        <f>AND('GA55 Entry'!H94,"AAAAAGN+1ls=")</f>
        <v>#VALUE!</v>
      </c>
      <c r="CO65" t="e">
        <f>AND('GA55 Entry'!I94,"AAAAAGN+1lw=")</f>
        <v>#VALUE!</v>
      </c>
      <c r="CP65" t="e">
        <f>AND('GA55 Entry'!J94,"AAAAAGN+1l0=")</f>
        <v>#VALUE!</v>
      </c>
      <c r="CQ65" t="e">
        <f>AND('GA55 Entry'!#REF!,"AAAAAGN+1l4=")</f>
        <v>#REF!</v>
      </c>
      <c r="CR65" t="e">
        <f>AND('GA55 Entry'!K94,"AAAAAGN+1l8=")</f>
        <v>#VALUE!</v>
      </c>
      <c r="CS65" t="e">
        <f>AND('GA55 Entry'!L94,"AAAAAGN+1mA=")</f>
        <v>#VALUE!</v>
      </c>
      <c r="CT65" t="e">
        <f>AND('GA55 Entry'!M94,"AAAAAGN+1mE=")</f>
        <v>#VALUE!</v>
      </c>
      <c r="CU65" t="e">
        <f>AND('GA55 Entry'!N94,"AAAAAGN+1mI=")</f>
        <v>#VALUE!</v>
      </c>
      <c r="CV65" t="e">
        <f>AND('GA55 Entry'!O94,"AAAAAGN+1mM=")</f>
        <v>#VALUE!</v>
      </c>
      <c r="CW65" t="e">
        <f>AND('GA55 Entry'!P94,"AAAAAGN+1mQ=")</f>
        <v>#VALUE!</v>
      </c>
      <c r="CX65" t="e">
        <f>AND('GA55 Entry'!Q94,"AAAAAGN+1mU=")</f>
        <v>#VALUE!</v>
      </c>
      <c r="CY65" t="e">
        <f>AND('GA55 Entry'!S94,"AAAAAGN+1mY=")</f>
        <v>#VALUE!</v>
      </c>
      <c r="CZ65" t="e">
        <f>AND('GA55 Entry'!#REF!,"AAAAAGN+1mc=")</f>
        <v>#REF!</v>
      </c>
      <c r="DA65" t="e">
        <f>AND('GA55 Entry'!T94,"AAAAAGN+1mg=")</f>
        <v>#VALUE!</v>
      </c>
      <c r="DB65" t="e">
        <f>AND('GA55 Entry'!U94,"AAAAAGN+1mk=")</f>
        <v>#VALUE!</v>
      </c>
      <c r="DC65" t="e">
        <f>AND('GA55 Entry'!V94,"AAAAAGN+1mo=")</f>
        <v>#VALUE!</v>
      </c>
      <c r="DD65" t="e">
        <f>AND('GA55 Entry'!#REF!,"AAAAAGN+1ms=")</f>
        <v>#REF!</v>
      </c>
      <c r="DE65" t="e">
        <f>AND('GA55 Entry'!#REF!,"AAAAAGN+1mw=")</f>
        <v>#REF!</v>
      </c>
      <c r="DF65" t="e">
        <f>AND('GA55 Entry'!X94,"AAAAAGN+1m0=")</f>
        <v>#VALUE!</v>
      </c>
      <c r="DG65" t="e">
        <f>AND('GA55 Entry'!Y94,"AAAAAGN+1m4=")</f>
        <v>#VALUE!</v>
      </c>
      <c r="DH65" t="e">
        <f>AND('GA55 Entry'!#REF!,"AAAAAGN+1m8=")</f>
        <v>#REF!</v>
      </c>
      <c r="DI65" t="e">
        <f>AND('GA55 Entry'!#REF!,"AAAAAGN+1nA=")</f>
        <v>#REF!</v>
      </c>
      <c r="DJ65" t="e">
        <f>AND('GA55 Entry'!#REF!,"AAAAAGN+1nE=")</f>
        <v>#REF!</v>
      </c>
      <c r="DK65" t="e">
        <f>AND('GA55 Entry'!#REF!,"AAAAAGN+1nI=")</f>
        <v>#REF!</v>
      </c>
      <c r="DL65" t="e">
        <f>AND('GA55 Entry'!#REF!,"AAAAAGN+1nM=")</f>
        <v>#REF!</v>
      </c>
      <c r="DM65" t="e">
        <f>AND('GA55 Entry'!#REF!,"AAAAAGN+1nQ=")</f>
        <v>#REF!</v>
      </c>
      <c r="DN65" t="e">
        <f>AND('GA55 Entry'!#REF!,"AAAAAGN+1nU=")</f>
        <v>#REF!</v>
      </c>
      <c r="DO65" t="e">
        <f>AND('GA55 Entry'!#REF!,"AAAAAGN+1nY=")</f>
        <v>#REF!</v>
      </c>
      <c r="DP65" t="e">
        <f>AND('GA55 Entry'!#REF!,"AAAAAGN+1nc=")</f>
        <v>#REF!</v>
      </c>
      <c r="DQ65" t="e">
        <f>AND('GA55 Entry'!Z94,"AAAAAGN+1ng=")</f>
        <v>#VALUE!</v>
      </c>
      <c r="DR65" t="e">
        <f>AND('GA55 Entry'!AA94,"AAAAAGN+1nk=")</f>
        <v>#VALUE!</v>
      </c>
      <c r="DS65" t="e">
        <f>AND('GA55 Entry'!#REF!,"AAAAAGN+1no=")</f>
        <v>#REF!</v>
      </c>
      <c r="DT65" t="e">
        <f>AND('GA55 Entry'!#REF!,"AAAAAGN+1ns=")</f>
        <v>#REF!</v>
      </c>
      <c r="DU65" t="e">
        <f>AND('GA55 Entry'!#REF!,"AAAAAGN+1nw=")</f>
        <v>#REF!</v>
      </c>
      <c r="DV65" t="e">
        <f>AND('GA55 Entry'!AB94,"AAAAAGN+1n0=")</f>
        <v>#VALUE!</v>
      </c>
      <c r="DW65" t="e">
        <f>AND('GA55 Entry'!AC94,"AAAAAGN+1n4=")</f>
        <v>#VALUE!</v>
      </c>
      <c r="DX65" t="e">
        <f>AND('GA55 Entry'!#REF!,"AAAAAGN+1n8=")</f>
        <v>#REF!</v>
      </c>
      <c r="DY65">
        <f>IF('GA55 Entry'!95:95,"AAAAAGN+1oA=",0)</f>
        <v>0</v>
      </c>
      <c r="DZ65" t="e">
        <f>AND('GA55 Entry'!B95,"AAAAAGN+1oE=")</f>
        <v>#VALUE!</v>
      </c>
      <c r="EA65" t="e">
        <f>AND('GA55 Entry'!#REF!,"AAAAAGN+1oI=")</f>
        <v>#REF!</v>
      </c>
      <c r="EB65" t="e">
        <f>AND('GA55 Entry'!C95,"AAAAAGN+1oM=")</f>
        <v>#VALUE!</v>
      </c>
      <c r="EC65" t="e">
        <f>AND('GA55 Entry'!#REF!,"AAAAAGN+1oQ=")</f>
        <v>#REF!</v>
      </c>
      <c r="ED65" t="e">
        <f>AND('GA55 Entry'!#REF!,"AAAAAGN+1oU=")</f>
        <v>#REF!</v>
      </c>
      <c r="EE65" t="e">
        <f>AND('GA55 Entry'!#REF!,"AAAAAGN+1oY=")</f>
        <v>#REF!</v>
      </c>
      <c r="EF65" t="e">
        <f>AND('GA55 Entry'!#REF!,"AAAAAGN+1oc=")</f>
        <v>#REF!</v>
      </c>
      <c r="EG65" t="e">
        <f>AND('GA55 Entry'!#REF!,"AAAAAGN+1og=")</f>
        <v>#REF!</v>
      </c>
      <c r="EH65" t="e">
        <f>AND('GA55 Entry'!D95,"AAAAAGN+1ok=")</f>
        <v>#VALUE!</v>
      </c>
      <c r="EI65" t="e">
        <f>AND('GA55 Entry'!#REF!,"AAAAAGN+1oo=")</f>
        <v>#REF!</v>
      </c>
      <c r="EJ65" t="e">
        <f>AND('GA55 Entry'!E95,"AAAAAGN+1os=")</f>
        <v>#VALUE!</v>
      </c>
      <c r="EK65" t="e">
        <f>AND('GA55 Entry'!F95,"AAAAAGN+1ow=")</f>
        <v>#VALUE!</v>
      </c>
      <c r="EL65" t="e">
        <f>AND('GA55 Entry'!G95,"AAAAAGN+1o0=")</f>
        <v>#VALUE!</v>
      </c>
      <c r="EM65" t="e">
        <f>AND('GA55 Entry'!H95,"AAAAAGN+1o4=")</f>
        <v>#VALUE!</v>
      </c>
      <c r="EN65" t="e">
        <f>AND('GA55 Entry'!I95,"AAAAAGN+1o8=")</f>
        <v>#VALUE!</v>
      </c>
      <c r="EO65" t="e">
        <f>AND('GA55 Entry'!J95,"AAAAAGN+1pA=")</f>
        <v>#VALUE!</v>
      </c>
      <c r="EP65" t="e">
        <f>AND('GA55 Entry'!#REF!,"AAAAAGN+1pE=")</f>
        <v>#REF!</v>
      </c>
      <c r="EQ65" t="e">
        <f>AND('GA55 Entry'!K95,"AAAAAGN+1pI=")</f>
        <v>#VALUE!</v>
      </c>
      <c r="ER65" t="e">
        <f>AND('GA55 Entry'!L95,"AAAAAGN+1pM=")</f>
        <v>#VALUE!</v>
      </c>
      <c r="ES65" t="e">
        <f>AND('GA55 Entry'!M95,"AAAAAGN+1pQ=")</f>
        <v>#VALUE!</v>
      </c>
      <c r="ET65" t="e">
        <f>AND('GA55 Entry'!N95,"AAAAAGN+1pU=")</f>
        <v>#VALUE!</v>
      </c>
      <c r="EU65" t="e">
        <f>AND('GA55 Entry'!O95,"AAAAAGN+1pY=")</f>
        <v>#VALUE!</v>
      </c>
      <c r="EV65" t="e">
        <f>AND('GA55 Entry'!P95,"AAAAAGN+1pc=")</f>
        <v>#VALUE!</v>
      </c>
      <c r="EW65" t="e">
        <f>AND('GA55 Entry'!Q95,"AAAAAGN+1pg=")</f>
        <v>#VALUE!</v>
      </c>
      <c r="EX65" t="e">
        <f>AND('GA55 Entry'!S95,"AAAAAGN+1pk=")</f>
        <v>#VALUE!</v>
      </c>
      <c r="EY65" t="e">
        <f>AND('GA55 Entry'!#REF!,"AAAAAGN+1po=")</f>
        <v>#REF!</v>
      </c>
      <c r="EZ65" t="e">
        <f>AND('GA55 Entry'!T95,"AAAAAGN+1ps=")</f>
        <v>#VALUE!</v>
      </c>
      <c r="FA65" t="e">
        <f>AND('GA55 Entry'!U95,"AAAAAGN+1pw=")</f>
        <v>#VALUE!</v>
      </c>
      <c r="FB65" t="e">
        <f>AND('GA55 Entry'!V95,"AAAAAGN+1p0=")</f>
        <v>#VALUE!</v>
      </c>
      <c r="FC65" t="e">
        <f>AND('GA55 Entry'!#REF!,"AAAAAGN+1p4=")</f>
        <v>#REF!</v>
      </c>
      <c r="FD65" t="e">
        <f>AND('GA55 Entry'!#REF!,"AAAAAGN+1p8=")</f>
        <v>#REF!</v>
      </c>
      <c r="FE65" t="e">
        <f>AND('GA55 Entry'!X95,"AAAAAGN+1qA=")</f>
        <v>#VALUE!</v>
      </c>
      <c r="FF65" t="e">
        <f>AND('GA55 Entry'!Y95,"AAAAAGN+1qE=")</f>
        <v>#VALUE!</v>
      </c>
      <c r="FG65" t="e">
        <f>AND('GA55 Entry'!#REF!,"AAAAAGN+1qI=")</f>
        <v>#REF!</v>
      </c>
      <c r="FH65" t="e">
        <f>AND('GA55 Entry'!#REF!,"AAAAAGN+1qM=")</f>
        <v>#REF!</v>
      </c>
      <c r="FI65" t="e">
        <f>AND('GA55 Entry'!#REF!,"AAAAAGN+1qQ=")</f>
        <v>#REF!</v>
      </c>
      <c r="FJ65" t="e">
        <f>AND('GA55 Entry'!#REF!,"AAAAAGN+1qU=")</f>
        <v>#REF!</v>
      </c>
      <c r="FK65" t="e">
        <f>AND('GA55 Entry'!#REF!,"AAAAAGN+1qY=")</f>
        <v>#REF!</v>
      </c>
      <c r="FL65" t="e">
        <f>AND('GA55 Entry'!#REF!,"AAAAAGN+1qc=")</f>
        <v>#REF!</v>
      </c>
      <c r="FM65" t="e">
        <f>AND('GA55 Entry'!#REF!,"AAAAAGN+1qg=")</f>
        <v>#REF!</v>
      </c>
      <c r="FN65" t="e">
        <f>AND('GA55 Entry'!#REF!,"AAAAAGN+1qk=")</f>
        <v>#REF!</v>
      </c>
      <c r="FO65" t="e">
        <f>AND('GA55 Entry'!#REF!,"AAAAAGN+1qo=")</f>
        <v>#REF!</v>
      </c>
      <c r="FP65" t="e">
        <f>AND('GA55 Entry'!Z95,"AAAAAGN+1qs=")</f>
        <v>#VALUE!</v>
      </c>
      <c r="FQ65" t="e">
        <f>AND('GA55 Entry'!AA95,"AAAAAGN+1qw=")</f>
        <v>#VALUE!</v>
      </c>
      <c r="FR65" t="e">
        <f>AND('GA55 Entry'!#REF!,"AAAAAGN+1q0=")</f>
        <v>#REF!</v>
      </c>
      <c r="FS65" t="e">
        <f>AND('GA55 Entry'!#REF!,"AAAAAGN+1q4=")</f>
        <v>#REF!</v>
      </c>
      <c r="FT65" t="e">
        <f>AND('GA55 Entry'!#REF!,"AAAAAGN+1q8=")</f>
        <v>#REF!</v>
      </c>
      <c r="FU65" t="e">
        <f>AND('GA55 Entry'!AB95,"AAAAAGN+1rA=")</f>
        <v>#VALUE!</v>
      </c>
      <c r="FV65" t="e">
        <f>AND('GA55 Entry'!AC95,"AAAAAGN+1rE=")</f>
        <v>#VALUE!</v>
      </c>
      <c r="FW65" t="e">
        <f>AND('GA55 Entry'!#REF!,"AAAAAGN+1rI=")</f>
        <v>#REF!</v>
      </c>
      <c r="FX65">
        <f>IF('GA55 Entry'!96:96,"AAAAAGN+1rM=",0)</f>
        <v>0</v>
      </c>
      <c r="FY65" t="e">
        <f>AND('GA55 Entry'!B96,"AAAAAGN+1rQ=")</f>
        <v>#VALUE!</v>
      </c>
      <c r="FZ65" t="e">
        <f>AND('GA55 Entry'!#REF!,"AAAAAGN+1rU=")</f>
        <v>#REF!</v>
      </c>
      <c r="GA65" t="e">
        <f>AND('GA55 Entry'!C96,"AAAAAGN+1rY=")</f>
        <v>#VALUE!</v>
      </c>
      <c r="GB65" t="e">
        <f>AND('GA55 Entry'!#REF!,"AAAAAGN+1rc=")</f>
        <v>#REF!</v>
      </c>
      <c r="GC65" t="e">
        <f>AND('GA55 Entry'!#REF!,"AAAAAGN+1rg=")</f>
        <v>#REF!</v>
      </c>
      <c r="GD65" t="e">
        <f>AND('GA55 Entry'!#REF!,"AAAAAGN+1rk=")</f>
        <v>#REF!</v>
      </c>
      <c r="GE65" t="e">
        <f>AND('GA55 Entry'!#REF!,"AAAAAGN+1ro=")</f>
        <v>#REF!</v>
      </c>
      <c r="GF65" t="e">
        <f>AND('GA55 Entry'!#REF!,"AAAAAGN+1rs=")</f>
        <v>#REF!</v>
      </c>
      <c r="GG65" t="e">
        <f>AND('GA55 Entry'!D96,"AAAAAGN+1rw=")</f>
        <v>#VALUE!</v>
      </c>
      <c r="GH65" t="e">
        <f>AND('GA55 Entry'!#REF!,"AAAAAGN+1r0=")</f>
        <v>#REF!</v>
      </c>
      <c r="GI65" t="e">
        <f>AND('GA55 Entry'!E96,"AAAAAGN+1r4=")</f>
        <v>#VALUE!</v>
      </c>
      <c r="GJ65" t="e">
        <f>AND('GA55 Entry'!F96,"AAAAAGN+1r8=")</f>
        <v>#VALUE!</v>
      </c>
      <c r="GK65" t="e">
        <f>AND('GA55 Entry'!G96,"AAAAAGN+1sA=")</f>
        <v>#VALUE!</v>
      </c>
      <c r="GL65" t="e">
        <f>AND('GA55 Entry'!H96,"AAAAAGN+1sE=")</f>
        <v>#VALUE!</v>
      </c>
      <c r="GM65" t="e">
        <f>AND('GA55 Entry'!I96,"AAAAAGN+1sI=")</f>
        <v>#VALUE!</v>
      </c>
      <c r="GN65" t="e">
        <f>AND('GA55 Entry'!J96,"AAAAAGN+1sM=")</f>
        <v>#VALUE!</v>
      </c>
      <c r="GO65" t="e">
        <f>AND('GA55 Entry'!#REF!,"AAAAAGN+1sQ=")</f>
        <v>#REF!</v>
      </c>
      <c r="GP65" t="e">
        <f>AND('GA55 Entry'!K96,"AAAAAGN+1sU=")</f>
        <v>#VALUE!</v>
      </c>
      <c r="GQ65" t="e">
        <f>AND('GA55 Entry'!L96,"AAAAAGN+1sY=")</f>
        <v>#VALUE!</v>
      </c>
      <c r="GR65" t="e">
        <f>AND('GA55 Entry'!M96,"AAAAAGN+1sc=")</f>
        <v>#VALUE!</v>
      </c>
      <c r="GS65" t="e">
        <f>AND('GA55 Entry'!N96,"AAAAAGN+1sg=")</f>
        <v>#VALUE!</v>
      </c>
      <c r="GT65" t="e">
        <f>AND('GA55 Entry'!O96,"AAAAAGN+1sk=")</f>
        <v>#VALUE!</v>
      </c>
      <c r="GU65" t="e">
        <f>AND('GA55 Entry'!P96,"AAAAAGN+1so=")</f>
        <v>#VALUE!</v>
      </c>
      <c r="GV65" t="e">
        <f>AND('GA55 Entry'!Q96,"AAAAAGN+1ss=")</f>
        <v>#VALUE!</v>
      </c>
      <c r="GW65" t="e">
        <f>AND('GA55 Entry'!S96,"AAAAAGN+1sw=")</f>
        <v>#VALUE!</v>
      </c>
      <c r="GX65" t="e">
        <f>AND('GA55 Entry'!#REF!,"AAAAAGN+1s0=")</f>
        <v>#REF!</v>
      </c>
      <c r="GY65" t="e">
        <f>AND('GA55 Entry'!T96,"AAAAAGN+1s4=")</f>
        <v>#VALUE!</v>
      </c>
      <c r="GZ65" t="e">
        <f>AND('GA55 Entry'!U96,"AAAAAGN+1s8=")</f>
        <v>#VALUE!</v>
      </c>
      <c r="HA65" t="e">
        <f>AND('GA55 Entry'!V96,"AAAAAGN+1tA=")</f>
        <v>#VALUE!</v>
      </c>
      <c r="HB65" t="e">
        <f>AND('GA55 Entry'!#REF!,"AAAAAGN+1tE=")</f>
        <v>#REF!</v>
      </c>
      <c r="HC65" t="e">
        <f>AND('GA55 Entry'!#REF!,"AAAAAGN+1tI=")</f>
        <v>#REF!</v>
      </c>
      <c r="HD65" t="e">
        <f>AND('GA55 Entry'!X96,"AAAAAGN+1tM=")</f>
        <v>#VALUE!</v>
      </c>
      <c r="HE65" t="e">
        <f>AND('GA55 Entry'!Y96,"AAAAAGN+1tQ=")</f>
        <v>#VALUE!</v>
      </c>
      <c r="HF65" t="e">
        <f>AND('GA55 Entry'!#REF!,"AAAAAGN+1tU=")</f>
        <v>#REF!</v>
      </c>
      <c r="HG65" t="e">
        <f>AND('GA55 Entry'!#REF!,"AAAAAGN+1tY=")</f>
        <v>#REF!</v>
      </c>
      <c r="HH65" t="e">
        <f>AND('GA55 Entry'!#REF!,"AAAAAGN+1tc=")</f>
        <v>#REF!</v>
      </c>
      <c r="HI65" t="e">
        <f>AND('GA55 Entry'!#REF!,"AAAAAGN+1tg=")</f>
        <v>#REF!</v>
      </c>
      <c r="HJ65" t="e">
        <f>AND('GA55 Entry'!#REF!,"AAAAAGN+1tk=")</f>
        <v>#REF!</v>
      </c>
      <c r="HK65" t="e">
        <f>AND('GA55 Entry'!#REF!,"AAAAAGN+1to=")</f>
        <v>#REF!</v>
      </c>
      <c r="HL65" t="e">
        <f>AND('GA55 Entry'!#REF!,"AAAAAGN+1ts=")</f>
        <v>#REF!</v>
      </c>
      <c r="HM65" t="e">
        <f>AND('GA55 Entry'!#REF!,"AAAAAGN+1tw=")</f>
        <v>#REF!</v>
      </c>
      <c r="HN65" t="e">
        <f>AND('GA55 Entry'!#REF!,"AAAAAGN+1t0=")</f>
        <v>#REF!</v>
      </c>
      <c r="HO65" t="e">
        <f>AND('GA55 Entry'!Z96,"AAAAAGN+1t4=")</f>
        <v>#VALUE!</v>
      </c>
      <c r="HP65" t="e">
        <f>AND('GA55 Entry'!AA96,"AAAAAGN+1t8=")</f>
        <v>#VALUE!</v>
      </c>
      <c r="HQ65" t="e">
        <f>AND('GA55 Entry'!#REF!,"AAAAAGN+1uA=")</f>
        <v>#REF!</v>
      </c>
      <c r="HR65" t="e">
        <f>AND('GA55 Entry'!#REF!,"AAAAAGN+1uE=")</f>
        <v>#REF!</v>
      </c>
      <c r="HS65" t="e">
        <f>AND('GA55 Entry'!#REF!,"AAAAAGN+1uI=")</f>
        <v>#REF!</v>
      </c>
      <c r="HT65" t="e">
        <f>AND('GA55 Entry'!AB96,"AAAAAGN+1uM=")</f>
        <v>#VALUE!</v>
      </c>
      <c r="HU65" t="e">
        <f>AND('GA55 Entry'!AC96,"AAAAAGN+1uQ=")</f>
        <v>#VALUE!</v>
      </c>
      <c r="HV65" t="e">
        <f>AND('GA55 Entry'!#REF!,"AAAAAGN+1uU=")</f>
        <v>#REF!</v>
      </c>
      <c r="HW65">
        <f>IF('GA55 Entry'!97:97,"AAAAAGN+1uY=",0)</f>
        <v>0</v>
      </c>
      <c r="HX65" t="e">
        <f>AND('GA55 Entry'!B97,"AAAAAGN+1uc=")</f>
        <v>#VALUE!</v>
      </c>
      <c r="HY65" t="e">
        <f>AND('GA55 Entry'!#REF!,"AAAAAGN+1ug=")</f>
        <v>#REF!</v>
      </c>
      <c r="HZ65" t="e">
        <f>AND('GA55 Entry'!C97,"AAAAAGN+1uk=")</f>
        <v>#VALUE!</v>
      </c>
      <c r="IA65" t="e">
        <f>AND('GA55 Entry'!#REF!,"AAAAAGN+1uo=")</f>
        <v>#REF!</v>
      </c>
      <c r="IB65" t="e">
        <f>AND('GA55 Entry'!#REF!,"AAAAAGN+1us=")</f>
        <v>#REF!</v>
      </c>
      <c r="IC65" t="e">
        <f>AND('GA55 Entry'!#REF!,"AAAAAGN+1uw=")</f>
        <v>#REF!</v>
      </c>
      <c r="ID65" t="e">
        <f>AND('GA55 Entry'!#REF!,"AAAAAGN+1u0=")</f>
        <v>#REF!</v>
      </c>
      <c r="IE65" t="e">
        <f>AND('GA55 Entry'!#REF!,"AAAAAGN+1u4=")</f>
        <v>#REF!</v>
      </c>
      <c r="IF65" t="e">
        <f>AND('GA55 Entry'!D97,"AAAAAGN+1u8=")</f>
        <v>#VALUE!</v>
      </c>
      <c r="IG65" t="e">
        <f>AND('GA55 Entry'!#REF!,"AAAAAGN+1vA=")</f>
        <v>#REF!</v>
      </c>
      <c r="IH65" t="e">
        <f>AND('GA55 Entry'!E97,"AAAAAGN+1vE=")</f>
        <v>#VALUE!</v>
      </c>
      <c r="II65" t="e">
        <f>AND('GA55 Entry'!F97,"AAAAAGN+1vI=")</f>
        <v>#VALUE!</v>
      </c>
      <c r="IJ65" t="e">
        <f>AND('GA55 Entry'!G97,"AAAAAGN+1vM=")</f>
        <v>#VALUE!</v>
      </c>
      <c r="IK65" t="e">
        <f>AND('GA55 Entry'!H97,"AAAAAGN+1vQ=")</f>
        <v>#VALUE!</v>
      </c>
      <c r="IL65" t="e">
        <f>AND('GA55 Entry'!I97,"AAAAAGN+1vU=")</f>
        <v>#VALUE!</v>
      </c>
      <c r="IM65" t="e">
        <f>AND('GA55 Entry'!J97,"AAAAAGN+1vY=")</f>
        <v>#VALUE!</v>
      </c>
      <c r="IN65" t="e">
        <f>AND('GA55 Entry'!#REF!,"AAAAAGN+1vc=")</f>
        <v>#REF!</v>
      </c>
      <c r="IO65" t="e">
        <f>AND('GA55 Entry'!K97,"AAAAAGN+1vg=")</f>
        <v>#VALUE!</v>
      </c>
      <c r="IP65" t="e">
        <f>AND('GA55 Entry'!L97,"AAAAAGN+1vk=")</f>
        <v>#VALUE!</v>
      </c>
      <c r="IQ65" t="e">
        <f>AND('GA55 Entry'!M97,"AAAAAGN+1vo=")</f>
        <v>#VALUE!</v>
      </c>
      <c r="IR65" t="e">
        <f>AND('GA55 Entry'!N97,"AAAAAGN+1vs=")</f>
        <v>#VALUE!</v>
      </c>
      <c r="IS65" t="e">
        <f>AND('GA55 Entry'!O97,"AAAAAGN+1vw=")</f>
        <v>#VALUE!</v>
      </c>
      <c r="IT65" t="e">
        <f>AND('GA55 Entry'!P97,"AAAAAGN+1v0=")</f>
        <v>#VALUE!</v>
      </c>
      <c r="IU65" t="e">
        <f>AND('GA55 Entry'!Q97,"AAAAAGN+1v4=")</f>
        <v>#VALUE!</v>
      </c>
      <c r="IV65" t="e">
        <f>AND('GA55 Entry'!S97,"AAAAAGN+1v8=")</f>
        <v>#VALUE!</v>
      </c>
    </row>
    <row r="66" spans="1:256">
      <c r="A66" t="e">
        <f>AND('GA55 Entry'!#REF!,"AAAAAD3/7gA=")</f>
        <v>#REF!</v>
      </c>
      <c r="B66" t="e">
        <f>AND('GA55 Entry'!T97,"AAAAAD3/7gE=")</f>
        <v>#VALUE!</v>
      </c>
      <c r="C66" t="e">
        <f>AND('GA55 Entry'!U97,"AAAAAD3/7gI=")</f>
        <v>#VALUE!</v>
      </c>
      <c r="D66" t="e">
        <f>AND('GA55 Entry'!V97,"AAAAAD3/7gM=")</f>
        <v>#VALUE!</v>
      </c>
      <c r="E66" t="e">
        <f>AND('GA55 Entry'!#REF!,"AAAAAD3/7gQ=")</f>
        <v>#REF!</v>
      </c>
      <c r="F66" t="e">
        <f>AND('GA55 Entry'!#REF!,"AAAAAD3/7gU=")</f>
        <v>#REF!</v>
      </c>
      <c r="G66" t="e">
        <f>AND('GA55 Entry'!X97,"AAAAAD3/7gY=")</f>
        <v>#VALUE!</v>
      </c>
      <c r="H66" t="e">
        <f>AND('GA55 Entry'!Y97,"AAAAAD3/7gc=")</f>
        <v>#VALUE!</v>
      </c>
      <c r="I66" t="e">
        <f>AND('GA55 Entry'!#REF!,"AAAAAD3/7gg=")</f>
        <v>#REF!</v>
      </c>
      <c r="J66" t="e">
        <f>AND('GA55 Entry'!#REF!,"AAAAAD3/7gk=")</f>
        <v>#REF!</v>
      </c>
      <c r="K66" t="e">
        <f>AND('GA55 Entry'!#REF!,"AAAAAD3/7go=")</f>
        <v>#REF!</v>
      </c>
      <c r="L66" t="e">
        <f>AND('GA55 Entry'!#REF!,"AAAAAD3/7gs=")</f>
        <v>#REF!</v>
      </c>
      <c r="M66" t="e">
        <f>AND('GA55 Entry'!#REF!,"AAAAAD3/7gw=")</f>
        <v>#REF!</v>
      </c>
      <c r="N66" t="e">
        <f>AND('GA55 Entry'!#REF!,"AAAAAD3/7g0=")</f>
        <v>#REF!</v>
      </c>
      <c r="O66" t="e">
        <f>AND('GA55 Entry'!#REF!,"AAAAAD3/7g4=")</f>
        <v>#REF!</v>
      </c>
      <c r="P66" t="e">
        <f>AND('GA55 Entry'!#REF!,"AAAAAD3/7g8=")</f>
        <v>#REF!</v>
      </c>
      <c r="Q66" t="e">
        <f>AND('GA55 Entry'!#REF!,"AAAAAD3/7hA=")</f>
        <v>#REF!</v>
      </c>
      <c r="R66" t="e">
        <f>AND('GA55 Entry'!Z97,"AAAAAD3/7hE=")</f>
        <v>#VALUE!</v>
      </c>
      <c r="S66" t="e">
        <f>AND('GA55 Entry'!AA97,"AAAAAD3/7hI=")</f>
        <v>#VALUE!</v>
      </c>
      <c r="T66" t="e">
        <f>AND('GA55 Entry'!#REF!,"AAAAAD3/7hM=")</f>
        <v>#REF!</v>
      </c>
      <c r="U66" t="e">
        <f>AND('GA55 Entry'!#REF!,"AAAAAD3/7hQ=")</f>
        <v>#REF!</v>
      </c>
      <c r="V66" t="e">
        <f>AND('GA55 Entry'!#REF!,"AAAAAD3/7hU=")</f>
        <v>#REF!</v>
      </c>
      <c r="W66" t="e">
        <f>AND('GA55 Entry'!AB97,"AAAAAD3/7hY=")</f>
        <v>#VALUE!</v>
      </c>
      <c r="X66" t="e">
        <f>AND('GA55 Entry'!AC97,"AAAAAD3/7hc=")</f>
        <v>#VALUE!</v>
      </c>
      <c r="Y66" t="e">
        <f>AND('GA55 Entry'!#REF!,"AAAAAD3/7hg=")</f>
        <v>#REF!</v>
      </c>
      <c r="Z66">
        <f>IF('GA55 Entry'!98:98,"AAAAAD3/7hk=",0)</f>
        <v>0</v>
      </c>
      <c r="AA66" t="e">
        <f>AND('GA55 Entry'!B98,"AAAAAD3/7ho=")</f>
        <v>#VALUE!</v>
      </c>
      <c r="AB66" t="e">
        <f>AND('GA55 Entry'!#REF!,"AAAAAD3/7hs=")</f>
        <v>#REF!</v>
      </c>
      <c r="AC66" t="e">
        <f>AND('GA55 Entry'!C98,"AAAAAD3/7hw=")</f>
        <v>#VALUE!</v>
      </c>
      <c r="AD66" t="e">
        <f>AND('GA55 Entry'!#REF!,"AAAAAD3/7h0=")</f>
        <v>#REF!</v>
      </c>
      <c r="AE66" t="e">
        <f>AND('GA55 Entry'!#REF!,"AAAAAD3/7h4=")</f>
        <v>#REF!</v>
      </c>
      <c r="AF66" t="e">
        <f>AND('GA55 Entry'!#REF!,"AAAAAD3/7h8=")</f>
        <v>#REF!</v>
      </c>
      <c r="AG66" t="e">
        <f>AND('GA55 Entry'!#REF!,"AAAAAD3/7iA=")</f>
        <v>#REF!</v>
      </c>
      <c r="AH66" t="e">
        <f>AND('GA55 Entry'!#REF!,"AAAAAD3/7iE=")</f>
        <v>#REF!</v>
      </c>
      <c r="AI66" t="e">
        <f>AND('GA55 Entry'!D98,"AAAAAD3/7iI=")</f>
        <v>#VALUE!</v>
      </c>
      <c r="AJ66" t="e">
        <f>AND('GA55 Entry'!#REF!,"AAAAAD3/7iM=")</f>
        <v>#REF!</v>
      </c>
      <c r="AK66" t="e">
        <f>AND('GA55 Entry'!E98,"AAAAAD3/7iQ=")</f>
        <v>#VALUE!</v>
      </c>
      <c r="AL66" t="e">
        <f>AND('GA55 Entry'!F98,"AAAAAD3/7iU=")</f>
        <v>#VALUE!</v>
      </c>
      <c r="AM66" t="e">
        <f>AND('GA55 Entry'!G98,"AAAAAD3/7iY=")</f>
        <v>#VALUE!</v>
      </c>
      <c r="AN66" t="e">
        <f>AND('GA55 Entry'!H98,"AAAAAD3/7ic=")</f>
        <v>#VALUE!</v>
      </c>
      <c r="AO66" t="e">
        <f>AND('GA55 Entry'!I98,"AAAAAD3/7ig=")</f>
        <v>#VALUE!</v>
      </c>
      <c r="AP66" t="e">
        <f>AND('GA55 Entry'!J98,"AAAAAD3/7ik=")</f>
        <v>#VALUE!</v>
      </c>
      <c r="AQ66" t="e">
        <f>AND('GA55 Entry'!#REF!,"AAAAAD3/7io=")</f>
        <v>#REF!</v>
      </c>
      <c r="AR66" t="e">
        <f>AND('GA55 Entry'!K98,"AAAAAD3/7is=")</f>
        <v>#VALUE!</v>
      </c>
      <c r="AS66" t="e">
        <f>AND('GA55 Entry'!L98,"AAAAAD3/7iw=")</f>
        <v>#VALUE!</v>
      </c>
      <c r="AT66" t="e">
        <f>AND('GA55 Entry'!M98,"AAAAAD3/7i0=")</f>
        <v>#VALUE!</v>
      </c>
      <c r="AU66" t="e">
        <f>AND('GA55 Entry'!N98,"AAAAAD3/7i4=")</f>
        <v>#VALUE!</v>
      </c>
      <c r="AV66" t="e">
        <f>AND('GA55 Entry'!O98,"AAAAAD3/7i8=")</f>
        <v>#VALUE!</v>
      </c>
      <c r="AW66" t="e">
        <f>AND('GA55 Entry'!P98,"AAAAAD3/7jA=")</f>
        <v>#VALUE!</v>
      </c>
      <c r="AX66" t="e">
        <f>AND('GA55 Entry'!Q98,"AAAAAD3/7jE=")</f>
        <v>#VALUE!</v>
      </c>
      <c r="AY66" t="e">
        <f>AND('GA55 Entry'!S98,"AAAAAD3/7jI=")</f>
        <v>#VALUE!</v>
      </c>
      <c r="AZ66" t="e">
        <f>AND('GA55 Entry'!#REF!,"AAAAAD3/7jM=")</f>
        <v>#REF!</v>
      </c>
      <c r="BA66" t="e">
        <f>AND('GA55 Entry'!T98,"AAAAAD3/7jQ=")</f>
        <v>#VALUE!</v>
      </c>
      <c r="BB66" t="e">
        <f>AND('GA55 Entry'!U98,"AAAAAD3/7jU=")</f>
        <v>#VALUE!</v>
      </c>
      <c r="BC66" t="e">
        <f>AND('GA55 Entry'!V98,"AAAAAD3/7jY=")</f>
        <v>#VALUE!</v>
      </c>
      <c r="BD66" t="e">
        <f>AND('GA55 Entry'!#REF!,"AAAAAD3/7jc=")</f>
        <v>#REF!</v>
      </c>
      <c r="BE66" t="e">
        <f>AND('GA55 Entry'!#REF!,"AAAAAD3/7jg=")</f>
        <v>#REF!</v>
      </c>
      <c r="BF66" t="e">
        <f>AND('GA55 Entry'!X98,"AAAAAD3/7jk=")</f>
        <v>#VALUE!</v>
      </c>
      <c r="BG66" t="e">
        <f>AND('GA55 Entry'!Y98,"AAAAAD3/7jo=")</f>
        <v>#VALUE!</v>
      </c>
      <c r="BH66" t="e">
        <f>AND('GA55 Entry'!#REF!,"AAAAAD3/7js=")</f>
        <v>#REF!</v>
      </c>
      <c r="BI66" t="e">
        <f>AND('GA55 Entry'!#REF!,"AAAAAD3/7jw=")</f>
        <v>#REF!</v>
      </c>
      <c r="BJ66" t="e">
        <f>AND('GA55 Entry'!#REF!,"AAAAAD3/7j0=")</f>
        <v>#REF!</v>
      </c>
      <c r="BK66" t="e">
        <f>AND('GA55 Entry'!#REF!,"AAAAAD3/7j4=")</f>
        <v>#REF!</v>
      </c>
      <c r="BL66" t="e">
        <f>AND('GA55 Entry'!#REF!,"AAAAAD3/7j8=")</f>
        <v>#REF!</v>
      </c>
      <c r="BM66" t="e">
        <f>AND('GA55 Entry'!#REF!,"AAAAAD3/7kA=")</f>
        <v>#REF!</v>
      </c>
      <c r="BN66" t="e">
        <f>AND('GA55 Entry'!#REF!,"AAAAAD3/7kE=")</f>
        <v>#REF!</v>
      </c>
      <c r="BO66" t="e">
        <f>AND('GA55 Entry'!#REF!,"AAAAAD3/7kI=")</f>
        <v>#REF!</v>
      </c>
      <c r="BP66" t="e">
        <f>AND('GA55 Entry'!#REF!,"AAAAAD3/7kM=")</f>
        <v>#REF!</v>
      </c>
      <c r="BQ66" t="e">
        <f>AND('GA55 Entry'!Z98,"AAAAAD3/7kQ=")</f>
        <v>#VALUE!</v>
      </c>
      <c r="BR66" t="e">
        <f>AND('GA55 Entry'!AA98,"AAAAAD3/7kU=")</f>
        <v>#VALUE!</v>
      </c>
      <c r="BS66" t="e">
        <f>AND('GA55 Entry'!#REF!,"AAAAAD3/7kY=")</f>
        <v>#REF!</v>
      </c>
      <c r="BT66" t="e">
        <f>AND('GA55 Entry'!#REF!,"AAAAAD3/7kc=")</f>
        <v>#REF!</v>
      </c>
      <c r="BU66" t="e">
        <f>AND('GA55 Entry'!#REF!,"AAAAAD3/7kg=")</f>
        <v>#REF!</v>
      </c>
      <c r="BV66" t="e">
        <f>AND('GA55 Entry'!AB98,"AAAAAD3/7kk=")</f>
        <v>#VALUE!</v>
      </c>
      <c r="BW66" t="e">
        <f>AND('GA55 Entry'!AC98,"AAAAAD3/7ko=")</f>
        <v>#VALUE!</v>
      </c>
      <c r="BX66" t="e">
        <f>AND('GA55 Entry'!#REF!,"AAAAAD3/7ks=")</f>
        <v>#REF!</v>
      </c>
      <c r="BY66">
        <f>IF('GA55 Entry'!99:99,"AAAAAD3/7kw=",0)</f>
        <v>0</v>
      </c>
      <c r="BZ66" t="e">
        <f>AND('GA55 Entry'!B99,"AAAAAD3/7k0=")</f>
        <v>#VALUE!</v>
      </c>
      <c r="CA66" t="e">
        <f>AND('GA55 Entry'!#REF!,"AAAAAD3/7k4=")</f>
        <v>#REF!</v>
      </c>
      <c r="CB66" t="e">
        <f>AND('GA55 Entry'!C99,"AAAAAD3/7k8=")</f>
        <v>#VALUE!</v>
      </c>
      <c r="CC66" t="e">
        <f>AND('GA55 Entry'!#REF!,"AAAAAD3/7lA=")</f>
        <v>#REF!</v>
      </c>
      <c r="CD66" t="e">
        <f>AND('GA55 Entry'!#REF!,"AAAAAD3/7lE=")</f>
        <v>#REF!</v>
      </c>
      <c r="CE66" t="e">
        <f>AND('GA55 Entry'!#REF!,"AAAAAD3/7lI=")</f>
        <v>#REF!</v>
      </c>
      <c r="CF66" t="e">
        <f>AND('GA55 Entry'!#REF!,"AAAAAD3/7lM=")</f>
        <v>#REF!</v>
      </c>
      <c r="CG66" t="e">
        <f>AND('GA55 Entry'!#REF!,"AAAAAD3/7lQ=")</f>
        <v>#REF!</v>
      </c>
      <c r="CH66" t="e">
        <f>AND('GA55 Entry'!D99,"AAAAAD3/7lU=")</f>
        <v>#VALUE!</v>
      </c>
      <c r="CI66" t="e">
        <f>AND('GA55 Entry'!#REF!,"AAAAAD3/7lY=")</f>
        <v>#REF!</v>
      </c>
      <c r="CJ66" t="e">
        <f>AND('GA55 Entry'!E99,"AAAAAD3/7lc=")</f>
        <v>#VALUE!</v>
      </c>
      <c r="CK66" t="e">
        <f>AND('GA55 Entry'!F99,"AAAAAD3/7lg=")</f>
        <v>#VALUE!</v>
      </c>
      <c r="CL66" t="e">
        <f>AND('GA55 Entry'!G99,"AAAAAD3/7lk=")</f>
        <v>#VALUE!</v>
      </c>
      <c r="CM66" t="e">
        <f>AND('GA55 Entry'!H99,"AAAAAD3/7lo=")</f>
        <v>#VALUE!</v>
      </c>
      <c r="CN66" t="e">
        <f>AND('GA55 Entry'!I99,"AAAAAD3/7ls=")</f>
        <v>#VALUE!</v>
      </c>
      <c r="CO66" t="e">
        <f>AND('GA55 Entry'!J99,"AAAAAD3/7lw=")</f>
        <v>#VALUE!</v>
      </c>
      <c r="CP66" t="e">
        <f>AND('GA55 Entry'!#REF!,"AAAAAD3/7l0=")</f>
        <v>#REF!</v>
      </c>
      <c r="CQ66" t="e">
        <f>AND('GA55 Entry'!K99,"AAAAAD3/7l4=")</f>
        <v>#VALUE!</v>
      </c>
      <c r="CR66" t="e">
        <f>AND('GA55 Entry'!L99,"AAAAAD3/7l8=")</f>
        <v>#VALUE!</v>
      </c>
      <c r="CS66" t="e">
        <f>AND('GA55 Entry'!M99,"AAAAAD3/7mA=")</f>
        <v>#VALUE!</v>
      </c>
      <c r="CT66" t="e">
        <f>AND('GA55 Entry'!N99,"AAAAAD3/7mE=")</f>
        <v>#VALUE!</v>
      </c>
      <c r="CU66" t="e">
        <f>AND('GA55 Entry'!O99,"AAAAAD3/7mI=")</f>
        <v>#VALUE!</v>
      </c>
      <c r="CV66" t="e">
        <f>AND('GA55 Entry'!P99,"AAAAAD3/7mM=")</f>
        <v>#VALUE!</v>
      </c>
      <c r="CW66" t="e">
        <f>AND('GA55 Entry'!Q99,"AAAAAD3/7mQ=")</f>
        <v>#VALUE!</v>
      </c>
      <c r="CX66" t="e">
        <f>AND('GA55 Entry'!S99,"AAAAAD3/7mU=")</f>
        <v>#VALUE!</v>
      </c>
      <c r="CY66" t="e">
        <f>AND('GA55 Entry'!#REF!,"AAAAAD3/7mY=")</f>
        <v>#REF!</v>
      </c>
      <c r="CZ66" t="e">
        <f>AND('GA55 Entry'!T99,"AAAAAD3/7mc=")</f>
        <v>#VALUE!</v>
      </c>
      <c r="DA66" t="e">
        <f>AND('GA55 Entry'!U99,"AAAAAD3/7mg=")</f>
        <v>#VALUE!</v>
      </c>
      <c r="DB66" t="e">
        <f>AND('GA55 Entry'!V99,"AAAAAD3/7mk=")</f>
        <v>#VALUE!</v>
      </c>
      <c r="DC66" t="e">
        <f>AND('GA55 Entry'!#REF!,"AAAAAD3/7mo=")</f>
        <v>#REF!</v>
      </c>
      <c r="DD66" t="e">
        <f>AND('GA55 Entry'!#REF!,"AAAAAD3/7ms=")</f>
        <v>#REF!</v>
      </c>
      <c r="DE66" t="e">
        <f>AND('GA55 Entry'!X99,"AAAAAD3/7mw=")</f>
        <v>#VALUE!</v>
      </c>
      <c r="DF66" t="e">
        <f>AND('GA55 Entry'!Y99,"AAAAAD3/7m0=")</f>
        <v>#VALUE!</v>
      </c>
      <c r="DG66" t="e">
        <f>AND('GA55 Entry'!#REF!,"AAAAAD3/7m4=")</f>
        <v>#REF!</v>
      </c>
      <c r="DH66" t="e">
        <f>AND('GA55 Entry'!#REF!,"AAAAAD3/7m8=")</f>
        <v>#REF!</v>
      </c>
      <c r="DI66" t="e">
        <f>AND('GA55 Entry'!#REF!,"AAAAAD3/7nA=")</f>
        <v>#REF!</v>
      </c>
      <c r="DJ66" t="e">
        <f>AND('GA55 Entry'!#REF!,"AAAAAD3/7nE=")</f>
        <v>#REF!</v>
      </c>
      <c r="DK66" t="e">
        <f>AND('GA55 Entry'!#REF!,"AAAAAD3/7nI=")</f>
        <v>#REF!</v>
      </c>
      <c r="DL66" t="e">
        <f>AND('GA55 Entry'!#REF!,"AAAAAD3/7nM=")</f>
        <v>#REF!</v>
      </c>
      <c r="DM66" t="e">
        <f>AND('GA55 Entry'!#REF!,"AAAAAD3/7nQ=")</f>
        <v>#REF!</v>
      </c>
      <c r="DN66" t="e">
        <f>AND('GA55 Entry'!#REF!,"AAAAAD3/7nU=")</f>
        <v>#REF!</v>
      </c>
      <c r="DO66" t="e">
        <f>AND('GA55 Entry'!#REF!,"AAAAAD3/7nY=")</f>
        <v>#REF!</v>
      </c>
      <c r="DP66" t="e">
        <f>AND('GA55 Entry'!Z99,"AAAAAD3/7nc=")</f>
        <v>#VALUE!</v>
      </c>
      <c r="DQ66" t="e">
        <f>AND('GA55 Entry'!AA99,"AAAAAD3/7ng=")</f>
        <v>#VALUE!</v>
      </c>
      <c r="DR66" t="e">
        <f>AND('GA55 Entry'!#REF!,"AAAAAD3/7nk=")</f>
        <v>#REF!</v>
      </c>
      <c r="DS66" t="e">
        <f>AND('GA55 Entry'!#REF!,"AAAAAD3/7no=")</f>
        <v>#REF!</v>
      </c>
      <c r="DT66" t="e">
        <f>AND('GA55 Entry'!#REF!,"AAAAAD3/7ns=")</f>
        <v>#REF!</v>
      </c>
      <c r="DU66" t="e">
        <f>AND('GA55 Entry'!AB99,"AAAAAD3/7nw=")</f>
        <v>#VALUE!</v>
      </c>
      <c r="DV66" t="e">
        <f>AND('GA55 Entry'!AC99,"AAAAAD3/7n0=")</f>
        <v>#VALUE!</v>
      </c>
      <c r="DW66" t="e">
        <f>AND('GA55 Entry'!#REF!,"AAAAAD3/7n4=")</f>
        <v>#REF!</v>
      </c>
      <c r="DX66">
        <f>IF('GA55 Entry'!100:100,"AAAAAD3/7n8=",0)</f>
        <v>0</v>
      </c>
      <c r="DY66" t="e">
        <f>AND('GA55 Entry'!B100,"AAAAAD3/7oA=")</f>
        <v>#VALUE!</v>
      </c>
      <c r="DZ66" t="e">
        <f>AND('GA55 Entry'!#REF!,"AAAAAD3/7oE=")</f>
        <v>#REF!</v>
      </c>
      <c r="EA66" t="e">
        <f>AND('GA55 Entry'!C100,"AAAAAD3/7oI=")</f>
        <v>#VALUE!</v>
      </c>
      <c r="EB66" t="e">
        <f>AND('GA55 Entry'!#REF!,"AAAAAD3/7oM=")</f>
        <v>#REF!</v>
      </c>
      <c r="EC66" t="e">
        <f>AND('GA55 Entry'!#REF!,"AAAAAD3/7oQ=")</f>
        <v>#REF!</v>
      </c>
      <c r="ED66" t="e">
        <f>AND('GA55 Entry'!#REF!,"AAAAAD3/7oU=")</f>
        <v>#REF!</v>
      </c>
      <c r="EE66" t="e">
        <f>AND('GA55 Entry'!#REF!,"AAAAAD3/7oY=")</f>
        <v>#REF!</v>
      </c>
      <c r="EF66" t="e">
        <f>AND('GA55 Entry'!#REF!,"AAAAAD3/7oc=")</f>
        <v>#REF!</v>
      </c>
      <c r="EG66" t="e">
        <f>AND('GA55 Entry'!D100,"AAAAAD3/7og=")</f>
        <v>#VALUE!</v>
      </c>
      <c r="EH66" t="e">
        <f>AND('GA55 Entry'!#REF!,"AAAAAD3/7ok=")</f>
        <v>#REF!</v>
      </c>
      <c r="EI66" t="e">
        <f>AND('GA55 Entry'!E100,"AAAAAD3/7oo=")</f>
        <v>#VALUE!</v>
      </c>
      <c r="EJ66" t="e">
        <f>AND('GA55 Entry'!F100,"AAAAAD3/7os=")</f>
        <v>#VALUE!</v>
      </c>
      <c r="EK66" t="e">
        <f>AND('GA55 Entry'!G100,"AAAAAD3/7ow=")</f>
        <v>#VALUE!</v>
      </c>
      <c r="EL66" t="e">
        <f>AND('GA55 Entry'!H100,"AAAAAD3/7o0=")</f>
        <v>#VALUE!</v>
      </c>
      <c r="EM66" t="e">
        <f>AND('GA55 Entry'!I100,"AAAAAD3/7o4=")</f>
        <v>#VALUE!</v>
      </c>
      <c r="EN66" t="e">
        <f>AND('GA55 Entry'!J100,"AAAAAD3/7o8=")</f>
        <v>#VALUE!</v>
      </c>
      <c r="EO66" t="e">
        <f>AND('GA55 Entry'!#REF!,"AAAAAD3/7pA=")</f>
        <v>#REF!</v>
      </c>
      <c r="EP66" t="e">
        <f>AND('GA55 Entry'!K100,"AAAAAD3/7pE=")</f>
        <v>#VALUE!</v>
      </c>
      <c r="EQ66" t="e">
        <f>AND('GA55 Entry'!L100,"AAAAAD3/7pI=")</f>
        <v>#VALUE!</v>
      </c>
      <c r="ER66" t="e">
        <f>AND('GA55 Entry'!M100,"AAAAAD3/7pM=")</f>
        <v>#VALUE!</v>
      </c>
      <c r="ES66" t="e">
        <f>AND('GA55 Entry'!N100,"AAAAAD3/7pQ=")</f>
        <v>#VALUE!</v>
      </c>
      <c r="ET66" t="e">
        <f>AND('GA55 Entry'!O100,"AAAAAD3/7pU=")</f>
        <v>#VALUE!</v>
      </c>
      <c r="EU66" t="e">
        <f>AND('GA55 Entry'!P100,"AAAAAD3/7pY=")</f>
        <v>#VALUE!</v>
      </c>
      <c r="EV66" t="e">
        <f>AND('GA55 Entry'!Q100,"AAAAAD3/7pc=")</f>
        <v>#VALUE!</v>
      </c>
      <c r="EW66" t="e">
        <f>AND('GA55 Entry'!S100,"AAAAAD3/7pg=")</f>
        <v>#VALUE!</v>
      </c>
      <c r="EX66" t="e">
        <f>AND('GA55 Entry'!#REF!,"AAAAAD3/7pk=")</f>
        <v>#REF!</v>
      </c>
      <c r="EY66" t="e">
        <f>AND('GA55 Entry'!T100,"AAAAAD3/7po=")</f>
        <v>#VALUE!</v>
      </c>
      <c r="EZ66" t="e">
        <f>AND('GA55 Entry'!U100,"AAAAAD3/7ps=")</f>
        <v>#VALUE!</v>
      </c>
      <c r="FA66" t="e">
        <f>AND('GA55 Entry'!V100,"AAAAAD3/7pw=")</f>
        <v>#VALUE!</v>
      </c>
      <c r="FB66" t="e">
        <f>AND('GA55 Entry'!#REF!,"AAAAAD3/7p0=")</f>
        <v>#REF!</v>
      </c>
      <c r="FC66" t="e">
        <f>AND('GA55 Entry'!#REF!,"AAAAAD3/7p4=")</f>
        <v>#REF!</v>
      </c>
      <c r="FD66" t="e">
        <f>AND('GA55 Entry'!X100,"AAAAAD3/7p8=")</f>
        <v>#VALUE!</v>
      </c>
      <c r="FE66" t="e">
        <f>AND('GA55 Entry'!Y100,"AAAAAD3/7qA=")</f>
        <v>#VALUE!</v>
      </c>
      <c r="FF66" t="e">
        <f>AND('GA55 Entry'!#REF!,"AAAAAD3/7qE=")</f>
        <v>#REF!</v>
      </c>
      <c r="FG66" t="e">
        <f>AND('GA55 Entry'!#REF!,"AAAAAD3/7qI=")</f>
        <v>#REF!</v>
      </c>
      <c r="FH66" t="e">
        <f>AND('GA55 Entry'!#REF!,"AAAAAD3/7qM=")</f>
        <v>#REF!</v>
      </c>
      <c r="FI66" t="e">
        <f>AND('GA55 Entry'!#REF!,"AAAAAD3/7qQ=")</f>
        <v>#REF!</v>
      </c>
      <c r="FJ66" t="e">
        <f>AND('GA55 Entry'!#REF!,"AAAAAD3/7qU=")</f>
        <v>#REF!</v>
      </c>
      <c r="FK66" t="e">
        <f>AND('GA55 Entry'!#REF!,"AAAAAD3/7qY=")</f>
        <v>#REF!</v>
      </c>
      <c r="FL66" t="e">
        <f>AND('GA55 Entry'!#REF!,"AAAAAD3/7qc=")</f>
        <v>#REF!</v>
      </c>
      <c r="FM66" t="e">
        <f>AND('GA55 Entry'!#REF!,"AAAAAD3/7qg=")</f>
        <v>#REF!</v>
      </c>
      <c r="FN66" t="e">
        <f>AND('GA55 Entry'!#REF!,"AAAAAD3/7qk=")</f>
        <v>#REF!</v>
      </c>
      <c r="FO66" t="e">
        <f>AND('GA55 Entry'!Z100,"AAAAAD3/7qo=")</f>
        <v>#VALUE!</v>
      </c>
      <c r="FP66" t="e">
        <f>AND('GA55 Entry'!AA100,"AAAAAD3/7qs=")</f>
        <v>#VALUE!</v>
      </c>
      <c r="FQ66" t="e">
        <f>AND('GA55 Entry'!#REF!,"AAAAAD3/7qw=")</f>
        <v>#REF!</v>
      </c>
      <c r="FR66" t="e">
        <f>AND('GA55 Entry'!#REF!,"AAAAAD3/7q0=")</f>
        <v>#REF!</v>
      </c>
      <c r="FS66" t="e">
        <f>AND('GA55 Entry'!#REF!,"AAAAAD3/7q4=")</f>
        <v>#REF!</v>
      </c>
      <c r="FT66" t="e">
        <f>AND('GA55 Entry'!AB100,"AAAAAD3/7q8=")</f>
        <v>#VALUE!</v>
      </c>
      <c r="FU66" t="e">
        <f>AND('GA55 Entry'!AC100,"AAAAAD3/7rA=")</f>
        <v>#VALUE!</v>
      </c>
      <c r="FV66" t="e">
        <f>AND('GA55 Entry'!#REF!,"AAAAAD3/7rE=")</f>
        <v>#REF!</v>
      </c>
      <c r="FW66">
        <f>IF('GA55 Entry'!101:101,"AAAAAD3/7rI=",0)</f>
        <v>0</v>
      </c>
      <c r="FX66" t="e">
        <f>AND('GA55 Entry'!B101,"AAAAAD3/7rM=")</f>
        <v>#VALUE!</v>
      </c>
      <c r="FY66" t="e">
        <f>AND('GA55 Entry'!#REF!,"AAAAAD3/7rQ=")</f>
        <v>#REF!</v>
      </c>
      <c r="FZ66" t="e">
        <f>AND('GA55 Entry'!C101,"AAAAAD3/7rU=")</f>
        <v>#VALUE!</v>
      </c>
      <c r="GA66" t="e">
        <f>AND('GA55 Entry'!#REF!,"AAAAAD3/7rY=")</f>
        <v>#REF!</v>
      </c>
      <c r="GB66" t="e">
        <f>AND('GA55 Entry'!#REF!,"AAAAAD3/7rc=")</f>
        <v>#REF!</v>
      </c>
      <c r="GC66" t="e">
        <f>AND('GA55 Entry'!#REF!,"AAAAAD3/7rg=")</f>
        <v>#REF!</v>
      </c>
      <c r="GD66" t="e">
        <f>AND('GA55 Entry'!#REF!,"AAAAAD3/7rk=")</f>
        <v>#REF!</v>
      </c>
      <c r="GE66" t="e">
        <f>AND('GA55 Entry'!#REF!,"AAAAAD3/7ro=")</f>
        <v>#REF!</v>
      </c>
      <c r="GF66" t="e">
        <f>AND('GA55 Entry'!D101,"AAAAAD3/7rs=")</f>
        <v>#VALUE!</v>
      </c>
      <c r="GG66" t="e">
        <f>AND('GA55 Entry'!#REF!,"AAAAAD3/7rw=")</f>
        <v>#REF!</v>
      </c>
      <c r="GH66" t="e">
        <f>AND('GA55 Entry'!E101,"AAAAAD3/7r0=")</f>
        <v>#VALUE!</v>
      </c>
      <c r="GI66" t="e">
        <f>AND('GA55 Entry'!F101,"AAAAAD3/7r4=")</f>
        <v>#VALUE!</v>
      </c>
      <c r="GJ66" t="e">
        <f>AND('GA55 Entry'!G101,"AAAAAD3/7r8=")</f>
        <v>#VALUE!</v>
      </c>
      <c r="GK66" t="e">
        <f>AND('GA55 Entry'!H101,"AAAAAD3/7sA=")</f>
        <v>#VALUE!</v>
      </c>
      <c r="GL66" t="e">
        <f>AND('GA55 Entry'!I101,"AAAAAD3/7sE=")</f>
        <v>#VALUE!</v>
      </c>
      <c r="GM66" t="e">
        <f>AND('GA55 Entry'!J101,"AAAAAD3/7sI=")</f>
        <v>#VALUE!</v>
      </c>
      <c r="GN66" t="e">
        <f>AND('GA55 Entry'!#REF!,"AAAAAD3/7sM=")</f>
        <v>#REF!</v>
      </c>
      <c r="GO66" t="e">
        <f>AND('GA55 Entry'!K101,"AAAAAD3/7sQ=")</f>
        <v>#VALUE!</v>
      </c>
      <c r="GP66" t="e">
        <f>AND('GA55 Entry'!L101,"AAAAAD3/7sU=")</f>
        <v>#VALUE!</v>
      </c>
      <c r="GQ66" t="e">
        <f>AND('GA55 Entry'!M101,"AAAAAD3/7sY=")</f>
        <v>#VALUE!</v>
      </c>
      <c r="GR66" t="e">
        <f>AND('GA55 Entry'!N101,"AAAAAD3/7sc=")</f>
        <v>#VALUE!</v>
      </c>
      <c r="GS66" t="e">
        <f>AND('GA55 Entry'!O101,"AAAAAD3/7sg=")</f>
        <v>#VALUE!</v>
      </c>
      <c r="GT66" t="e">
        <f>AND('GA55 Entry'!P101,"AAAAAD3/7sk=")</f>
        <v>#VALUE!</v>
      </c>
      <c r="GU66" t="e">
        <f>AND('GA55 Entry'!Q101,"AAAAAD3/7so=")</f>
        <v>#VALUE!</v>
      </c>
      <c r="GV66" t="e">
        <f>AND('GA55 Entry'!S101,"AAAAAD3/7ss=")</f>
        <v>#VALUE!</v>
      </c>
      <c r="GW66" t="e">
        <f>AND('GA55 Entry'!#REF!,"AAAAAD3/7sw=")</f>
        <v>#REF!</v>
      </c>
      <c r="GX66" t="e">
        <f>AND('GA55 Entry'!T101,"AAAAAD3/7s0=")</f>
        <v>#VALUE!</v>
      </c>
      <c r="GY66" t="e">
        <f>AND('GA55 Entry'!U101,"AAAAAD3/7s4=")</f>
        <v>#VALUE!</v>
      </c>
      <c r="GZ66" t="e">
        <f>AND('GA55 Entry'!V101,"AAAAAD3/7s8=")</f>
        <v>#VALUE!</v>
      </c>
      <c r="HA66" t="e">
        <f>AND('GA55 Entry'!#REF!,"AAAAAD3/7tA=")</f>
        <v>#REF!</v>
      </c>
      <c r="HB66" t="e">
        <f>AND('GA55 Entry'!#REF!,"AAAAAD3/7tE=")</f>
        <v>#REF!</v>
      </c>
      <c r="HC66" t="e">
        <f>AND('GA55 Entry'!X101,"AAAAAD3/7tI=")</f>
        <v>#VALUE!</v>
      </c>
      <c r="HD66" t="e">
        <f>AND('GA55 Entry'!Y101,"AAAAAD3/7tM=")</f>
        <v>#VALUE!</v>
      </c>
      <c r="HE66" t="e">
        <f>AND('GA55 Entry'!#REF!,"AAAAAD3/7tQ=")</f>
        <v>#REF!</v>
      </c>
      <c r="HF66" t="e">
        <f>AND('GA55 Entry'!#REF!,"AAAAAD3/7tU=")</f>
        <v>#REF!</v>
      </c>
      <c r="HG66" t="e">
        <f>AND('GA55 Entry'!#REF!,"AAAAAD3/7tY=")</f>
        <v>#REF!</v>
      </c>
      <c r="HH66" t="e">
        <f>AND('GA55 Entry'!#REF!,"AAAAAD3/7tc=")</f>
        <v>#REF!</v>
      </c>
      <c r="HI66" t="e">
        <f>AND('GA55 Entry'!#REF!,"AAAAAD3/7tg=")</f>
        <v>#REF!</v>
      </c>
      <c r="HJ66" t="e">
        <f>AND('GA55 Entry'!#REF!,"AAAAAD3/7tk=")</f>
        <v>#REF!</v>
      </c>
      <c r="HK66" t="e">
        <f>AND('GA55 Entry'!#REF!,"AAAAAD3/7to=")</f>
        <v>#REF!</v>
      </c>
      <c r="HL66" t="e">
        <f>AND('GA55 Entry'!#REF!,"AAAAAD3/7ts=")</f>
        <v>#REF!</v>
      </c>
      <c r="HM66" t="e">
        <f>AND('GA55 Entry'!#REF!,"AAAAAD3/7tw=")</f>
        <v>#REF!</v>
      </c>
      <c r="HN66" t="e">
        <f>AND('GA55 Entry'!Z101,"AAAAAD3/7t0=")</f>
        <v>#VALUE!</v>
      </c>
      <c r="HO66" t="e">
        <f>AND('GA55 Entry'!AA101,"AAAAAD3/7t4=")</f>
        <v>#VALUE!</v>
      </c>
      <c r="HP66" t="e">
        <f>AND('GA55 Entry'!#REF!,"AAAAAD3/7t8=")</f>
        <v>#REF!</v>
      </c>
      <c r="HQ66" t="e">
        <f>AND('GA55 Entry'!#REF!,"AAAAAD3/7uA=")</f>
        <v>#REF!</v>
      </c>
      <c r="HR66" t="e">
        <f>AND('GA55 Entry'!#REF!,"AAAAAD3/7uE=")</f>
        <v>#REF!</v>
      </c>
      <c r="HS66" t="e">
        <f>AND('GA55 Entry'!AB101,"AAAAAD3/7uI=")</f>
        <v>#VALUE!</v>
      </c>
      <c r="HT66" t="e">
        <f>AND('GA55 Entry'!AC101,"AAAAAD3/7uM=")</f>
        <v>#VALUE!</v>
      </c>
      <c r="HU66" t="e">
        <f>AND('GA55 Entry'!#REF!,"AAAAAD3/7uQ=")</f>
        <v>#REF!</v>
      </c>
      <c r="HV66">
        <f>IF('GA55 Entry'!102:102,"AAAAAD3/7uU=",0)</f>
        <v>0</v>
      </c>
      <c r="HW66" t="e">
        <f>AND('GA55 Entry'!B102,"AAAAAD3/7uY=")</f>
        <v>#VALUE!</v>
      </c>
      <c r="HX66" t="e">
        <f>AND('GA55 Entry'!#REF!,"AAAAAD3/7uc=")</f>
        <v>#REF!</v>
      </c>
      <c r="HY66" t="e">
        <f>AND('GA55 Entry'!C102,"AAAAAD3/7ug=")</f>
        <v>#VALUE!</v>
      </c>
      <c r="HZ66" t="e">
        <f>AND('GA55 Entry'!#REF!,"AAAAAD3/7uk=")</f>
        <v>#REF!</v>
      </c>
      <c r="IA66" t="e">
        <f>AND('GA55 Entry'!#REF!,"AAAAAD3/7uo=")</f>
        <v>#REF!</v>
      </c>
      <c r="IB66" t="e">
        <f>AND('GA55 Entry'!#REF!,"AAAAAD3/7us=")</f>
        <v>#REF!</v>
      </c>
      <c r="IC66" t="e">
        <f>AND('GA55 Entry'!#REF!,"AAAAAD3/7uw=")</f>
        <v>#REF!</v>
      </c>
      <c r="ID66" t="e">
        <f>AND('GA55 Entry'!#REF!,"AAAAAD3/7u0=")</f>
        <v>#REF!</v>
      </c>
      <c r="IE66" t="e">
        <f>AND('GA55 Entry'!D102,"AAAAAD3/7u4=")</f>
        <v>#VALUE!</v>
      </c>
      <c r="IF66" t="e">
        <f>AND('GA55 Entry'!#REF!,"AAAAAD3/7u8=")</f>
        <v>#REF!</v>
      </c>
      <c r="IG66" t="e">
        <f>AND('GA55 Entry'!E102,"AAAAAD3/7vA=")</f>
        <v>#VALUE!</v>
      </c>
      <c r="IH66" t="e">
        <f>AND('GA55 Entry'!F102,"AAAAAD3/7vE=")</f>
        <v>#VALUE!</v>
      </c>
      <c r="II66" t="e">
        <f>AND('GA55 Entry'!G102,"AAAAAD3/7vI=")</f>
        <v>#VALUE!</v>
      </c>
      <c r="IJ66" t="e">
        <f>AND('GA55 Entry'!H102,"AAAAAD3/7vM=")</f>
        <v>#VALUE!</v>
      </c>
      <c r="IK66" t="e">
        <f>AND('GA55 Entry'!I102,"AAAAAD3/7vQ=")</f>
        <v>#VALUE!</v>
      </c>
      <c r="IL66" t="e">
        <f>AND('GA55 Entry'!J102,"AAAAAD3/7vU=")</f>
        <v>#VALUE!</v>
      </c>
      <c r="IM66" t="e">
        <f>AND('GA55 Entry'!#REF!,"AAAAAD3/7vY=")</f>
        <v>#REF!</v>
      </c>
      <c r="IN66" t="e">
        <f>AND('GA55 Entry'!K102,"AAAAAD3/7vc=")</f>
        <v>#VALUE!</v>
      </c>
      <c r="IO66" t="e">
        <f>AND('GA55 Entry'!L102,"AAAAAD3/7vg=")</f>
        <v>#VALUE!</v>
      </c>
      <c r="IP66" t="e">
        <f>AND('GA55 Entry'!M102,"AAAAAD3/7vk=")</f>
        <v>#VALUE!</v>
      </c>
      <c r="IQ66" t="e">
        <f>AND('GA55 Entry'!N102,"AAAAAD3/7vo=")</f>
        <v>#VALUE!</v>
      </c>
      <c r="IR66" t="e">
        <f>AND('GA55 Entry'!O102,"AAAAAD3/7vs=")</f>
        <v>#VALUE!</v>
      </c>
      <c r="IS66" t="e">
        <f>AND('GA55 Entry'!P102,"AAAAAD3/7vw=")</f>
        <v>#VALUE!</v>
      </c>
      <c r="IT66" t="e">
        <f>AND('GA55 Entry'!Q102,"AAAAAD3/7v0=")</f>
        <v>#VALUE!</v>
      </c>
      <c r="IU66" t="e">
        <f>AND('GA55 Entry'!S102,"AAAAAD3/7v4=")</f>
        <v>#VALUE!</v>
      </c>
      <c r="IV66" t="e">
        <f>AND('GA55 Entry'!#REF!,"AAAAAD3/7v8=")</f>
        <v>#REF!</v>
      </c>
    </row>
    <row r="67" spans="1:256">
      <c r="A67" t="e">
        <f>AND('GA55 Entry'!T102,"AAAAADu/TwA=")</f>
        <v>#VALUE!</v>
      </c>
      <c r="B67" t="e">
        <f>AND('GA55 Entry'!U102,"AAAAADu/TwE=")</f>
        <v>#VALUE!</v>
      </c>
      <c r="C67" t="e">
        <f>AND('GA55 Entry'!V102,"AAAAADu/TwI=")</f>
        <v>#VALUE!</v>
      </c>
      <c r="D67" t="e">
        <f>AND('GA55 Entry'!#REF!,"AAAAADu/TwM=")</f>
        <v>#REF!</v>
      </c>
      <c r="E67" t="e">
        <f>AND('GA55 Entry'!#REF!,"AAAAADu/TwQ=")</f>
        <v>#REF!</v>
      </c>
      <c r="F67" t="e">
        <f>AND('GA55 Entry'!X102,"AAAAADu/TwU=")</f>
        <v>#VALUE!</v>
      </c>
      <c r="G67" t="e">
        <f>AND('GA55 Entry'!Y102,"AAAAADu/TwY=")</f>
        <v>#VALUE!</v>
      </c>
      <c r="H67" t="e">
        <f>AND('GA55 Entry'!#REF!,"AAAAADu/Twc=")</f>
        <v>#REF!</v>
      </c>
      <c r="I67" t="e">
        <f>AND('GA55 Entry'!#REF!,"AAAAADu/Twg=")</f>
        <v>#REF!</v>
      </c>
      <c r="J67" t="e">
        <f>AND('GA55 Entry'!#REF!,"AAAAADu/Twk=")</f>
        <v>#REF!</v>
      </c>
      <c r="K67" t="e">
        <f>AND('GA55 Entry'!#REF!,"AAAAADu/Two=")</f>
        <v>#REF!</v>
      </c>
      <c r="L67" t="e">
        <f>AND('GA55 Entry'!#REF!,"AAAAADu/Tws=")</f>
        <v>#REF!</v>
      </c>
      <c r="M67" t="e">
        <f>AND('GA55 Entry'!#REF!,"AAAAADu/Tww=")</f>
        <v>#REF!</v>
      </c>
      <c r="N67" t="e">
        <f>AND('GA55 Entry'!#REF!,"AAAAADu/Tw0=")</f>
        <v>#REF!</v>
      </c>
      <c r="O67" t="e">
        <f>AND('GA55 Entry'!#REF!,"AAAAADu/Tw4=")</f>
        <v>#REF!</v>
      </c>
      <c r="P67" t="e">
        <f>AND('GA55 Entry'!#REF!,"AAAAADu/Tw8=")</f>
        <v>#REF!</v>
      </c>
      <c r="Q67" t="e">
        <f>AND('GA55 Entry'!Z102,"AAAAADu/TxA=")</f>
        <v>#VALUE!</v>
      </c>
      <c r="R67" t="e">
        <f>AND('GA55 Entry'!AA102,"AAAAADu/TxE=")</f>
        <v>#VALUE!</v>
      </c>
      <c r="S67" t="e">
        <f>AND('GA55 Entry'!#REF!,"AAAAADu/TxI=")</f>
        <v>#REF!</v>
      </c>
      <c r="T67" t="e">
        <f>AND('GA55 Entry'!#REF!,"AAAAADu/TxM=")</f>
        <v>#REF!</v>
      </c>
      <c r="U67" t="e">
        <f>AND('GA55 Entry'!#REF!,"AAAAADu/TxQ=")</f>
        <v>#REF!</v>
      </c>
      <c r="V67" t="e">
        <f>AND('GA55 Entry'!AB102,"AAAAADu/TxU=")</f>
        <v>#VALUE!</v>
      </c>
      <c r="W67" t="e">
        <f>AND('GA55 Entry'!AC102,"AAAAADu/TxY=")</f>
        <v>#VALUE!</v>
      </c>
      <c r="X67" t="e">
        <f>AND('GA55 Entry'!#REF!,"AAAAADu/Txc=")</f>
        <v>#REF!</v>
      </c>
      <c r="Y67">
        <f>IF('GA55 Entry'!103:103,"AAAAADu/Txg=",0)</f>
        <v>0</v>
      </c>
      <c r="Z67" t="e">
        <f>AND('GA55 Entry'!B103,"AAAAADu/Txk=")</f>
        <v>#VALUE!</v>
      </c>
      <c r="AA67" t="e">
        <f>AND('GA55 Entry'!#REF!,"AAAAADu/Txo=")</f>
        <v>#REF!</v>
      </c>
      <c r="AB67" t="e">
        <f>AND('GA55 Entry'!C103,"AAAAADu/Txs=")</f>
        <v>#VALUE!</v>
      </c>
      <c r="AC67" t="e">
        <f>AND('GA55 Entry'!#REF!,"AAAAADu/Txw=")</f>
        <v>#REF!</v>
      </c>
      <c r="AD67" t="e">
        <f>AND('GA55 Entry'!#REF!,"AAAAADu/Tx0=")</f>
        <v>#REF!</v>
      </c>
      <c r="AE67" t="e">
        <f>AND('GA55 Entry'!#REF!,"AAAAADu/Tx4=")</f>
        <v>#REF!</v>
      </c>
      <c r="AF67" t="e">
        <f>AND('GA55 Entry'!#REF!,"AAAAADu/Tx8=")</f>
        <v>#REF!</v>
      </c>
      <c r="AG67" t="e">
        <f>AND('GA55 Entry'!#REF!,"AAAAADu/TyA=")</f>
        <v>#REF!</v>
      </c>
      <c r="AH67" t="e">
        <f>AND('GA55 Entry'!D103,"AAAAADu/TyE=")</f>
        <v>#VALUE!</v>
      </c>
      <c r="AI67" t="e">
        <f>AND('GA55 Entry'!#REF!,"AAAAADu/TyI=")</f>
        <v>#REF!</v>
      </c>
      <c r="AJ67" t="e">
        <f>AND('GA55 Entry'!E103,"AAAAADu/TyM=")</f>
        <v>#VALUE!</v>
      </c>
      <c r="AK67" t="e">
        <f>AND('GA55 Entry'!F103,"AAAAADu/TyQ=")</f>
        <v>#VALUE!</v>
      </c>
      <c r="AL67" t="e">
        <f>AND('GA55 Entry'!G103,"AAAAADu/TyU=")</f>
        <v>#VALUE!</v>
      </c>
      <c r="AM67" t="e">
        <f>AND('GA55 Entry'!H103,"AAAAADu/TyY=")</f>
        <v>#VALUE!</v>
      </c>
      <c r="AN67" t="e">
        <f>AND('GA55 Entry'!I103,"AAAAADu/Tyc=")</f>
        <v>#VALUE!</v>
      </c>
      <c r="AO67" t="e">
        <f>AND('GA55 Entry'!J103,"AAAAADu/Tyg=")</f>
        <v>#VALUE!</v>
      </c>
      <c r="AP67" t="e">
        <f>AND('GA55 Entry'!#REF!,"AAAAADu/Tyk=")</f>
        <v>#REF!</v>
      </c>
      <c r="AQ67" t="e">
        <f>AND('GA55 Entry'!K103,"AAAAADu/Tyo=")</f>
        <v>#VALUE!</v>
      </c>
      <c r="AR67" t="e">
        <f>AND('GA55 Entry'!L103,"AAAAADu/Tys=")</f>
        <v>#VALUE!</v>
      </c>
      <c r="AS67" t="e">
        <f>AND('GA55 Entry'!M103,"AAAAADu/Tyw=")</f>
        <v>#VALUE!</v>
      </c>
      <c r="AT67" t="e">
        <f>AND('GA55 Entry'!N103,"AAAAADu/Ty0=")</f>
        <v>#VALUE!</v>
      </c>
      <c r="AU67" t="e">
        <f>AND('GA55 Entry'!O103,"AAAAADu/Ty4=")</f>
        <v>#VALUE!</v>
      </c>
      <c r="AV67" t="e">
        <f>AND('GA55 Entry'!P103,"AAAAADu/Ty8=")</f>
        <v>#VALUE!</v>
      </c>
      <c r="AW67" t="e">
        <f>AND('GA55 Entry'!Q103,"AAAAADu/TzA=")</f>
        <v>#VALUE!</v>
      </c>
      <c r="AX67" t="e">
        <f>AND('GA55 Entry'!S103,"AAAAADu/TzE=")</f>
        <v>#VALUE!</v>
      </c>
      <c r="AY67" t="e">
        <f>AND('GA55 Entry'!#REF!,"AAAAADu/TzI=")</f>
        <v>#REF!</v>
      </c>
      <c r="AZ67" t="e">
        <f>AND('GA55 Entry'!T103,"AAAAADu/TzM=")</f>
        <v>#VALUE!</v>
      </c>
      <c r="BA67" t="e">
        <f>AND('GA55 Entry'!U103,"AAAAADu/TzQ=")</f>
        <v>#VALUE!</v>
      </c>
      <c r="BB67" t="e">
        <f>AND('GA55 Entry'!V103,"AAAAADu/TzU=")</f>
        <v>#VALUE!</v>
      </c>
      <c r="BC67" t="e">
        <f>AND('GA55 Entry'!#REF!,"AAAAADu/TzY=")</f>
        <v>#REF!</v>
      </c>
      <c r="BD67" t="e">
        <f>AND('GA55 Entry'!#REF!,"AAAAADu/Tzc=")</f>
        <v>#REF!</v>
      </c>
      <c r="BE67" t="e">
        <f>AND('GA55 Entry'!X103,"AAAAADu/Tzg=")</f>
        <v>#VALUE!</v>
      </c>
      <c r="BF67" t="e">
        <f>AND('GA55 Entry'!Y103,"AAAAADu/Tzk=")</f>
        <v>#VALUE!</v>
      </c>
      <c r="BG67" t="e">
        <f>AND('GA55 Entry'!#REF!,"AAAAADu/Tzo=")</f>
        <v>#REF!</v>
      </c>
      <c r="BH67" t="e">
        <f>AND('GA55 Entry'!#REF!,"AAAAADu/Tzs=")</f>
        <v>#REF!</v>
      </c>
      <c r="BI67" t="e">
        <f>AND('GA55 Entry'!#REF!,"AAAAADu/Tzw=")</f>
        <v>#REF!</v>
      </c>
      <c r="BJ67" t="e">
        <f>AND('GA55 Entry'!#REF!,"AAAAADu/Tz0=")</f>
        <v>#REF!</v>
      </c>
      <c r="BK67" t="e">
        <f>AND('GA55 Entry'!#REF!,"AAAAADu/Tz4=")</f>
        <v>#REF!</v>
      </c>
      <c r="BL67" t="e">
        <f>AND('GA55 Entry'!#REF!,"AAAAADu/Tz8=")</f>
        <v>#REF!</v>
      </c>
      <c r="BM67" t="e">
        <f>AND('GA55 Entry'!#REF!,"AAAAADu/T0A=")</f>
        <v>#REF!</v>
      </c>
      <c r="BN67" t="e">
        <f>AND('GA55 Entry'!#REF!,"AAAAADu/T0E=")</f>
        <v>#REF!</v>
      </c>
      <c r="BO67" t="e">
        <f>AND('GA55 Entry'!#REF!,"AAAAADu/T0I=")</f>
        <v>#REF!</v>
      </c>
      <c r="BP67" t="e">
        <f>AND('GA55 Entry'!Z103,"AAAAADu/T0M=")</f>
        <v>#VALUE!</v>
      </c>
      <c r="BQ67" t="e">
        <f>AND('GA55 Entry'!AA103,"AAAAADu/T0Q=")</f>
        <v>#VALUE!</v>
      </c>
      <c r="BR67" t="e">
        <f>AND('GA55 Entry'!#REF!,"AAAAADu/T0U=")</f>
        <v>#REF!</v>
      </c>
      <c r="BS67" t="e">
        <f>AND('GA55 Entry'!#REF!,"AAAAADu/T0Y=")</f>
        <v>#REF!</v>
      </c>
      <c r="BT67" t="e">
        <f>AND('GA55 Entry'!#REF!,"AAAAADu/T0c=")</f>
        <v>#REF!</v>
      </c>
      <c r="BU67" t="e">
        <f>AND('GA55 Entry'!AB103,"AAAAADu/T0g=")</f>
        <v>#VALUE!</v>
      </c>
      <c r="BV67" t="e">
        <f>AND('GA55 Entry'!AC103,"AAAAADu/T0k=")</f>
        <v>#VALUE!</v>
      </c>
      <c r="BW67" t="e">
        <f>AND('GA55 Entry'!#REF!,"AAAAADu/T0o=")</f>
        <v>#REF!</v>
      </c>
      <c r="BX67">
        <f>IF('GA55 Entry'!104:104,"AAAAADu/T0s=",0)</f>
        <v>0</v>
      </c>
      <c r="BY67" t="e">
        <f>AND('GA55 Entry'!B104,"AAAAADu/T0w=")</f>
        <v>#VALUE!</v>
      </c>
      <c r="BZ67" t="e">
        <f>AND('GA55 Entry'!#REF!,"AAAAADu/T00=")</f>
        <v>#REF!</v>
      </c>
      <c r="CA67" t="e">
        <f>AND('GA55 Entry'!C104,"AAAAADu/T04=")</f>
        <v>#VALUE!</v>
      </c>
      <c r="CB67" t="e">
        <f>AND('GA55 Entry'!#REF!,"AAAAADu/T08=")</f>
        <v>#REF!</v>
      </c>
      <c r="CC67" t="e">
        <f>AND('GA55 Entry'!#REF!,"AAAAADu/T1A=")</f>
        <v>#REF!</v>
      </c>
      <c r="CD67" t="e">
        <f>AND('GA55 Entry'!#REF!,"AAAAADu/T1E=")</f>
        <v>#REF!</v>
      </c>
      <c r="CE67" t="e">
        <f>AND('GA55 Entry'!#REF!,"AAAAADu/T1I=")</f>
        <v>#REF!</v>
      </c>
      <c r="CF67" t="e">
        <f>AND('GA55 Entry'!#REF!,"AAAAADu/T1M=")</f>
        <v>#REF!</v>
      </c>
      <c r="CG67" t="e">
        <f>AND('GA55 Entry'!D104,"AAAAADu/T1Q=")</f>
        <v>#VALUE!</v>
      </c>
      <c r="CH67" t="e">
        <f>AND('GA55 Entry'!#REF!,"AAAAADu/T1U=")</f>
        <v>#REF!</v>
      </c>
      <c r="CI67" t="e">
        <f>AND('GA55 Entry'!E104,"AAAAADu/T1Y=")</f>
        <v>#VALUE!</v>
      </c>
      <c r="CJ67" t="e">
        <f>AND('GA55 Entry'!F104,"AAAAADu/T1c=")</f>
        <v>#VALUE!</v>
      </c>
      <c r="CK67" t="e">
        <f>AND('GA55 Entry'!G104,"AAAAADu/T1g=")</f>
        <v>#VALUE!</v>
      </c>
      <c r="CL67" t="e">
        <f>AND('GA55 Entry'!H104,"AAAAADu/T1k=")</f>
        <v>#VALUE!</v>
      </c>
      <c r="CM67" t="e">
        <f>AND('GA55 Entry'!I104,"AAAAADu/T1o=")</f>
        <v>#VALUE!</v>
      </c>
      <c r="CN67" t="e">
        <f>AND('GA55 Entry'!J104,"AAAAADu/T1s=")</f>
        <v>#VALUE!</v>
      </c>
      <c r="CO67" t="e">
        <f>AND('GA55 Entry'!#REF!,"AAAAADu/T1w=")</f>
        <v>#REF!</v>
      </c>
      <c r="CP67" t="e">
        <f>AND('GA55 Entry'!K104,"AAAAADu/T10=")</f>
        <v>#VALUE!</v>
      </c>
      <c r="CQ67" t="e">
        <f>AND('GA55 Entry'!L104,"AAAAADu/T14=")</f>
        <v>#VALUE!</v>
      </c>
      <c r="CR67" t="e">
        <f>AND('GA55 Entry'!M104,"AAAAADu/T18=")</f>
        <v>#VALUE!</v>
      </c>
      <c r="CS67" t="e">
        <f>AND('GA55 Entry'!N104,"AAAAADu/T2A=")</f>
        <v>#VALUE!</v>
      </c>
      <c r="CT67" t="e">
        <f>AND('GA55 Entry'!O104,"AAAAADu/T2E=")</f>
        <v>#VALUE!</v>
      </c>
      <c r="CU67" t="e">
        <f>AND('GA55 Entry'!P104,"AAAAADu/T2I=")</f>
        <v>#VALUE!</v>
      </c>
      <c r="CV67" t="e">
        <f>AND('GA55 Entry'!Q104,"AAAAADu/T2M=")</f>
        <v>#VALUE!</v>
      </c>
      <c r="CW67" t="e">
        <f>AND('GA55 Entry'!S104,"AAAAADu/T2Q=")</f>
        <v>#VALUE!</v>
      </c>
      <c r="CX67" t="e">
        <f>AND('GA55 Entry'!#REF!,"AAAAADu/T2U=")</f>
        <v>#REF!</v>
      </c>
      <c r="CY67" t="e">
        <f>AND('GA55 Entry'!T104,"AAAAADu/T2Y=")</f>
        <v>#VALUE!</v>
      </c>
      <c r="CZ67" t="e">
        <f>AND('GA55 Entry'!U104,"AAAAADu/T2c=")</f>
        <v>#VALUE!</v>
      </c>
      <c r="DA67" t="e">
        <f>AND('GA55 Entry'!V104,"AAAAADu/T2g=")</f>
        <v>#VALUE!</v>
      </c>
      <c r="DB67" t="e">
        <f>AND('GA55 Entry'!#REF!,"AAAAADu/T2k=")</f>
        <v>#REF!</v>
      </c>
      <c r="DC67" t="e">
        <f>AND('GA55 Entry'!#REF!,"AAAAADu/T2o=")</f>
        <v>#REF!</v>
      </c>
      <c r="DD67" t="e">
        <f>AND('GA55 Entry'!X104,"AAAAADu/T2s=")</f>
        <v>#VALUE!</v>
      </c>
      <c r="DE67" t="e">
        <f>AND('GA55 Entry'!Y104,"AAAAADu/T2w=")</f>
        <v>#VALUE!</v>
      </c>
      <c r="DF67" t="e">
        <f>AND('GA55 Entry'!#REF!,"AAAAADu/T20=")</f>
        <v>#REF!</v>
      </c>
      <c r="DG67" t="e">
        <f>AND('GA55 Entry'!#REF!,"AAAAADu/T24=")</f>
        <v>#REF!</v>
      </c>
      <c r="DH67" t="e">
        <f>AND('GA55 Entry'!#REF!,"AAAAADu/T28=")</f>
        <v>#REF!</v>
      </c>
      <c r="DI67" t="e">
        <f>AND('GA55 Entry'!#REF!,"AAAAADu/T3A=")</f>
        <v>#REF!</v>
      </c>
      <c r="DJ67" t="e">
        <f>AND('GA55 Entry'!#REF!,"AAAAADu/T3E=")</f>
        <v>#REF!</v>
      </c>
      <c r="DK67" t="e">
        <f>AND('GA55 Entry'!#REF!,"AAAAADu/T3I=")</f>
        <v>#REF!</v>
      </c>
      <c r="DL67" t="e">
        <f>AND('GA55 Entry'!#REF!,"AAAAADu/T3M=")</f>
        <v>#REF!</v>
      </c>
      <c r="DM67" t="e">
        <f>AND('GA55 Entry'!#REF!,"AAAAADu/T3Q=")</f>
        <v>#REF!</v>
      </c>
      <c r="DN67" t="e">
        <f>AND('GA55 Entry'!#REF!,"AAAAADu/T3U=")</f>
        <v>#REF!</v>
      </c>
      <c r="DO67" t="e">
        <f>AND('GA55 Entry'!Z104,"AAAAADu/T3Y=")</f>
        <v>#VALUE!</v>
      </c>
      <c r="DP67" t="e">
        <f>AND('GA55 Entry'!AA104,"AAAAADu/T3c=")</f>
        <v>#VALUE!</v>
      </c>
      <c r="DQ67" t="e">
        <f>AND('GA55 Entry'!#REF!,"AAAAADu/T3g=")</f>
        <v>#REF!</v>
      </c>
      <c r="DR67" t="e">
        <f>AND('GA55 Entry'!#REF!,"AAAAADu/T3k=")</f>
        <v>#REF!</v>
      </c>
      <c r="DS67" t="e">
        <f>AND('GA55 Entry'!#REF!,"AAAAADu/T3o=")</f>
        <v>#REF!</v>
      </c>
      <c r="DT67" t="e">
        <f>AND('GA55 Entry'!AB104,"AAAAADu/T3s=")</f>
        <v>#VALUE!</v>
      </c>
      <c r="DU67" t="e">
        <f>AND('GA55 Entry'!AC104,"AAAAADu/T3w=")</f>
        <v>#VALUE!</v>
      </c>
      <c r="DV67" t="e">
        <f>AND('GA55 Entry'!#REF!,"AAAAADu/T30=")</f>
        <v>#REF!</v>
      </c>
      <c r="DW67">
        <f>IF('GA55 Entry'!105:105,"AAAAADu/T34=",0)</f>
        <v>0</v>
      </c>
      <c r="DX67" t="e">
        <f>AND('GA55 Entry'!B105,"AAAAADu/T38=")</f>
        <v>#VALUE!</v>
      </c>
      <c r="DY67" t="e">
        <f>AND('GA55 Entry'!#REF!,"AAAAADu/T4A=")</f>
        <v>#REF!</v>
      </c>
      <c r="DZ67" t="e">
        <f>AND('GA55 Entry'!C105,"AAAAADu/T4E=")</f>
        <v>#VALUE!</v>
      </c>
      <c r="EA67" t="e">
        <f>AND('GA55 Entry'!#REF!,"AAAAADu/T4I=")</f>
        <v>#REF!</v>
      </c>
      <c r="EB67" t="e">
        <f>AND('GA55 Entry'!#REF!,"AAAAADu/T4M=")</f>
        <v>#REF!</v>
      </c>
      <c r="EC67" t="e">
        <f>AND('GA55 Entry'!#REF!,"AAAAADu/T4Q=")</f>
        <v>#REF!</v>
      </c>
      <c r="ED67" t="e">
        <f>AND('GA55 Entry'!#REF!,"AAAAADu/T4U=")</f>
        <v>#REF!</v>
      </c>
      <c r="EE67" t="e">
        <f>AND('GA55 Entry'!#REF!,"AAAAADu/T4Y=")</f>
        <v>#REF!</v>
      </c>
      <c r="EF67" t="e">
        <f>AND('GA55 Entry'!D105,"AAAAADu/T4c=")</f>
        <v>#VALUE!</v>
      </c>
      <c r="EG67" t="e">
        <f>AND('GA55 Entry'!#REF!,"AAAAADu/T4g=")</f>
        <v>#REF!</v>
      </c>
      <c r="EH67" t="e">
        <f>AND('GA55 Entry'!E105,"AAAAADu/T4k=")</f>
        <v>#VALUE!</v>
      </c>
      <c r="EI67" t="e">
        <f>AND('GA55 Entry'!F105,"AAAAADu/T4o=")</f>
        <v>#VALUE!</v>
      </c>
      <c r="EJ67" t="e">
        <f>AND('GA55 Entry'!G105,"AAAAADu/T4s=")</f>
        <v>#VALUE!</v>
      </c>
      <c r="EK67" t="e">
        <f>AND('GA55 Entry'!H105,"AAAAADu/T4w=")</f>
        <v>#VALUE!</v>
      </c>
      <c r="EL67" t="e">
        <f>AND('GA55 Entry'!I105,"AAAAADu/T40=")</f>
        <v>#VALUE!</v>
      </c>
      <c r="EM67" t="e">
        <f>AND('GA55 Entry'!J105,"AAAAADu/T44=")</f>
        <v>#VALUE!</v>
      </c>
      <c r="EN67" t="e">
        <f>AND('GA55 Entry'!#REF!,"AAAAADu/T48=")</f>
        <v>#REF!</v>
      </c>
      <c r="EO67" t="e">
        <f>AND('GA55 Entry'!K105,"AAAAADu/T5A=")</f>
        <v>#VALUE!</v>
      </c>
      <c r="EP67" t="e">
        <f>AND('GA55 Entry'!L105,"AAAAADu/T5E=")</f>
        <v>#VALUE!</v>
      </c>
      <c r="EQ67" t="e">
        <f>AND('GA55 Entry'!M105,"AAAAADu/T5I=")</f>
        <v>#VALUE!</v>
      </c>
      <c r="ER67" t="e">
        <f>AND('GA55 Entry'!N105,"AAAAADu/T5M=")</f>
        <v>#VALUE!</v>
      </c>
      <c r="ES67" t="e">
        <f>AND('GA55 Entry'!O105,"AAAAADu/T5Q=")</f>
        <v>#VALUE!</v>
      </c>
      <c r="ET67" t="e">
        <f>AND('GA55 Entry'!P105,"AAAAADu/T5U=")</f>
        <v>#VALUE!</v>
      </c>
      <c r="EU67" t="e">
        <f>AND('GA55 Entry'!Q105,"AAAAADu/T5Y=")</f>
        <v>#VALUE!</v>
      </c>
      <c r="EV67" t="e">
        <f>AND('GA55 Entry'!S105,"AAAAADu/T5c=")</f>
        <v>#VALUE!</v>
      </c>
      <c r="EW67" t="e">
        <f>AND('GA55 Entry'!#REF!,"AAAAADu/T5g=")</f>
        <v>#REF!</v>
      </c>
      <c r="EX67" t="e">
        <f>AND('GA55 Entry'!T105,"AAAAADu/T5k=")</f>
        <v>#VALUE!</v>
      </c>
      <c r="EY67" t="e">
        <f>AND('GA55 Entry'!U105,"AAAAADu/T5o=")</f>
        <v>#VALUE!</v>
      </c>
      <c r="EZ67" t="e">
        <f>AND('GA55 Entry'!V105,"AAAAADu/T5s=")</f>
        <v>#VALUE!</v>
      </c>
      <c r="FA67" t="e">
        <f>AND('GA55 Entry'!#REF!,"AAAAADu/T5w=")</f>
        <v>#REF!</v>
      </c>
      <c r="FB67" t="e">
        <f>AND('GA55 Entry'!#REF!,"AAAAADu/T50=")</f>
        <v>#REF!</v>
      </c>
      <c r="FC67" t="e">
        <f>AND('GA55 Entry'!X105,"AAAAADu/T54=")</f>
        <v>#VALUE!</v>
      </c>
      <c r="FD67" t="e">
        <f>AND('GA55 Entry'!Y105,"AAAAADu/T58=")</f>
        <v>#VALUE!</v>
      </c>
      <c r="FE67" t="e">
        <f>AND('GA55 Entry'!#REF!,"AAAAADu/T6A=")</f>
        <v>#REF!</v>
      </c>
      <c r="FF67" t="e">
        <f>AND('GA55 Entry'!#REF!,"AAAAADu/T6E=")</f>
        <v>#REF!</v>
      </c>
      <c r="FG67" t="e">
        <f>AND('GA55 Entry'!#REF!,"AAAAADu/T6I=")</f>
        <v>#REF!</v>
      </c>
      <c r="FH67" t="e">
        <f>AND('GA55 Entry'!#REF!,"AAAAADu/T6M=")</f>
        <v>#REF!</v>
      </c>
      <c r="FI67" t="e">
        <f>AND('GA55 Entry'!#REF!,"AAAAADu/T6Q=")</f>
        <v>#REF!</v>
      </c>
      <c r="FJ67" t="e">
        <f>AND('GA55 Entry'!#REF!,"AAAAADu/T6U=")</f>
        <v>#REF!</v>
      </c>
      <c r="FK67" t="e">
        <f>AND('GA55 Entry'!#REF!,"AAAAADu/T6Y=")</f>
        <v>#REF!</v>
      </c>
      <c r="FL67" t="e">
        <f>AND('GA55 Entry'!#REF!,"AAAAADu/T6c=")</f>
        <v>#REF!</v>
      </c>
      <c r="FM67" t="e">
        <f>AND('GA55 Entry'!#REF!,"AAAAADu/T6g=")</f>
        <v>#REF!</v>
      </c>
      <c r="FN67" t="e">
        <f>AND('GA55 Entry'!Z105,"AAAAADu/T6k=")</f>
        <v>#VALUE!</v>
      </c>
      <c r="FO67" t="e">
        <f>AND('GA55 Entry'!AA105,"AAAAADu/T6o=")</f>
        <v>#VALUE!</v>
      </c>
      <c r="FP67" t="e">
        <f>AND('GA55 Entry'!#REF!,"AAAAADu/T6s=")</f>
        <v>#REF!</v>
      </c>
      <c r="FQ67" t="e">
        <f>AND('GA55 Entry'!#REF!,"AAAAADu/T6w=")</f>
        <v>#REF!</v>
      </c>
      <c r="FR67" t="e">
        <f>AND('GA55 Entry'!#REF!,"AAAAADu/T60=")</f>
        <v>#REF!</v>
      </c>
      <c r="FS67" t="e">
        <f>AND('GA55 Entry'!AB105,"AAAAADu/T64=")</f>
        <v>#VALUE!</v>
      </c>
      <c r="FT67" t="e">
        <f>AND('GA55 Entry'!AC105,"AAAAADu/T68=")</f>
        <v>#VALUE!</v>
      </c>
      <c r="FU67" t="e">
        <f>AND('GA55 Entry'!#REF!,"AAAAADu/T7A=")</f>
        <v>#REF!</v>
      </c>
      <c r="FV67">
        <f>IF('GA55 Entry'!106:106,"AAAAADu/T7E=",0)</f>
        <v>0</v>
      </c>
      <c r="FW67" t="e">
        <f>AND('GA55 Entry'!B106,"AAAAADu/T7I=")</f>
        <v>#VALUE!</v>
      </c>
      <c r="FX67" t="e">
        <f>AND('GA55 Entry'!#REF!,"AAAAADu/T7M=")</f>
        <v>#REF!</v>
      </c>
      <c r="FY67" t="e">
        <f>AND('GA55 Entry'!C106,"AAAAADu/T7Q=")</f>
        <v>#VALUE!</v>
      </c>
      <c r="FZ67" t="e">
        <f>AND('GA55 Entry'!#REF!,"AAAAADu/T7U=")</f>
        <v>#REF!</v>
      </c>
      <c r="GA67" t="e">
        <f>AND('GA55 Entry'!#REF!,"AAAAADu/T7Y=")</f>
        <v>#REF!</v>
      </c>
      <c r="GB67" t="e">
        <f>AND('GA55 Entry'!#REF!,"AAAAADu/T7c=")</f>
        <v>#REF!</v>
      </c>
      <c r="GC67" t="e">
        <f>AND('GA55 Entry'!#REF!,"AAAAADu/T7g=")</f>
        <v>#REF!</v>
      </c>
      <c r="GD67" t="e">
        <f>AND('GA55 Entry'!#REF!,"AAAAADu/T7k=")</f>
        <v>#REF!</v>
      </c>
      <c r="GE67" t="e">
        <f>AND('GA55 Entry'!D106,"AAAAADu/T7o=")</f>
        <v>#VALUE!</v>
      </c>
      <c r="GF67" t="e">
        <f>AND('GA55 Entry'!#REF!,"AAAAADu/T7s=")</f>
        <v>#REF!</v>
      </c>
      <c r="GG67" t="e">
        <f>AND('GA55 Entry'!E106,"AAAAADu/T7w=")</f>
        <v>#VALUE!</v>
      </c>
      <c r="GH67" t="e">
        <f>AND('GA55 Entry'!F106,"AAAAADu/T70=")</f>
        <v>#VALUE!</v>
      </c>
      <c r="GI67" t="e">
        <f>AND('GA55 Entry'!G106,"AAAAADu/T74=")</f>
        <v>#VALUE!</v>
      </c>
      <c r="GJ67" t="e">
        <f>AND('GA55 Entry'!H106,"AAAAADu/T78=")</f>
        <v>#VALUE!</v>
      </c>
      <c r="GK67" t="e">
        <f>AND('GA55 Entry'!I106,"AAAAADu/T8A=")</f>
        <v>#VALUE!</v>
      </c>
      <c r="GL67" t="e">
        <f>AND('GA55 Entry'!J106,"AAAAADu/T8E=")</f>
        <v>#VALUE!</v>
      </c>
      <c r="GM67" t="e">
        <f>AND('GA55 Entry'!#REF!,"AAAAADu/T8I=")</f>
        <v>#REF!</v>
      </c>
      <c r="GN67" t="e">
        <f>AND('GA55 Entry'!K106,"AAAAADu/T8M=")</f>
        <v>#VALUE!</v>
      </c>
      <c r="GO67" t="e">
        <f>AND('GA55 Entry'!L106,"AAAAADu/T8Q=")</f>
        <v>#VALUE!</v>
      </c>
      <c r="GP67" t="e">
        <f>AND('GA55 Entry'!M106,"AAAAADu/T8U=")</f>
        <v>#VALUE!</v>
      </c>
      <c r="GQ67" t="e">
        <f>AND('GA55 Entry'!N106,"AAAAADu/T8Y=")</f>
        <v>#VALUE!</v>
      </c>
      <c r="GR67" t="e">
        <f>AND('GA55 Entry'!O106,"AAAAADu/T8c=")</f>
        <v>#VALUE!</v>
      </c>
      <c r="GS67" t="e">
        <f>AND('GA55 Entry'!P106,"AAAAADu/T8g=")</f>
        <v>#VALUE!</v>
      </c>
      <c r="GT67" t="e">
        <f>AND('GA55 Entry'!Q106,"AAAAADu/T8k=")</f>
        <v>#VALUE!</v>
      </c>
      <c r="GU67" t="e">
        <f>AND('GA55 Entry'!S106,"AAAAADu/T8o=")</f>
        <v>#VALUE!</v>
      </c>
      <c r="GV67" t="e">
        <f>AND('GA55 Entry'!#REF!,"AAAAADu/T8s=")</f>
        <v>#REF!</v>
      </c>
      <c r="GW67" t="e">
        <f>AND('GA55 Entry'!T106,"AAAAADu/T8w=")</f>
        <v>#VALUE!</v>
      </c>
      <c r="GX67" t="e">
        <f>AND('GA55 Entry'!U106,"AAAAADu/T80=")</f>
        <v>#VALUE!</v>
      </c>
      <c r="GY67" t="e">
        <f>AND('GA55 Entry'!V106,"AAAAADu/T84=")</f>
        <v>#VALUE!</v>
      </c>
      <c r="GZ67" t="e">
        <f>AND('GA55 Entry'!#REF!,"AAAAADu/T88=")</f>
        <v>#REF!</v>
      </c>
      <c r="HA67" t="e">
        <f>AND('GA55 Entry'!#REF!,"AAAAADu/T9A=")</f>
        <v>#REF!</v>
      </c>
      <c r="HB67" t="e">
        <f>AND('GA55 Entry'!X106,"AAAAADu/T9E=")</f>
        <v>#VALUE!</v>
      </c>
      <c r="HC67" t="e">
        <f>AND('GA55 Entry'!Y106,"AAAAADu/T9I=")</f>
        <v>#VALUE!</v>
      </c>
      <c r="HD67" t="e">
        <f>AND('GA55 Entry'!#REF!,"AAAAADu/T9M=")</f>
        <v>#REF!</v>
      </c>
      <c r="HE67" t="e">
        <f>AND('GA55 Entry'!#REF!,"AAAAADu/T9Q=")</f>
        <v>#REF!</v>
      </c>
      <c r="HF67" t="e">
        <f>AND('GA55 Entry'!#REF!,"AAAAADu/T9U=")</f>
        <v>#REF!</v>
      </c>
      <c r="HG67" t="e">
        <f>AND('GA55 Entry'!#REF!,"AAAAADu/T9Y=")</f>
        <v>#REF!</v>
      </c>
      <c r="HH67" t="e">
        <f>AND('GA55 Entry'!#REF!,"AAAAADu/T9c=")</f>
        <v>#REF!</v>
      </c>
      <c r="HI67" t="e">
        <f>AND('GA55 Entry'!#REF!,"AAAAADu/T9g=")</f>
        <v>#REF!</v>
      </c>
      <c r="HJ67" t="e">
        <f>AND('GA55 Entry'!#REF!,"AAAAADu/T9k=")</f>
        <v>#REF!</v>
      </c>
      <c r="HK67" t="e">
        <f>AND('GA55 Entry'!#REF!,"AAAAADu/T9o=")</f>
        <v>#REF!</v>
      </c>
      <c r="HL67" t="e">
        <f>AND('GA55 Entry'!#REF!,"AAAAADu/T9s=")</f>
        <v>#REF!</v>
      </c>
      <c r="HM67" t="e">
        <f>AND('GA55 Entry'!Z106,"AAAAADu/T9w=")</f>
        <v>#VALUE!</v>
      </c>
      <c r="HN67" t="e">
        <f>AND('GA55 Entry'!AA106,"AAAAADu/T90=")</f>
        <v>#VALUE!</v>
      </c>
      <c r="HO67" t="e">
        <f>AND('GA55 Entry'!#REF!,"AAAAADu/T94=")</f>
        <v>#REF!</v>
      </c>
      <c r="HP67" t="e">
        <f>AND('GA55 Entry'!#REF!,"AAAAADu/T98=")</f>
        <v>#REF!</v>
      </c>
      <c r="HQ67" t="e">
        <f>AND('GA55 Entry'!#REF!,"AAAAADu/T+A=")</f>
        <v>#REF!</v>
      </c>
      <c r="HR67" t="e">
        <f>AND('GA55 Entry'!AB106,"AAAAADu/T+E=")</f>
        <v>#VALUE!</v>
      </c>
      <c r="HS67" t="e">
        <f>AND('GA55 Entry'!AC106,"AAAAADu/T+I=")</f>
        <v>#VALUE!</v>
      </c>
      <c r="HT67" t="e">
        <f>AND('GA55 Entry'!#REF!,"AAAAADu/T+M=")</f>
        <v>#REF!</v>
      </c>
      <c r="HU67">
        <f>IF('GA55 Entry'!107:107,"AAAAADu/T+Q=",0)</f>
        <v>0</v>
      </c>
      <c r="HV67" t="e">
        <f>AND('GA55 Entry'!B107,"AAAAADu/T+U=")</f>
        <v>#VALUE!</v>
      </c>
      <c r="HW67" t="e">
        <f>AND('GA55 Entry'!#REF!,"AAAAADu/T+Y=")</f>
        <v>#REF!</v>
      </c>
      <c r="HX67" t="e">
        <f>AND('GA55 Entry'!C107,"AAAAADu/T+c=")</f>
        <v>#VALUE!</v>
      </c>
      <c r="HY67" t="e">
        <f>AND('GA55 Entry'!#REF!,"AAAAADu/T+g=")</f>
        <v>#REF!</v>
      </c>
      <c r="HZ67" t="e">
        <f>AND('GA55 Entry'!#REF!,"AAAAADu/T+k=")</f>
        <v>#REF!</v>
      </c>
      <c r="IA67" t="e">
        <f>AND('GA55 Entry'!#REF!,"AAAAADu/T+o=")</f>
        <v>#REF!</v>
      </c>
      <c r="IB67" t="e">
        <f>AND('GA55 Entry'!#REF!,"AAAAADu/T+s=")</f>
        <v>#REF!</v>
      </c>
      <c r="IC67" t="e">
        <f>AND('GA55 Entry'!#REF!,"AAAAADu/T+w=")</f>
        <v>#REF!</v>
      </c>
      <c r="ID67" t="e">
        <f>AND('GA55 Entry'!D107,"AAAAADu/T+0=")</f>
        <v>#VALUE!</v>
      </c>
      <c r="IE67" t="e">
        <f>AND('GA55 Entry'!#REF!,"AAAAADu/T+4=")</f>
        <v>#REF!</v>
      </c>
      <c r="IF67" t="e">
        <f>AND('GA55 Entry'!E107,"AAAAADu/T+8=")</f>
        <v>#VALUE!</v>
      </c>
      <c r="IG67" t="e">
        <f>AND('GA55 Entry'!F107,"AAAAADu/T/A=")</f>
        <v>#VALUE!</v>
      </c>
      <c r="IH67" t="e">
        <f>AND('GA55 Entry'!G107,"AAAAADu/T/E=")</f>
        <v>#VALUE!</v>
      </c>
      <c r="II67" t="e">
        <f>AND('GA55 Entry'!H107,"AAAAADu/T/I=")</f>
        <v>#VALUE!</v>
      </c>
      <c r="IJ67" t="e">
        <f>AND('GA55 Entry'!I107,"AAAAADu/T/M=")</f>
        <v>#VALUE!</v>
      </c>
      <c r="IK67" t="e">
        <f>AND('GA55 Entry'!J107,"AAAAADu/T/Q=")</f>
        <v>#VALUE!</v>
      </c>
      <c r="IL67" t="e">
        <f>AND('GA55 Entry'!#REF!,"AAAAADu/T/U=")</f>
        <v>#REF!</v>
      </c>
      <c r="IM67" t="e">
        <f>AND('GA55 Entry'!K107,"AAAAADu/T/Y=")</f>
        <v>#VALUE!</v>
      </c>
      <c r="IN67" t="e">
        <f>AND('GA55 Entry'!L107,"AAAAADu/T/c=")</f>
        <v>#VALUE!</v>
      </c>
      <c r="IO67" t="e">
        <f>AND('GA55 Entry'!M107,"AAAAADu/T/g=")</f>
        <v>#VALUE!</v>
      </c>
      <c r="IP67" t="e">
        <f>AND('GA55 Entry'!N107,"AAAAADu/T/k=")</f>
        <v>#VALUE!</v>
      </c>
      <c r="IQ67" t="e">
        <f>AND('GA55 Entry'!O107,"AAAAADu/T/o=")</f>
        <v>#VALUE!</v>
      </c>
      <c r="IR67" t="e">
        <f>AND('GA55 Entry'!P107,"AAAAADu/T/s=")</f>
        <v>#VALUE!</v>
      </c>
      <c r="IS67" t="e">
        <f>AND('GA55 Entry'!Q107,"AAAAADu/T/w=")</f>
        <v>#VALUE!</v>
      </c>
      <c r="IT67" t="e">
        <f>AND('GA55 Entry'!S107,"AAAAADu/T/0=")</f>
        <v>#VALUE!</v>
      </c>
      <c r="IU67" t="e">
        <f>AND('GA55 Entry'!#REF!,"AAAAADu/T/4=")</f>
        <v>#REF!</v>
      </c>
      <c r="IV67" t="e">
        <f>AND('GA55 Entry'!T107,"AAAAADu/T/8=")</f>
        <v>#VALUE!</v>
      </c>
    </row>
    <row r="68" spans="1:256">
      <c r="A68" t="e">
        <f>AND('GA55 Entry'!U107,"AAAAAH//PwA=")</f>
        <v>#VALUE!</v>
      </c>
      <c r="B68" t="e">
        <f>AND('GA55 Entry'!V107,"AAAAAH//PwE=")</f>
        <v>#VALUE!</v>
      </c>
      <c r="C68" t="e">
        <f>AND('GA55 Entry'!#REF!,"AAAAAH//PwI=")</f>
        <v>#REF!</v>
      </c>
      <c r="D68" t="e">
        <f>AND('GA55 Entry'!#REF!,"AAAAAH//PwM=")</f>
        <v>#REF!</v>
      </c>
      <c r="E68" t="e">
        <f>AND('GA55 Entry'!X107,"AAAAAH//PwQ=")</f>
        <v>#VALUE!</v>
      </c>
      <c r="F68" t="e">
        <f>AND('GA55 Entry'!Y107,"AAAAAH//PwU=")</f>
        <v>#VALUE!</v>
      </c>
      <c r="G68" t="e">
        <f>AND('GA55 Entry'!#REF!,"AAAAAH//PwY=")</f>
        <v>#REF!</v>
      </c>
      <c r="H68" t="e">
        <f>AND('GA55 Entry'!#REF!,"AAAAAH//Pwc=")</f>
        <v>#REF!</v>
      </c>
      <c r="I68" t="e">
        <f>AND('GA55 Entry'!#REF!,"AAAAAH//Pwg=")</f>
        <v>#REF!</v>
      </c>
      <c r="J68" t="e">
        <f>AND('GA55 Entry'!#REF!,"AAAAAH//Pwk=")</f>
        <v>#REF!</v>
      </c>
      <c r="K68" t="e">
        <f>AND('GA55 Entry'!#REF!,"AAAAAH//Pwo=")</f>
        <v>#REF!</v>
      </c>
      <c r="L68" t="e">
        <f>AND('GA55 Entry'!#REF!,"AAAAAH//Pws=")</f>
        <v>#REF!</v>
      </c>
      <c r="M68" t="e">
        <f>AND('GA55 Entry'!#REF!,"AAAAAH//Pww=")</f>
        <v>#REF!</v>
      </c>
      <c r="N68" t="e">
        <f>AND('GA55 Entry'!#REF!,"AAAAAH//Pw0=")</f>
        <v>#REF!</v>
      </c>
      <c r="O68" t="e">
        <f>AND('GA55 Entry'!#REF!,"AAAAAH//Pw4=")</f>
        <v>#REF!</v>
      </c>
      <c r="P68" t="e">
        <f>AND('GA55 Entry'!Z107,"AAAAAH//Pw8=")</f>
        <v>#VALUE!</v>
      </c>
      <c r="Q68" t="e">
        <f>AND('GA55 Entry'!AA107,"AAAAAH//PxA=")</f>
        <v>#VALUE!</v>
      </c>
      <c r="R68" t="e">
        <f>AND('GA55 Entry'!#REF!,"AAAAAH//PxE=")</f>
        <v>#REF!</v>
      </c>
      <c r="S68" t="e">
        <f>AND('GA55 Entry'!#REF!,"AAAAAH//PxI=")</f>
        <v>#REF!</v>
      </c>
      <c r="T68" t="e">
        <f>AND('GA55 Entry'!#REF!,"AAAAAH//PxM=")</f>
        <v>#REF!</v>
      </c>
      <c r="U68" t="e">
        <f>AND('GA55 Entry'!AB107,"AAAAAH//PxQ=")</f>
        <v>#VALUE!</v>
      </c>
      <c r="V68" t="e">
        <f>AND('GA55 Entry'!AC107,"AAAAAH//PxU=")</f>
        <v>#VALUE!</v>
      </c>
      <c r="W68" t="e">
        <f>AND('GA55 Entry'!#REF!,"AAAAAH//PxY=")</f>
        <v>#REF!</v>
      </c>
      <c r="X68">
        <f>IF('GA55 Entry'!108:108,"AAAAAH//Pxc=",0)</f>
        <v>0</v>
      </c>
      <c r="Y68" t="e">
        <f>AND('GA55 Entry'!B108,"AAAAAH//Pxg=")</f>
        <v>#VALUE!</v>
      </c>
      <c r="Z68" t="e">
        <f>AND('GA55 Entry'!#REF!,"AAAAAH//Pxk=")</f>
        <v>#REF!</v>
      </c>
      <c r="AA68" t="e">
        <f>AND('GA55 Entry'!C108,"AAAAAH//Pxo=")</f>
        <v>#VALUE!</v>
      </c>
      <c r="AB68" t="e">
        <f>AND('GA55 Entry'!#REF!,"AAAAAH//Pxs=")</f>
        <v>#REF!</v>
      </c>
      <c r="AC68" t="e">
        <f>AND('GA55 Entry'!#REF!,"AAAAAH//Pxw=")</f>
        <v>#REF!</v>
      </c>
      <c r="AD68" t="e">
        <f>AND('GA55 Entry'!#REF!,"AAAAAH//Px0=")</f>
        <v>#REF!</v>
      </c>
      <c r="AE68" t="e">
        <f>AND('GA55 Entry'!#REF!,"AAAAAH//Px4=")</f>
        <v>#REF!</v>
      </c>
      <c r="AF68" t="e">
        <f>AND('GA55 Entry'!#REF!,"AAAAAH//Px8=")</f>
        <v>#REF!</v>
      </c>
      <c r="AG68" t="e">
        <f>AND('GA55 Entry'!D108,"AAAAAH//PyA=")</f>
        <v>#VALUE!</v>
      </c>
      <c r="AH68" t="e">
        <f>AND('GA55 Entry'!#REF!,"AAAAAH//PyE=")</f>
        <v>#REF!</v>
      </c>
      <c r="AI68" t="e">
        <f>AND('GA55 Entry'!E108,"AAAAAH//PyI=")</f>
        <v>#VALUE!</v>
      </c>
      <c r="AJ68" t="e">
        <f>AND('GA55 Entry'!F108,"AAAAAH//PyM=")</f>
        <v>#VALUE!</v>
      </c>
      <c r="AK68" t="e">
        <f>AND('GA55 Entry'!G108,"AAAAAH//PyQ=")</f>
        <v>#VALUE!</v>
      </c>
      <c r="AL68" t="e">
        <f>AND('GA55 Entry'!H108,"AAAAAH//PyU=")</f>
        <v>#VALUE!</v>
      </c>
      <c r="AM68" t="e">
        <f>AND('GA55 Entry'!I108,"AAAAAH//PyY=")</f>
        <v>#VALUE!</v>
      </c>
      <c r="AN68" t="e">
        <f>AND('GA55 Entry'!J108,"AAAAAH//Pyc=")</f>
        <v>#VALUE!</v>
      </c>
      <c r="AO68" t="e">
        <f>AND('GA55 Entry'!#REF!,"AAAAAH//Pyg=")</f>
        <v>#REF!</v>
      </c>
      <c r="AP68" t="e">
        <f>AND('GA55 Entry'!K108,"AAAAAH//Pyk=")</f>
        <v>#VALUE!</v>
      </c>
      <c r="AQ68" t="e">
        <f>AND('GA55 Entry'!L108,"AAAAAH//Pyo=")</f>
        <v>#VALUE!</v>
      </c>
      <c r="AR68" t="e">
        <f>AND('GA55 Entry'!M108,"AAAAAH//Pys=")</f>
        <v>#VALUE!</v>
      </c>
      <c r="AS68" t="e">
        <f>AND('GA55 Entry'!N108,"AAAAAH//Pyw=")</f>
        <v>#VALUE!</v>
      </c>
      <c r="AT68" t="e">
        <f>AND('GA55 Entry'!O108,"AAAAAH//Py0=")</f>
        <v>#VALUE!</v>
      </c>
      <c r="AU68" t="e">
        <f>AND('GA55 Entry'!P108,"AAAAAH//Py4=")</f>
        <v>#VALUE!</v>
      </c>
      <c r="AV68" t="e">
        <f>AND('GA55 Entry'!Q108,"AAAAAH//Py8=")</f>
        <v>#VALUE!</v>
      </c>
      <c r="AW68" t="e">
        <f>AND('GA55 Entry'!S108,"AAAAAH//PzA=")</f>
        <v>#VALUE!</v>
      </c>
      <c r="AX68" t="e">
        <f>AND('GA55 Entry'!#REF!,"AAAAAH//PzE=")</f>
        <v>#REF!</v>
      </c>
      <c r="AY68" t="e">
        <f>AND('GA55 Entry'!T108,"AAAAAH//PzI=")</f>
        <v>#VALUE!</v>
      </c>
      <c r="AZ68" t="e">
        <f>AND('GA55 Entry'!U108,"AAAAAH//PzM=")</f>
        <v>#VALUE!</v>
      </c>
      <c r="BA68" t="e">
        <f>AND('GA55 Entry'!V108,"AAAAAH//PzQ=")</f>
        <v>#VALUE!</v>
      </c>
      <c r="BB68" t="e">
        <f>AND('GA55 Entry'!#REF!,"AAAAAH//PzU=")</f>
        <v>#REF!</v>
      </c>
      <c r="BC68" t="e">
        <f>AND('GA55 Entry'!#REF!,"AAAAAH//PzY=")</f>
        <v>#REF!</v>
      </c>
      <c r="BD68" t="e">
        <f>AND('GA55 Entry'!X108,"AAAAAH//Pzc=")</f>
        <v>#VALUE!</v>
      </c>
      <c r="BE68" t="e">
        <f>AND('GA55 Entry'!Y108,"AAAAAH//Pzg=")</f>
        <v>#VALUE!</v>
      </c>
      <c r="BF68" t="e">
        <f>AND('GA55 Entry'!#REF!,"AAAAAH//Pzk=")</f>
        <v>#REF!</v>
      </c>
      <c r="BG68" t="e">
        <f>AND('GA55 Entry'!#REF!,"AAAAAH//Pzo=")</f>
        <v>#REF!</v>
      </c>
      <c r="BH68" t="e">
        <f>AND('GA55 Entry'!#REF!,"AAAAAH//Pzs=")</f>
        <v>#REF!</v>
      </c>
      <c r="BI68" t="e">
        <f>AND('GA55 Entry'!#REF!,"AAAAAH//Pzw=")</f>
        <v>#REF!</v>
      </c>
      <c r="BJ68" t="e">
        <f>AND('GA55 Entry'!#REF!,"AAAAAH//Pz0=")</f>
        <v>#REF!</v>
      </c>
      <c r="BK68" t="e">
        <f>AND('GA55 Entry'!#REF!,"AAAAAH//Pz4=")</f>
        <v>#REF!</v>
      </c>
      <c r="BL68" t="e">
        <f>AND('GA55 Entry'!#REF!,"AAAAAH//Pz8=")</f>
        <v>#REF!</v>
      </c>
      <c r="BM68" t="e">
        <f>AND('GA55 Entry'!#REF!,"AAAAAH//P0A=")</f>
        <v>#REF!</v>
      </c>
      <c r="BN68" t="e">
        <f>AND('GA55 Entry'!#REF!,"AAAAAH//P0E=")</f>
        <v>#REF!</v>
      </c>
      <c r="BO68" t="e">
        <f>AND('GA55 Entry'!Z108,"AAAAAH//P0I=")</f>
        <v>#VALUE!</v>
      </c>
      <c r="BP68" t="e">
        <f>AND('GA55 Entry'!AA108,"AAAAAH//P0M=")</f>
        <v>#VALUE!</v>
      </c>
      <c r="BQ68" t="e">
        <f>AND('GA55 Entry'!#REF!,"AAAAAH//P0Q=")</f>
        <v>#REF!</v>
      </c>
      <c r="BR68" t="e">
        <f>AND('GA55 Entry'!#REF!,"AAAAAH//P0U=")</f>
        <v>#REF!</v>
      </c>
      <c r="BS68" t="e">
        <f>AND('GA55 Entry'!#REF!,"AAAAAH//P0Y=")</f>
        <v>#REF!</v>
      </c>
      <c r="BT68" t="e">
        <f>AND('GA55 Entry'!AB108,"AAAAAH//P0c=")</f>
        <v>#VALUE!</v>
      </c>
      <c r="BU68" t="e">
        <f>AND('GA55 Entry'!AC108,"AAAAAH//P0g=")</f>
        <v>#VALUE!</v>
      </c>
      <c r="BV68" t="e">
        <f>AND('GA55 Entry'!#REF!,"AAAAAH//P0k=")</f>
        <v>#REF!</v>
      </c>
      <c r="BW68">
        <f>IF('GA55 Entry'!109:109,"AAAAAH//P0o=",0)</f>
        <v>0</v>
      </c>
      <c r="BX68" t="e">
        <f>AND('GA55 Entry'!B109,"AAAAAH//P0s=")</f>
        <v>#VALUE!</v>
      </c>
      <c r="BY68" t="e">
        <f>AND('GA55 Entry'!#REF!,"AAAAAH//P0w=")</f>
        <v>#REF!</v>
      </c>
      <c r="BZ68" t="e">
        <f>AND('GA55 Entry'!C109,"AAAAAH//P00=")</f>
        <v>#VALUE!</v>
      </c>
      <c r="CA68" t="e">
        <f>AND('GA55 Entry'!#REF!,"AAAAAH//P04=")</f>
        <v>#REF!</v>
      </c>
      <c r="CB68" t="e">
        <f>AND('GA55 Entry'!#REF!,"AAAAAH//P08=")</f>
        <v>#REF!</v>
      </c>
      <c r="CC68" t="e">
        <f>AND('GA55 Entry'!#REF!,"AAAAAH//P1A=")</f>
        <v>#REF!</v>
      </c>
      <c r="CD68" t="e">
        <f>AND('GA55 Entry'!#REF!,"AAAAAH//P1E=")</f>
        <v>#REF!</v>
      </c>
      <c r="CE68" t="e">
        <f>AND('GA55 Entry'!#REF!,"AAAAAH//P1I=")</f>
        <v>#REF!</v>
      </c>
      <c r="CF68" t="e">
        <f>AND('GA55 Entry'!D109,"AAAAAH//P1M=")</f>
        <v>#VALUE!</v>
      </c>
      <c r="CG68" t="e">
        <f>AND('GA55 Entry'!#REF!,"AAAAAH//P1Q=")</f>
        <v>#REF!</v>
      </c>
      <c r="CH68" t="e">
        <f>AND('GA55 Entry'!E109,"AAAAAH//P1U=")</f>
        <v>#VALUE!</v>
      </c>
      <c r="CI68" t="e">
        <f>AND('GA55 Entry'!F109,"AAAAAH//P1Y=")</f>
        <v>#VALUE!</v>
      </c>
      <c r="CJ68" t="e">
        <f>AND('GA55 Entry'!G109,"AAAAAH//P1c=")</f>
        <v>#VALUE!</v>
      </c>
      <c r="CK68" t="e">
        <f>AND('GA55 Entry'!H109,"AAAAAH//P1g=")</f>
        <v>#VALUE!</v>
      </c>
      <c r="CL68" t="e">
        <f>AND('GA55 Entry'!I109,"AAAAAH//P1k=")</f>
        <v>#VALUE!</v>
      </c>
      <c r="CM68" t="e">
        <f>AND('GA55 Entry'!J109,"AAAAAH//P1o=")</f>
        <v>#VALUE!</v>
      </c>
      <c r="CN68" t="e">
        <f>AND('GA55 Entry'!#REF!,"AAAAAH//P1s=")</f>
        <v>#REF!</v>
      </c>
      <c r="CO68" t="e">
        <f>AND('GA55 Entry'!K109,"AAAAAH//P1w=")</f>
        <v>#VALUE!</v>
      </c>
      <c r="CP68" t="e">
        <f>AND('GA55 Entry'!L109,"AAAAAH//P10=")</f>
        <v>#VALUE!</v>
      </c>
      <c r="CQ68" t="e">
        <f>AND('GA55 Entry'!M109,"AAAAAH//P14=")</f>
        <v>#VALUE!</v>
      </c>
      <c r="CR68" t="e">
        <f>AND('GA55 Entry'!N109,"AAAAAH//P18=")</f>
        <v>#VALUE!</v>
      </c>
      <c r="CS68" t="e">
        <f>AND('GA55 Entry'!O109,"AAAAAH//P2A=")</f>
        <v>#VALUE!</v>
      </c>
      <c r="CT68" t="e">
        <f>AND('GA55 Entry'!P109,"AAAAAH//P2E=")</f>
        <v>#VALUE!</v>
      </c>
      <c r="CU68" t="e">
        <f>AND('GA55 Entry'!Q109,"AAAAAH//P2I=")</f>
        <v>#VALUE!</v>
      </c>
      <c r="CV68" t="e">
        <f>AND('GA55 Entry'!S109,"AAAAAH//P2M=")</f>
        <v>#VALUE!</v>
      </c>
      <c r="CW68" t="e">
        <f>AND('GA55 Entry'!#REF!,"AAAAAH//P2Q=")</f>
        <v>#REF!</v>
      </c>
      <c r="CX68" t="e">
        <f>AND('GA55 Entry'!T109,"AAAAAH//P2U=")</f>
        <v>#VALUE!</v>
      </c>
      <c r="CY68" t="e">
        <f>AND('GA55 Entry'!U109,"AAAAAH//P2Y=")</f>
        <v>#VALUE!</v>
      </c>
      <c r="CZ68" t="e">
        <f>AND('GA55 Entry'!V109,"AAAAAH//P2c=")</f>
        <v>#VALUE!</v>
      </c>
      <c r="DA68" t="e">
        <f>AND('GA55 Entry'!#REF!,"AAAAAH//P2g=")</f>
        <v>#REF!</v>
      </c>
      <c r="DB68" t="e">
        <f>AND('GA55 Entry'!#REF!,"AAAAAH//P2k=")</f>
        <v>#REF!</v>
      </c>
      <c r="DC68" t="e">
        <f>AND('GA55 Entry'!X109,"AAAAAH//P2o=")</f>
        <v>#VALUE!</v>
      </c>
      <c r="DD68" t="e">
        <f>AND('GA55 Entry'!Y109,"AAAAAH//P2s=")</f>
        <v>#VALUE!</v>
      </c>
      <c r="DE68" t="e">
        <f>AND('GA55 Entry'!#REF!,"AAAAAH//P2w=")</f>
        <v>#REF!</v>
      </c>
      <c r="DF68" t="e">
        <f>AND('GA55 Entry'!#REF!,"AAAAAH//P20=")</f>
        <v>#REF!</v>
      </c>
      <c r="DG68" t="e">
        <f>AND('GA55 Entry'!#REF!,"AAAAAH//P24=")</f>
        <v>#REF!</v>
      </c>
      <c r="DH68" t="e">
        <f>AND('GA55 Entry'!#REF!,"AAAAAH//P28=")</f>
        <v>#REF!</v>
      </c>
      <c r="DI68" t="e">
        <f>AND('GA55 Entry'!#REF!,"AAAAAH//P3A=")</f>
        <v>#REF!</v>
      </c>
      <c r="DJ68" t="e">
        <f>AND('GA55 Entry'!#REF!,"AAAAAH//P3E=")</f>
        <v>#REF!</v>
      </c>
      <c r="DK68" t="e">
        <f>AND('GA55 Entry'!#REF!,"AAAAAH//P3I=")</f>
        <v>#REF!</v>
      </c>
      <c r="DL68" t="e">
        <f>AND('GA55 Entry'!#REF!,"AAAAAH//P3M=")</f>
        <v>#REF!</v>
      </c>
      <c r="DM68" t="e">
        <f>AND('GA55 Entry'!#REF!,"AAAAAH//P3Q=")</f>
        <v>#REF!</v>
      </c>
      <c r="DN68" t="e">
        <f>AND('GA55 Entry'!Z109,"AAAAAH//P3U=")</f>
        <v>#VALUE!</v>
      </c>
      <c r="DO68" t="e">
        <f>AND('GA55 Entry'!AA109,"AAAAAH//P3Y=")</f>
        <v>#VALUE!</v>
      </c>
      <c r="DP68" t="e">
        <f>AND('GA55 Entry'!#REF!,"AAAAAH//P3c=")</f>
        <v>#REF!</v>
      </c>
      <c r="DQ68" t="e">
        <f>AND('GA55 Entry'!#REF!,"AAAAAH//P3g=")</f>
        <v>#REF!</v>
      </c>
      <c r="DR68" t="e">
        <f>AND('GA55 Entry'!#REF!,"AAAAAH//P3k=")</f>
        <v>#REF!</v>
      </c>
      <c r="DS68" t="e">
        <f>AND('GA55 Entry'!AB109,"AAAAAH//P3o=")</f>
        <v>#VALUE!</v>
      </c>
      <c r="DT68" t="e">
        <f>AND('GA55 Entry'!AC109,"AAAAAH//P3s=")</f>
        <v>#VALUE!</v>
      </c>
      <c r="DU68" t="e">
        <f>AND('GA55 Entry'!#REF!,"AAAAAH//P3w=")</f>
        <v>#REF!</v>
      </c>
      <c r="DV68">
        <f>IF('GA55 Entry'!110:110,"AAAAAH//P30=",0)</f>
        <v>0</v>
      </c>
      <c r="DW68" t="e">
        <f>AND('GA55 Entry'!B110,"AAAAAH//P34=")</f>
        <v>#VALUE!</v>
      </c>
      <c r="DX68" t="e">
        <f>AND('GA55 Entry'!#REF!,"AAAAAH//P38=")</f>
        <v>#REF!</v>
      </c>
      <c r="DY68" t="e">
        <f>AND('GA55 Entry'!C110,"AAAAAH//P4A=")</f>
        <v>#VALUE!</v>
      </c>
      <c r="DZ68" t="e">
        <f>AND('GA55 Entry'!#REF!,"AAAAAH//P4E=")</f>
        <v>#REF!</v>
      </c>
      <c r="EA68" t="e">
        <f>AND('GA55 Entry'!#REF!,"AAAAAH//P4I=")</f>
        <v>#REF!</v>
      </c>
      <c r="EB68" t="e">
        <f>AND('GA55 Entry'!#REF!,"AAAAAH//P4M=")</f>
        <v>#REF!</v>
      </c>
      <c r="EC68" t="e">
        <f>AND('GA55 Entry'!#REF!,"AAAAAH//P4Q=")</f>
        <v>#REF!</v>
      </c>
      <c r="ED68" t="e">
        <f>AND('GA55 Entry'!#REF!,"AAAAAH//P4U=")</f>
        <v>#REF!</v>
      </c>
      <c r="EE68" t="e">
        <f>AND('GA55 Entry'!D110,"AAAAAH//P4Y=")</f>
        <v>#VALUE!</v>
      </c>
      <c r="EF68" t="e">
        <f>AND('GA55 Entry'!#REF!,"AAAAAH//P4c=")</f>
        <v>#REF!</v>
      </c>
      <c r="EG68" t="e">
        <f>AND('GA55 Entry'!E110,"AAAAAH//P4g=")</f>
        <v>#VALUE!</v>
      </c>
      <c r="EH68" t="e">
        <f>AND('GA55 Entry'!F110,"AAAAAH//P4k=")</f>
        <v>#VALUE!</v>
      </c>
      <c r="EI68" t="e">
        <f>AND('GA55 Entry'!G110,"AAAAAH//P4o=")</f>
        <v>#VALUE!</v>
      </c>
      <c r="EJ68" t="e">
        <f>AND('GA55 Entry'!H110,"AAAAAH//P4s=")</f>
        <v>#VALUE!</v>
      </c>
      <c r="EK68" t="e">
        <f>AND('GA55 Entry'!I110,"AAAAAH//P4w=")</f>
        <v>#VALUE!</v>
      </c>
      <c r="EL68" t="e">
        <f>AND('GA55 Entry'!J110,"AAAAAH//P40=")</f>
        <v>#VALUE!</v>
      </c>
      <c r="EM68" t="e">
        <f>AND('GA55 Entry'!#REF!,"AAAAAH//P44=")</f>
        <v>#REF!</v>
      </c>
      <c r="EN68" t="e">
        <f>AND('GA55 Entry'!K110,"AAAAAH//P48=")</f>
        <v>#VALUE!</v>
      </c>
      <c r="EO68" t="e">
        <f>AND('GA55 Entry'!L110,"AAAAAH//P5A=")</f>
        <v>#VALUE!</v>
      </c>
      <c r="EP68" t="e">
        <f>AND('GA55 Entry'!M110,"AAAAAH//P5E=")</f>
        <v>#VALUE!</v>
      </c>
      <c r="EQ68" t="e">
        <f>AND('GA55 Entry'!N110,"AAAAAH//P5I=")</f>
        <v>#VALUE!</v>
      </c>
      <c r="ER68" t="e">
        <f>AND('GA55 Entry'!O110,"AAAAAH//P5M=")</f>
        <v>#VALUE!</v>
      </c>
      <c r="ES68" t="e">
        <f>AND('GA55 Entry'!P110,"AAAAAH//P5Q=")</f>
        <v>#VALUE!</v>
      </c>
      <c r="ET68" t="e">
        <f>AND('GA55 Entry'!Q110,"AAAAAH//P5U=")</f>
        <v>#VALUE!</v>
      </c>
      <c r="EU68" t="e">
        <f>AND('GA55 Entry'!S110,"AAAAAH//P5Y=")</f>
        <v>#VALUE!</v>
      </c>
      <c r="EV68" t="e">
        <f>AND('GA55 Entry'!#REF!,"AAAAAH//P5c=")</f>
        <v>#REF!</v>
      </c>
      <c r="EW68" t="e">
        <f>AND('GA55 Entry'!T110,"AAAAAH//P5g=")</f>
        <v>#VALUE!</v>
      </c>
      <c r="EX68" t="e">
        <f>AND('GA55 Entry'!U110,"AAAAAH//P5k=")</f>
        <v>#VALUE!</v>
      </c>
      <c r="EY68" t="e">
        <f>AND('GA55 Entry'!V110,"AAAAAH//P5o=")</f>
        <v>#VALUE!</v>
      </c>
      <c r="EZ68" t="e">
        <f>AND('GA55 Entry'!#REF!,"AAAAAH//P5s=")</f>
        <v>#REF!</v>
      </c>
      <c r="FA68" t="e">
        <f>AND('GA55 Entry'!#REF!,"AAAAAH//P5w=")</f>
        <v>#REF!</v>
      </c>
      <c r="FB68" t="e">
        <f>AND('GA55 Entry'!X110,"AAAAAH//P50=")</f>
        <v>#VALUE!</v>
      </c>
      <c r="FC68" t="e">
        <f>AND('GA55 Entry'!Y110,"AAAAAH//P54=")</f>
        <v>#VALUE!</v>
      </c>
      <c r="FD68" t="e">
        <f>AND('GA55 Entry'!#REF!,"AAAAAH//P58=")</f>
        <v>#REF!</v>
      </c>
      <c r="FE68" t="e">
        <f>AND('GA55 Entry'!#REF!,"AAAAAH//P6A=")</f>
        <v>#REF!</v>
      </c>
      <c r="FF68" t="e">
        <f>AND('GA55 Entry'!#REF!,"AAAAAH//P6E=")</f>
        <v>#REF!</v>
      </c>
      <c r="FG68" t="e">
        <f>AND('GA55 Entry'!#REF!,"AAAAAH//P6I=")</f>
        <v>#REF!</v>
      </c>
      <c r="FH68" t="e">
        <f>AND('GA55 Entry'!#REF!,"AAAAAH//P6M=")</f>
        <v>#REF!</v>
      </c>
      <c r="FI68" t="e">
        <f>AND('GA55 Entry'!#REF!,"AAAAAH//P6Q=")</f>
        <v>#REF!</v>
      </c>
      <c r="FJ68" t="e">
        <f>AND('GA55 Entry'!#REF!,"AAAAAH//P6U=")</f>
        <v>#REF!</v>
      </c>
      <c r="FK68" t="e">
        <f>AND('GA55 Entry'!#REF!,"AAAAAH//P6Y=")</f>
        <v>#REF!</v>
      </c>
      <c r="FL68" t="e">
        <f>AND('GA55 Entry'!#REF!,"AAAAAH//P6c=")</f>
        <v>#REF!</v>
      </c>
      <c r="FM68" t="e">
        <f>AND('GA55 Entry'!Z110,"AAAAAH//P6g=")</f>
        <v>#VALUE!</v>
      </c>
      <c r="FN68" t="e">
        <f>AND('GA55 Entry'!AA110,"AAAAAH//P6k=")</f>
        <v>#VALUE!</v>
      </c>
      <c r="FO68" t="e">
        <f>AND('GA55 Entry'!#REF!,"AAAAAH//P6o=")</f>
        <v>#REF!</v>
      </c>
      <c r="FP68" t="e">
        <f>AND('GA55 Entry'!#REF!,"AAAAAH//P6s=")</f>
        <v>#REF!</v>
      </c>
      <c r="FQ68" t="e">
        <f>AND('GA55 Entry'!#REF!,"AAAAAH//P6w=")</f>
        <v>#REF!</v>
      </c>
      <c r="FR68" t="e">
        <f>AND('GA55 Entry'!AB110,"AAAAAH//P60=")</f>
        <v>#VALUE!</v>
      </c>
      <c r="FS68" t="e">
        <f>AND('GA55 Entry'!AC110,"AAAAAH//P64=")</f>
        <v>#VALUE!</v>
      </c>
      <c r="FT68" t="e">
        <f>AND('GA55 Entry'!#REF!,"AAAAAH//P68=")</f>
        <v>#REF!</v>
      </c>
      <c r="FU68">
        <f>IF('GA55 Entry'!111:111,"AAAAAH//P7A=",0)</f>
        <v>0</v>
      </c>
      <c r="FV68" t="e">
        <f>AND('GA55 Entry'!B111,"AAAAAH//P7E=")</f>
        <v>#VALUE!</v>
      </c>
      <c r="FW68" t="e">
        <f>AND('GA55 Entry'!#REF!,"AAAAAH//P7I=")</f>
        <v>#REF!</v>
      </c>
      <c r="FX68" t="e">
        <f>AND('GA55 Entry'!C111,"AAAAAH//P7M=")</f>
        <v>#VALUE!</v>
      </c>
      <c r="FY68" t="e">
        <f>AND('GA55 Entry'!#REF!,"AAAAAH//P7Q=")</f>
        <v>#REF!</v>
      </c>
      <c r="FZ68" t="e">
        <f>AND('GA55 Entry'!#REF!,"AAAAAH//P7U=")</f>
        <v>#REF!</v>
      </c>
      <c r="GA68" t="e">
        <f>AND('GA55 Entry'!#REF!,"AAAAAH//P7Y=")</f>
        <v>#REF!</v>
      </c>
      <c r="GB68" t="e">
        <f>AND('GA55 Entry'!#REF!,"AAAAAH//P7c=")</f>
        <v>#REF!</v>
      </c>
      <c r="GC68" t="e">
        <f>AND('GA55 Entry'!#REF!,"AAAAAH//P7g=")</f>
        <v>#REF!</v>
      </c>
      <c r="GD68" t="e">
        <f>AND('GA55 Entry'!D111,"AAAAAH//P7k=")</f>
        <v>#VALUE!</v>
      </c>
      <c r="GE68" t="e">
        <f>AND('GA55 Entry'!#REF!,"AAAAAH//P7o=")</f>
        <v>#REF!</v>
      </c>
      <c r="GF68" t="e">
        <f>AND('GA55 Entry'!E111,"AAAAAH//P7s=")</f>
        <v>#VALUE!</v>
      </c>
      <c r="GG68" t="e">
        <f>AND('GA55 Entry'!F111,"AAAAAH//P7w=")</f>
        <v>#VALUE!</v>
      </c>
      <c r="GH68" t="e">
        <f>AND('GA55 Entry'!G111,"AAAAAH//P70=")</f>
        <v>#VALUE!</v>
      </c>
      <c r="GI68" t="e">
        <f>AND('GA55 Entry'!H111,"AAAAAH//P74=")</f>
        <v>#VALUE!</v>
      </c>
      <c r="GJ68" t="e">
        <f>AND('GA55 Entry'!I111,"AAAAAH//P78=")</f>
        <v>#VALUE!</v>
      </c>
      <c r="GK68" t="e">
        <f>AND('GA55 Entry'!J111,"AAAAAH//P8A=")</f>
        <v>#VALUE!</v>
      </c>
      <c r="GL68" t="e">
        <f>AND('GA55 Entry'!#REF!,"AAAAAH//P8E=")</f>
        <v>#REF!</v>
      </c>
      <c r="GM68" t="e">
        <f>AND('GA55 Entry'!K111,"AAAAAH//P8I=")</f>
        <v>#VALUE!</v>
      </c>
      <c r="GN68" t="e">
        <f>AND('GA55 Entry'!L111,"AAAAAH//P8M=")</f>
        <v>#VALUE!</v>
      </c>
      <c r="GO68" t="e">
        <f>AND('GA55 Entry'!M111,"AAAAAH//P8Q=")</f>
        <v>#VALUE!</v>
      </c>
      <c r="GP68" t="e">
        <f>AND('GA55 Entry'!N111,"AAAAAH//P8U=")</f>
        <v>#VALUE!</v>
      </c>
      <c r="GQ68" t="e">
        <f>AND('GA55 Entry'!O111,"AAAAAH//P8Y=")</f>
        <v>#VALUE!</v>
      </c>
      <c r="GR68" t="e">
        <f>AND('GA55 Entry'!P111,"AAAAAH//P8c=")</f>
        <v>#VALUE!</v>
      </c>
      <c r="GS68" t="e">
        <f>AND('GA55 Entry'!Q111,"AAAAAH//P8g=")</f>
        <v>#VALUE!</v>
      </c>
      <c r="GT68" t="e">
        <f>AND('GA55 Entry'!S111,"AAAAAH//P8k=")</f>
        <v>#VALUE!</v>
      </c>
      <c r="GU68" t="e">
        <f>AND('GA55 Entry'!#REF!,"AAAAAH//P8o=")</f>
        <v>#REF!</v>
      </c>
      <c r="GV68" t="e">
        <f>AND('GA55 Entry'!T111,"AAAAAH//P8s=")</f>
        <v>#VALUE!</v>
      </c>
      <c r="GW68" t="e">
        <f>AND('GA55 Entry'!U111,"AAAAAH//P8w=")</f>
        <v>#VALUE!</v>
      </c>
      <c r="GX68" t="e">
        <f>AND('GA55 Entry'!V111,"AAAAAH//P80=")</f>
        <v>#VALUE!</v>
      </c>
      <c r="GY68" t="e">
        <f>AND('GA55 Entry'!#REF!,"AAAAAH//P84=")</f>
        <v>#REF!</v>
      </c>
      <c r="GZ68" t="e">
        <f>AND('GA55 Entry'!#REF!,"AAAAAH//P88=")</f>
        <v>#REF!</v>
      </c>
      <c r="HA68" t="e">
        <f>AND('GA55 Entry'!X111,"AAAAAH//P9A=")</f>
        <v>#VALUE!</v>
      </c>
      <c r="HB68" t="e">
        <f>AND('GA55 Entry'!Y111,"AAAAAH//P9E=")</f>
        <v>#VALUE!</v>
      </c>
      <c r="HC68" t="e">
        <f>AND('GA55 Entry'!#REF!,"AAAAAH//P9I=")</f>
        <v>#REF!</v>
      </c>
      <c r="HD68" t="e">
        <f>AND('GA55 Entry'!#REF!,"AAAAAH//P9M=")</f>
        <v>#REF!</v>
      </c>
      <c r="HE68" t="e">
        <f>AND('GA55 Entry'!#REF!,"AAAAAH//P9Q=")</f>
        <v>#REF!</v>
      </c>
      <c r="HF68" t="e">
        <f>AND('GA55 Entry'!#REF!,"AAAAAH//P9U=")</f>
        <v>#REF!</v>
      </c>
      <c r="HG68" t="e">
        <f>AND('GA55 Entry'!#REF!,"AAAAAH//P9Y=")</f>
        <v>#REF!</v>
      </c>
      <c r="HH68" t="e">
        <f>AND('GA55 Entry'!#REF!,"AAAAAH//P9c=")</f>
        <v>#REF!</v>
      </c>
      <c r="HI68" t="e">
        <f>AND('GA55 Entry'!#REF!,"AAAAAH//P9g=")</f>
        <v>#REF!</v>
      </c>
      <c r="HJ68" t="e">
        <f>AND('GA55 Entry'!#REF!,"AAAAAH//P9k=")</f>
        <v>#REF!</v>
      </c>
      <c r="HK68" t="e">
        <f>AND('GA55 Entry'!#REF!,"AAAAAH//P9o=")</f>
        <v>#REF!</v>
      </c>
      <c r="HL68" t="e">
        <f>AND('GA55 Entry'!Z111,"AAAAAH//P9s=")</f>
        <v>#VALUE!</v>
      </c>
      <c r="HM68" t="e">
        <f>AND('GA55 Entry'!AA111,"AAAAAH//P9w=")</f>
        <v>#VALUE!</v>
      </c>
      <c r="HN68" t="e">
        <f>AND('GA55 Entry'!#REF!,"AAAAAH//P90=")</f>
        <v>#REF!</v>
      </c>
      <c r="HO68" t="e">
        <f>AND('GA55 Entry'!#REF!,"AAAAAH//P94=")</f>
        <v>#REF!</v>
      </c>
      <c r="HP68" t="e">
        <f>AND('GA55 Entry'!#REF!,"AAAAAH//P98=")</f>
        <v>#REF!</v>
      </c>
      <c r="HQ68" t="e">
        <f>AND('GA55 Entry'!AB111,"AAAAAH//P+A=")</f>
        <v>#VALUE!</v>
      </c>
      <c r="HR68" t="e">
        <f>AND('GA55 Entry'!AC111,"AAAAAH//P+E=")</f>
        <v>#VALUE!</v>
      </c>
      <c r="HS68" t="e">
        <f>AND('GA55 Entry'!#REF!,"AAAAAH//P+I=")</f>
        <v>#REF!</v>
      </c>
      <c r="HT68">
        <f>IF('GA55 Entry'!112:112,"AAAAAH//P+M=",0)</f>
        <v>0</v>
      </c>
      <c r="HU68" t="e">
        <f>AND('GA55 Entry'!B112,"AAAAAH//P+Q=")</f>
        <v>#VALUE!</v>
      </c>
      <c r="HV68" t="e">
        <f>AND('GA55 Entry'!#REF!,"AAAAAH//P+U=")</f>
        <v>#REF!</v>
      </c>
      <c r="HW68" t="e">
        <f>AND('GA55 Entry'!C112,"AAAAAH//P+Y=")</f>
        <v>#VALUE!</v>
      </c>
      <c r="HX68" t="e">
        <f>AND('GA55 Entry'!#REF!,"AAAAAH//P+c=")</f>
        <v>#REF!</v>
      </c>
      <c r="HY68" t="e">
        <f>AND('GA55 Entry'!#REF!,"AAAAAH//P+g=")</f>
        <v>#REF!</v>
      </c>
      <c r="HZ68" t="e">
        <f>AND('GA55 Entry'!#REF!,"AAAAAH//P+k=")</f>
        <v>#REF!</v>
      </c>
      <c r="IA68" t="e">
        <f>AND('GA55 Entry'!#REF!,"AAAAAH//P+o=")</f>
        <v>#REF!</v>
      </c>
      <c r="IB68" t="e">
        <f>AND('GA55 Entry'!#REF!,"AAAAAH//P+s=")</f>
        <v>#REF!</v>
      </c>
      <c r="IC68" t="e">
        <f>AND('GA55 Entry'!D112,"AAAAAH//P+w=")</f>
        <v>#VALUE!</v>
      </c>
      <c r="ID68" t="e">
        <f>AND('GA55 Entry'!#REF!,"AAAAAH//P+0=")</f>
        <v>#REF!</v>
      </c>
      <c r="IE68" t="e">
        <f>AND('GA55 Entry'!E112,"AAAAAH//P+4=")</f>
        <v>#VALUE!</v>
      </c>
      <c r="IF68" t="e">
        <f>AND('GA55 Entry'!F112,"AAAAAH//P+8=")</f>
        <v>#VALUE!</v>
      </c>
      <c r="IG68" t="e">
        <f>AND('GA55 Entry'!G112,"AAAAAH//P/A=")</f>
        <v>#VALUE!</v>
      </c>
      <c r="IH68" t="e">
        <f>AND('GA55 Entry'!H112,"AAAAAH//P/E=")</f>
        <v>#VALUE!</v>
      </c>
      <c r="II68" t="e">
        <f>AND('GA55 Entry'!I112,"AAAAAH//P/I=")</f>
        <v>#VALUE!</v>
      </c>
      <c r="IJ68" t="e">
        <f>AND('GA55 Entry'!J112,"AAAAAH//P/M=")</f>
        <v>#VALUE!</v>
      </c>
      <c r="IK68" t="e">
        <f>AND('GA55 Entry'!#REF!,"AAAAAH//P/Q=")</f>
        <v>#REF!</v>
      </c>
      <c r="IL68" t="e">
        <f>AND('GA55 Entry'!K112,"AAAAAH//P/U=")</f>
        <v>#VALUE!</v>
      </c>
      <c r="IM68" t="e">
        <f>AND('GA55 Entry'!L112,"AAAAAH//P/Y=")</f>
        <v>#VALUE!</v>
      </c>
      <c r="IN68" t="e">
        <f>AND('GA55 Entry'!M112,"AAAAAH//P/c=")</f>
        <v>#VALUE!</v>
      </c>
      <c r="IO68" t="e">
        <f>AND('GA55 Entry'!N112,"AAAAAH//P/g=")</f>
        <v>#VALUE!</v>
      </c>
      <c r="IP68" t="e">
        <f>AND('GA55 Entry'!O112,"AAAAAH//P/k=")</f>
        <v>#VALUE!</v>
      </c>
      <c r="IQ68" t="e">
        <f>AND('GA55 Entry'!P112,"AAAAAH//P/o=")</f>
        <v>#VALUE!</v>
      </c>
      <c r="IR68" t="e">
        <f>AND('GA55 Entry'!Q112,"AAAAAH//P/s=")</f>
        <v>#VALUE!</v>
      </c>
      <c r="IS68" t="e">
        <f>AND('GA55 Entry'!S112,"AAAAAH//P/w=")</f>
        <v>#VALUE!</v>
      </c>
      <c r="IT68" t="e">
        <f>AND('GA55 Entry'!#REF!,"AAAAAH//P/0=")</f>
        <v>#REF!</v>
      </c>
      <c r="IU68" t="e">
        <f>AND('GA55 Entry'!T112,"AAAAAH//P/4=")</f>
        <v>#VALUE!</v>
      </c>
      <c r="IV68" t="e">
        <f>AND('GA55 Entry'!U112,"AAAAAH//P/8=")</f>
        <v>#VALUE!</v>
      </c>
    </row>
    <row r="69" spans="1:256">
      <c r="A69" t="e">
        <f>AND('GA55 Entry'!V112,"AAAAAG/+5wA=")</f>
        <v>#VALUE!</v>
      </c>
      <c r="B69" t="e">
        <f>AND('GA55 Entry'!#REF!,"AAAAAG/+5wE=")</f>
        <v>#REF!</v>
      </c>
      <c r="C69" t="e">
        <f>AND('GA55 Entry'!#REF!,"AAAAAG/+5wI=")</f>
        <v>#REF!</v>
      </c>
      <c r="D69" t="e">
        <f>AND('GA55 Entry'!X112,"AAAAAG/+5wM=")</f>
        <v>#VALUE!</v>
      </c>
      <c r="E69" t="e">
        <f>AND('GA55 Entry'!Y112,"AAAAAG/+5wQ=")</f>
        <v>#VALUE!</v>
      </c>
      <c r="F69" t="e">
        <f>AND('GA55 Entry'!#REF!,"AAAAAG/+5wU=")</f>
        <v>#REF!</v>
      </c>
      <c r="G69" t="e">
        <f>AND('GA55 Entry'!#REF!,"AAAAAG/+5wY=")</f>
        <v>#REF!</v>
      </c>
      <c r="H69" t="e">
        <f>AND('GA55 Entry'!#REF!,"AAAAAG/+5wc=")</f>
        <v>#REF!</v>
      </c>
      <c r="I69" t="e">
        <f>AND('GA55 Entry'!#REF!,"AAAAAG/+5wg=")</f>
        <v>#REF!</v>
      </c>
      <c r="J69" t="e">
        <f>AND('GA55 Entry'!#REF!,"AAAAAG/+5wk=")</f>
        <v>#REF!</v>
      </c>
      <c r="K69" t="e">
        <f>AND('GA55 Entry'!#REF!,"AAAAAG/+5wo=")</f>
        <v>#REF!</v>
      </c>
      <c r="L69" t="e">
        <f>AND('GA55 Entry'!#REF!,"AAAAAG/+5ws=")</f>
        <v>#REF!</v>
      </c>
      <c r="M69" t="e">
        <f>AND('GA55 Entry'!#REF!,"AAAAAG/+5ww=")</f>
        <v>#REF!</v>
      </c>
      <c r="N69" t="e">
        <f>AND('GA55 Entry'!#REF!,"AAAAAG/+5w0=")</f>
        <v>#REF!</v>
      </c>
      <c r="O69" t="e">
        <f>AND('GA55 Entry'!Z112,"AAAAAG/+5w4=")</f>
        <v>#VALUE!</v>
      </c>
      <c r="P69" t="e">
        <f>AND('GA55 Entry'!AA112,"AAAAAG/+5w8=")</f>
        <v>#VALUE!</v>
      </c>
      <c r="Q69" t="e">
        <f>AND('GA55 Entry'!#REF!,"AAAAAG/+5xA=")</f>
        <v>#REF!</v>
      </c>
      <c r="R69" t="e">
        <f>AND('GA55 Entry'!#REF!,"AAAAAG/+5xE=")</f>
        <v>#REF!</v>
      </c>
      <c r="S69" t="e">
        <f>AND('GA55 Entry'!#REF!,"AAAAAG/+5xI=")</f>
        <v>#REF!</v>
      </c>
      <c r="T69" t="e">
        <f>AND('GA55 Entry'!AB112,"AAAAAG/+5xM=")</f>
        <v>#VALUE!</v>
      </c>
      <c r="U69" t="e">
        <f>AND('GA55 Entry'!AC112,"AAAAAG/+5xQ=")</f>
        <v>#VALUE!</v>
      </c>
      <c r="V69" t="e">
        <f>AND('GA55 Entry'!#REF!,"AAAAAG/+5xU=")</f>
        <v>#REF!</v>
      </c>
      <c r="W69">
        <f>IF('GA55 Entry'!113:113,"AAAAAG/+5xY=",0)</f>
        <v>0</v>
      </c>
      <c r="X69" t="e">
        <f>AND('GA55 Entry'!B113,"AAAAAG/+5xc=")</f>
        <v>#VALUE!</v>
      </c>
      <c r="Y69" t="e">
        <f>AND('GA55 Entry'!#REF!,"AAAAAG/+5xg=")</f>
        <v>#REF!</v>
      </c>
      <c r="Z69" t="e">
        <f>AND('GA55 Entry'!C113,"AAAAAG/+5xk=")</f>
        <v>#VALUE!</v>
      </c>
      <c r="AA69" t="e">
        <f>AND('GA55 Entry'!#REF!,"AAAAAG/+5xo=")</f>
        <v>#REF!</v>
      </c>
      <c r="AB69" t="e">
        <f>AND('GA55 Entry'!#REF!,"AAAAAG/+5xs=")</f>
        <v>#REF!</v>
      </c>
      <c r="AC69" t="e">
        <f>AND('GA55 Entry'!#REF!,"AAAAAG/+5xw=")</f>
        <v>#REF!</v>
      </c>
      <c r="AD69" t="e">
        <f>AND('GA55 Entry'!#REF!,"AAAAAG/+5x0=")</f>
        <v>#REF!</v>
      </c>
      <c r="AE69" t="e">
        <f>AND('GA55 Entry'!#REF!,"AAAAAG/+5x4=")</f>
        <v>#REF!</v>
      </c>
      <c r="AF69" t="e">
        <f>AND('GA55 Entry'!D113,"AAAAAG/+5x8=")</f>
        <v>#VALUE!</v>
      </c>
      <c r="AG69" t="e">
        <f>AND('GA55 Entry'!#REF!,"AAAAAG/+5yA=")</f>
        <v>#REF!</v>
      </c>
      <c r="AH69" t="e">
        <f>AND('GA55 Entry'!E113,"AAAAAG/+5yE=")</f>
        <v>#VALUE!</v>
      </c>
      <c r="AI69" t="e">
        <f>AND('GA55 Entry'!F113,"AAAAAG/+5yI=")</f>
        <v>#VALUE!</v>
      </c>
      <c r="AJ69" t="e">
        <f>AND('GA55 Entry'!G113,"AAAAAG/+5yM=")</f>
        <v>#VALUE!</v>
      </c>
      <c r="AK69" t="e">
        <f>AND('GA55 Entry'!H113,"AAAAAG/+5yQ=")</f>
        <v>#VALUE!</v>
      </c>
      <c r="AL69" t="e">
        <f>AND('GA55 Entry'!I113,"AAAAAG/+5yU=")</f>
        <v>#VALUE!</v>
      </c>
      <c r="AM69" t="e">
        <f>AND('GA55 Entry'!J113,"AAAAAG/+5yY=")</f>
        <v>#VALUE!</v>
      </c>
      <c r="AN69" t="e">
        <f>AND('GA55 Entry'!#REF!,"AAAAAG/+5yc=")</f>
        <v>#REF!</v>
      </c>
      <c r="AO69" t="e">
        <f>AND('GA55 Entry'!K113,"AAAAAG/+5yg=")</f>
        <v>#VALUE!</v>
      </c>
      <c r="AP69" t="e">
        <f>AND('GA55 Entry'!L113,"AAAAAG/+5yk=")</f>
        <v>#VALUE!</v>
      </c>
      <c r="AQ69" t="e">
        <f>AND('GA55 Entry'!M113,"AAAAAG/+5yo=")</f>
        <v>#VALUE!</v>
      </c>
      <c r="AR69" t="e">
        <f>AND('GA55 Entry'!N113,"AAAAAG/+5ys=")</f>
        <v>#VALUE!</v>
      </c>
      <c r="AS69" t="e">
        <f>AND('GA55 Entry'!O113,"AAAAAG/+5yw=")</f>
        <v>#VALUE!</v>
      </c>
      <c r="AT69" t="e">
        <f>AND('GA55 Entry'!P113,"AAAAAG/+5y0=")</f>
        <v>#VALUE!</v>
      </c>
      <c r="AU69" t="e">
        <f>AND('GA55 Entry'!Q113,"AAAAAG/+5y4=")</f>
        <v>#VALUE!</v>
      </c>
      <c r="AV69" t="e">
        <f>AND('GA55 Entry'!S113,"AAAAAG/+5y8=")</f>
        <v>#VALUE!</v>
      </c>
      <c r="AW69" t="e">
        <f>AND('GA55 Entry'!#REF!,"AAAAAG/+5zA=")</f>
        <v>#REF!</v>
      </c>
      <c r="AX69" t="e">
        <f>AND('GA55 Entry'!T113,"AAAAAG/+5zE=")</f>
        <v>#VALUE!</v>
      </c>
      <c r="AY69" t="e">
        <f>AND('GA55 Entry'!U113,"AAAAAG/+5zI=")</f>
        <v>#VALUE!</v>
      </c>
      <c r="AZ69" t="e">
        <f>AND('GA55 Entry'!V113,"AAAAAG/+5zM=")</f>
        <v>#VALUE!</v>
      </c>
      <c r="BA69" t="e">
        <f>AND('GA55 Entry'!#REF!,"AAAAAG/+5zQ=")</f>
        <v>#REF!</v>
      </c>
      <c r="BB69" t="e">
        <f>AND('GA55 Entry'!#REF!,"AAAAAG/+5zU=")</f>
        <v>#REF!</v>
      </c>
      <c r="BC69" t="e">
        <f>AND('GA55 Entry'!X113,"AAAAAG/+5zY=")</f>
        <v>#VALUE!</v>
      </c>
      <c r="BD69" t="e">
        <f>AND('GA55 Entry'!Y113,"AAAAAG/+5zc=")</f>
        <v>#VALUE!</v>
      </c>
      <c r="BE69" t="e">
        <f>AND('GA55 Entry'!#REF!,"AAAAAG/+5zg=")</f>
        <v>#REF!</v>
      </c>
      <c r="BF69" t="e">
        <f>AND('GA55 Entry'!#REF!,"AAAAAG/+5zk=")</f>
        <v>#REF!</v>
      </c>
      <c r="BG69" t="e">
        <f>AND('GA55 Entry'!#REF!,"AAAAAG/+5zo=")</f>
        <v>#REF!</v>
      </c>
      <c r="BH69" t="e">
        <f>AND('GA55 Entry'!#REF!,"AAAAAG/+5zs=")</f>
        <v>#REF!</v>
      </c>
      <c r="BI69" t="e">
        <f>AND('GA55 Entry'!#REF!,"AAAAAG/+5zw=")</f>
        <v>#REF!</v>
      </c>
      <c r="BJ69" t="e">
        <f>AND('GA55 Entry'!#REF!,"AAAAAG/+5z0=")</f>
        <v>#REF!</v>
      </c>
      <c r="BK69" t="e">
        <f>AND('GA55 Entry'!#REF!,"AAAAAG/+5z4=")</f>
        <v>#REF!</v>
      </c>
      <c r="BL69" t="e">
        <f>AND('GA55 Entry'!#REF!,"AAAAAG/+5z8=")</f>
        <v>#REF!</v>
      </c>
      <c r="BM69" t="e">
        <f>AND('GA55 Entry'!#REF!,"AAAAAG/+50A=")</f>
        <v>#REF!</v>
      </c>
      <c r="BN69" t="e">
        <f>AND('GA55 Entry'!Z113,"AAAAAG/+50E=")</f>
        <v>#VALUE!</v>
      </c>
      <c r="BO69" t="e">
        <f>AND('GA55 Entry'!AA113,"AAAAAG/+50I=")</f>
        <v>#VALUE!</v>
      </c>
      <c r="BP69" t="e">
        <f>AND('GA55 Entry'!#REF!,"AAAAAG/+50M=")</f>
        <v>#REF!</v>
      </c>
      <c r="BQ69" t="e">
        <f>AND('GA55 Entry'!#REF!,"AAAAAG/+50Q=")</f>
        <v>#REF!</v>
      </c>
      <c r="BR69" t="e">
        <f>AND('GA55 Entry'!#REF!,"AAAAAG/+50U=")</f>
        <v>#REF!</v>
      </c>
      <c r="BS69" t="e">
        <f>AND('GA55 Entry'!AB113,"AAAAAG/+50Y=")</f>
        <v>#VALUE!</v>
      </c>
      <c r="BT69" t="e">
        <f>AND('GA55 Entry'!AC113,"AAAAAG/+50c=")</f>
        <v>#VALUE!</v>
      </c>
      <c r="BU69" t="e">
        <f>AND('GA55 Entry'!#REF!,"AAAAAG/+50g=")</f>
        <v>#REF!</v>
      </c>
      <c r="BV69">
        <f>IF('GA55 Entry'!114:114,"AAAAAG/+50k=",0)</f>
        <v>0</v>
      </c>
      <c r="BW69" t="e">
        <f>AND('GA55 Entry'!B114,"AAAAAG/+50o=")</f>
        <v>#VALUE!</v>
      </c>
      <c r="BX69" t="e">
        <f>AND('GA55 Entry'!#REF!,"AAAAAG/+50s=")</f>
        <v>#REF!</v>
      </c>
      <c r="BY69" t="e">
        <f>AND('GA55 Entry'!C114,"AAAAAG/+50w=")</f>
        <v>#VALUE!</v>
      </c>
      <c r="BZ69" t="e">
        <f>AND('GA55 Entry'!#REF!,"AAAAAG/+500=")</f>
        <v>#REF!</v>
      </c>
      <c r="CA69" t="e">
        <f>AND('GA55 Entry'!#REF!,"AAAAAG/+504=")</f>
        <v>#REF!</v>
      </c>
      <c r="CB69" t="e">
        <f>AND('GA55 Entry'!#REF!,"AAAAAG/+508=")</f>
        <v>#REF!</v>
      </c>
      <c r="CC69" t="e">
        <f>AND('GA55 Entry'!#REF!,"AAAAAG/+51A=")</f>
        <v>#REF!</v>
      </c>
      <c r="CD69" t="e">
        <f>AND('GA55 Entry'!#REF!,"AAAAAG/+51E=")</f>
        <v>#REF!</v>
      </c>
      <c r="CE69" t="e">
        <f>AND('GA55 Entry'!D114,"AAAAAG/+51I=")</f>
        <v>#VALUE!</v>
      </c>
      <c r="CF69" t="e">
        <f>AND('GA55 Entry'!#REF!,"AAAAAG/+51M=")</f>
        <v>#REF!</v>
      </c>
      <c r="CG69" t="e">
        <f>AND('GA55 Entry'!E114,"AAAAAG/+51Q=")</f>
        <v>#VALUE!</v>
      </c>
      <c r="CH69" t="e">
        <f>AND('GA55 Entry'!F114,"AAAAAG/+51U=")</f>
        <v>#VALUE!</v>
      </c>
      <c r="CI69" t="e">
        <f>AND('GA55 Entry'!G114,"AAAAAG/+51Y=")</f>
        <v>#VALUE!</v>
      </c>
      <c r="CJ69" t="e">
        <f>AND('GA55 Entry'!H114,"AAAAAG/+51c=")</f>
        <v>#VALUE!</v>
      </c>
      <c r="CK69" t="e">
        <f>AND('GA55 Entry'!I114,"AAAAAG/+51g=")</f>
        <v>#VALUE!</v>
      </c>
      <c r="CL69" t="e">
        <f>AND('GA55 Entry'!J114,"AAAAAG/+51k=")</f>
        <v>#VALUE!</v>
      </c>
      <c r="CM69" t="e">
        <f>AND('GA55 Entry'!#REF!,"AAAAAG/+51o=")</f>
        <v>#REF!</v>
      </c>
      <c r="CN69" t="e">
        <f>AND('GA55 Entry'!K114,"AAAAAG/+51s=")</f>
        <v>#VALUE!</v>
      </c>
      <c r="CO69" t="e">
        <f>AND('GA55 Entry'!L114,"AAAAAG/+51w=")</f>
        <v>#VALUE!</v>
      </c>
      <c r="CP69" t="e">
        <f>AND('GA55 Entry'!M114,"AAAAAG/+510=")</f>
        <v>#VALUE!</v>
      </c>
      <c r="CQ69" t="e">
        <f>AND('GA55 Entry'!N114,"AAAAAG/+514=")</f>
        <v>#VALUE!</v>
      </c>
      <c r="CR69" t="e">
        <f>AND('GA55 Entry'!O114,"AAAAAG/+518=")</f>
        <v>#VALUE!</v>
      </c>
      <c r="CS69" t="e">
        <f>AND('GA55 Entry'!P114,"AAAAAG/+52A=")</f>
        <v>#VALUE!</v>
      </c>
      <c r="CT69" t="e">
        <f>AND('GA55 Entry'!Q114,"AAAAAG/+52E=")</f>
        <v>#VALUE!</v>
      </c>
      <c r="CU69" t="e">
        <f>AND('GA55 Entry'!S114,"AAAAAG/+52I=")</f>
        <v>#VALUE!</v>
      </c>
      <c r="CV69" t="e">
        <f>AND('GA55 Entry'!#REF!,"AAAAAG/+52M=")</f>
        <v>#REF!</v>
      </c>
      <c r="CW69" t="e">
        <f>AND('GA55 Entry'!T114,"AAAAAG/+52Q=")</f>
        <v>#VALUE!</v>
      </c>
      <c r="CX69" t="e">
        <f>AND('GA55 Entry'!U114,"AAAAAG/+52U=")</f>
        <v>#VALUE!</v>
      </c>
      <c r="CY69" t="e">
        <f>AND('GA55 Entry'!V114,"AAAAAG/+52Y=")</f>
        <v>#VALUE!</v>
      </c>
      <c r="CZ69" t="e">
        <f>AND('GA55 Entry'!#REF!,"AAAAAG/+52c=")</f>
        <v>#REF!</v>
      </c>
      <c r="DA69" t="e">
        <f>AND('GA55 Entry'!#REF!,"AAAAAG/+52g=")</f>
        <v>#REF!</v>
      </c>
      <c r="DB69" t="e">
        <f>AND('GA55 Entry'!X114,"AAAAAG/+52k=")</f>
        <v>#VALUE!</v>
      </c>
      <c r="DC69" t="e">
        <f>AND('GA55 Entry'!Y114,"AAAAAG/+52o=")</f>
        <v>#VALUE!</v>
      </c>
      <c r="DD69" t="e">
        <f>AND('GA55 Entry'!#REF!,"AAAAAG/+52s=")</f>
        <v>#REF!</v>
      </c>
      <c r="DE69" t="e">
        <f>AND('GA55 Entry'!#REF!,"AAAAAG/+52w=")</f>
        <v>#REF!</v>
      </c>
      <c r="DF69" t="e">
        <f>AND('GA55 Entry'!#REF!,"AAAAAG/+520=")</f>
        <v>#REF!</v>
      </c>
      <c r="DG69" t="e">
        <f>AND('GA55 Entry'!#REF!,"AAAAAG/+524=")</f>
        <v>#REF!</v>
      </c>
      <c r="DH69" t="e">
        <f>AND('GA55 Entry'!#REF!,"AAAAAG/+528=")</f>
        <v>#REF!</v>
      </c>
      <c r="DI69" t="e">
        <f>AND('GA55 Entry'!#REF!,"AAAAAG/+53A=")</f>
        <v>#REF!</v>
      </c>
      <c r="DJ69" t="e">
        <f>AND('GA55 Entry'!#REF!,"AAAAAG/+53E=")</f>
        <v>#REF!</v>
      </c>
      <c r="DK69" t="e">
        <f>AND('GA55 Entry'!#REF!,"AAAAAG/+53I=")</f>
        <v>#REF!</v>
      </c>
      <c r="DL69" t="e">
        <f>AND('GA55 Entry'!#REF!,"AAAAAG/+53M=")</f>
        <v>#REF!</v>
      </c>
      <c r="DM69" t="e">
        <f>AND('GA55 Entry'!Z114,"AAAAAG/+53Q=")</f>
        <v>#VALUE!</v>
      </c>
      <c r="DN69" t="e">
        <f>AND('GA55 Entry'!AA114,"AAAAAG/+53U=")</f>
        <v>#VALUE!</v>
      </c>
      <c r="DO69" t="e">
        <f>AND('GA55 Entry'!#REF!,"AAAAAG/+53Y=")</f>
        <v>#REF!</v>
      </c>
      <c r="DP69" t="e">
        <f>AND('GA55 Entry'!#REF!,"AAAAAG/+53c=")</f>
        <v>#REF!</v>
      </c>
      <c r="DQ69" t="e">
        <f>AND('GA55 Entry'!#REF!,"AAAAAG/+53g=")</f>
        <v>#REF!</v>
      </c>
      <c r="DR69" t="e">
        <f>AND('GA55 Entry'!AB114,"AAAAAG/+53k=")</f>
        <v>#VALUE!</v>
      </c>
      <c r="DS69" t="e">
        <f>AND('GA55 Entry'!AC114,"AAAAAG/+53o=")</f>
        <v>#VALUE!</v>
      </c>
      <c r="DT69" t="e">
        <f>AND('GA55 Entry'!#REF!,"AAAAAG/+53s=")</f>
        <v>#REF!</v>
      </c>
      <c r="DU69">
        <f>IF('GA55 Entry'!115:115,"AAAAAG/+53w=",0)</f>
        <v>0</v>
      </c>
      <c r="DV69" t="e">
        <f>AND('GA55 Entry'!B115,"AAAAAG/+530=")</f>
        <v>#VALUE!</v>
      </c>
      <c r="DW69" t="e">
        <f>AND('GA55 Entry'!#REF!,"AAAAAG/+534=")</f>
        <v>#REF!</v>
      </c>
      <c r="DX69" t="e">
        <f>AND('GA55 Entry'!C115,"AAAAAG/+538=")</f>
        <v>#VALUE!</v>
      </c>
      <c r="DY69" t="e">
        <f>AND('GA55 Entry'!#REF!,"AAAAAG/+54A=")</f>
        <v>#REF!</v>
      </c>
      <c r="DZ69" t="e">
        <f>AND('GA55 Entry'!#REF!,"AAAAAG/+54E=")</f>
        <v>#REF!</v>
      </c>
      <c r="EA69" t="e">
        <f>AND('GA55 Entry'!#REF!,"AAAAAG/+54I=")</f>
        <v>#REF!</v>
      </c>
      <c r="EB69" t="e">
        <f>AND('GA55 Entry'!#REF!,"AAAAAG/+54M=")</f>
        <v>#REF!</v>
      </c>
      <c r="EC69" t="e">
        <f>AND('GA55 Entry'!#REF!,"AAAAAG/+54Q=")</f>
        <v>#REF!</v>
      </c>
      <c r="ED69" t="e">
        <f>AND('GA55 Entry'!D115,"AAAAAG/+54U=")</f>
        <v>#VALUE!</v>
      </c>
      <c r="EE69" t="e">
        <f>AND('GA55 Entry'!#REF!,"AAAAAG/+54Y=")</f>
        <v>#REF!</v>
      </c>
      <c r="EF69" t="e">
        <f>AND('GA55 Entry'!E115,"AAAAAG/+54c=")</f>
        <v>#VALUE!</v>
      </c>
      <c r="EG69" t="e">
        <f>AND('GA55 Entry'!F115,"AAAAAG/+54g=")</f>
        <v>#VALUE!</v>
      </c>
      <c r="EH69" t="e">
        <f>AND('GA55 Entry'!G115,"AAAAAG/+54k=")</f>
        <v>#VALUE!</v>
      </c>
      <c r="EI69" t="e">
        <f>AND('GA55 Entry'!H115,"AAAAAG/+54o=")</f>
        <v>#VALUE!</v>
      </c>
      <c r="EJ69" t="e">
        <f>AND('GA55 Entry'!I115,"AAAAAG/+54s=")</f>
        <v>#VALUE!</v>
      </c>
      <c r="EK69" t="e">
        <f>AND('GA55 Entry'!J115,"AAAAAG/+54w=")</f>
        <v>#VALUE!</v>
      </c>
      <c r="EL69" t="e">
        <f>AND('GA55 Entry'!#REF!,"AAAAAG/+540=")</f>
        <v>#REF!</v>
      </c>
      <c r="EM69" t="e">
        <f>AND('GA55 Entry'!K115,"AAAAAG/+544=")</f>
        <v>#VALUE!</v>
      </c>
      <c r="EN69" t="e">
        <f>AND('GA55 Entry'!L115,"AAAAAG/+548=")</f>
        <v>#VALUE!</v>
      </c>
      <c r="EO69" t="e">
        <f>AND('GA55 Entry'!M115,"AAAAAG/+55A=")</f>
        <v>#VALUE!</v>
      </c>
      <c r="EP69" t="e">
        <f>AND('GA55 Entry'!N115,"AAAAAG/+55E=")</f>
        <v>#VALUE!</v>
      </c>
      <c r="EQ69" t="e">
        <f>AND('GA55 Entry'!O115,"AAAAAG/+55I=")</f>
        <v>#VALUE!</v>
      </c>
      <c r="ER69" t="e">
        <f>AND('GA55 Entry'!P115,"AAAAAG/+55M=")</f>
        <v>#VALUE!</v>
      </c>
      <c r="ES69" t="e">
        <f>AND('GA55 Entry'!Q115,"AAAAAG/+55Q=")</f>
        <v>#VALUE!</v>
      </c>
      <c r="ET69" t="e">
        <f>AND('GA55 Entry'!S115,"AAAAAG/+55U=")</f>
        <v>#VALUE!</v>
      </c>
      <c r="EU69" t="e">
        <f>AND('GA55 Entry'!#REF!,"AAAAAG/+55Y=")</f>
        <v>#REF!</v>
      </c>
      <c r="EV69" t="e">
        <f>AND('GA55 Entry'!T115,"AAAAAG/+55c=")</f>
        <v>#VALUE!</v>
      </c>
      <c r="EW69" t="e">
        <f>AND('GA55 Entry'!U115,"AAAAAG/+55g=")</f>
        <v>#VALUE!</v>
      </c>
      <c r="EX69" t="e">
        <f>AND('GA55 Entry'!V115,"AAAAAG/+55k=")</f>
        <v>#VALUE!</v>
      </c>
      <c r="EY69" t="e">
        <f>AND('GA55 Entry'!#REF!,"AAAAAG/+55o=")</f>
        <v>#REF!</v>
      </c>
      <c r="EZ69" t="e">
        <f>AND('GA55 Entry'!#REF!,"AAAAAG/+55s=")</f>
        <v>#REF!</v>
      </c>
      <c r="FA69" t="e">
        <f>AND('GA55 Entry'!X115,"AAAAAG/+55w=")</f>
        <v>#VALUE!</v>
      </c>
      <c r="FB69" t="e">
        <f>AND('GA55 Entry'!Y115,"AAAAAG/+550=")</f>
        <v>#VALUE!</v>
      </c>
      <c r="FC69" t="e">
        <f>AND('GA55 Entry'!#REF!,"AAAAAG/+554=")</f>
        <v>#REF!</v>
      </c>
      <c r="FD69" t="e">
        <f>AND('GA55 Entry'!#REF!,"AAAAAG/+558=")</f>
        <v>#REF!</v>
      </c>
      <c r="FE69" t="e">
        <f>AND('GA55 Entry'!#REF!,"AAAAAG/+56A=")</f>
        <v>#REF!</v>
      </c>
      <c r="FF69" t="e">
        <f>AND('GA55 Entry'!#REF!,"AAAAAG/+56E=")</f>
        <v>#REF!</v>
      </c>
      <c r="FG69" t="e">
        <f>AND('GA55 Entry'!#REF!,"AAAAAG/+56I=")</f>
        <v>#REF!</v>
      </c>
      <c r="FH69" t="e">
        <f>AND('GA55 Entry'!#REF!,"AAAAAG/+56M=")</f>
        <v>#REF!</v>
      </c>
      <c r="FI69" t="e">
        <f>AND('GA55 Entry'!#REF!,"AAAAAG/+56Q=")</f>
        <v>#REF!</v>
      </c>
      <c r="FJ69" t="e">
        <f>AND('GA55 Entry'!#REF!,"AAAAAG/+56U=")</f>
        <v>#REF!</v>
      </c>
      <c r="FK69" t="e">
        <f>AND('GA55 Entry'!#REF!,"AAAAAG/+56Y=")</f>
        <v>#REF!</v>
      </c>
      <c r="FL69" t="e">
        <f>AND('GA55 Entry'!Z115,"AAAAAG/+56c=")</f>
        <v>#VALUE!</v>
      </c>
      <c r="FM69" t="e">
        <f>AND('GA55 Entry'!AA115,"AAAAAG/+56g=")</f>
        <v>#VALUE!</v>
      </c>
      <c r="FN69" t="e">
        <f>AND('GA55 Entry'!#REF!,"AAAAAG/+56k=")</f>
        <v>#REF!</v>
      </c>
      <c r="FO69" t="e">
        <f>AND('GA55 Entry'!#REF!,"AAAAAG/+56o=")</f>
        <v>#REF!</v>
      </c>
      <c r="FP69" t="e">
        <f>AND('GA55 Entry'!#REF!,"AAAAAG/+56s=")</f>
        <v>#REF!</v>
      </c>
      <c r="FQ69" t="e">
        <f>AND('GA55 Entry'!AB115,"AAAAAG/+56w=")</f>
        <v>#VALUE!</v>
      </c>
      <c r="FR69" t="e">
        <f>AND('GA55 Entry'!AC115,"AAAAAG/+560=")</f>
        <v>#VALUE!</v>
      </c>
      <c r="FS69" t="e">
        <f>AND('GA55 Entry'!#REF!,"AAAAAG/+564=")</f>
        <v>#REF!</v>
      </c>
      <c r="FT69">
        <f>IF('GA55 Entry'!116:116,"AAAAAG/+568=",0)</f>
        <v>0</v>
      </c>
      <c r="FU69" t="e">
        <f>AND('GA55 Entry'!B116,"AAAAAG/+57A=")</f>
        <v>#VALUE!</v>
      </c>
      <c r="FV69" t="e">
        <f>AND('GA55 Entry'!#REF!,"AAAAAG/+57E=")</f>
        <v>#REF!</v>
      </c>
      <c r="FW69" t="e">
        <f>AND('GA55 Entry'!C116,"AAAAAG/+57I=")</f>
        <v>#VALUE!</v>
      </c>
      <c r="FX69" t="e">
        <f>AND('GA55 Entry'!#REF!,"AAAAAG/+57M=")</f>
        <v>#REF!</v>
      </c>
      <c r="FY69" t="e">
        <f>AND('GA55 Entry'!#REF!,"AAAAAG/+57Q=")</f>
        <v>#REF!</v>
      </c>
      <c r="FZ69" t="e">
        <f>AND('GA55 Entry'!#REF!,"AAAAAG/+57U=")</f>
        <v>#REF!</v>
      </c>
      <c r="GA69" t="e">
        <f>AND('GA55 Entry'!#REF!,"AAAAAG/+57Y=")</f>
        <v>#REF!</v>
      </c>
      <c r="GB69" t="e">
        <f>AND('GA55 Entry'!#REF!,"AAAAAG/+57c=")</f>
        <v>#REF!</v>
      </c>
      <c r="GC69" t="e">
        <f>AND('GA55 Entry'!D116,"AAAAAG/+57g=")</f>
        <v>#VALUE!</v>
      </c>
      <c r="GD69" t="e">
        <f>AND('GA55 Entry'!#REF!,"AAAAAG/+57k=")</f>
        <v>#REF!</v>
      </c>
      <c r="GE69" t="e">
        <f>AND('GA55 Entry'!E116,"AAAAAG/+57o=")</f>
        <v>#VALUE!</v>
      </c>
      <c r="GF69" t="e">
        <f>AND('GA55 Entry'!F116,"AAAAAG/+57s=")</f>
        <v>#VALUE!</v>
      </c>
      <c r="GG69" t="e">
        <f>AND('GA55 Entry'!G116,"AAAAAG/+57w=")</f>
        <v>#VALUE!</v>
      </c>
      <c r="GH69" t="e">
        <f>AND('GA55 Entry'!H116,"AAAAAG/+570=")</f>
        <v>#VALUE!</v>
      </c>
      <c r="GI69" t="e">
        <f>AND('GA55 Entry'!I116,"AAAAAG/+574=")</f>
        <v>#VALUE!</v>
      </c>
      <c r="GJ69" t="e">
        <f>AND('GA55 Entry'!J116,"AAAAAG/+578=")</f>
        <v>#VALUE!</v>
      </c>
      <c r="GK69" t="e">
        <f>AND('GA55 Entry'!#REF!,"AAAAAG/+58A=")</f>
        <v>#REF!</v>
      </c>
      <c r="GL69" t="e">
        <f>AND('GA55 Entry'!K116,"AAAAAG/+58E=")</f>
        <v>#VALUE!</v>
      </c>
      <c r="GM69" t="e">
        <f>AND('GA55 Entry'!L116,"AAAAAG/+58I=")</f>
        <v>#VALUE!</v>
      </c>
      <c r="GN69" t="e">
        <f>AND('GA55 Entry'!M116,"AAAAAG/+58M=")</f>
        <v>#VALUE!</v>
      </c>
      <c r="GO69" t="e">
        <f>AND('GA55 Entry'!N116,"AAAAAG/+58Q=")</f>
        <v>#VALUE!</v>
      </c>
      <c r="GP69" t="e">
        <f>AND('GA55 Entry'!O116,"AAAAAG/+58U=")</f>
        <v>#VALUE!</v>
      </c>
      <c r="GQ69" t="e">
        <f>AND('GA55 Entry'!P116,"AAAAAG/+58Y=")</f>
        <v>#VALUE!</v>
      </c>
      <c r="GR69" t="e">
        <f>AND('GA55 Entry'!Q116,"AAAAAG/+58c=")</f>
        <v>#VALUE!</v>
      </c>
      <c r="GS69" t="e">
        <f>AND('GA55 Entry'!S116,"AAAAAG/+58g=")</f>
        <v>#VALUE!</v>
      </c>
      <c r="GT69" t="e">
        <f>AND('GA55 Entry'!#REF!,"AAAAAG/+58k=")</f>
        <v>#REF!</v>
      </c>
      <c r="GU69" t="e">
        <f>AND('GA55 Entry'!T116,"AAAAAG/+58o=")</f>
        <v>#VALUE!</v>
      </c>
      <c r="GV69" t="e">
        <f>AND('GA55 Entry'!U116,"AAAAAG/+58s=")</f>
        <v>#VALUE!</v>
      </c>
      <c r="GW69" t="e">
        <f>AND('GA55 Entry'!V116,"AAAAAG/+58w=")</f>
        <v>#VALUE!</v>
      </c>
      <c r="GX69" t="e">
        <f>AND('GA55 Entry'!#REF!,"AAAAAG/+580=")</f>
        <v>#REF!</v>
      </c>
      <c r="GY69" t="e">
        <f>AND('GA55 Entry'!#REF!,"AAAAAG/+584=")</f>
        <v>#REF!</v>
      </c>
      <c r="GZ69" t="e">
        <f>AND('GA55 Entry'!X116,"AAAAAG/+588=")</f>
        <v>#VALUE!</v>
      </c>
      <c r="HA69" t="e">
        <f>AND('GA55 Entry'!Y116,"AAAAAG/+59A=")</f>
        <v>#VALUE!</v>
      </c>
      <c r="HB69" t="e">
        <f>AND('GA55 Entry'!#REF!,"AAAAAG/+59E=")</f>
        <v>#REF!</v>
      </c>
      <c r="HC69" t="e">
        <f>AND('GA55 Entry'!#REF!,"AAAAAG/+59I=")</f>
        <v>#REF!</v>
      </c>
      <c r="HD69" t="e">
        <f>AND('GA55 Entry'!#REF!,"AAAAAG/+59M=")</f>
        <v>#REF!</v>
      </c>
      <c r="HE69" t="e">
        <f>AND('GA55 Entry'!#REF!,"AAAAAG/+59Q=")</f>
        <v>#REF!</v>
      </c>
      <c r="HF69" t="e">
        <f>AND('GA55 Entry'!#REF!,"AAAAAG/+59U=")</f>
        <v>#REF!</v>
      </c>
      <c r="HG69" t="e">
        <f>AND('GA55 Entry'!#REF!,"AAAAAG/+59Y=")</f>
        <v>#REF!</v>
      </c>
      <c r="HH69" t="e">
        <f>AND('GA55 Entry'!#REF!,"AAAAAG/+59c=")</f>
        <v>#REF!</v>
      </c>
      <c r="HI69" t="e">
        <f>AND('GA55 Entry'!#REF!,"AAAAAG/+59g=")</f>
        <v>#REF!</v>
      </c>
      <c r="HJ69" t="e">
        <f>AND('GA55 Entry'!#REF!,"AAAAAG/+59k=")</f>
        <v>#REF!</v>
      </c>
      <c r="HK69" t="e">
        <f>AND('GA55 Entry'!Z116,"AAAAAG/+59o=")</f>
        <v>#VALUE!</v>
      </c>
      <c r="HL69" t="e">
        <f>AND('GA55 Entry'!AA116,"AAAAAG/+59s=")</f>
        <v>#VALUE!</v>
      </c>
      <c r="HM69" t="e">
        <f>AND('GA55 Entry'!#REF!,"AAAAAG/+59w=")</f>
        <v>#REF!</v>
      </c>
      <c r="HN69" t="e">
        <f>AND('GA55 Entry'!#REF!,"AAAAAG/+590=")</f>
        <v>#REF!</v>
      </c>
      <c r="HO69" t="e">
        <f>AND('GA55 Entry'!#REF!,"AAAAAG/+594=")</f>
        <v>#REF!</v>
      </c>
      <c r="HP69" t="e">
        <f>AND('GA55 Entry'!AB116,"AAAAAG/+598=")</f>
        <v>#VALUE!</v>
      </c>
      <c r="HQ69" t="e">
        <f>AND('GA55 Entry'!AC116,"AAAAAG/+5+A=")</f>
        <v>#VALUE!</v>
      </c>
      <c r="HR69" t="e">
        <f>AND('GA55 Entry'!#REF!,"AAAAAG/+5+E=")</f>
        <v>#REF!</v>
      </c>
      <c r="HS69">
        <f>IF('GA55 Entry'!117:117,"AAAAAG/+5+I=",0)</f>
        <v>0</v>
      </c>
      <c r="HT69" t="e">
        <f>AND('GA55 Entry'!B117,"AAAAAG/+5+M=")</f>
        <v>#VALUE!</v>
      </c>
      <c r="HU69" t="e">
        <f>AND('GA55 Entry'!#REF!,"AAAAAG/+5+Q=")</f>
        <v>#REF!</v>
      </c>
      <c r="HV69" t="e">
        <f>AND('GA55 Entry'!C117,"AAAAAG/+5+U=")</f>
        <v>#VALUE!</v>
      </c>
      <c r="HW69" t="e">
        <f>AND('GA55 Entry'!#REF!,"AAAAAG/+5+Y=")</f>
        <v>#REF!</v>
      </c>
      <c r="HX69" t="e">
        <f>AND('GA55 Entry'!#REF!,"AAAAAG/+5+c=")</f>
        <v>#REF!</v>
      </c>
      <c r="HY69" t="e">
        <f>AND('GA55 Entry'!#REF!,"AAAAAG/+5+g=")</f>
        <v>#REF!</v>
      </c>
      <c r="HZ69" t="e">
        <f>AND('GA55 Entry'!#REF!,"AAAAAG/+5+k=")</f>
        <v>#REF!</v>
      </c>
      <c r="IA69" t="e">
        <f>AND('GA55 Entry'!#REF!,"AAAAAG/+5+o=")</f>
        <v>#REF!</v>
      </c>
      <c r="IB69" t="e">
        <f>AND('GA55 Entry'!D117,"AAAAAG/+5+s=")</f>
        <v>#VALUE!</v>
      </c>
      <c r="IC69" t="e">
        <f>AND('GA55 Entry'!#REF!,"AAAAAG/+5+w=")</f>
        <v>#REF!</v>
      </c>
      <c r="ID69" t="e">
        <f>AND('GA55 Entry'!E117,"AAAAAG/+5+0=")</f>
        <v>#VALUE!</v>
      </c>
      <c r="IE69" t="e">
        <f>AND('GA55 Entry'!F117,"AAAAAG/+5+4=")</f>
        <v>#VALUE!</v>
      </c>
      <c r="IF69" t="e">
        <f>AND('GA55 Entry'!G117,"AAAAAG/+5+8=")</f>
        <v>#VALUE!</v>
      </c>
      <c r="IG69" t="e">
        <f>AND('GA55 Entry'!H117,"AAAAAG/+5/A=")</f>
        <v>#VALUE!</v>
      </c>
      <c r="IH69" t="e">
        <f>AND('GA55 Entry'!I117,"AAAAAG/+5/E=")</f>
        <v>#VALUE!</v>
      </c>
      <c r="II69" t="e">
        <f>AND('GA55 Entry'!J117,"AAAAAG/+5/I=")</f>
        <v>#VALUE!</v>
      </c>
      <c r="IJ69" t="e">
        <f>AND('GA55 Entry'!#REF!,"AAAAAG/+5/M=")</f>
        <v>#REF!</v>
      </c>
      <c r="IK69" t="e">
        <f>AND('GA55 Entry'!K117,"AAAAAG/+5/Q=")</f>
        <v>#VALUE!</v>
      </c>
      <c r="IL69" t="e">
        <f>AND('GA55 Entry'!L117,"AAAAAG/+5/U=")</f>
        <v>#VALUE!</v>
      </c>
      <c r="IM69" t="e">
        <f>AND('GA55 Entry'!M117,"AAAAAG/+5/Y=")</f>
        <v>#VALUE!</v>
      </c>
      <c r="IN69" t="e">
        <f>AND('GA55 Entry'!N117,"AAAAAG/+5/c=")</f>
        <v>#VALUE!</v>
      </c>
      <c r="IO69" t="e">
        <f>AND('GA55 Entry'!O117,"AAAAAG/+5/g=")</f>
        <v>#VALUE!</v>
      </c>
      <c r="IP69" t="e">
        <f>AND('GA55 Entry'!P117,"AAAAAG/+5/k=")</f>
        <v>#VALUE!</v>
      </c>
      <c r="IQ69" t="e">
        <f>AND('GA55 Entry'!Q117,"AAAAAG/+5/o=")</f>
        <v>#VALUE!</v>
      </c>
      <c r="IR69" t="e">
        <f>AND('GA55 Entry'!S117,"AAAAAG/+5/s=")</f>
        <v>#VALUE!</v>
      </c>
      <c r="IS69" t="e">
        <f>AND('GA55 Entry'!#REF!,"AAAAAG/+5/w=")</f>
        <v>#REF!</v>
      </c>
      <c r="IT69" t="e">
        <f>AND('GA55 Entry'!T117,"AAAAAG/+5/0=")</f>
        <v>#VALUE!</v>
      </c>
      <c r="IU69" t="e">
        <f>AND('GA55 Entry'!U117,"AAAAAG/+5/4=")</f>
        <v>#VALUE!</v>
      </c>
      <c r="IV69" t="e">
        <f>AND('GA55 Entry'!V117,"AAAAAG/+5/8=")</f>
        <v>#VALUE!</v>
      </c>
    </row>
    <row r="70" spans="1:256">
      <c r="A70" t="e">
        <f>AND('GA55 Entry'!#REF!,"AAAAAGOf3QA=")</f>
        <v>#REF!</v>
      </c>
      <c r="B70" t="e">
        <f>AND('GA55 Entry'!#REF!,"AAAAAGOf3QE=")</f>
        <v>#REF!</v>
      </c>
      <c r="C70" t="e">
        <f>AND('GA55 Entry'!X117,"AAAAAGOf3QI=")</f>
        <v>#VALUE!</v>
      </c>
      <c r="D70" t="e">
        <f>AND('GA55 Entry'!Y117,"AAAAAGOf3QM=")</f>
        <v>#VALUE!</v>
      </c>
      <c r="E70" t="e">
        <f>AND('GA55 Entry'!#REF!,"AAAAAGOf3QQ=")</f>
        <v>#REF!</v>
      </c>
      <c r="F70" t="e">
        <f>AND('GA55 Entry'!#REF!,"AAAAAGOf3QU=")</f>
        <v>#REF!</v>
      </c>
      <c r="G70" t="e">
        <f>AND('GA55 Entry'!#REF!,"AAAAAGOf3QY=")</f>
        <v>#REF!</v>
      </c>
      <c r="H70" t="e">
        <f>AND('GA55 Entry'!#REF!,"AAAAAGOf3Qc=")</f>
        <v>#REF!</v>
      </c>
      <c r="I70" t="e">
        <f>AND('GA55 Entry'!#REF!,"AAAAAGOf3Qg=")</f>
        <v>#REF!</v>
      </c>
      <c r="J70" t="e">
        <f>AND('GA55 Entry'!#REF!,"AAAAAGOf3Qk=")</f>
        <v>#REF!</v>
      </c>
      <c r="K70" t="e">
        <f>AND('GA55 Entry'!#REF!,"AAAAAGOf3Qo=")</f>
        <v>#REF!</v>
      </c>
      <c r="L70" t="e">
        <f>AND('GA55 Entry'!#REF!,"AAAAAGOf3Qs=")</f>
        <v>#REF!</v>
      </c>
      <c r="M70" t="e">
        <f>AND('GA55 Entry'!#REF!,"AAAAAGOf3Qw=")</f>
        <v>#REF!</v>
      </c>
      <c r="N70" t="e">
        <f>AND('GA55 Entry'!Z117,"AAAAAGOf3Q0=")</f>
        <v>#VALUE!</v>
      </c>
      <c r="O70" t="e">
        <f>AND('GA55 Entry'!AA117,"AAAAAGOf3Q4=")</f>
        <v>#VALUE!</v>
      </c>
      <c r="P70" t="e">
        <f>AND('GA55 Entry'!#REF!,"AAAAAGOf3Q8=")</f>
        <v>#REF!</v>
      </c>
      <c r="Q70" t="e">
        <f>AND('GA55 Entry'!#REF!,"AAAAAGOf3RA=")</f>
        <v>#REF!</v>
      </c>
      <c r="R70" t="e">
        <f>AND('GA55 Entry'!#REF!,"AAAAAGOf3RE=")</f>
        <v>#REF!</v>
      </c>
      <c r="S70" t="e">
        <f>AND('GA55 Entry'!AB117,"AAAAAGOf3RI=")</f>
        <v>#VALUE!</v>
      </c>
      <c r="T70" t="e">
        <f>AND('GA55 Entry'!AC117,"AAAAAGOf3RM=")</f>
        <v>#VALUE!</v>
      </c>
      <c r="U70" t="e">
        <f>AND('GA55 Entry'!#REF!,"AAAAAGOf3RQ=")</f>
        <v>#REF!</v>
      </c>
      <c r="V70">
        <f>IF('GA55 Entry'!118:118,"AAAAAGOf3RU=",0)</f>
        <v>0</v>
      </c>
      <c r="W70" t="e">
        <f>AND('GA55 Entry'!B118,"AAAAAGOf3RY=")</f>
        <v>#VALUE!</v>
      </c>
      <c r="X70" t="e">
        <f>AND('GA55 Entry'!#REF!,"AAAAAGOf3Rc=")</f>
        <v>#REF!</v>
      </c>
      <c r="Y70" t="e">
        <f>AND('GA55 Entry'!C118,"AAAAAGOf3Rg=")</f>
        <v>#VALUE!</v>
      </c>
      <c r="Z70" t="e">
        <f>AND('GA55 Entry'!#REF!,"AAAAAGOf3Rk=")</f>
        <v>#REF!</v>
      </c>
      <c r="AA70" t="e">
        <f>AND('GA55 Entry'!#REF!,"AAAAAGOf3Ro=")</f>
        <v>#REF!</v>
      </c>
      <c r="AB70" t="e">
        <f>AND('GA55 Entry'!#REF!,"AAAAAGOf3Rs=")</f>
        <v>#REF!</v>
      </c>
      <c r="AC70" t="e">
        <f>AND('GA55 Entry'!#REF!,"AAAAAGOf3Rw=")</f>
        <v>#REF!</v>
      </c>
      <c r="AD70" t="e">
        <f>AND('GA55 Entry'!#REF!,"AAAAAGOf3R0=")</f>
        <v>#REF!</v>
      </c>
      <c r="AE70" t="e">
        <f>AND('GA55 Entry'!D118,"AAAAAGOf3R4=")</f>
        <v>#VALUE!</v>
      </c>
      <c r="AF70" t="e">
        <f>AND('GA55 Entry'!#REF!,"AAAAAGOf3R8=")</f>
        <v>#REF!</v>
      </c>
      <c r="AG70" t="e">
        <f>AND('GA55 Entry'!E118,"AAAAAGOf3SA=")</f>
        <v>#VALUE!</v>
      </c>
      <c r="AH70" t="e">
        <f>AND('GA55 Entry'!F118,"AAAAAGOf3SE=")</f>
        <v>#VALUE!</v>
      </c>
      <c r="AI70" t="e">
        <f>AND('GA55 Entry'!G118,"AAAAAGOf3SI=")</f>
        <v>#VALUE!</v>
      </c>
      <c r="AJ70" t="e">
        <f>AND('GA55 Entry'!H118,"AAAAAGOf3SM=")</f>
        <v>#VALUE!</v>
      </c>
      <c r="AK70" t="e">
        <f>AND('GA55 Entry'!I118,"AAAAAGOf3SQ=")</f>
        <v>#VALUE!</v>
      </c>
      <c r="AL70" t="e">
        <f>AND('GA55 Entry'!J118,"AAAAAGOf3SU=")</f>
        <v>#VALUE!</v>
      </c>
      <c r="AM70" t="e">
        <f>AND('GA55 Entry'!#REF!,"AAAAAGOf3SY=")</f>
        <v>#REF!</v>
      </c>
      <c r="AN70" t="e">
        <f>AND('GA55 Entry'!K118,"AAAAAGOf3Sc=")</f>
        <v>#VALUE!</v>
      </c>
      <c r="AO70" t="e">
        <f>AND('GA55 Entry'!L118,"AAAAAGOf3Sg=")</f>
        <v>#VALUE!</v>
      </c>
      <c r="AP70" t="e">
        <f>AND('GA55 Entry'!M118,"AAAAAGOf3Sk=")</f>
        <v>#VALUE!</v>
      </c>
      <c r="AQ70" t="e">
        <f>AND('GA55 Entry'!N118,"AAAAAGOf3So=")</f>
        <v>#VALUE!</v>
      </c>
      <c r="AR70" t="e">
        <f>AND('GA55 Entry'!O118,"AAAAAGOf3Ss=")</f>
        <v>#VALUE!</v>
      </c>
      <c r="AS70" t="e">
        <f>AND('GA55 Entry'!P118,"AAAAAGOf3Sw=")</f>
        <v>#VALUE!</v>
      </c>
      <c r="AT70" t="e">
        <f>AND('GA55 Entry'!Q118,"AAAAAGOf3S0=")</f>
        <v>#VALUE!</v>
      </c>
      <c r="AU70" t="e">
        <f>AND('GA55 Entry'!S118,"AAAAAGOf3S4=")</f>
        <v>#VALUE!</v>
      </c>
      <c r="AV70" t="e">
        <f>AND('GA55 Entry'!#REF!,"AAAAAGOf3S8=")</f>
        <v>#REF!</v>
      </c>
      <c r="AW70" t="e">
        <f>AND('GA55 Entry'!T118,"AAAAAGOf3TA=")</f>
        <v>#VALUE!</v>
      </c>
      <c r="AX70" t="e">
        <f>AND('GA55 Entry'!U118,"AAAAAGOf3TE=")</f>
        <v>#VALUE!</v>
      </c>
      <c r="AY70" t="e">
        <f>AND('GA55 Entry'!V118,"AAAAAGOf3TI=")</f>
        <v>#VALUE!</v>
      </c>
      <c r="AZ70" t="e">
        <f>AND('GA55 Entry'!#REF!,"AAAAAGOf3TM=")</f>
        <v>#REF!</v>
      </c>
      <c r="BA70" t="e">
        <f>AND('GA55 Entry'!#REF!,"AAAAAGOf3TQ=")</f>
        <v>#REF!</v>
      </c>
      <c r="BB70" t="e">
        <f>AND('GA55 Entry'!X118,"AAAAAGOf3TU=")</f>
        <v>#VALUE!</v>
      </c>
      <c r="BC70" t="e">
        <f>AND('GA55 Entry'!Y118,"AAAAAGOf3TY=")</f>
        <v>#VALUE!</v>
      </c>
      <c r="BD70" t="e">
        <f>AND('GA55 Entry'!#REF!,"AAAAAGOf3Tc=")</f>
        <v>#REF!</v>
      </c>
      <c r="BE70" t="e">
        <f>AND('GA55 Entry'!#REF!,"AAAAAGOf3Tg=")</f>
        <v>#REF!</v>
      </c>
      <c r="BF70" t="e">
        <f>AND('GA55 Entry'!#REF!,"AAAAAGOf3Tk=")</f>
        <v>#REF!</v>
      </c>
      <c r="BG70" t="e">
        <f>AND('GA55 Entry'!#REF!,"AAAAAGOf3To=")</f>
        <v>#REF!</v>
      </c>
      <c r="BH70" t="e">
        <f>AND('GA55 Entry'!#REF!,"AAAAAGOf3Ts=")</f>
        <v>#REF!</v>
      </c>
      <c r="BI70" t="e">
        <f>AND('GA55 Entry'!#REF!,"AAAAAGOf3Tw=")</f>
        <v>#REF!</v>
      </c>
      <c r="BJ70" t="e">
        <f>AND('GA55 Entry'!#REF!,"AAAAAGOf3T0=")</f>
        <v>#REF!</v>
      </c>
      <c r="BK70" t="e">
        <f>AND('GA55 Entry'!#REF!,"AAAAAGOf3T4=")</f>
        <v>#REF!</v>
      </c>
      <c r="BL70" t="e">
        <f>AND('GA55 Entry'!#REF!,"AAAAAGOf3T8=")</f>
        <v>#REF!</v>
      </c>
      <c r="BM70" t="e">
        <f>AND('GA55 Entry'!Z118,"AAAAAGOf3UA=")</f>
        <v>#VALUE!</v>
      </c>
      <c r="BN70" t="e">
        <f>AND('GA55 Entry'!AA118,"AAAAAGOf3UE=")</f>
        <v>#VALUE!</v>
      </c>
      <c r="BO70" t="e">
        <f>AND('GA55 Entry'!#REF!,"AAAAAGOf3UI=")</f>
        <v>#REF!</v>
      </c>
      <c r="BP70" t="e">
        <f>AND('GA55 Entry'!#REF!,"AAAAAGOf3UM=")</f>
        <v>#REF!</v>
      </c>
      <c r="BQ70" t="e">
        <f>AND('GA55 Entry'!#REF!,"AAAAAGOf3UQ=")</f>
        <v>#REF!</v>
      </c>
      <c r="BR70" t="e">
        <f>AND('GA55 Entry'!AB118,"AAAAAGOf3UU=")</f>
        <v>#VALUE!</v>
      </c>
      <c r="BS70" t="e">
        <f>AND('GA55 Entry'!AC118,"AAAAAGOf3UY=")</f>
        <v>#VALUE!</v>
      </c>
      <c r="BT70" t="e">
        <f>AND('GA55 Entry'!#REF!,"AAAAAGOf3Uc=")</f>
        <v>#REF!</v>
      </c>
      <c r="BU70">
        <f>IF('GA55 Entry'!119:119,"AAAAAGOf3Ug=",0)</f>
        <v>0</v>
      </c>
      <c r="BV70" t="e">
        <f>AND('GA55 Entry'!B119,"AAAAAGOf3Uk=")</f>
        <v>#VALUE!</v>
      </c>
      <c r="BW70" t="e">
        <f>AND('GA55 Entry'!#REF!,"AAAAAGOf3Uo=")</f>
        <v>#REF!</v>
      </c>
      <c r="BX70" t="e">
        <f>AND('GA55 Entry'!C119,"AAAAAGOf3Us=")</f>
        <v>#VALUE!</v>
      </c>
      <c r="BY70" t="e">
        <f>AND('GA55 Entry'!#REF!,"AAAAAGOf3Uw=")</f>
        <v>#REF!</v>
      </c>
      <c r="BZ70" t="e">
        <f>AND('GA55 Entry'!#REF!,"AAAAAGOf3U0=")</f>
        <v>#REF!</v>
      </c>
      <c r="CA70" t="e">
        <f>AND('GA55 Entry'!#REF!,"AAAAAGOf3U4=")</f>
        <v>#REF!</v>
      </c>
      <c r="CB70" t="e">
        <f>AND('GA55 Entry'!#REF!,"AAAAAGOf3U8=")</f>
        <v>#REF!</v>
      </c>
      <c r="CC70" t="e">
        <f>AND('GA55 Entry'!#REF!,"AAAAAGOf3VA=")</f>
        <v>#REF!</v>
      </c>
      <c r="CD70" t="e">
        <f>AND('GA55 Entry'!D119,"AAAAAGOf3VE=")</f>
        <v>#VALUE!</v>
      </c>
      <c r="CE70" t="e">
        <f>AND('GA55 Entry'!#REF!,"AAAAAGOf3VI=")</f>
        <v>#REF!</v>
      </c>
      <c r="CF70" t="e">
        <f>AND('GA55 Entry'!E119,"AAAAAGOf3VM=")</f>
        <v>#VALUE!</v>
      </c>
      <c r="CG70" t="e">
        <f>AND('GA55 Entry'!F119,"AAAAAGOf3VQ=")</f>
        <v>#VALUE!</v>
      </c>
      <c r="CH70" t="e">
        <f>AND('GA55 Entry'!G119,"AAAAAGOf3VU=")</f>
        <v>#VALUE!</v>
      </c>
      <c r="CI70" t="e">
        <f>AND('GA55 Entry'!H119,"AAAAAGOf3VY=")</f>
        <v>#VALUE!</v>
      </c>
      <c r="CJ70" t="e">
        <f>AND('GA55 Entry'!I119,"AAAAAGOf3Vc=")</f>
        <v>#VALUE!</v>
      </c>
      <c r="CK70" t="e">
        <f>AND('GA55 Entry'!J119,"AAAAAGOf3Vg=")</f>
        <v>#VALUE!</v>
      </c>
      <c r="CL70" t="e">
        <f>AND('GA55 Entry'!#REF!,"AAAAAGOf3Vk=")</f>
        <v>#REF!</v>
      </c>
      <c r="CM70" t="e">
        <f>AND('GA55 Entry'!K119,"AAAAAGOf3Vo=")</f>
        <v>#VALUE!</v>
      </c>
      <c r="CN70" t="e">
        <f>AND('GA55 Entry'!L119,"AAAAAGOf3Vs=")</f>
        <v>#VALUE!</v>
      </c>
      <c r="CO70" t="e">
        <f>AND('GA55 Entry'!M119,"AAAAAGOf3Vw=")</f>
        <v>#VALUE!</v>
      </c>
      <c r="CP70" t="e">
        <f>AND('GA55 Entry'!N119,"AAAAAGOf3V0=")</f>
        <v>#VALUE!</v>
      </c>
      <c r="CQ70" t="e">
        <f>AND('GA55 Entry'!O119,"AAAAAGOf3V4=")</f>
        <v>#VALUE!</v>
      </c>
      <c r="CR70" t="e">
        <f>AND('GA55 Entry'!P119,"AAAAAGOf3V8=")</f>
        <v>#VALUE!</v>
      </c>
      <c r="CS70" t="e">
        <f>AND('GA55 Entry'!Q119,"AAAAAGOf3WA=")</f>
        <v>#VALUE!</v>
      </c>
      <c r="CT70" t="e">
        <f>AND('GA55 Entry'!S119,"AAAAAGOf3WE=")</f>
        <v>#VALUE!</v>
      </c>
      <c r="CU70" t="e">
        <f>AND('GA55 Entry'!#REF!,"AAAAAGOf3WI=")</f>
        <v>#REF!</v>
      </c>
      <c r="CV70" t="e">
        <f>AND('GA55 Entry'!T119,"AAAAAGOf3WM=")</f>
        <v>#VALUE!</v>
      </c>
      <c r="CW70" t="e">
        <f>AND('GA55 Entry'!U119,"AAAAAGOf3WQ=")</f>
        <v>#VALUE!</v>
      </c>
      <c r="CX70" t="e">
        <f>AND('GA55 Entry'!V119,"AAAAAGOf3WU=")</f>
        <v>#VALUE!</v>
      </c>
      <c r="CY70" t="e">
        <f>AND('GA55 Entry'!#REF!,"AAAAAGOf3WY=")</f>
        <v>#REF!</v>
      </c>
      <c r="CZ70" t="e">
        <f>AND('GA55 Entry'!#REF!,"AAAAAGOf3Wc=")</f>
        <v>#REF!</v>
      </c>
      <c r="DA70" t="e">
        <f>AND('GA55 Entry'!X119,"AAAAAGOf3Wg=")</f>
        <v>#VALUE!</v>
      </c>
      <c r="DB70" t="e">
        <f>AND('GA55 Entry'!Y119,"AAAAAGOf3Wk=")</f>
        <v>#VALUE!</v>
      </c>
      <c r="DC70" t="e">
        <f>AND('GA55 Entry'!#REF!,"AAAAAGOf3Wo=")</f>
        <v>#REF!</v>
      </c>
      <c r="DD70" t="e">
        <f>AND('GA55 Entry'!#REF!,"AAAAAGOf3Ws=")</f>
        <v>#REF!</v>
      </c>
      <c r="DE70" t="e">
        <f>AND('GA55 Entry'!#REF!,"AAAAAGOf3Ww=")</f>
        <v>#REF!</v>
      </c>
      <c r="DF70" t="e">
        <f>AND('GA55 Entry'!#REF!,"AAAAAGOf3W0=")</f>
        <v>#REF!</v>
      </c>
      <c r="DG70" t="e">
        <f>AND('GA55 Entry'!#REF!,"AAAAAGOf3W4=")</f>
        <v>#REF!</v>
      </c>
      <c r="DH70" t="e">
        <f>AND('GA55 Entry'!#REF!,"AAAAAGOf3W8=")</f>
        <v>#REF!</v>
      </c>
      <c r="DI70" t="e">
        <f>AND('GA55 Entry'!#REF!,"AAAAAGOf3XA=")</f>
        <v>#REF!</v>
      </c>
      <c r="DJ70" t="e">
        <f>AND('GA55 Entry'!#REF!,"AAAAAGOf3XE=")</f>
        <v>#REF!</v>
      </c>
      <c r="DK70" t="e">
        <f>AND('GA55 Entry'!#REF!,"AAAAAGOf3XI=")</f>
        <v>#REF!</v>
      </c>
      <c r="DL70" t="e">
        <f>AND('GA55 Entry'!Z119,"AAAAAGOf3XM=")</f>
        <v>#VALUE!</v>
      </c>
      <c r="DM70" t="e">
        <f>AND('GA55 Entry'!AA119,"AAAAAGOf3XQ=")</f>
        <v>#VALUE!</v>
      </c>
      <c r="DN70" t="e">
        <f>AND('GA55 Entry'!#REF!,"AAAAAGOf3XU=")</f>
        <v>#REF!</v>
      </c>
      <c r="DO70" t="e">
        <f>AND('GA55 Entry'!#REF!,"AAAAAGOf3XY=")</f>
        <v>#REF!</v>
      </c>
      <c r="DP70" t="e">
        <f>AND('GA55 Entry'!#REF!,"AAAAAGOf3Xc=")</f>
        <v>#REF!</v>
      </c>
      <c r="DQ70" t="e">
        <f>AND('GA55 Entry'!AB119,"AAAAAGOf3Xg=")</f>
        <v>#VALUE!</v>
      </c>
      <c r="DR70" t="e">
        <f>AND('GA55 Entry'!AC119,"AAAAAGOf3Xk=")</f>
        <v>#VALUE!</v>
      </c>
      <c r="DS70" t="e">
        <f>AND('GA55 Entry'!#REF!,"AAAAAGOf3Xo=")</f>
        <v>#REF!</v>
      </c>
      <c r="DT70">
        <f>IF('GA55 Entry'!120:120,"AAAAAGOf3Xs=",0)</f>
        <v>0</v>
      </c>
      <c r="DU70" t="e">
        <f>AND('GA55 Entry'!B120,"AAAAAGOf3Xw=")</f>
        <v>#VALUE!</v>
      </c>
      <c r="DV70" t="e">
        <f>AND('GA55 Entry'!#REF!,"AAAAAGOf3X0=")</f>
        <v>#REF!</v>
      </c>
      <c r="DW70" t="e">
        <f>AND('GA55 Entry'!C120,"AAAAAGOf3X4=")</f>
        <v>#VALUE!</v>
      </c>
      <c r="DX70" t="e">
        <f>AND('GA55 Entry'!#REF!,"AAAAAGOf3X8=")</f>
        <v>#REF!</v>
      </c>
      <c r="DY70" t="e">
        <f>AND('GA55 Entry'!#REF!,"AAAAAGOf3YA=")</f>
        <v>#REF!</v>
      </c>
      <c r="DZ70" t="e">
        <f>AND('GA55 Entry'!#REF!,"AAAAAGOf3YE=")</f>
        <v>#REF!</v>
      </c>
      <c r="EA70" t="e">
        <f>AND('GA55 Entry'!#REF!,"AAAAAGOf3YI=")</f>
        <v>#REF!</v>
      </c>
      <c r="EB70" t="e">
        <f>AND('GA55 Entry'!#REF!,"AAAAAGOf3YM=")</f>
        <v>#REF!</v>
      </c>
      <c r="EC70" t="e">
        <f>AND('GA55 Entry'!D120,"AAAAAGOf3YQ=")</f>
        <v>#VALUE!</v>
      </c>
      <c r="ED70" t="e">
        <f>AND('GA55 Entry'!#REF!,"AAAAAGOf3YU=")</f>
        <v>#REF!</v>
      </c>
      <c r="EE70" t="e">
        <f>AND('GA55 Entry'!E120,"AAAAAGOf3YY=")</f>
        <v>#VALUE!</v>
      </c>
      <c r="EF70" t="e">
        <f>AND('GA55 Entry'!F120,"AAAAAGOf3Yc=")</f>
        <v>#VALUE!</v>
      </c>
      <c r="EG70" t="e">
        <f>AND('GA55 Entry'!G120,"AAAAAGOf3Yg=")</f>
        <v>#VALUE!</v>
      </c>
      <c r="EH70" t="e">
        <f>AND('GA55 Entry'!H120,"AAAAAGOf3Yk=")</f>
        <v>#VALUE!</v>
      </c>
      <c r="EI70" t="e">
        <f>AND('GA55 Entry'!I120,"AAAAAGOf3Yo=")</f>
        <v>#VALUE!</v>
      </c>
      <c r="EJ70" t="e">
        <f>AND('GA55 Entry'!J120,"AAAAAGOf3Ys=")</f>
        <v>#VALUE!</v>
      </c>
      <c r="EK70" t="e">
        <f>AND('GA55 Entry'!#REF!,"AAAAAGOf3Yw=")</f>
        <v>#REF!</v>
      </c>
      <c r="EL70" t="e">
        <f>AND('GA55 Entry'!K120,"AAAAAGOf3Y0=")</f>
        <v>#VALUE!</v>
      </c>
      <c r="EM70" t="e">
        <f>AND('GA55 Entry'!L120,"AAAAAGOf3Y4=")</f>
        <v>#VALUE!</v>
      </c>
      <c r="EN70" t="e">
        <f>AND('GA55 Entry'!M120,"AAAAAGOf3Y8=")</f>
        <v>#VALUE!</v>
      </c>
      <c r="EO70" t="e">
        <f>AND('GA55 Entry'!N120,"AAAAAGOf3ZA=")</f>
        <v>#VALUE!</v>
      </c>
      <c r="EP70" t="e">
        <f>AND('GA55 Entry'!O120,"AAAAAGOf3ZE=")</f>
        <v>#VALUE!</v>
      </c>
      <c r="EQ70" t="e">
        <f>AND('GA55 Entry'!P120,"AAAAAGOf3ZI=")</f>
        <v>#VALUE!</v>
      </c>
      <c r="ER70" t="e">
        <f>AND('GA55 Entry'!Q120,"AAAAAGOf3ZM=")</f>
        <v>#VALUE!</v>
      </c>
      <c r="ES70" t="e">
        <f>AND('GA55 Entry'!S120,"AAAAAGOf3ZQ=")</f>
        <v>#VALUE!</v>
      </c>
      <c r="ET70" t="e">
        <f>AND('GA55 Entry'!#REF!,"AAAAAGOf3ZU=")</f>
        <v>#REF!</v>
      </c>
      <c r="EU70" t="e">
        <f>AND('GA55 Entry'!T120,"AAAAAGOf3ZY=")</f>
        <v>#VALUE!</v>
      </c>
      <c r="EV70" t="e">
        <f>AND('GA55 Entry'!U120,"AAAAAGOf3Zc=")</f>
        <v>#VALUE!</v>
      </c>
      <c r="EW70" t="e">
        <f>AND('GA55 Entry'!V120,"AAAAAGOf3Zg=")</f>
        <v>#VALUE!</v>
      </c>
      <c r="EX70" t="e">
        <f>AND('GA55 Entry'!#REF!,"AAAAAGOf3Zk=")</f>
        <v>#REF!</v>
      </c>
      <c r="EY70" t="e">
        <f>AND('GA55 Entry'!#REF!,"AAAAAGOf3Zo=")</f>
        <v>#REF!</v>
      </c>
      <c r="EZ70" t="e">
        <f>AND('GA55 Entry'!X120,"AAAAAGOf3Zs=")</f>
        <v>#VALUE!</v>
      </c>
      <c r="FA70" t="e">
        <f>AND('GA55 Entry'!Y120,"AAAAAGOf3Zw=")</f>
        <v>#VALUE!</v>
      </c>
      <c r="FB70" t="e">
        <f>AND('GA55 Entry'!#REF!,"AAAAAGOf3Z0=")</f>
        <v>#REF!</v>
      </c>
      <c r="FC70" t="e">
        <f>AND('GA55 Entry'!#REF!,"AAAAAGOf3Z4=")</f>
        <v>#REF!</v>
      </c>
      <c r="FD70" t="e">
        <f>AND('GA55 Entry'!#REF!,"AAAAAGOf3Z8=")</f>
        <v>#REF!</v>
      </c>
      <c r="FE70" t="e">
        <f>AND('GA55 Entry'!#REF!,"AAAAAGOf3aA=")</f>
        <v>#REF!</v>
      </c>
      <c r="FF70" t="e">
        <f>AND('GA55 Entry'!#REF!,"AAAAAGOf3aE=")</f>
        <v>#REF!</v>
      </c>
      <c r="FG70" t="e">
        <f>AND('GA55 Entry'!#REF!,"AAAAAGOf3aI=")</f>
        <v>#REF!</v>
      </c>
      <c r="FH70" t="e">
        <f>AND('GA55 Entry'!#REF!,"AAAAAGOf3aM=")</f>
        <v>#REF!</v>
      </c>
      <c r="FI70" t="e">
        <f>AND('GA55 Entry'!#REF!,"AAAAAGOf3aQ=")</f>
        <v>#REF!</v>
      </c>
      <c r="FJ70" t="e">
        <f>AND('GA55 Entry'!#REF!,"AAAAAGOf3aU=")</f>
        <v>#REF!</v>
      </c>
      <c r="FK70" t="e">
        <f>AND('GA55 Entry'!Z120,"AAAAAGOf3aY=")</f>
        <v>#VALUE!</v>
      </c>
      <c r="FL70" t="e">
        <f>AND('GA55 Entry'!AA120,"AAAAAGOf3ac=")</f>
        <v>#VALUE!</v>
      </c>
      <c r="FM70" t="e">
        <f>AND('GA55 Entry'!#REF!,"AAAAAGOf3ag=")</f>
        <v>#REF!</v>
      </c>
      <c r="FN70" t="e">
        <f>AND('GA55 Entry'!#REF!,"AAAAAGOf3ak=")</f>
        <v>#REF!</v>
      </c>
      <c r="FO70" t="e">
        <f>AND('GA55 Entry'!#REF!,"AAAAAGOf3ao=")</f>
        <v>#REF!</v>
      </c>
      <c r="FP70" t="e">
        <f>AND('GA55 Entry'!AB120,"AAAAAGOf3as=")</f>
        <v>#VALUE!</v>
      </c>
      <c r="FQ70" t="e">
        <f>AND('GA55 Entry'!AC120,"AAAAAGOf3aw=")</f>
        <v>#VALUE!</v>
      </c>
      <c r="FR70" t="e">
        <f>AND('GA55 Entry'!#REF!,"AAAAAGOf3a0=")</f>
        <v>#REF!</v>
      </c>
      <c r="FS70">
        <f>IF('GA55 Entry'!121:121,"AAAAAGOf3a4=",0)</f>
        <v>0</v>
      </c>
      <c r="FT70" t="e">
        <f>AND('GA55 Entry'!B121,"AAAAAGOf3a8=")</f>
        <v>#VALUE!</v>
      </c>
      <c r="FU70" t="e">
        <f>AND('GA55 Entry'!#REF!,"AAAAAGOf3bA=")</f>
        <v>#REF!</v>
      </c>
      <c r="FV70" t="e">
        <f>AND('GA55 Entry'!C121,"AAAAAGOf3bE=")</f>
        <v>#VALUE!</v>
      </c>
      <c r="FW70" t="e">
        <f>AND('GA55 Entry'!#REF!,"AAAAAGOf3bI=")</f>
        <v>#REF!</v>
      </c>
      <c r="FX70" t="e">
        <f>AND('GA55 Entry'!#REF!,"AAAAAGOf3bM=")</f>
        <v>#REF!</v>
      </c>
      <c r="FY70" t="e">
        <f>AND('GA55 Entry'!#REF!,"AAAAAGOf3bQ=")</f>
        <v>#REF!</v>
      </c>
      <c r="FZ70" t="e">
        <f>AND('GA55 Entry'!#REF!,"AAAAAGOf3bU=")</f>
        <v>#REF!</v>
      </c>
      <c r="GA70" t="e">
        <f>AND('GA55 Entry'!#REF!,"AAAAAGOf3bY=")</f>
        <v>#REF!</v>
      </c>
      <c r="GB70" t="e">
        <f>AND('GA55 Entry'!D121,"AAAAAGOf3bc=")</f>
        <v>#VALUE!</v>
      </c>
      <c r="GC70" t="e">
        <f>AND('GA55 Entry'!#REF!,"AAAAAGOf3bg=")</f>
        <v>#REF!</v>
      </c>
      <c r="GD70" t="e">
        <f>AND('GA55 Entry'!E121,"AAAAAGOf3bk=")</f>
        <v>#VALUE!</v>
      </c>
      <c r="GE70" t="e">
        <f>AND('GA55 Entry'!F121,"AAAAAGOf3bo=")</f>
        <v>#VALUE!</v>
      </c>
      <c r="GF70" t="e">
        <f>AND('GA55 Entry'!G121,"AAAAAGOf3bs=")</f>
        <v>#VALUE!</v>
      </c>
      <c r="GG70" t="e">
        <f>AND('GA55 Entry'!H121,"AAAAAGOf3bw=")</f>
        <v>#VALUE!</v>
      </c>
      <c r="GH70" t="e">
        <f>AND('GA55 Entry'!I121,"AAAAAGOf3b0=")</f>
        <v>#VALUE!</v>
      </c>
      <c r="GI70" t="e">
        <f>AND('GA55 Entry'!J121,"AAAAAGOf3b4=")</f>
        <v>#VALUE!</v>
      </c>
      <c r="GJ70" t="e">
        <f>AND('GA55 Entry'!#REF!,"AAAAAGOf3b8=")</f>
        <v>#REF!</v>
      </c>
      <c r="GK70" t="e">
        <f>AND('GA55 Entry'!K121,"AAAAAGOf3cA=")</f>
        <v>#VALUE!</v>
      </c>
      <c r="GL70" t="e">
        <f>AND('GA55 Entry'!L121,"AAAAAGOf3cE=")</f>
        <v>#VALUE!</v>
      </c>
      <c r="GM70" t="e">
        <f>AND('GA55 Entry'!M121,"AAAAAGOf3cI=")</f>
        <v>#VALUE!</v>
      </c>
      <c r="GN70" t="e">
        <f>AND('GA55 Entry'!N121,"AAAAAGOf3cM=")</f>
        <v>#VALUE!</v>
      </c>
      <c r="GO70" t="e">
        <f>AND('GA55 Entry'!O121,"AAAAAGOf3cQ=")</f>
        <v>#VALUE!</v>
      </c>
      <c r="GP70" t="e">
        <f>AND('GA55 Entry'!P121,"AAAAAGOf3cU=")</f>
        <v>#VALUE!</v>
      </c>
      <c r="GQ70" t="e">
        <f>AND('GA55 Entry'!Q121,"AAAAAGOf3cY=")</f>
        <v>#VALUE!</v>
      </c>
      <c r="GR70" t="e">
        <f>AND('GA55 Entry'!S121,"AAAAAGOf3cc=")</f>
        <v>#VALUE!</v>
      </c>
      <c r="GS70" t="e">
        <f>AND('GA55 Entry'!#REF!,"AAAAAGOf3cg=")</f>
        <v>#REF!</v>
      </c>
      <c r="GT70" t="e">
        <f>AND('GA55 Entry'!T121,"AAAAAGOf3ck=")</f>
        <v>#VALUE!</v>
      </c>
      <c r="GU70" t="e">
        <f>AND('GA55 Entry'!U121,"AAAAAGOf3co=")</f>
        <v>#VALUE!</v>
      </c>
      <c r="GV70" t="e">
        <f>AND('GA55 Entry'!V121,"AAAAAGOf3cs=")</f>
        <v>#VALUE!</v>
      </c>
      <c r="GW70" t="e">
        <f>AND('GA55 Entry'!#REF!,"AAAAAGOf3cw=")</f>
        <v>#REF!</v>
      </c>
      <c r="GX70" t="e">
        <f>AND('GA55 Entry'!#REF!,"AAAAAGOf3c0=")</f>
        <v>#REF!</v>
      </c>
      <c r="GY70" t="e">
        <f>AND('GA55 Entry'!X121,"AAAAAGOf3c4=")</f>
        <v>#VALUE!</v>
      </c>
      <c r="GZ70" t="e">
        <f>AND('GA55 Entry'!Y121,"AAAAAGOf3c8=")</f>
        <v>#VALUE!</v>
      </c>
      <c r="HA70" t="e">
        <f>AND('GA55 Entry'!#REF!,"AAAAAGOf3dA=")</f>
        <v>#REF!</v>
      </c>
      <c r="HB70" t="e">
        <f>AND('GA55 Entry'!#REF!,"AAAAAGOf3dE=")</f>
        <v>#REF!</v>
      </c>
      <c r="HC70" t="e">
        <f>AND('GA55 Entry'!#REF!,"AAAAAGOf3dI=")</f>
        <v>#REF!</v>
      </c>
      <c r="HD70" t="e">
        <f>AND('GA55 Entry'!#REF!,"AAAAAGOf3dM=")</f>
        <v>#REF!</v>
      </c>
      <c r="HE70" t="e">
        <f>AND('GA55 Entry'!#REF!,"AAAAAGOf3dQ=")</f>
        <v>#REF!</v>
      </c>
      <c r="HF70" t="e">
        <f>AND('GA55 Entry'!#REF!,"AAAAAGOf3dU=")</f>
        <v>#REF!</v>
      </c>
      <c r="HG70" t="e">
        <f>AND('GA55 Entry'!#REF!,"AAAAAGOf3dY=")</f>
        <v>#REF!</v>
      </c>
      <c r="HH70" t="e">
        <f>AND('GA55 Entry'!#REF!,"AAAAAGOf3dc=")</f>
        <v>#REF!</v>
      </c>
      <c r="HI70" t="e">
        <f>AND('GA55 Entry'!#REF!,"AAAAAGOf3dg=")</f>
        <v>#REF!</v>
      </c>
      <c r="HJ70" t="e">
        <f>AND('GA55 Entry'!Z121,"AAAAAGOf3dk=")</f>
        <v>#VALUE!</v>
      </c>
      <c r="HK70" t="e">
        <f>AND('GA55 Entry'!AA121,"AAAAAGOf3do=")</f>
        <v>#VALUE!</v>
      </c>
      <c r="HL70" t="e">
        <f>AND('GA55 Entry'!#REF!,"AAAAAGOf3ds=")</f>
        <v>#REF!</v>
      </c>
      <c r="HM70" t="e">
        <f>AND('GA55 Entry'!#REF!,"AAAAAGOf3dw=")</f>
        <v>#REF!</v>
      </c>
      <c r="HN70" t="e">
        <f>AND('GA55 Entry'!#REF!,"AAAAAGOf3d0=")</f>
        <v>#REF!</v>
      </c>
      <c r="HO70" t="e">
        <f>AND('GA55 Entry'!AB121,"AAAAAGOf3d4=")</f>
        <v>#VALUE!</v>
      </c>
      <c r="HP70" t="e">
        <f>AND('GA55 Entry'!AC121,"AAAAAGOf3d8=")</f>
        <v>#VALUE!</v>
      </c>
      <c r="HQ70" t="e">
        <f>AND('GA55 Entry'!#REF!,"AAAAAGOf3eA=")</f>
        <v>#REF!</v>
      </c>
      <c r="HR70">
        <f>IF('GA55 Entry'!122:122,"AAAAAGOf3eE=",0)</f>
        <v>0</v>
      </c>
      <c r="HS70" t="e">
        <f>AND('GA55 Entry'!B122,"AAAAAGOf3eI=")</f>
        <v>#VALUE!</v>
      </c>
      <c r="HT70" t="e">
        <f>AND('GA55 Entry'!#REF!,"AAAAAGOf3eM=")</f>
        <v>#REF!</v>
      </c>
      <c r="HU70" t="e">
        <f>AND('GA55 Entry'!C122,"AAAAAGOf3eQ=")</f>
        <v>#VALUE!</v>
      </c>
      <c r="HV70" t="e">
        <f>AND('GA55 Entry'!#REF!,"AAAAAGOf3eU=")</f>
        <v>#REF!</v>
      </c>
      <c r="HW70" t="e">
        <f>AND('GA55 Entry'!#REF!,"AAAAAGOf3eY=")</f>
        <v>#REF!</v>
      </c>
      <c r="HX70" t="e">
        <f>AND('GA55 Entry'!#REF!,"AAAAAGOf3ec=")</f>
        <v>#REF!</v>
      </c>
      <c r="HY70" t="e">
        <f>AND('GA55 Entry'!#REF!,"AAAAAGOf3eg=")</f>
        <v>#REF!</v>
      </c>
      <c r="HZ70" t="e">
        <f>AND('GA55 Entry'!#REF!,"AAAAAGOf3ek=")</f>
        <v>#REF!</v>
      </c>
      <c r="IA70" t="e">
        <f>AND('GA55 Entry'!D122,"AAAAAGOf3eo=")</f>
        <v>#VALUE!</v>
      </c>
      <c r="IB70" t="e">
        <f>AND('GA55 Entry'!#REF!,"AAAAAGOf3es=")</f>
        <v>#REF!</v>
      </c>
      <c r="IC70" t="e">
        <f>AND('GA55 Entry'!E122,"AAAAAGOf3ew=")</f>
        <v>#VALUE!</v>
      </c>
      <c r="ID70" t="e">
        <f>AND('GA55 Entry'!F122,"AAAAAGOf3e0=")</f>
        <v>#VALUE!</v>
      </c>
      <c r="IE70" t="e">
        <f>AND('GA55 Entry'!G122,"AAAAAGOf3e4=")</f>
        <v>#VALUE!</v>
      </c>
      <c r="IF70" t="e">
        <f>AND('GA55 Entry'!H122,"AAAAAGOf3e8=")</f>
        <v>#VALUE!</v>
      </c>
      <c r="IG70" t="e">
        <f>AND('GA55 Entry'!I122,"AAAAAGOf3fA=")</f>
        <v>#VALUE!</v>
      </c>
      <c r="IH70" t="e">
        <f>AND('GA55 Entry'!J122,"AAAAAGOf3fE=")</f>
        <v>#VALUE!</v>
      </c>
      <c r="II70" t="e">
        <f>AND('GA55 Entry'!#REF!,"AAAAAGOf3fI=")</f>
        <v>#REF!</v>
      </c>
      <c r="IJ70" t="e">
        <f>AND('GA55 Entry'!K122,"AAAAAGOf3fM=")</f>
        <v>#VALUE!</v>
      </c>
      <c r="IK70" t="e">
        <f>AND('GA55 Entry'!L122,"AAAAAGOf3fQ=")</f>
        <v>#VALUE!</v>
      </c>
      <c r="IL70" t="e">
        <f>AND('GA55 Entry'!M122,"AAAAAGOf3fU=")</f>
        <v>#VALUE!</v>
      </c>
      <c r="IM70" t="e">
        <f>AND('GA55 Entry'!N122,"AAAAAGOf3fY=")</f>
        <v>#VALUE!</v>
      </c>
      <c r="IN70" t="e">
        <f>AND('GA55 Entry'!O122,"AAAAAGOf3fc=")</f>
        <v>#VALUE!</v>
      </c>
      <c r="IO70" t="e">
        <f>AND('GA55 Entry'!P122,"AAAAAGOf3fg=")</f>
        <v>#VALUE!</v>
      </c>
      <c r="IP70" t="e">
        <f>AND('GA55 Entry'!Q122,"AAAAAGOf3fk=")</f>
        <v>#VALUE!</v>
      </c>
      <c r="IQ70" t="e">
        <f>AND('GA55 Entry'!S122,"AAAAAGOf3fo=")</f>
        <v>#VALUE!</v>
      </c>
      <c r="IR70" t="e">
        <f>AND('GA55 Entry'!#REF!,"AAAAAGOf3fs=")</f>
        <v>#REF!</v>
      </c>
      <c r="IS70" t="e">
        <f>AND('GA55 Entry'!T122,"AAAAAGOf3fw=")</f>
        <v>#VALUE!</v>
      </c>
      <c r="IT70" t="e">
        <f>AND('GA55 Entry'!U122,"AAAAAGOf3f0=")</f>
        <v>#VALUE!</v>
      </c>
      <c r="IU70" t="e">
        <f>AND('GA55 Entry'!V122,"AAAAAGOf3f4=")</f>
        <v>#VALUE!</v>
      </c>
      <c r="IV70" t="e">
        <f>AND('GA55 Entry'!#REF!,"AAAAAGOf3f8=")</f>
        <v>#REF!</v>
      </c>
    </row>
    <row r="71" spans="1:256">
      <c r="A71" t="e">
        <f>AND('GA55 Entry'!#REF!,"AAAAAHxvvwA=")</f>
        <v>#REF!</v>
      </c>
      <c r="B71" t="e">
        <f>AND('GA55 Entry'!X122,"AAAAAHxvvwE=")</f>
        <v>#VALUE!</v>
      </c>
      <c r="C71" t="e">
        <f>AND('GA55 Entry'!Y122,"AAAAAHxvvwI=")</f>
        <v>#VALUE!</v>
      </c>
      <c r="D71" t="e">
        <f>AND('GA55 Entry'!#REF!,"AAAAAHxvvwM=")</f>
        <v>#REF!</v>
      </c>
      <c r="E71" t="e">
        <f>AND('GA55 Entry'!#REF!,"AAAAAHxvvwQ=")</f>
        <v>#REF!</v>
      </c>
      <c r="F71" t="e">
        <f>AND('GA55 Entry'!#REF!,"AAAAAHxvvwU=")</f>
        <v>#REF!</v>
      </c>
      <c r="G71" t="e">
        <f>AND('GA55 Entry'!#REF!,"AAAAAHxvvwY=")</f>
        <v>#REF!</v>
      </c>
      <c r="H71" t="e">
        <f>AND('GA55 Entry'!#REF!,"AAAAAHxvvwc=")</f>
        <v>#REF!</v>
      </c>
      <c r="I71" t="e">
        <f>AND('GA55 Entry'!#REF!,"AAAAAHxvvwg=")</f>
        <v>#REF!</v>
      </c>
      <c r="J71" t="e">
        <f>AND('GA55 Entry'!#REF!,"AAAAAHxvvwk=")</f>
        <v>#REF!</v>
      </c>
      <c r="K71" t="e">
        <f>AND('GA55 Entry'!#REF!,"AAAAAHxvvwo=")</f>
        <v>#REF!</v>
      </c>
      <c r="L71" t="e">
        <f>AND('GA55 Entry'!#REF!,"AAAAAHxvvws=")</f>
        <v>#REF!</v>
      </c>
      <c r="M71" t="e">
        <f>AND('GA55 Entry'!Z122,"AAAAAHxvvww=")</f>
        <v>#VALUE!</v>
      </c>
      <c r="N71" t="e">
        <f>AND('GA55 Entry'!AA122,"AAAAAHxvvw0=")</f>
        <v>#VALUE!</v>
      </c>
      <c r="O71" t="e">
        <f>AND('GA55 Entry'!#REF!,"AAAAAHxvvw4=")</f>
        <v>#REF!</v>
      </c>
      <c r="P71" t="e">
        <f>AND('GA55 Entry'!#REF!,"AAAAAHxvvw8=")</f>
        <v>#REF!</v>
      </c>
      <c r="Q71" t="e">
        <f>AND('GA55 Entry'!#REF!,"AAAAAHxvvxA=")</f>
        <v>#REF!</v>
      </c>
      <c r="R71" t="e">
        <f>AND('GA55 Entry'!AB122,"AAAAAHxvvxE=")</f>
        <v>#VALUE!</v>
      </c>
      <c r="S71" t="e">
        <f>AND('GA55 Entry'!AC122,"AAAAAHxvvxI=")</f>
        <v>#VALUE!</v>
      </c>
      <c r="T71" t="e">
        <f>AND('GA55 Entry'!#REF!,"AAAAAHxvvxM=")</f>
        <v>#REF!</v>
      </c>
      <c r="U71">
        <f>IF('GA55 Entry'!123:123,"AAAAAHxvvxQ=",0)</f>
        <v>0</v>
      </c>
      <c r="V71" t="e">
        <f>AND('GA55 Entry'!B123,"AAAAAHxvvxU=")</f>
        <v>#VALUE!</v>
      </c>
      <c r="W71" t="e">
        <f>AND('GA55 Entry'!#REF!,"AAAAAHxvvxY=")</f>
        <v>#REF!</v>
      </c>
      <c r="X71" t="e">
        <f>AND('GA55 Entry'!C123,"AAAAAHxvvxc=")</f>
        <v>#VALUE!</v>
      </c>
      <c r="Y71" t="e">
        <f>AND('GA55 Entry'!#REF!,"AAAAAHxvvxg=")</f>
        <v>#REF!</v>
      </c>
      <c r="Z71" t="e">
        <f>AND('GA55 Entry'!#REF!,"AAAAAHxvvxk=")</f>
        <v>#REF!</v>
      </c>
      <c r="AA71" t="e">
        <f>AND('GA55 Entry'!#REF!,"AAAAAHxvvxo=")</f>
        <v>#REF!</v>
      </c>
      <c r="AB71" t="e">
        <f>AND('GA55 Entry'!#REF!,"AAAAAHxvvxs=")</f>
        <v>#REF!</v>
      </c>
      <c r="AC71" t="e">
        <f>AND('GA55 Entry'!#REF!,"AAAAAHxvvxw=")</f>
        <v>#REF!</v>
      </c>
      <c r="AD71" t="e">
        <f>AND('GA55 Entry'!D123,"AAAAAHxvvx0=")</f>
        <v>#VALUE!</v>
      </c>
      <c r="AE71" t="e">
        <f>AND('GA55 Entry'!#REF!,"AAAAAHxvvx4=")</f>
        <v>#REF!</v>
      </c>
      <c r="AF71" t="e">
        <f>AND('GA55 Entry'!E123,"AAAAAHxvvx8=")</f>
        <v>#VALUE!</v>
      </c>
      <c r="AG71" t="e">
        <f>AND('GA55 Entry'!F123,"AAAAAHxvvyA=")</f>
        <v>#VALUE!</v>
      </c>
      <c r="AH71" t="e">
        <f>AND('GA55 Entry'!G123,"AAAAAHxvvyE=")</f>
        <v>#VALUE!</v>
      </c>
      <c r="AI71" t="e">
        <f>AND('GA55 Entry'!H123,"AAAAAHxvvyI=")</f>
        <v>#VALUE!</v>
      </c>
      <c r="AJ71" t="e">
        <f>AND('GA55 Entry'!I123,"AAAAAHxvvyM=")</f>
        <v>#VALUE!</v>
      </c>
      <c r="AK71" t="e">
        <f>AND('GA55 Entry'!J123,"AAAAAHxvvyQ=")</f>
        <v>#VALUE!</v>
      </c>
      <c r="AL71" t="e">
        <f>AND('GA55 Entry'!#REF!,"AAAAAHxvvyU=")</f>
        <v>#REF!</v>
      </c>
      <c r="AM71" t="e">
        <f>AND('GA55 Entry'!K123,"AAAAAHxvvyY=")</f>
        <v>#VALUE!</v>
      </c>
      <c r="AN71" t="e">
        <f>AND('GA55 Entry'!L123,"AAAAAHxvvyc=")</f>
        <v>#VALUE!</v>
      </c>
      <c r="AO71" t="e">
        <f>AND('GA55 Entry'!M123,"AAAAAHxvvyg=")</f>
        <v>#VALUE!</v>
      </c>
      <c r="AP71" t="e">
        <f>AND('GA55 Entry'!N123,"AAAAAHxvvyk=")</f>
        <v>#VALUE!</v>
      </c>
      <c r="AQ71" t="e">
        <f>AND('GA55 Entry'!O123,"AAAAAHxvvyo=")</f>
        <v>#VALUE!</v>
      </c>
      <c r="AR71" t="e">
        <f>AND('GA55 Entry'!P123,"AAAAAHxvvys=")</f>
        <v>#VALUE!</v>
      </c>
      <c r="AS71" t="e">
        <f>AND('GA55 Entry'!Q123,"AAAAAHxvvyw=")</f>
        <v>#VALUE!</v>
      </c>
      <c r="AT71" t="e">
        <f>AND('GA55 Entry'!S123,"AAAAAHxvvy0=")</f>
        <v>#VALUE!</v>
      </c>
      <c r="AU71" t="e">
        <f>AND('GA55 Entry'!#REF!,"AAAAAHxvvy4=")</f>
        <v>#REF!</v>
      </c>
      <c r="AV71" t="e">
        <f>AND('GA55 Entry'!T123,"AAAAAHxvvy8=")</f>
        <v>#VALUE!</v>
      </c>
      <c r="AW71" t="e">
        <f>AND('GA55 Entry'!U123,"AAAAAHxvvzA=")</f>
        <v>#VALUE!</v>
      </c>
      <c r="AX71" t="e">
        <f>AND('GA55 Entry'!V123,"AAAAAHxvvzE=")</f>
        <v>#VALUE!</v>
      </c>
      <c r="AY71" t="e">
        <f>AND('GA55 Entry'!#REF!,"AAAAAHxvvzI=")</f>
        <v>#REF!</v>
      </c>
      <c r="AZ71" t="e">
        <f>AND('GA55 Entry'!#REF!,"AAAAAHxvvzM=")</f>
        <v>#REF!</v>
      </c>
      <c r="BA71" t="e">
        <f>AND('GA55 Entry'!X123,"AAAAAHxvvzQ=")</f>
        <v>#VALUE!</v>
      </c>
      <c r="BB71" t="e">
        <f>AND('GA55 Entry'!Y123,"AAAAAHxvvzU=")</f>
        <v>#VALUE!</v>
      </c>
      <c r="BC71" t="e">
        <f>AND('GA55 Entry'!#REF!,"AAAAAHxvvzY=")</f>
        <v>#REF!</v>
      </c>
      <c r="BD71" t="e">
        <f>AND('GA55 Entry'!#REF!,"AAAAAHxvvzc=")</f>
        <v>#REF!</v>
      </c>
      <c r="BE71" t="e">
        <f>AND('GA55 Entry'!#REF!,"AAAAAHxvvzg=")</f>
        <v>#REF!</v>
      </c>
      <c r="BF71" t="e">
        <f>AND('GA55 Entry'!#REF!,"AAAAAHxvvzk=")</f>
        <v>#REF!</v>
      </c>
      <c r="BG71" t="e">
        <f>AND('GA55 Entry'!#REF!,"AAAAAHxvvzo=")</f>
        <v>#REF!</v>
      </c>
      <c r="BH71" t="e">
        <f>AND('GA55 Entry'!#REF!,"AAAAAHxvvzs=")</f>
        <v>#REF!</v>
      </c>
      <c r="BI71" t="e">
        <f>AND('GA55 Entry'!#REF!,"AAAAAHxvvzw=")</f>
        <v>#REF!</v>
      </c>
      <c r="BJ71" t="e">
        <f>AND('GA55 Entry'!#REF!,"AAAAAHxvvz0=")</f>
        <v>#REF!</v>
      </c>
      <c r="BK71" t="e">
        <f>AND('GA55 Entry'!#REF!,"AAAAAHxvvz4=")</f>
        <v>#REF!</v>
      </c>
      <c r="BL71" t="e">
        <f>AND('GA55 Entry'!Z123,"AAAAAHxvvz8=")</f>
        <v>#VALUE!</v>
      </c>
      <c r="BM71" t="e">
        <f>AND('GA55 Entry'!AA123,"AAAAAHxvv0A=")</f>
        <v>#VALUE!</v>
      </c>
      <c r="BN71" t="e">
        <f>AND('GA55 Entry'!#REF!,"AAAAAHxvv0E=")</f>
        <v>#REF!</v>
      </c>
      <c r="BO71" t="e">
        <f>AND('GA55 Entry'!#REF!,"AAAAAHxvv0I=")</f>
        <v>#REF!</v>
      </c>
      <c r="BP71" t="e">
        <f>AND('GA55 Entry'!#REF!,"AAAAAHxvv0M=")</f>
        <v>#REF!</v>
      </c>
      <c r="BQ71" t="e">
        <f>AND('GA55 Entry'!AB123,"AAAAAHxvv0Q=")</f>
        <v>#VALUE!</v>
      </c>
      <c r="BR71" t="e">
        <f>AND('GA55 Entry'!AC123,"AAAAAHxvv0U=")</f>
        <v>#VALUE!</v>
      </c>
      <c r="BS71" t="e">
        <f>AND('GA55 Entry'!#REF!,"AAAAAHxvv0Y=")</f>
        <v>#REF!</v>
      </c>
      <c r="BT71">
        <f>IF('GA55 Entry'!124:124,"AAAAAHxvv0c=",0)</f>
        <v>0</v>
      </c>
      <c r="BU71" t="e">
        <f>AND('GA55 Entry'!B124,"AAAAAHxvv0g=")</f>
        <v>#VALUE!</v>
      </c>
      <c r="BV71" t="e">
        <f>AND('GA55 Entry'!#REF!,"AAAAAHxvv0k=")</f>
        <v>#REF!</v>
      </c>
      <c r="BW71" t="e">
        <f>AND('GA55 Entry'!C124,"AAAAAHxvv0o=")</f>
        <v>#VALUE!</v>
      </c>
      <c r="BX71" t="e">
        <f>AND('GA55 Entry'!#REF!,"AAAAAHxvv0s=")</f>
        <v>#REF!</v>
      </c>
      <c r="BY71" t="e">
        <f>AND('GA55 Entry'!#REF!,"AAAAAHxvv0w=")</f>
        <v>#REF!</v>
      </c>
      <c r="BZ71" t="e">
        <f>AND('GA55 Entry'!#REF!,"AAAAAHxvv00=")</f>
        <v>#REF!</v>
      </c>
      <c r="CA71" t="e">
        <f>AND('GA55 Entry'!#REF!,"AAAAAHxvv04=")</f>
        <v>#REF!</v>
      </c>
      <c r="CB71" t="e">
        <f>AND('GA55 Entry'!#REF!,"AAAAAHxvv08=")</f>
        <v>#REF!</v>
      </c>
      <c r="CC71" t="e">
        <f>AND('GA55 Entry'!D124,"AAAAAHxvv1A=")</f>
        <v>#VALUE!</v>
      </c>
      <c r="CD71" t="e">
        <f>AND('GA55 Entry'!#REF!,"AAAAAHxvv1E=")</f>
        <v>#REF!</v>
      </c>
      <c r="CE71" t="e">
        <f>AND('GA55 Entry'!E124,"AAAAAHxvv1I=")</f>
        <v>#VALUE!</v>
      </c>
      <c r="CF71" t="e">
        <f>AND('GA55 Entry'!F124,"AAAAAHxvv1M=")</f>
        <v>#VALUE!</v>
      </c>
      <c r="CG71" t="e">
        <f>AND('GA55 Entry'!G124,"AAAAAHxvv1Q=")</f>
        <v>#VALUE!</v>
      </c>
      <c r="CH71" t="e">
        <f>AND('GA55 Entry'!H124,"AAAAAHxvv1U=")</f>
        <v>#VALUE!</v>
      </c>
      <c r="CI71" t="e">
        <f>AND('GA55 Entry'!I124,"AAAAAHxvv1Y=")</f>
        <v>#VALUE!</v>
      </c>
      <c r="CJ71" t="e">
        <f>AND('GA55 Entry'!J124,"AAAAAHxvv1c=")</f>
        <v>#VALUE!</v>
      </c>
      <c r="CK71" t="e">
        <f>AND('GA55 Entry'!#REF!,"AAAAAHxvv1g=")</f>
        <v>#REF!</v>
      </c>
      <c r="CL71" t="e">
        <f>AND('GA55 Entry'!K124,"AAAAAHxvv1k=")</f>
        <v>#VALUE!</v>
      </c>
      <c r="CM71" t="e">
        <f>AND('GA55 Entry'!L124,"AAAAAHxvv1o=")</f>
        <v>#VALUE!</v>
      </c>
      <c r="CN71" t="e">
        <f>AND('GA55 Entry'!M124,"AAAAAHxvv1s=")</f>
        <v>#VALUE!</v>
      </c>
      <c r="CO71" t="e">
        <f>AND('GA55 Entry'!N124,"AAAAAHxvv1w=")</f>
        <v>#VALUE!</v>
      </c>
      <c r="CP71" t="e">
        <f>AND('GA55 Entry'!O124,"AAAAAHxvv10=")</f>
        <v>#VALUE!</v>
      </c>
      <c r="CQ71" t="e">
        <f>AND('GA55 Entry'!P124,"AAAAAHxvv14=")</f>
        <v>#VALUE!</v>
      </c>
      <c r="CR71" t="e">
        <f>AND('GA55 Entry'!Q124,"AAAAAHxvv18=")</f>
        <v>#VALUE!</v>
      </c>
      <c r="CS71" t="e">
        <f>AND('GA55 Entry'!S124,"AAAAAHxvv2A=")</f>
        <v>#VALUE!</v>
      </c>
      <c r="CT71" t="e">
        <f>AND('GA55 Entry'!#REF!,"AAAAAHxvv2E=")</f>
        <v>#REF!</v>
      </c>
      <c r="CU71" t="e">
        <f>AND('GA55 Entry'!T124,"AAAAAHxvv2I=")</f>
        <v>#VALUE!</v>
      </c>
      <c r="CV71" t="e">
        <f>AND('GA55 Entry'!U124,"AAAAAHxvv2M=")</f>
        <v>#VALUE!</v>
      </c>
      <c r="CW71" t="e">
        <f>AND('GA55 Entry'!V124,"AAAAAHxvv2Q=")</f>
        <v>#VALUE!</v>
      </c>
      <c r="CX71" t="e">
        <f>AND('GA55 Entry'!#REF!,"AAAAAHxvv2U=")</f>
        <v>#REF!</v>
      </c>
      <c r="CY71" t="e">
        <f>AND('GA55 Entry'!#REF!,"AAAAAHxvv2Y=")</f>
        <v>#REF!</v>
      </c>
      <c r="CZ71" t="e">
        <f>AND('GA55 Entry'!X124,"AAAAAHxvv2c=")</f>
        <v>#VALUE!</v>
      </c>
      <c r="DA71" t="e">
        <f>AND('GA55 Entry'!Y124,"AAAAAHxvv2g=")</f>
        <v>#VALUE!</v>
      </c>
      <c r="DB71" t="e">
        <f>AND('GA55 Entry'!#REF!,"AAAAAHxvv2k=")</f>
        <v>#REF!</v>
      </c>
      <c r="DC71" t="e">
        <f>AND('GA55 Entry'!#REF!,"AAAAAHxvv2o=")</f>
        <v>#REF!</v>
      </c>
      <c r="DD71" t="e">
        <f>AND('GA55 Entry'!#REF!,"AAAAAHxvv2s=")</f>
        <v>#REF!</v>
      </c>
      <c r="DE71" t="e">
        <f>AND('GA55 Entry'!#REF!,"AAAAAHxvv2w=")</f>
        <v>#REF!</v>
      </c>
      <c r="DF71" t="e">
        <f>AND('GA55 Entry'!#REF!,"AAAAAHxvv20=")</f>
        <v>#REF!</v>
      </c>
      <c r="DG71" t="e">
        <f>AND('GA55 Entry'!#REF!,"AAAAAHxvv24=")</f>
        <v>#REF!</v>
      </c>
      <c r="DH71" t="e">
        <f>AND('GA55 Entry'!#REF!,"AAAAAHxvv28=")</f>
        <v>#REF!</v>
      </c>
      <c r="DI71" t="e">
        <f>AND('GA55 Entry'!#REF!,"AAAAAHxvv3A=")</f>
        <v>#REF!</v>
      </c>
      <c r="DJ71" t="e">
        <f>AND('GA55 Entry'!#REF!,"AAAAAHxvv3E=")</f>
        <v>#REF!</v>
      </c>
      <c r="DK71" t="e">
        <f>AND('GA55 Entry'!Z124,"AAAAAHxvv3I=")</f>
        <v>#VALUE!</v>
      </c>
      <c r="DL71" t="e">
        <f>AND('GA55 Entry'!AA124,"AAAAAHxvv3M=")</f>
        <v>#VALUE!</v>
      </c>
      <c r="DM71" t="e">
        <f>AND('GA55 Entry'!#REF!,"AAAAAHxvv3Q=")</f>
        <v>#REF!</v>
      </c>
      <c r="DN71" t="e">
        <f>AND('GA55 Entry'!#REF!,"AAAAAHxvv3U=")</f>
        <v>#REF!</v>
      </c>
      <c r="DO71" t="e">
        <f>AND('GA55 Entry'!#REF!,"AAAAAHxvv3Y=")</f>
        <v>#REF!</v>
      </c>
      <c r="DP71" t="e">
        <f>AND('GA55 Entry'!AB124,"AAAAAHxvv3c=")</f>
        <v>#VALUE!</v>
      </c>
      <c r="DQ71" t="e">
        <f>AND('GA55 Entry'!AC124,"AAAAAHxvv3g=")</f>
        <v>#VALUE!</v>
      </c>
      <c r="DR71" t="e">
        <f>AND('GA55 Entry'!#REF!,"AAAAAHxvv3k=")</f>
        <v>#REF!</v>
      </c>
      <c r="DS71">
        <f>IF('GA55 Entry'!125:125,"AAAAAHxvv3o=",0)</f>
        <v>0</v>
      </c>
      <c r="DT71" t="e">
        <f>AND('GA55 Entry'!B125,"AAAAAHxvv3s=")</f>
        <v>#VALUE!</v>
      </c>
      <c r="DU71" t="e">
        <f>AND('GA55 Entry'!#REF!,"AAAAAHxvv3w=")</f>
        <v>#REF!</v>
      </c>
      <c r="DV71" t="e">
        <f>AND('GA55 Entry'!C125,"AAAAAHxvv30=")</f>
        <v>#VALUE!</v>
      </c>
      <c r="DW71" t="e">
        <f>AND('GA55 Entry'!#REF!,"AAAAAHxvv34=")</f>
        <v>#REF!</v>
      </c>
      <c r="DX71" t="e">
        <f>AND('GA55 Entry'!#REF!,"AAAAAHxvv38=")</f>
        <v>#REF!</v>
      </c>
      <c r="DY71" t="e">
        <f>AND('GA55 Entry'!#REF!,"AAAAAHxvv4A=")</f>
        <v>#REF!</v>
      </c>
      <c r="DZ71" t="e">
        <f>AND('GA55 Entry'!#REF!,"AAAAAHxvv4E=")</f>
        <v>#REF!</v>
      </c>
      <c r="EA71" t="e">
        <f>AND('GA55 Entry'!#REF!,"AAAAAHxvv4I=")</f>
        <v>#REF!</v>
      </c>
      <c r="EB71" t="e">
        <f>AND('GA55 Entry'!D125,"AAAAAHxvv4M=")</f>
        <v>#VALUE!</v>
      </c>
      <c r="EC71" t="e">
        <f>AND('GA55 Entry'!#REF!,"AAAAAHxvv4Q=")</f>
        <v>#REF!</v>
      </c>
      <c r="ED71" t="e">
        <f>AND('GA55 Entry'!E125,"AAAAAHxvv4U=")</f>
        <v>#VALUE!</v>
      </c>
      <c r="EE71" t="e">
        <f>AND('GA55 Entry'!F125,"AAAAAHxvv4Y=")</f>
        <v>#VALUE!</v>
      </c>
      <c r="EF71" t="e">
        <f>AND('GA55 Entry'!G125,"AAAAAHxvv4c=")</f>
        <v>#VALUE!</v>
      </c>
      <c r="EG71" t="e">
        <f>AND('GA55 Entry'!H125,"AAAAAHxvv4g=")</f>
        <v>#VALUE!</v>
      </c>
      <c r="EH71" t="e">
        <f>AND('GA55 Entry'!I125,"AAAAAHxvv4k=")</f>
        <v>#VALUE!</v>
      </c>
      <c r="EI71" t="e">
        <f>AND('GA55 Entry'!J125,"AAAAAHxvv4o=")</f>
        <v>#VALUE!</v>
      </c>
      <c r="EJ71" t="e">
        <f>AND('GA55 Entry'!#REF!,"AAAAAHxvv4s=")</f>
        <v>#REF!</v>
      </c>
      <c r="EK71" t="e">
        <f>AND('GA55 Entry'!K125,"AAAAAHxvv4w=")</f>
        <v>#VALUE!</v>
      </c>
      <c r="EL71" t="e">
        <f>AND('GA55 Entry'!L125,"AAAAAHxvv40=")</f>
        <v>#VALUE!</v>
      </c>
      <c r="EM71" t="e">
        <f>AND('GA55 Entry'!M125,"AAAAAHxvv44=")</f>
        <v>#VALUE!</v>
      </c>
      <c r="EN71" t="e">
        <f>AND('GA55 Entry'!N125,"AAAAAHxvv48=")</f>
        <v>#VALUE!</v>
      </c>
      <c r="EO71" t="e">
        <f>AND('GA55 Entry'!O125,"AAAAAHxvv5A=")</f>
        <v>#VALUE!</v>
      </c>
      <c r="EP71" t="e">
        <f>AND('GA55 Entry'!P125,"AAAAAHxvv5E=")</f>
        <v>#VALUE!</v>
      </c>
      <c r="EQ71" t="e">
        <f>AND('GA55 Entry'!Q125,"AAAAAHxvv5I=")</f>
        <v>#VALUE!</v>
      </c>
      <c r="ER71" t="e">
        <f>AND('GA55 Entry'!S125,"AAAAAHxvv5M=")</f>
        <v>#VALUE!</v>
      </c>
      <c r="ES71" t="e">
        <f>AND('GA55 Entry'!#REF!,"AAAAAHxvv5Q=")</f>
        <v>#REF!</v>
      </c>
      <c r="ET71" t="e">
        <f>AND('GA55 Entry'!T125,"AAAAAHxvv5U=")</f>
        <v>#VALUE!</v>
      </c>
      <c r="EU71" t="e">
        <f>AND('GA55 Entry'!U125,"AAAAAHxvv5Y=")</f>
        <v>#VALUE!</v>
      </c>
      <c r="EV71" t="e">
        <f>AND('GA55 Entry'!V125,"AAAAAHxvv5c=")</f>
        <v>#VALUE!</v>
      </c>
      <c r="EW71" t="e">
        <f>AND('GA55 Entry'!#REF!,"AAAAAHxvv5g=")</f>
        <v>#REF!</v>
      </c>
      <c r="EX71" t="e">
        <f>AND('GA55 Entry'!#REF!,"AAAAAHxvv5k=")</f>
        <v>#REF!</v>
      </c>
      <c r="EY71" t="e">
        <f>AND('GA55 Entry'!X125,"AAAAAHxvv5o=")</f>
        <v>#VALUE!</v>
      </c>
      <c r="EZ71" t="e">
        <f>AND('GA55 Entry'!Y125,"AAAAAHxvv5s=")</f>
        <v>#VALUE!</v>
      </c>
      <c r="FA71" t="e">
        <f>AND('GA55 Entry'!#REF!,"AAAAAHxvv5w=")</f>
        <v>#REF!</v>
      </c>
      <c r="FB71" t="e">
        <f>AND('GA55 Entry'!#REF!,"AAAAAHxvv50=")</f>
        <v>#REF!</v>
      </c>
      <c r="FC71" t="e">
        <f>AND('GA55 Entry'!#REF!,"AAAAAHxvv54=")</f>
        <v>#REF!</v>
      </c>
      <c r="FD71" t="e">
        <f>AND('GA55 Entry'!#REF!,"AAAAAHxvv58=")</f>
        <v>#REF!</v>
      </c>
      <c r="FE71" t="e">
        <f>AND('GA55 Entry'!#REF!,"AAAAAHxvv6A=")</f>
        <v>#REF!</v>
      </c>
      <c r="FF71" t="e">
        <f>AND('GA55 Entry'!#REF!,"AAAAAHxvv6E=")</f>
        <v>#REF!</v>
      </c>
      <c r="FG71" t="e">
        <f>AND('GA55 Entry'!#REF!,"AAAAAHxvv6I=")</f>
        <v>#REF!</v>
      </c>
      <c r="FH71" t="e">
        <f>AND('GA55 Entry'!#REF!,"AAAAAHxvv6M=")</f>
        <v>#REF!</v>
      </c>
      <c r="FI71" t="e">
        <f>AND('GA55 Entry'!#REF!,"AAAAAHxvv6Q=")</f>
        <v>#REF!</v>
      </c>
      <c r="FJ71" t="e">
        <f>AND('GA55 Entry'!Z125,"AAAAAHxvv6U=")</f>
        <v>#VALUE!</v>
      </c>
      <c r="FK71" t="e">
        <f>AND('GA55 Entry'!AA125,"AAAAAHxvv6Y=")</f>
        <v>#VALUE!</v>
      </c>
      <c r="FL71" t="e">
        <f>AND('GA55 Entry'!#REF!,"AAAAAHxvv6c=")</f>
        <v>#REF!</v>
      </c>
      <c r="FM71" t="e">
        <f>AND('GA55 Entry'!#REF!,"AAAAAHxvv6g=")</f>
        <v>#REF!</v>
      </c>
      <c r="FN71" t="e">
        <f>AND('GA55 Entry'!#REF!,"AAAAAHxvv6k=")</f>
        <v>#REF!</v>
      </c>
      <c r="FO71" t="e">
        <f>AND('GA55 Entry'!AB125,"AAAAAHxvv6o=")</f>
        <v>#VALUE!</v>
      </c>
      <c r="FP71" t="e">
        <f>AND('GA55 Entry'!AC125,"AAAAAHxvv6s=")</f>
        <v>#VALUE!</v>
      </c>
      <c r="FQ71" t="e">
        <f>AND('GA55 Entry'!#REF!,"AAAAAHxvv6w=")</f>
        <v>#REF!</v>
      </c>
      <c r="FR71">
        <f>IF('GA55 Entry'!126:126,"AAAAAHxvv60=",0)</f>
        <v>0</v>
      </c>
      <c r="FS71" t="e">
        <f>AND('GA55 Entry'!B126,"AAAAAHxvv64=")</f>
        <v>#VALUE!</v>
      </c>
      <c r="FT71" t="e">
        <f>AND('GA55 Entry'!#REF!,"AAAAAHxvv68=")</f>
        <v>#REF!</v>
      </c>
      <c r="FU71" t="e">
        <f>AND('GA55 Entry'!C126,"AAAAAHxvv7A=")</f>
        <v>#VALUE!</v>
      </c>
      <c r="FV71" t="e">
        <f>AND('GA55 Entry'!#REF!,"AAAAAHxvv7E=")</f>
        <v>#REF!</v>
      </c>
      <c r="FW71" t="e">
        <f>AND('GA55 Entry'!#REF!,"AAAAAHxvv7I=")</f>
        <v>#REF!</v>
      </c>
      <c r="FX71" t="e">
        <f>AND('GA55 Entry'!#REF!,"AAAAAHxvv7M=")</f>
        <v>#REF!</v>
      </c>
      <c r="FY71" t="e">
        <f>AND('GA55 Entry'!#REF!,"AAAAAHxvv7Q=")</f>
        <v>#REF!</v>
      </c>
      <c r="FZ71" t="e">
        <f>AND('GA55 Entry'!#REF!,"AAAAAHxvv7U=")</f>
        <v>#REF!</v>
      </c>
      <c r="GA71" t="e">
        <f>AND('GA55 Entry'!D126,"AAAAAHxvv7Y=")</f>
        <v>#VALUE!</v>
      </c>
      <c r="GB71" t="e">
        <f>AND('GA55 Entry'!#REF!,"AAAAAHxvv7c=")</f>
        <v>#REF!</v>
      </c>
      <c r="GC71" t="e">
        <f>AND('GA55 Entry'!E126,"AAAAAHxvv7g=")</f>
        <v>#VALUE!</v>
      </c>
      <c r="GD71" t="e">
        <f>AND('GA55 Entry'!F126,"AAAAAHxvv7k=")</f>
        <v>#VALUE!</v>
      </c>
      <c r="GE71" t="e">
        <f>AND('GA55 Entry'!G126,"AAAAAHxvv7o=")</f>
        <v>#VALUE!</v>
      </c>
      <c r="GF71" t="e">
        <f>AND('GA55 Entry'!H126,"AAAAAHxvv7s=")</f>
        <v>#VALUE!</v>
      </c>
      <c r="GG71" t="e">
        <f>AND('GA55 Entry'!I126,"AAAAAHxvv7w=")</f>
        <v>#VALUE!</v>
      </c>
      <c r="GH71" t="e">
        <f>AND('GA55 Entry'!J126,"AAAAAHxvv70=")</f>
        <v>#VALUE!</v>
      </c>
      <c r="GI71" t="e">
        <f>AND('GA55 Entry'!#REF!,"AAAAAHxvv74=")</f>
        <v>#REF!</v>
      </c>
      <c r="GJ71" t="e">
        <f>AND('GA55 Entry'!K126,"AAAAAHxvv78=")</f>
        <v>#VALUE!</v>
      </c>
      <c r="GK71" t="e">
        <f>AND('GA55 Entry'!L126,"AAAAAHxvv8A=")</f>
        <v>#VALUE!</v>
      </c>
      <c r="GL71" t="e">
        <f>AND('GA55 Entry'!M126,"AAAAAHxvv8E=")</f>
        <v>#VALUE!</v>
      </c>
      <c r="GM71" t="e">
        <f>AND('GA55 Entry'!N126,"AAAAAHxvv8I=")</f>
        <v>#VALUE!</v>
      </c>
      <c r="GN71" t="e">
        <f>AND('GA55 Entry'!O126,"AAAAAHxvv8M=")</f>
        <v>#VALUE!</v>
      </c>
      <c r="GO71" t="e">
        <f>AND('GA55 Entry'!P126,"AAAAAHxvv8Q=")</f>
        <v>#VALUE!</v>
      </c>
      <c r="GP71" t="e">
        <f>AND('GA55 Entry'!Q126,"AAAAAHxvv8U=")</f>
        <v>#VALUE!</v>
      </c>
      <c r="GQ71" t="e">
        <f>AND('GA55 Entry'!S126,"AAAAAHxvv8Y=")</f>
        <v>#VALUE!</v>
      </c>
      <c r="GR71" t="e">
        <f>AND('GA55 Entry'!#REF!,"AAAAAHxvv8c=")</f>
        <v>#REF!</v>
      </c>
      <c r="GS71" t="e">
        <f>AND('GA55 Entry'!T126,"AAAAAHxvv8g=")</f>
        <v>#VALUE!</v>
      </c>
      <c r="GT71" t="e">
        <f>AND('GA55 Entry'!U126,"AAAAAHxvv8k=")</f>
        <v>#VALUE!</v>
      </c>
      <c r="GU71" t="e">
        <f>AND('GA55 Entry'!V126,"AAAAAHxvv8o=")</f>
        <v>#VALUE!</v>
      </c>
      <c r="GV71" t="e">
        <f>AND('GA55 Entry'!#REF!,"AAAAAHxvv8s=")</f>
        <v>#REF!</v>
      </c>
      <c r="GW71" t="e">
        <f>AND('GA55 Entry'!#REF!,"AAAAAHxvv8w=")</f>
        <v>#REF!</v>
      </c>
      <c r="GX71" t="e">
        <f>AND('GA55 Entry'!X126,"AAAAAHxvv80=")</f>
        <v>#VALUE!</v>
      </c>
      <c r="GY71" t="e">
        <f>AND('GA55 Entry'!Y126,"AAAAAHxvv84=")</f>
        <v>#VALUE!</v>
      </c>
      <c r="GZ71" t="e">
        <f>AND('GA55 Entry'!#REF!,"AAAAAHxvv88=")</f>
        <v>#REF!</v>
      </c>
      <c r="HA71" t="e">
        <f>AND('GA55 Entry'!#REF!,"AAAAAHxvv9A=")</f>
        <v>#REF!</v>
      </c>
      <c r="HB71" t="e">
        <f>AND('GA55 Entry'!#REF!,"AAAAAHxvv9E=")</f>
        <v>#REF!</v>
      </c>
      <c r="HC71" t="e">
        <f>AND('GA55 Entry'!#REF!,"AAAAAHxvv9I=")</f>
        <v>#REF!</v>
      </c>
      <c r="HD71" t="e">
        <f>AND('GA55 Entry'!#REF!,"AAAAAHxvv9M=")</f>
        <v>#REF!</v>
      </c>
      <c r="HE71" t="e">
        <f>AND('GA55 Entry'!#REF!,"AAAAAHxvv9Q=")</f>
        <v>#REF!</v>
      </c>
      <c r="HF71" t="e">
        <f>AND('GA55 Entry'!#REF!,"AAAAAHxvv9U=")</f>
        <v>#REF!</v>
      </c>
      <c r="HG71" t="e">
        <f>AND('GA55 Entry'!#REF!,"AAAAAHxvv9Y=")</f>
        <v>#REF!</v>
      </c>
      <c r="HH71" t="e">
        <f>AND('GA55 Entry'!#REF!,"AAAAAHxvv9c=")</f>
        <v>#REF!</v>
      </c>
      <c r="HI71" t="e">
        <f>AND('GA55 Entry'!Z126,"AAAAAHxvv9g=")</f>
        <v>#VALUE!</v>
      </c>
      <c r="HJ71" t="e">
        <f>AND('GA55 Entry'!AA126,"AAAAAHxvv9k=")</f>
        <v>#VALUE!</v>
      </c>
      <c r="HK71" t="e">
        <f>AND('GA55 Entry'!#REF!,"AAAAAHxvv9o=")</f>
        <v>#REF!</v>
      </c>
      <c r="HL71" t="e">
        <f>AND('GA55 Entry'!#REF!,"AAAAAHxvv9s=")</f>
        <v>#REF!</v>
      </c>
      <c r="HM71" t="e">
        <f>AND('GA55 Entry'!#REF!,"AAAAAHxvv9w=")</f>
        <v>#REF!</v>
      </c>
      <c r="HN71" t="e">
        <f>AND('GA55 Entry'!AB126,"AAAAAHxvv90=")</f>
        <v>#VALUE!</v>
      </c>
      <c r="HO71" t="e">
        <f>AND('GA55 Entry'!AC126,"AAAAAHxvv94=")</f>
        <v>#VALUE!</v>
      </c>
      <c r="HP71" t="e">
        <f>AND('GA55 Entry'!#REF!,"AAAAAHxvv98=")</f>
        <v>#REF!</v>
      </c>
      <c r="HQ71">
        <f>IF('GA55 Entry'!127:127,"AAAAAHxvv+A=",0)</f>
        <v>0</v>
      </c>
      <c r="HR71" t="e">
        <f>AND('GA55 Entry'!B127,"AAAAAHxvv+E=")</f>
        <v>#VALUE!</v>
      </c>
      <c r="HS71" t="e">
        <f>AND('GA55 Entry'!#REF!,"AAAAAHxvv+I=")</f>
        <v>#REF!</v>
      </c>
      <c r="HT71" t="e">
        <f>AND('GA55 Entry'!C127,"AAAAAHxvv+M=")</f>
        <v>#VALUE!</v>
      </c>
      <c r="HU71" t="e">
        <f>AND('GA55 Entry'!#REF!,"AAAAAHxvv+Q=")</f>
        <v>#REF!</v>
      </c>
      <c r="HV71" t="e">
        <f>AND('GA55 Entry'!#REF!,"AAAAAHxvv+U=")</f>
        <v>#REF!</v>
      </c>
      <c r="HW71" t="e">
        <f>AND('GA55 Entry'!#REF!,"AAAAAHxvv+Y=")</f>
        <v>#REF!</v>
      </c>
      <c r="HX71" t="e">
        <f>AND('GA55 Entry'!#REF!,"AAAAAHxvv+c=")</f>
        <v>#REF!</v>
      </c>
      <c r="HY71" t="e">
        <f>AND('GA55 Entry'!#REF!,"AAAAAHxvv+g=")</f>
        <v>#REF!</v>
      </c>
      <c r="HZ71" t="e">
        <f>AND('GA55 Entry'!D127,"AAAAAHxvv+k=")</f>
        <v>#VALUE!</v>
      </c>
      <c r="IA71" t="e">
        <f>AND('GA55 Entry'!#REF!,"AAAAAHxvv+o=")</f>
        <v>#REF!</v>
      </c>
      <c r="IB71" t="e">
        <f>AND('GA55 Entry'!E127,"AAAAAHxvv+s=")</f>
        <v>#VALUE!</v>
      </c>
      <c r="IC71" t="e">
        <f>AND('GA55 Entry'!F127,"AAAAAHxvv+w=")</f>
        <v>#VALUE!</v>
      </c>
      <c r="ID71" t="e">
        <f>AND('GA55 Entry'!G127,"AAAAAHxvv+0=")</f>
        <v>#VALUE!</v>
      </c>
      <c r="IE71" t="e">
        <f>AND('GA55 Entry'!H127,"AAAAAHxvv+4=")</f>
        <v>#VALUE!</v>
      </c>
      <c r="IF71" t="e">
        <f>AND('GA55 Entry'!I127,"AAAAAHxvv+8=")</f>
        <v>#VALUE!</v>
      </c>
      <c r="IG71" t="e">
        <f>AND('GA55 Entry'!J127,"AAAAAHxvv/A=")</f>
        <v>#VALUE!</v>
      </c>
      <c r="IH71" t="e">
        <f>AND('GA55 Entry'!#REF!,"AAAAAHxvv/E=")</f>
        <v>#REF!</v>
      </c>
      <c r="II71" t="e">
        <f>AND('GA55 Entry'!K127,"AAAAAHxvv/I=")</f>
        <v>#VALUE!</v>
      </c>
      <c r="IJ71" t="e">
        <f>AND('GA55 Entry'!L127,"AAAAAHxvv/M=")</f>
        <v>#VALUE!</v>
      </c>
      <c r="IK71" t="e">
        <f>AND('GA55 Entry'!M127,"AAAAAHxvv/Q=")</f>
        <v>#VALUE!</v>
      </c>
      <c r="IL71" t="e">
        <f>AND('GA55 Entry'!N127,"AAAAAHxvv/U=")</f>
        <v>#VALUE!</v>
      </c>
      <c r="IM71" t="e">
        <f>AND('GA55 Entry'!O127,"AAAAAHxvv/Y=")</f>
        <v>#VALUE!</v>
      </c>
      <c r="IN71" t="e">
        <f>AND('GA55 Entry'!P127,"AAAAAHxvv/c=")</f>
        <v>#VALUE!</v>
      </c>
      <c r="IO71" t="e">
        <f>AND('GA55 Entry'!Q127,"AAAAAHxvv/g=")</f>
        <v>#VALUE!</v>
      </c>
      <c r="IP71" t="e">
        <f>AND('GA55 Entry'!S127,"AAAAAHxvv/k=")</f>
        <v>#VALUE!</v>
      </c>
      <c r="IQ71" t="e">
        <f>AND('GA55 Entry'!#REF!,"AAAAAHxvv/o=")</f>
        <v>#REF!</v>
      </c>
      <c r="IR71" t="e">
        <f>AND('GA55 Entry'!T127,"AAAAAHxvv/s=")</f>
        <v>#VALUE!</v>
      </c>
      <c r="IS71" t="e">
        <f>AND('GA55 Entry'!U127,"AAAAAHxvv/w=")</f>
        <v>#VALUE!</v>
      </c>
      <c r="IT71" t="e">
        <f>AND('GA55 Entry'!V127,"AAAAAHxvv/0=")</f>
        <v>#VALUE!</v>
      </c>
      <c r="IU71" t="e">
        <f>AND('GA55 Entry'!#REF!,"AAAAAHxvv/4=")</f>
        <v>#REF!</v>
      </c>
      <c r="IV71" t="e">
        <f>AND('GA55 Entry'!#REF!,"AAAAAHxvv/8=")</f>
        <v>#REF!</v>
      </c>
    </row>
    <row r="72" spans="1:256">
      <c r="A72" t="e">
        <f>AND('GA55 Entry'!X127,"AAAAAH+/TgA=")</f>
        <v>#VALUE!</v>
      </c>
      <c r="B72" t="e">
        <f>AND('GA55 Entry'!Y127,"AAAAAH+/TgE=")</f>
        <v>#VALUE!</v>
      </c>
      <c r="C72" t="e">
        <f>AND('GA55 Entry'!#REF!,"AAAAAH+/TgI=")</f>
        <v>#REF!</v>
      </c>
      <c r="D72" t="e">
        <f>AND('GA55 Entry'!#REF!,"AAAAAH+/TgM=")</f>
        <v>#REF!</v>
      </c>
      <c r="E72" t="e">
        <f>AND('GA55 Entry'!#REF!,"AAAAAH+/TgQ=")</f>
        <v>#REF!</v>
      </c>
      <c r="F72" t="e">
        <f>AND('GA55 Entry'!#REF!,"AAAAAH+/TgU=")</f>
        <v>#REF!</v>
      </c>
      <c r="G72" t="e">
        <f>AND('GA55 Entry'!#REF!,"AAAAAH+/TgY=")</f>
        <v>#REF!</v>
      </c>
      <c r="H72" t="e">
        <f>AND('GA55 Entry'!#REF!,"AAAAAH+/Tgc=")</f>
        <v>#REF!</v>
      </c>
      <c r="I72" t="e">
        <f>AND('GA55 Entry'!#REF!,"AAAAAH+/Tgg=")</f>
        <v>#REF!</v>
      </c>
      <c r="J72" t="e">
        <f>AND('GA55 Entry'!#REF!,"AAAAAH+/Tgk=")</f>
        <v>#REF!</v>
      </c>
      <c r="K72" t="e">
        <f>AND('GA55 Entry'!#REF!,"AAAAAH+/Tgo=")</f>
        <v>#REF!</v>
      </c>
      <c r="L72" t="e">
        <f>AND('GA55 Entry'!Z127,"AAAAAH+/Tgs=")</f>
        <v>#VALUE!</v>
      </c>
      <c r="M72" t="e">
        <f>AND('GA55 Entry'!AA127,"AAAAAH+/Tgw=")</f>
        <v>#VALUE!</v>
      </c>
      <c r="N72" t="e">
        <f>AND('GA55 Entry'!#REF!,"AAAAAH+/Tg0=")</f>
        <v>#REF!</v>
      </c>
      <c r="O72" t="e">
        <f>AND('GA55 Entry'!#REF!,"AAAAAH+/Tg4=")</f>
        <v>#REF!</v>
      </c>
      <c r="P72" t="e">
        <f>AND('GA55 Entry'!#REF!,"AAAAAH+/Tg8=")</f>
        <v>#REF!</v>
      </c>
      <c r="Q72" t="e">
        <f>AND('GA55 Entry'!AB127,"AAAAAH+/ThA=")</f>
        <v>#VALUE!</v>
      </c>
      <c r="R72" t="e">
        <f>AND('GA55 Entry'!AC127,"AAAAAH+/ThE=")</f>
        <v>#VALUE!</v>
      </c>
      <c r="S72" t="e">
        <f>AND('GA55 Entry'!#REF!,"AAAAAH+/ThI=")</f>
        <v>#REF!</v>
      </c>
      <c r="T72">
        <f>IF('GA55 Entry'!128:128,"AAAAAH+/ThM=",0)</f>
        <v>0</v>
      </c>
      <c r="U72" t="e">
        <f>AND('GA55 Entry'!B128,"AAAAAH+/ThQ=")</f>
        <v>#VALUE!</v>
      </c>
      <c r="V72" t="e">
        <f>AND('GA55 Entry'!#REF!,"AAAAAH+/ThU=")</f>
        <v>#REF!</v>
      </c>
      <c r="W72" t="e">
        <f>AND('GA55 Entry'!C128,"AAAAAH+/ThY=")</f>
        <v>#VALUE!</v>
      </c>
      <c r="X72" t="e">
        <f>AND('GA55 Entry'!#REF!,"AAAAAH+/Thc=")</f>
        <v>#REF!</v>
      </c>
      <c r="Y72" t="e">
        <f>AND('GA55 Entry'!#REF!,"AAAAAH+/Thg=")</f>
        <v>#REF!</v>
      </c>
      <c r="Z72" t="e">
        <f>AND('GA55 Entry'!#REF!,"AAAAAH+/Thk=")</f>
        <v>#REF!</v>
      </c>
      <c r="AA72" t="e">
        <f>AND('GA55 Entry'!#REF!,"AAAAAH+/Tho=")</f>
        <v>#REF!</v>
      </c>
      <c r="AB72" t="e">
        <f>AND('GA55 Entry'!#REF!,"AAAAAH+/Ths=")</f>
        <v>#REF!</v>
      </c>
      <c r="AC72" t="e">
        <f>AND('GA55 Entry'!D128,"AAAAAH+/Thw=")</f>
        <v>#VALUE!</v>
      </c>
      <c r="AD72" t="e">
        <f>AND('GA55 Entry'!#REF!,"AAAAAH+/Th0=")</f>
        <v>#REF!</v>
      </c>
      <c r="AE72" t="e">
        <f>AND('GA55 Entry'!E128,"AAAAAH+/Th4=")</f>
        <v>#VALUE!</v>
      </c>
      <c r="AF72" t="e">
        <f>AND('GA55 Entry'!F128,"AAAAAH+/Th8=")</f>
        <v>#VALUE!</v>
      </c>
      <c r="AG72" t="e">
        <f>AND('GA55 Entry'!G128,"AAAAAH+/TiA=")</f>
        <v>#VALUE!</v>
      </c>
      <c r="AH72" t="e">
        <f>AND('GA55 Entry'!H128,"AAAAAH+/TiE=")</f>
        <v>#VALUE!</v>
      </c>
      <c r="AI72" t="e">
        <f>AND('GA55 Entry'!I128,"AAAAAH+/TiI=")</f>
        <v>#VALUE!</v>
      </c>
      <c r="AJ72" t="e">
        <f>AND('GA55 Entry'!J128,"AAAAAH+/TiM=")</f>
        <v>#VALUE!</v>
      </c>
      <c r="AK72" t="e">
        <f>AND('GA55 Entry'!#REF!,"AAAAAH+/TiQ=")</f>
        <v>#REF!</v>
      </c>
      <c r="AL72" t="e">
        <f>AND('GA55 Entry'!K128,"AAAAAH+/TiU=")</f>
        <v>#VALUE!</v>
      </c>
      <c r="AM72" t="e">
        <f>AND('GA55 Entry'!L128,"AAAAAH+/TiY=")</f>
        <v>#VALUE!</v>
      </c>
      <c r="AN72" t="e">
        <f>AND('GA55 Entry'!M128,"AAAAAH+/Tic=")</f>
        <v>#VALUE!</v>
      </c>
      <c r="AO72" t="e">
        <f>AND('GA55 Entry'!N128,"AAAAAH+/Tig=")</f>
        <v>#VALUE!</v>
      </c>
      <c r="AP72" t="e">
        <f>AND('GA55 Entry'!O128,"AAAAAH+/Tik=")</f>
        <v>#VALUE!</v>
      </c>
      <c r="AQ72" t="e">
        <f>AND('GA55 Entry'!P128,"AAAAAH+/Tio=")</f>
        <v>#VALUE!</v>
      </c>
      <c r="AR72" t="e">
        <f>AND('GA55 Entry'!Q128,"AAAAAH+/Tis=")</f>
        <v>#VALUE!</v>
      </c>
      <c r="AS72" t="e">
        <f>AND('GA55 Entry'!S128,"AAAAAH+/Tiw=")</f>
        <v>#VALUE!</v>
      </c>
      <c r="AT72" t="e">
        <f>AND('GA55 Entry'!#REF!,"AAAAAH+/Ti0=")</f>
        <v>#REF!</v>
      </c>
      <c r="AU72" t="e">
        <f>AND('GA55 Entry'!T128,"AAAAAH+/Ti4=")</f>
        <v>#VALUE!</v>
      </c>
      <c r="AV72" t="e">
        <f>AND('GA55 Entry'!U128,"AAAAAH+/Ti8=")</f>
        <v>#VALUE!</v>
      </c>
      <c r="AW72" t="e">
        <f>AND('GA55 Entry'!V128,"AAAAAH+/TjA=")</f>
        <v>#VALUE!</v>
      </c>
      <c r="AX72" t="e">
        <f>AND('GA55 Entry'!#REF!,"AAAAAH+/TjE=")</f>
        <v>#REF!</v>
      </c>
      <c r="AY72" t="e">
        <f>AND('GA55 Entry'!#REF!,"AAAAAH+/TjI=")</f>
        <v>#REF!</v>
      </c>
      <c r="AZ72" t="e">
        <f>AND('GA55 Entry'!X128,"AAAAAH+/TjM=")</f>
        <v>#VALUE!</v>
      </c>
      <c r="BA72" t="e">
        <f>AND('GA55 Entry'!Y128,"AAAAAH+/TjQ=")</f>
        <v>#VALUE!</v>
      </c>
      <c r="BB72" t="e">
        <f>AND('GA55 Entry'!#REF!,"AAAAAH+/TjU=")</f>
        <v>#REF!</v>
      </c>
      <c r="BC72" t="e">
        <f>AND('GA55 Entry'!#REF!,"AAAAAH+/TjY=")</f>
        <v>#REF!</v>
      </c>
      <c r="BD72" t="e">
        <f>AND('GA55 Entry'!#REF!,"AAAAAH+/Tjc=")</f>
        <v>#REF!</v>
      </c>
      <c r="BE72" t="e">
        <f>AND('GA55 Entry'!#REF!,"AAAAAH+/Tjg=")</f>
        <v>#REF!</v>
      </c>
      <c r="BF72" t="e">
        <f>AND('GA55 Entry'!#REF!,"AAAAAH+/Tjk=")</f>
        <v>#REF!</v>
      </c>
      <c r="BG72" t="e">
        <f>AND('GA55 Entry'!#REF!,"AAAAAH+/Tjo=")</f>
        <v>#REF!</v>
      </c>
      <c r="BH72" t="e">
        <f>AND('GA55 Entry'!#REF!,"AAAAAH+/Tjs=")</f>
        <v>#REF!</v>
      </c>
      <c r="BI72" t="e">
        <f>AND('GA55 Entry'!#REF!,"AAAAAH+/Tjw=")</f>
        <v>#REF!</v>
      </c>
      <c r="BJ72" t="e">
        <f>AND('GA55 Entry'!#REF!,"AAAAAH+/Tj0=")</f>
        <v>#REF!</v>
      </c>
      <c r="BK72" t="e">
        <f>AND('GA55 Entry'!Z128,"AAAAAH+/Tj4=")</f>
        <v>#VALUE!</v>
      </c>
      <c r="BL72" t="e">
        <f>AND('GA55 Entry'!AA128,"AAAAAH+/Tj8=")</f>
        <v>#VALUE!</v>
      </c>
      <c r="BM72" t="e">
        <f>AND('GA55 Entry'!#REF!,"AAAAAH+/TkA=")</f>
        <v>#REF!</v>
      </c>
      <c r="BN72" t="e">
        <f>AND('GA55 Entry'!#REF!,"AAAAAH+/TkE=")</f>
        <v>#REF!</v>
      </c>
      <c r="BO72" t="e">
        <f>AND('GA55 Entry'!#REF!,"AAAAAH+/TkI=")</f>
        <v>#REF!</v>
      </c>
      <c r="BP72" t="e">
        <f>AND('GA55 Entry'!AB128,"AAAAAH+/TkM=")</f>
        <v>#VALUE!</v>
      </c>
      <c r="BQ72" t="e">
        <f>AND('GA55 Entry'!AC128,"AAAAAH+/TkQ=")</f>
        <v>#VALUE!</v>
      </c>
      <c r="BR72" t="e">
        <f>AND('GA55 Entry'!#REF!,"AAAAAH+/TkU=")</f>
        <v>#REF!</v>
      </c>
      <c r="BS72">
        <f>IF('GA55 Entry'!129:129,"AAAAAH+/TkY=",0)</f>
        <v>0</v>
      </c>
      <c r="BT72" t="e">
        <f>AND('GA55 Entry'!B129,"AAAAAH+/Tkc=")</f>
        <v>#VALUE!</v>
      </c>
      <c r="BU72" t="e">
        <f>AND('GA55 Entry'!#REF!,"AAAAAH+/Tkg=")</f>
        <v>#REF!</v>
      </c>
      <c r="BV72" t="e">
        <f>AND('GA55 Entry'!C129,"AAAAAH+/Tkk=")</f>
        <v>#VALUE!</v>
      </c>
      <c r="BW72" t="e">
        <f>AND('GA55 Entry'!#REF!,"AAAAAH+/Tko=")</f>
        <v>#REF!</v>
      </c>
      <c r="BX72" t="e">
        <f>AND('GA55 Entry'!#REF!,"AAAAAH+/Tks=")</f>
        <v>#REF!</v>
      </c>
      <c r="BY72" t="e">
        <f>AND('GA55 Entry'!#REF!,"AAAAAH+/Tkw=")</f>
        <v>#REF!</v>
      </c>
      <c r="BZ72" t="e">
        <f>AND('GA55 Entry'!#REF!,"AAAAAH+/Tk0=")</f>
        <v>#REF!</v>
      </c>
      <c r="CA72" t="e">
        <f>AND('GA55 Entry'!#REF!,"AAAAAH+/Tk4=")</f>
        <v>#REF!</v>
      </c>
      <c r="CB72" t="e">
        <f>AND('GA55 Entry'!D129,"AAAAAH+/Tk8=")</f>
        <v>#VALUE!</v>
      </c>
      <c r="CC72" t="e">
        <f>AND('GA55 Entry'!#REF!,"AAAAAH+/TlA=")</f>
        <v>#REF!</v>
      </c>
      <c r="CD72" t="e">
        <f>AND('GA55 Entry'!E129,"AAAAAH+/TlE=")</f>
        <v>#VALUE!</v>
      </c>
      <c r="CE72" t="e">
        <f>AND('GA55 Entry'!F129,"AAAAAH+/TlI=")</f>
        <v>#VALUE!</v>
      </c>
      <c r="CF72" t="e">
        <f>AND('GA55 Entry'!G129,"AAAAAH+/TlM=")</f>
        <v>#VALUE!</v>
      </c>
      <c r="CG72" t="e">
        <f>AND('GA55 Entry'!H129,"AAAAAH+/TlQ=")</f>
        <v>#VALUE!</v>
      </c>
      <c r="CH72" t="e">
        <f>AND('GA55 Entry'!I129,"AAAAAH+/TlU=")</f>
        <v>#VALUE!</v>
      </c>
      <c r="CI72" t="e">
        <f>AND('GA55 Entry'!J129,"AAAAAH+/TlY=")</f>
        <v>#VALUE!</v>
      </c>
      <c r="CJ72" t="e">
        <f>AND('GA55 Entry'!#REF!,"AAAAAH+/Tlc=")</f>
        <v>#REF!</v>
      </c>
      <c r="CK72" t="e">
        <f>AND('GA55 Entry'!K129,"AAAAAH+/Tlg=")</f>
        <v>#VALUE!</v>
      </c>
      <c r="CL72" t="e">
        <f>AND('GA55 Entry'!L129,"AAAAAH+/Tlk=")</f>
        <v>#VALUE!</v>
      </c>
      <c r="CM72" t="e">
        <f>AND('GA55 Entry'!M129,"AAAAAH+/Tlo=")</f>
        <v>#VALUE!</v>
      </c>
      <c r="CN72" t="e">
        <f>AND('GA55 Entry'!N129,"AAAAAH+/Tls=")</f>
        <v>#VALUE!</v>
      </c>
      <c r="CO72" t="e">
        <f>AND('GA55 Entry'!O129,"AAAAAH+/Tlw=")</f>
        <v>#VALUE!</v>
      </c>
      <c r="CP72" t="e">
        <f>AND('GA55 Entry'!P129,"AAAAAH+/Tl0=")</f>
        <v>#VALUE!</v>
      </c>
      <c r="CQ72" t="e">
        <f>AND('GA55 Entry'!Q129,"AAAAAH+/Tl4=")</f>
        <v>#VALUE!</v>
      </c>
      <c r="CR72" t="e">
        <f>AND('GA55 Entry'!S129,"AAAAAH+/Tl8=")</f>
        <v>#VALUE!</v>
      </c>
      <c r="CS72" t="e">
        <f>AND('GA55 Entry'!#REF!,"AAAAAH+/TmA=")</f>
        <v>#REF!</v>
      </c>
      <c r="CT72" t="e">
        <f>AND('GA55 Entry'!T129,"AAAAAH+/TmE=")</f>
        <v>#VALUE!</v>
      </c>
      <c r="CU72" t="e">
        <f>AND('GA55 Entry'!U129,"AAAAAH+/TmI=")</f>
        <v>#VALUE!</v>
      </c>
      <c r="CV72" t="e">
        <f>AND('GA55 Entry'!V129,"AAAAAH+/TmM=")</f>
        <v>#VALUE!</v>
      </c>
      <c r="CW72" t="e">
        <f>AND('GA55 Entry'!#REF!,"AAAAAH+/TmQ=")</f>
        <v>#REF!</v>
      </c>
      <c r="CX72" t="e">
        <f>AND('GA55 Entry'!#REF!,"AAAAAH+/TmU=")</f>
        <v>#REF!</v>
      </c>
      <c r="CY72" t="e">
        <f>AND('GA55 Entry'!X129,"AAAAAH+/TmY=")</f>
        <v>#VALUE!</v>
      </c>
      <c r="CZ72" t="e">
        <f>AND('GA55 Entry'!Y129,"AAAAAH+/Tmc=")</f>
        <v>#VALUE!</v>
      </c>
      <c r="DA72" t="e">
        <f>AND('GA55 Entry'!#REF!,"AAAAAH+/Tmg=")</f>
        <v>#REF!</v>
      </c>
      <c r="DB72" t="e">
        <f>AND('GA55 Entry'!#REF!,"AAAAAH+/Tmk=")</f>
        <v>#REF!</v>
      </c>
      <c r="DC72" t="e">
        <f>AND('GA55 Entry'!#REF!,"AAAAAH+/Tmo=")</f>
        <v>#REF!</v>
      </c>
      <c r="DD72" t="e">
        <f>AND('GA55 Entry'!#REF!,"AAAAAH+/Tms=")</f>
        <v>#REF!</v>
      </c>
      <c r="DE72" t="e">
        <f>AND('GA55 Entry'!#REF!,"AAAAAH+/Tmw=")</f>
        <v>#REF!</v>
      </c>
      <c r="DF72" t="e">
        <f>AND('GA55 Entry'!#REF!,"AAAAAH+/Tm0=")</f>
        <v>#REF!</v>
      </c>
      <c r="DG72" t="e">
        <f>AND('GA55 Entry'!#REF!,"AAAAAH+/Tm4=")</f>
        <v>#REF!</v>
      </c>
      <c r="DH72" t="e">
        <f>AND('GA55 Entry'!#REF!,"AAAAAH+/Tm8=")</f>
        <v>#REF!</v>
      </c>
      <c r="DI72" t="e">
        <f>AND('GA55 Entry'!#REF!,"AAAAAH+/TnA=")</f>
        <v>#REF!</v>
      </c>
      <c r="DJ72" t="e">
        <f>AND('GA55 Entry'!Z129,"AAAAAH+/TnE=")</f>
        <v>#VALUE!</v>
      </c>
      <c r="DK72" t="e">
        <f>AND('GA55 Entry'!AA129,"AAAAAH+/TnI=")</f>
        <v>#VALUE!</v>
      </c>
      <c r="DL72" t="e">
        <f>AND('GA55 Entry'!#REF!,"AAAAAH+/TnM=")</f>
        <v>#REF!</v>
      </c>
      <c r="DM72" t="e">
        <f>AND('GA55 Entry'!#REF!,"AAAAAH+/TnQ=")</f>
        <v>#REF!</v>
      </c>
      <c r="DN72" t="e">
        <f>AND('GA55 Entry'!#REF!,"AAAAAH+/TnU=")</f>
        <v>#REF!</v>
      </c>
      <c r="DO72" t="e">
        <f>AND('GA55 Entry'!AB129,"AAAAAH+/TnY=")</f>
        <v>#VALUE!</v>
      </c>
      <c r="DP72" t="e">
        <f>AND('GA55 Entry'!AC129,"AAAAAH+/Tnc=")</f>
        <v>#VALUE!</v>
      </c>
      <c r="DQ72" t="e">
        <f>AND('GA55 Entry'!#REF!,"AAAAAH+/Tng=")</f>
        <v>#REF!</v>
      </c>
      <c r="DR72">
        <f>IF('GA55 Entry'!130:130,"AAAAAH+/Tnk=",0)</f>
        <v>0</v>
      </c>
      <c r="DS72" t="e">
        <f>AND('GA55 Entry'!B130,"AAAAAH+/Tno=")</f>
        <v>#VALUE!</v>
      </c>
      <c r="DT72" t="e">
        <f>AND('GA55 Entry'!#REF!,"AAAAAH+/Tns=")</f>
        <v>#REF!</v>
      </c>
      <c r="DU72" t="e">
        <f>AND('GA55 Entry'!C130,"AAAAAH+/Tnw=")</f>
        <v>#VALUE!</v>
      </c>
      <c r="DV72" t="e">
        <f>AND('GA55 Entry'!#REF!,"AAAAAH+/Tn0=")</f>
        <v>#REF!</v>
      </c>
      <c r="DW72" t="e">
        <f>AND('GA55 Entry'!#REF!,"AAAAAH+/Tn4=")</f>
        <v>#REF!</v>
      </c>
      <c r="DX72" t="e">
        <f>AND('GA55 Entry'!#REF!,"AAAAAH+/Tn8=")</f>
        <v>#REF!</v>
      </c>
      <c r="DY72" t="e">
        <f>AND('GA55 Entry'!#REF!,"AAAAAH+/ToA=")</f>
        <v>#REF!</v>
      </c>
      <c r="DZ72" t="e">
        <f>AND('GA55 Entry'!#REF!,"AAAAAH+/ToE=")</f>
        <v>#REF!</v>
      </c>
      <c r="EA72" t="e">
        <f>AND('GA55 Entry'!D130,"AAAAAH+/ToI=")</f>
        <v>#VALUE!</v>
      </c>
      <c r="EB72" t="e">
        <f>AND('GA55 Entry'!#REF!,"AAAAAH+/ToM=")</f>
        <v>#REF!</v>
      </c>
      <c r="EC72" t="e">
        <f>AND('GA55 Entry'!E130,"AAAAAH+/ToQ=")</f>
        <v>#VALUE!</v>
      </c>
      <c r="ED72" t="e">
        <f>AND('GA55 Entry'!F130,"AAAAAH+/ToU=")</f>
        <v>#VALUE!</v>
      </c>
      <c r="EE72" t="e">
        <f>AND('GA55 Entry'!G130,"AAAAAH+/ToY=")</f>
        <v>#VALUE!</v>
      </c>
      <c r="EF72" t="e">
        <f>AND('GA55 Entry'!H130,"AAAAAH+/Toc=")</f>
        <v>#VALUE!</v>
      </c>
      <c r="EG72" t="e">
        <f>AND('GA55 Entry'!I130,"AAAAAH+/Tog=")</f>
        <v>#VALUE!</v>
      </c>
      <c r="EH72" t="e">
        <f>AND('GA55 Entry'!J130,"AAAAAH+/Tok=")</f>
        <v>#VALUE!</v>
      </c>
      <c r="EI72" t="e">
        <f>AND('GA55 Entry'!#REF!,"AAAAAH+/Too=")</f>
        <v>#REF!</v>
      </c>
      <c r="EJ72" t="e">
        <f>AND('GA55 Entry'!K130,"AAAAAH+/Tos=")</f>
        <v>#VALUE!</v>
      </c>
      <c r="EK72" t="e">
        <f>AND('GA55 Entry'!L130,"AAAAAH+/Tow=")</f>
        <v>#VALUE!</v>
      </c>
      <c r="EL72" t="e">
        <f>AND('GA55 Entry'!M130,"AAAAAH+/To0=")</f>
        <v>#VALUE!</v>
      </c>
      <c r="EM72" t="e">
        <f>AND('GA55 Entry'!N130,"AAAAAH+/To4=")</f>
        <v>#VALUE!</v>
      </c>
      <c r="EN72" t="e">
        <f>AND('GA55 Entry'!O130,"AAAAAH+/To8=")</f>
        <v>#VALUE!</v>
      </c>
      <c r="EO72" t="e">
        <f>AND('GA55 Entry'!P130,"AAAAAH+/TpA=")</f>
        <v>#VALUE!</v>
      </c>
      <c r="EP72" t="e">
        <f>AND('GA55 Entry'!Q130,"AAAAAH+/TpE=")</f>
        <v>#VALUE!</v>
      </c>
      <c r="EQ72" t="e">
        <f>AND('GA55 Entry'!S130,"AAAAAH+/TpI=")</f>
        <v>#VALUE!</v>
      </c>
      <c r="ER72" t="e">
        <f>AND('GA55 Entry'!#REF!,"AAAAAH+/TpM=")</f>
        <v>#REF!</v>
      </c>
      <c r="ES72" t="e">
        <f>AND('GA55 Entry'!T130,"AAAAAH+/TpQ=")</f>
        <v>#VALUE!</v>
      </c>
      <c r="ET72" t="e">
        <f>AND('GA55 Entry'!U130,"AAAAAH+/TpU=")</f>
        <v>#VALUE!</v>
      </c>
      <c r="EU72" t="e">
        <f>AND('GA55 Entry'!V130,"AAAAAH+/TpY=")</f>
        <v>#VALUE!</v>
      </c>
      <c r="EV72" t="e">
        <f>AND('GA55 Entry'!#REF!,"AAAAAH+/Tpc=")</f>
        <v>#REF!</v>
      </c>
      <c r="EW72" t="e">
        <f>AND('GA55 Entry'!#REF!,"AAAAAH+/Tpg=")</f>
        <v>#REF!</v>
      </c>
      <c r="EX72" t="e">
        <f>AND('GA55 Entry'!X130,"AAAAAH+/Tpk=")</f>
        <v>#VALUE!</v>
      </c>
      <c r="EY72" t="e">
        <f>AND('GA55 Entry'!Y130,"AAAAAH+/Tpo=")</f>
        <v>#VALUE!</v>
      </c>
      <c r="EZ72" t="e">
        <f>AND('GA55 Entry'!#REF!,"AAAAAH+/Tps=")</f>
        <v>#REF!</v>
      </c>
      <c r="FA72" t="e">
        <f>AND('GA55 Entry'!#REF!,"AAAAAH+/Tpw=")</f>
        <v>#REF!</v>
      </c>
      <c r="FB72" t="e">
        <f>AND('GA55 Entry'!#REF!,"AAAAAH+/Tp0=")</f>
        <v>#REF!</v>
      </c>
      <c r="FC72" t="e">
        <f>AND('GA55 Entry'!#REF!,"AAAAAH+/Tp4=")</f>
        <v>#REF!</v>
      </c>
      <c r="FD72" t="e">
        <f>AND('GA55 Entry'!#REF!,"AAAAAH+/Tp8=")</f>
        <v>#REF!</v>
      </c>
      <c r="FE72" t="e">
        <f>AND('GA55 Entry'!#REF!,"AAAAAH+/TqA=")</f>
        <v>#REF!</v>
      </c>
      <c r="FF72" t="e">
        <f>AND('GA55 Entry'!#REF!,"AAAAAH+/TqE=")</f>
        <v>#REF!</v>
      </c>
      <c r="FG72" t="e">
        <f>AND('GA55 Entry'!#REF!,"AAAAAH+/TqI=")</f>
        <v>#REF!</v>
      </c>
      <c r="FH72" t="e">
        <f>AND('GA55 Entry'!#REF!,"AAAAAH+/TqM=")</f>
        <v>#REF!</v>
      </c>
      <c r="FI72" t="e">
        <f>AND('GA55 Entry'!Z130,"AAAAAH+/TqQ=")</f>
        <v>#VALUE!</v>
      </c>
      <c r="FJ72" t="e">
        <f>AND('GA55 Entry'!AA130,"AAAAAH+/TqU=")</f>
        <v>#VALUE!</v>
      </c>
      <c r="FK72" t="e">
        <f>AND('GA55 Entry'!#REF!,"AAAAAH+/TqY=")</f>
        <v>#REF!</v>
      </c>
      <c r="FL72" t="e">
        <f>AND('GA55 Entry'!#REF!,"AAAAAH+/Tqc=")</f>
        <v>#REF!</v>
      </c>
      <c r="FM72" t="e">
        <f>AND('GA55 Entry'!#REF!,"AAAAAH+/Tqg=")</f>
        <v>#REF!</v>
      </c>
      <c r="FN72" t="e">
        <f>AND('GA55 Entry'!AB130,"AAAAAH+/Tqk=")</f>
        <v>#VALUE!</v>
      </c>
      <c r="FO72" t="e">
        <f>AND('GA55 Entry'!AC130,"AAAAAH+/Tqo=")</f>
        <v>#VALUE!</v>
      </c>
      <c r="FP72" t="e">
        <f>AND('GA55 Entry'!#REF!,"AAAAAH+/Tqs=")</f>
        <v>#REF!</v>
      </c>
      <c r="FQ72">
        <f>IF('GA55 Entry'!131:131,"AAAAAH+/Tqw=",0)</f>
        <v>0</v>
      </c>
      <c r="FR72" t="e">
        <f>AND('GA55 Entry'!B131,"AAAAAH+/Tq0=")</f>
        <v>#VALUE!</v>
      </c>
      <c r="FS72" t="e">
        <f>AND('GA55 Entry'!#REF!,"AAAAAH+/Tq4=")</f>
        <v>#REF!</v>
      </c>
      <c r="FT72" t="e">
        <f>AND('GA55 Entry'!C131,"AAAAAH+/Tq8=")</f>
        <v>#VALUE!</v>
      </c>
      <c r="FU72" t="e">
        <f>AND('GA55 Entry'!#REF!,"AAAAAH+/TrA=")</f>
        <v>#REF!</v>
      </c>
      <c r="FV72" t="e">
        <f>AND('GA55 Entry'!#REF!,"AAAAAH+/TrE=")</f>
        <v>#REF!</v>
      </c>
      <c r="FW72" t="e">
        <f>AND('GA55 Entry'!#REF!,"AAAAAH+/TrI=")</f>
        <v>#REF!</v>
      </c>
      <c r="FX72" t="e">
        <f>AND('GA55 Entry'!#REF!,"AAAAAH+/TrM=")</f>
        <v>#REF!</v>
      </c>
      <c r="FY72" t="e">
        <f>AND('GA55 Entry'!#REF!,"AAAAAH+/TrQ=")</f>
        <v>#REF!</v>
      </c>
      <c r="FZ72" t="e">
        <f>AND('GA55 Entry'!D131,"AAAAAH+/TrU=")</f>
        <v>#VALUE!</v>
      </c>
      <c r="GA72" t="e">
        <f>AND('GA55 Entry'!#REF!,"AAAAAH+/TrY=")</f>
        <v>#REF!</v>
      </c>
      <c r="GB72" t="e">
        <f>AND('GA55 Entry'!E131,"AAAAAH+/Trc=")</f>
        <v>#VALUE!</v>
      </c>
      <c r="GC72" t="e">
        <f>AND('GA55 Entry'!F131,"AAAAAH+/Trg=")</f>
        <v>#VALUE!</v>
      </c>
      <c r="GD72" t="e">
        <f>AND('GA55 Entry'!G131,"AAAAAH+/Trk=")</f>
        <v>#VALUE!</v>
      </c>
      <c r="GE72" t="e">
        <f>AND('GA55 Entry'!H131,"AAAAAH+/Tro=")</f>
        <v>#VALUE!</v>
      </c>
      <c r="GF72" t="e">
        <f>AND('GA55 Entry'!I131,"AAAAAH+/Trs=")</f>
        <v>#VALUE!</v>
      </c>
      <c r="GG72" t="e">
        <f>AND('GA55 Entry'!J131,"AAAAAH+/Trw=")</f>
        <v>#VALUE!</v>
      </c>
      <c r="GH72" t="e">
        <f>AND('GA55 Entry'!#REF!,"AAAAAH+/Tr0=")</f>
        <v>#REF!</v>
      </c>
      <c r="GI72" t="e">
        <f>AND('GA55 Entry'!K131,"AAAAAH+/Tr4=")</f>
        <v>#VALUE!</v>
      </c>
      <c r="GJ72" t="e">
        <f>AND('GA55 Entry'!L131,"AAAAAH+/Tr8=")</f>
        <v>#VALUE!</v>
      </c>
      <c r="GK72" t="e">
        <f>AND('GA55 Entry'!M131,"AAAAAH+/TsA=")</f>
        <v>#VALUE!</v>
      </c>
      <c r="GL72" t="e">
        <f>AND('GA55 Entry'!N131,"AAAAAH+/TsE=")</f>
        <v>#VALUE!</v>
      </c>
      <c r="GM72" t="e">
        <f>AND('GA55 Entry'!O131,"AAAAAH+/TsI=")</f>
        <v>#VALUE!</v>
      </c>
      <c r="GN72" t="e">
        <f>AND('GA55 Entry'!P131,"AAAAAH+/TsM=")</f>
        <v>#VALUE!</v>
      </c>
      <c r="GO72" t="e">
        <f>AND('GA55 Entry'!Q131,"AAAAAH+/TsQ=")</f>
        <v>#VALUE!</v>
      </c>
      <c r="GP72" t="e">
        <f>AND('GA55 Entry'!S131,"AAAAAH+/TsU=")</f>
        <v>#VALUE!</v>
      </c>
      <c r="GQ72" t="e">
        <f>AND('GA55 Entry'!#REF!,"AAAAAH+/TsY=")</f>
        <v>#REF!</v>
      </c>
      <c r="GR72" t="e">
        <f>AND('GA55 Entry'!T131,"AAAAAH+/Tsc=")</f>
        <v>#VALUE!</v>
      </c>
      <c r="GS72" t="e">
        <f>AND('GA55 Entry'!U131,"AAAAAH+/Tsg=")</f>
        <v>#VALUE!</v>
      </c>
      <c r="GT72" t="e">
        <f>AND('GA55 Entry'!V131,"AAAAAH+/Tsk=")</f>
        <v>#VALUE!</v>
      </c>
      <c r="GU72" t="e">
        <f>AND('GA55 Entry'!#REF!,"AAAAAH+/Tso=")</f>
        <v>#REF!</v>
      </c>
      <c r="GV72" t="e">
        <f>AND('GA55 Entry'!#REF!,"AAAAAH+/Tss=")</f>
        <v>#REF!</v>
      </c>
      <c r="GW72" t="e">
        <f>AND('GA55 Entry'!X131,"AAAAAH+/Tsw=")</f>
        <v>#VALUE!</v>
      </c>
      <c r="GX72" t="e">
        <f>AND('GA55 Entry'!Y131,"AAAAAH+/Ts0=")</f>
        <v>#VALUE!</v>
      </c>
      <c r="GY72" t="e">
        <f>AND('GA55 Entry'!#REF!,"AAAAAH+/Ts4=")</f>
        <v>#REF!</v>
      </c>
      <c r="GZ72" t="e">
        <f>AND('GA55 Entry'!#REF!,"AAAAAH+/Ts8=")</f>
        <v>#REF!</v>
      </c>
      <c r="HA72" t="e">
        <f>AND('GA55 Entry'!#REF!,"AAAAAH+/TtA=")</f>
        <v>#REF!</v>
      </c>
      <c r="HB72" t="e">
        <f>AND('GA55 Entry'!#REF!,"AAAAAH+/TtE=")</f>
        <v>#REF!</v>
      </c>
      <c r="HC72" t="e">
        <f>AND('GA55 Entry'!#REF!,"AAAAAH+/TtI=")</f>
        <v>#REF!</v>
      </c>
      <c r="HD72" t="e">
        <f>AND('GA55 Entry'!#REF!,"AAAAAH+/TtM=")</f>
        <v>#REF!</v>
      </c>
      <c r="HE72" t="e">
        <f>AND('GA55 Entry'!#REF!,"AAAAAH+/TtQ=")</f>
        <v>#REF!</v>
      </c>
      <c r="HF72" t="e">
        <f>AND('GA55 Entry'!#REF!,"AAAAAH+/TtU=")</f>
        <v>#REF!</v>
      </c>
      <c r="HG72" t="e">
        <f>AND('GA55 Entry'!#REF!,"AAAAAH+/TtY=")</f>
        <v>#REF!</v>
      </c>
      <c r="HH72" t="e">
        <f>AND('GA55 Entry'!Z131,"AAAAAH+/Ttc=")</f>
        <v>#VALUE!</v>
      </c>
      <c r="HI72" t="e">
        <f>AND('GA55 Entry'!AA131,"AAAAAH+/Ttg=")</f>
        <v>#VALUE!</v>
      </c>
      <c r="HJ72" t="e">
        <f>AND('GA55 Entry'!#REF!,"AAAAAH+/Ttk=")</f>
        <v>#REF!</v>
      </c>
      <c r="HK72" t="e">
        <f>AND('GA55 Entry'!#REF!,"AAAAAH+/Tto=")</f>
        <v>#REF!</v>
      </c>
      <c r="HL72" t="e">
        <f>AND('GA55 Entry'!#REF!,"AAAAAH+/Tts=")</f>
        <v>#REF!</v>
      </c>
      <c r="HM72" t="e">
        <f>AND('GA55 Entry'!AB131,"AAAAAH+/Ttw=")</f>
        <v>#VALUE!</v>
      </c>
      <c r="HN72" t="e">
        <f>AND('GA55 Entry'!AC131,"AAAAAH+/Tt0=")</f>
        <v>#VALUE!</v>
      </c>
      <c r="HO72" t="e">
        <f>AND('GA55 Entry'!#REF!,"AAAAAH+/Tt4=")</f>
        <v>#REF!</v>
      </c>
      <c r="HP72">
        <f>IF('GA55 Entry'!132:132,"AAAAAH+/Tt8=",0)</f>
        <v>0</v>
      </c>
      <c r="HQ72" t="e">
        <f>AND('GA55 Entry'!B132,"AAAAAH+/TuA=")</f>
        <v>#VALUE!</v>
      </c>
      <c r="HR72" t="e">
        <f>AND('GA55 Entry'!#REF!,"AAAAAH+/TuE=")</f>
        <v>#REF!</v>
      </c>
      <c r="HS72" t="e">
        <f>AND('GA55 Entry'!C132,"AAAAAH+/TuI=")</f>
        <v>#VALUE!</v>
      </c>
      <c r="HT72" t="e">
        <f>AND('GA55 Entry'!#REF!,"AAAAAH+/TuM=")</f>
        <v>#REF!</v>
      </c>
      <c r="HU72" t="e">
        <f>AND('GA55 Entry'!#REF!,"AAAAAH+/TuQ=")</f>
        <v>#REF!</v>
      </c>
      <c r="HV72" t="e">
        <f>AND('GA55 Entry'!#REF!,"AAAAAH+/TuU=")</f>
        <v>#REF!</v>
      </c>
      <c r="HW72" t="e">
        <f>AND('GA55 Entry'!#REF!,"AAAAAH+/TuY=")</f>
        <v>#REF!</v>
      </c>
      <c r="HX72" t="e">
        <f>AND('GA55 Entry'!#REF!,"AAAAAH+/Tuc=")</f>
        <v>#REF!</v>
      </c>
      <c r="HY72" t="e">
        <f>AND('GA55 Entry'!D132,"AAAAAH+/Tug=")</f>
        <v>#VALUE!</v>
      </c>
      <c r="HZ72" t="e">
        <f>AND('GA55 Entry'!#REF!,"AAAAAH+/Tuk=")</f>
        <v>#REF!</v>
      </c>
      <c r="IA72" t="e">
        <f>AND('GA55 Entry'!E132,"AAAAAH+/Tuo=")</f>
        <v>#VALUE!</v>
      </c>
      <c r="IB72" t="e">
        <f>AND('GA55 Entry'!F132,"AAAAAH+/Tus=")</f>
        <v>#VALUE!</v>
      </c>
      <c r="IC72" t="e">
        <f>AND('GA55 Entry'!G132,"AAAAAH+/Tuw=")</f>
        <v>#VALUE!</v>
      </c>
      <c r="ID72" t="e">
        <f>AND('GA55 Entry'!H132,"AAAAAH+/Tu0=")</f>
        <v>#VALUE!</v>
      </c>
      <c r="IE72" t="e">
        <f>AND('GA55 Entry'!I132,"AAAAAH+/Tu4=")</f>
        <v>#VALUE!</v>
      </c>
      <c r="IF72" t="e">
        <f>AND('GA55 Entry'!J132,"AAAAAH+/Tu8=")</f>
        <v>#VALUE!</v>
      </c>
      <c r="IG72" t="e">
        <f>AND('GA55 Entry'!#REF!,"AAAAAH+/TvA=")</f>
        <v>#REF!</v>
      </c>
      <c r="IH72" t="e">
        <f>AND('GA55 Entry'!K132,"AAAAAH+/TvE=")</f>
        <v>#VALUE!</v>
      </c>
      <c r="II72" t="e">
        <f>AND('GA55 Entry'!L132,"AAAAAH+/TvI=")</f>
        <v>#VALUE!</v>
      </c>
      <c r="IJ72" t="e">
        <f>AND('GA55 Entry'!M132,"AAAAAH+/TvM=")</f>
        <v>#VALUE!</v>
      </c>
      <c r="IK72" t="e">
        <f>AND('GA55 Entry'!N132,"AAAAAH+/TvQ=")</f>
        <v>#VALUE!</v>
      </c>
      <c r="IL72" t="e">
        <f>AND('GA55 Entry'!O132,"AAAAAH+/TvU=")</f>
        <v>#VALUE!</v>
      </c>
      <c r="IM72" t="e">
        <f>AND('GA55 Entry'!P132,"AAAAAH+/TvY=")</f>
        <v>#VALUE!</v>
      </c>
      <c r="IN72" t="e">
        <f>AND('GA55 Entry'!Q132,"AAAAAH+/Tvc=")</f>
        <v>#VALUE!</v>
      </c>
      <c r="IO72" t="e">
        <f>AND('GA55 Entry'!S132,"AAAAAH+/Tvg=")</f>
        <v>#VALUE!</v>
      </c>
      <c r="IP72" t="e">
        <f>AND('GA55 Entry'!#REF!,"AAAAAH+/Tvk=")</f>
        <v>#REF!</v>
      </c>
      <c r="IQ72" t="e">
        <f>AND('GA55 Entry'!T132,"AAAAAH+/Tvo=")</f>
        <v>#VALUE!</v>
      </c>
      <c r="IR72" t="e">
        <f>AND('GA55 Entry'!U132,"AAAAAH+/Tvs=")</f>
        <v>#VALUE!</v>
      </c>
      <c r="IS72" t="e">
        <f>AND('GA55 Entry'!V132,"AAAAAH+/Tvw=")</f>
        <v>#VALUE!</v>
      </c>
      <c r="IT72" t="e">
        <f>AND('GA55 Entry'!#REF!,"AAAAAH+/Tv0=")</f>
        <v>#REF!</v>
      </c>
      <c r="IU72" t="e">
        <f>AND('GA55 Entry'!#REF!,"AAAAAH+/Tv4=")</f>
        <v>#REF!</v>
      </c>
      <c r="IV72" t="e">
        <f>AND('GA55 Entry'!X132,"AAAAAH+/Tv8=")</f>
        <v>#VALUE!</v>
      </c>
    </row>
    <row r="73" spans="1:256">
      <c r="A73" t="e">
        <f>AND('GA55 Entry'!Y132,"AAAAAH313gA=")</f>
        <v>#VALUE!</v>
      </c>
      <c r="B73" t="e">
        <f>AND('GA55 Entry'!#REF!,"AAAAAH313gE=")</f>
        <v>#REF!</v>
      </c>
      <c r="C73" t="e">
        <f>AND('GA55 Entry'!#REF!,"AAAAAH313gI=")</f>
        <v>#REF!</v>
      </c>
      <c r="D73" t="e">
        <f>AND('GA55 Entry'!#REF!,"AAAAAH313gM=")</f>
        <v>#REF!</v>
      </c>
      <c r="E73" t="e">
        <f>AND('GA55 Entry'!#REF!,"AAAAAH313gQ=")</f>
        <v>#REF!</v>
      </c>
      <c r="F73" t="e">
        <f>AND('GA55 Entry'!#REF!,"AAAAAH313gU=")</f>
        <v>#REF!</v>
      </c>
      <c r="G73" t="e">
        <f>AND('GA55 Entry'!#REF!,"AAAAAH313gY=")</f>
        <v>#REF!</v>
      </c>
      <c r="H73" t="e">
        <f>AND('GA55 Entry'!#REF!,"AAAAAH313gc=")</f>
        <v>#REF!</v>
      </c>
      <c r="I73" t="e">
        <f>AND('GA55 Entry'!#REF!,"AAAAAH313gg=")</f>
        <v>#REF!</v>
      </c>
      <c r="J73" t="e">
        <f>AND('GA55 Entry'!#REF!,"AAAAAH313gk=")</f>
        <v>#REF!</v>
      </c>
      <c r="K73" t="e">
        <f>AND('GA55 Entry'!Z132,"AAAAAH313go=")</f>
        <v>#VALUE!</v>
      </c>
      <c r="L73" t="e">
        <f>AND('GA55 Entry'!AA132,"AAAAAH313gs=")</f>
        <v>#VALUE!</v>
      </c>
      <c r="M73" t="e">
        <f>AND('GA55 Entry'!#REF!,"AAAAAH313gw=")</f>
        <v>#REF!</v>
      </c>
      <c r="N73" t="e">
        <f>AND('GA55 Entry'!#REF!,"AAAAAH313g0=")</f>
        <v>#REF!</v>
      </c>
      <c r="O73" t="e">
        <f>AND('GA55 Entry'!#REF!,"AAAAAH313g4=")</f>
        <v>#REF!</v>
      </c>
      <c r="P73" t="e">
        <f>AND('GA55 Entry'!AB132,"AAAAAH313g8=")</f>
        <v>#VALUE!</v>
      </c>
      <c r="Q73" t="e">
        <f>AND('GA55 Entry'!AC132,"AAAAAH313hA=")</f>
        <v>#VALUE!</v>
      </c>
      <c r="R73" t="e">
        <f>AND('GA55 Entry'!#REF!,"AAAAAH313hE=")</f>
        <v>#REF!</v>
      </c>
      <c r="S73">
        <f>IF('GA55 Entry'!133:133,"AAAAAH313hI=",0)</f>
        <v>0</v>
      </c>
      <c r="T73" t="e">
        <f>AND('GA55 Entry'!B133,"AAAAAH313hM=")</f>
        <v>#VALUE!</v>
      </c>
      <c r="U73" t="e">
        <f>AND('GA55 Entry'!#REF!,"AAAAAH313hQ=")</f>
        <v>#REF!</v>
      </c>
      <c r="V73" t="e">
        <f>AND('GA55 Entry'!C133,"AAAAAH313hU=")</f>
        <v>#VALUE!</v>
      </c>
      <c r="W73" t="e">
        <f>AND('GA55 Entry'!#REF!,"AAAAAH313hY=")</f>
        <v>#REF!</v>
      </c>
      <c r="X73" t="e">
        <f>AND('GA55 Entry'!#REF!,"AAAAAH313hc=")</f>
        <v>#REF!</v>
      </c>
      <c r="Y73" t="e">
        <f>AND('GA55 Entry'!#REF!,"AAAAAH313hg=")</f>
        <v>#REF!</v>
      </c>
      <c r="Z73" t="e">
        <f>AND('GA55 Entry'!#REF!,"AAAAAH313hk=")</f>
        <v>#REF!</v>
      </c>
      <c r="AA73" t="e">
        <f>AND('GA55 Entry'!#REF!,"AAAAAH313ho=")</f>
        <v>#REF!</v>
      </c>
      <c r="AB73" t="e">
        <f>AND('GA55 Entry'!D133,"AAAAAH313hs=")</f>
        <v>#VALUE!</v>
      </c>
      <c r="AC73" t="e">
        <f>AND('GA55 Entry'!#REF!,"AAAAAH313hw=")</f>
        <v>#REF!</v>
      </c>
      <c r="AD73" t="e">
        <f>AND('GA55 Entry'!E133,"AAAAAH313h0=")</f>
        <v>#VALUE!</v>
      </c>
      <c r="AE73" t="e">
        <f>AND('GA55 Entry'!F133,"AAAAAH313h4=")</f>
        <v>#VALUE!</v>
      </c>
      <c r="AF73" t="e">
        <f>AND('GA55 Entry'!G133,"AAAAAH313h8=")</f>
        <v>#VALUE!</v>
      </c>
      <c r="AG73" t="e">
        <f>AND('GA55 Entry'!H133,"AAAAAH313iA=")</f>
        <v>#VALUE!</v>
      </c>
      <c r="AH73" t="e">
        <f>AND('GA55 Entry'!I133,"AAAAAH313iE=")</f>
        <v>#VALUE!</v>
      </c>
      <c r="AI73" t="e">
        <f>AND('GA55 Entry'!J133,"AAAAAH313iI=")</f>
        <v>#VALUE!</v>
      </c>
      <c r="AJ73" t="e">
        <f>AND('GA55 Entry'!#REF!,"AAAAAH313iM=")</f>
        <v>#REF!</v>
      </c>
      <c r="AK73" t="e">
        <f>AND('GA55 Entry'!K133,"AAAAAH313iQ=")</f>
        <v>#VALUE!</v>
      </c>
      <c r="AL73" t="e">
        <f>AND('GA55 Entry'!L133,"AAAAAH313iU=")</f>
        <v>#VALUE!</v>
      </c>
      <c r="AM73" t="e">
        <f>AND('GA55 Entry'!M133,"AAAAAH313iY=")</f>
        <v>#VALUE!</v>
      </c>
      <c r="AN73" t="e">
        <f>AND('GA55 Entry'!N133,"AAAAAH313ic=")</f>
        <v>#VALUE!</v>
      </c>
      <c r="AO73" t="e">
        <f>AND('GA55 Entry'!O133,"AAAAAH313ig=")</f>
        <v>#VALUE!</v>
      </c>
      <c r="AP73" t="e">
        <f>AND('GA55 Entry'!P133,"AAAAAH313ik=")</f>
        <v>#VALUE!</v>
      </c>
      <c r="AQ73" t="e">
        <f>AND('GA55 Entry'!Q133,"AAAAAH313io=")</f>
        <v>#VALUE!</v>
      </c>
      <c r="AR73" t="e">
        <f>AND('GA55 Entry'!S133,"AAAAAH313is=")</f>
        <v>#VALUE!</v>
      </c>
      <c r="AS73" t="e">
        <f>AND('GA55 Entry'!#REF!,"AAAAAH313iw=")</f>
        <v>#REF!</v>
      </c>
      <c r="AT73" t="e">
        <f>AND('GA55 Entry'!T133,"AAAAAH313i0=")</f>
        <v>#VALUE!</v>
      </c>
      <c r="AU73" t="e">
        <f>AND('GA55 Entry'!U133,"AAAAAH313i4=")</f>
        <v>#VALUE!</v>
      </c>
      <c r="AV73" t="e">
        <f>AND('GA55 Entry'!V133,"AAAAAH313i8=")</f>
        <v>#VALUE!</v>
      </c>
      <c r="AW73" t="e">
        <f>AND('GA55 Entry'!#REF!,"AAAAAH313jA=")</f>
        <v>#REF!</v>
      </c>
      <c r="AX73" t="e">
        <f>AND('GA55 Entry'!#REF!,"AAAAAH313jE=")</f>
        <v>#REF!</v>
      </c>
      <c r="AY73" t="e">
        <f>AND('GA55 Entry'!X133,"AAAAAH313jI=")</f>
        <v>#VALUE!</v>
      </c>
      <c r="AZ73" t="e">
        <f>AND('GA55 Entry'!Y133,"AAAAAH313jM=")</f>
        <v>#VALUE!</v>
      </c>
      <c r="BA73" t="e">
        <f>AND('GA55 Entry'!#REF!,"AAAAAH313jQ=")</f>
        <v>#REF!</v>
      </c>
      <c r="BB73" t="e">
        <f>AND('GA55 Entry'!#REF!,"AAAAAH313jU=")</f>
        <v>#REF!</v>
      </c>
      <c r="BC73" t="e">
        <f>AND('GA55 Entry'!#REF!,"AAAAAH313jY=")</f>
        <v>#REF!</v>
      </c>
      <c r="BD73" t="e">
        <f>AND('GA55 Entry'!#REF!,"AAAAAH313jc=")</f>
        <v>#REF!</v>
      </c>
      <c r="BE73" t="e">
        <f>AND('GA55 Entry'!#REF!,"AAAAAH313jg=")</f>
        <v>#REF!</v>
      </c>
      <c r="BF73" t="e">
        <f>AND('GA55 Entry'!#REF!,"AAAAAH313jk=")</f>
        <v>#REF!</v>
      </c>
      <c r="BG73" t="e">
        <f>AND('GA55 Entry'!#REF!,"AAAAAH313jo=")</f>
        <v>#REF!</v>
      </c>
      <c r="BH73" t="e">
        <f>AND('GA55 Entry'!#REF!,"AAAAAH313js=")</f>
        <v>#REF!</v>
      </c>
      <c r="BI73" t="e">
        <f>AND('GA55 Entry'!#REF!,"AAAAAH313jw=")</f>
        <v>#REF!</v>
      </c>
      <c r="BJ73" t="e">
        <f>AND('GA55 Entry'!Z133,"AAAAAH313j0=")</f>
        <v>#VALUE!</v>
      </c>
      <c r="BK73" t="e">
        <f>AND('GA55 Entry'!AA133,"AAAAAH313j4=")</f>
        <v>#VALUE!</v>
      </c>
      <c r="BL73" t="e">
        <f>AND('GA55 Entry'!#REF!,"AAAAAH313j8=")</f>
        <v>#REF!</v>
      </c>
      <c r="BM73" t="e">
        <f>AND('GA55 Entry'!#REF!,"AAAAAH313kA=")</f>
        <v>#REF!</v>
      </c>
      <c r="BN73" t="e">
        <f>AND('GA55 Entry'!#REF!,"AAAAAH313kE=")</f>
        <v>#REF!</v>
      </c>
      <c r="BO73" t="e">
        <f>AND('GA55 Entry'!AB133,"AAAAAH313kI=")</f>
        <v>#VALUE!</v>
      </c>
      <c r="BP73" t="e">
        <f>AND('GA55 Entry'!AC133,"AAAAAH313kM=")</f>
        <v>#VALUE!</v>
      </c>
      <c r="BQ73" t="e">
        <f>AND('GA55 Entry'!#REF!,"AAAAAH313kQ=")</f>
        <v>#REF!</v>
      </c>
      <c r="BR73">
        <f>IF('GA55 Entry'!134:134,"AAAAAH313kU=",0)</f>
        <v>0</v>
      </c>
      <c r="BS73" t="e">
        <f>AND('GA55 Entry'!B134,"AAAAAH313kY=")</f>
        <v>#VALUE!</v>
      </c>
      <c r="BT73" t="e">
        <f>AND('GA55 Entry'!#REF!,"AAAAAH313kc=")</f>
        <v>#REF!</v>
      </c>
      <c r="BU73" t="e">
        <f>AND('GA55 Entry'!C134,"AAAAAH313kg=")</f>
        <v>#VALUE!</v>
      </c>
      <c r="BV73" t="e">
        <f>AND('GA55 Entry'!#REF!,"AAAAAH313kk=")</f>
        <v>#REF!</v>
      </c>
      <c r="BW73" t="e">
        <f>AND('GA55 Entry'!#REF!,"AAAAAH313ko=")</f>
        <v>#REF!</v>
      </c>
      <c r="BX73" t="e">
        <f>AND('GA55 Entry'!#REF!,"AAAAAH313ks=")</f>
        <v>#REF!</v>
      </c>
      <c r="BY73" t="e">
        <f>AND('GA55 Entry'!#REF!,"AAAAAH313kw=")</f>
        <v>#REF!</v>
      </c>
      <c r="BZ73" t="e">
        <f>AND('GA55 Entry'!#REF!,"AAAAAH313k0=")</f>
        <v>#REF!</v>
      </c>
      <c r="CA73" t="e">
        <f>AND('GA55 Entry'!D134,"AAAAAH313k4=")</f>
        <v>#VALUE!</v>
      </c>
      <c r="CB73" t="e">
        <f>AND('GA55 Entry'!#REF!,"AAAAAH313k8=")</f>
        <v>#REF!</v>
      </c>
      <c r="CC73" t="e">
        <f>AND('GA55 Entry'!E134,"AAAAAH313lA=")</f>
        <v>#VALUE!</v>
      </c>
      <c r="CD73" t="e">
        <f>AND('GA55 Entry'!F134,"AAAAAH313lE=")</f>
        <v>#VALUE!</v>
      </c>
      <c r="CE73" t="e">
        <f>AND('GA55 Entry'!G134,"AAAAAH313lI=")</f>
        <v>#VALUE!</v>
      </c>
      <c r="CF73" t="e">
        <f>AND('GA55 Entry'!H134,"AAAAAH313lM=")</f>
        <v>#VALUE!</v>
      </c>
      <c r="CG73" t="e">
        <f>AND('GA55 Entry'!I134,"AAAAAH313lQ=")</f>
        <v>#VALUE!</v>
      </c>
      <c r="CH73" t="e">
        <f>AND('GA55 Entry'!J134,"AAAAAH313lU=")</f>
        <v>#VALUE!</v>
      </c>
      <c r="CI73" t="e">
        <f>AND('GA55 Entry'!#REF!,"AAAAAH313lY=")</f>
        <v>#REF!</v>
      </c>
      <c r="CJ73" t="e">
        <f>AND('GA55 Entry'!K134,"AAAAAH313lc=")</f>
        <v>#VALUE!</v>
      </c>
      <c r="CK73" t="e">
        <f>AND('GA55 Entry'!L134,"AAAAAH313lg=")</f>
        <v>#VALUE!</v>
      </c>
      <c r="CL73" t="e">
        <f>AND('GA55 Entry'!M134,"AAAAAH313lk=")</f>
        <v>#VALUE!</v>
      </c>
      <c r="CM73" t="e">
        <f>AND('GA55 Entry'!N134,"AAAAAH313lo=")</f>
        <v>#VALUE!</v>
      </c>
      <c r="CN73" t="e">
        <f>AND('GA55 Entry'!O134,"AAAAAH313ls=")</f>
        <v>#VALUE!</v>
      </c>
      <c r="CO73" t="e">
        <f>AND('GA55 Entry'!P134,"AAAAAH313lw=")</f>
        <v>#VALUE!</v>
      </c>
      <c r="CP73" t="e">
        <f>AND('GA55 Entry'!Q134,"AAAAAH313l0=")</f>
        <v>#VALUE!</v>
      </c>
      <c r="CQ73" t="e">
        <f>AND('GA55 Entry'!S134,"AAAAAH313l4=")</f>
        <v>#VALUE!</v>
      </c>
      <c r="CR73" t="e">
        <f>AND('GA55 Entry'!#REF!,"AAAAAH313l8=")</f>
        <v>#REF!</v>
      </c>
      <c r="CS73" t="e">
        <f>AND('GA55 Entry'!T134,"AAAAAH313mA=")</f>
        <v>#VALUE!</v>
      </c>
      <c r="CT73" t="e">
        <f>AND('GA55 Entry'!U134,"AAAAAH313mE=")</f>
        <v>#VALUE!</v>
      </c>
      <c r="CU73" t="e">
        <f>AND('GA55 Entry'!V134,"AAAAAH313mI=")</f>
        <v>#VALUE!</v>
      </c>
      <c r="CV73" t="e">
        <f>AND('GA55 Entry'!#REF!,"AAAAAH313mM=")</f>
        <v>#REF!</v>
      </c>
      <c r="CW73" t="e">
        <f>AND('GA55 Entry'!#REF!,"AAAAAH313mQ=")</f>
        <v>#REF!</v>
      </c>
      <c r="CX73" t="e">
        <f>AND('GA55 Entry'!X134,"AAAAAH313mU=")</f>
        <v>#VALUE!</v>
      </c>
      <c r="CY73" t="e">
        <f>AND('GA55 Entry'!Y134,"AAAAAH313mY=")</f>
        <v>#VALUE!</v>
      </c>
      <c r="CZ73" t="e">
        <f>AND('GA55 Entry'!#REF!,"AAAAAH313mc=")</f>
        <v>#REF!</v>
      </c>
      <c r="DA73" t="e">
        <f>AND('GA55 Entry'!#REF!,"AAAAAH313mg=")</f>
        <v>#REF!</v>
      </c>
      <c r="DB73" t="e">
        <f>AND('GA55 Entry'!#REF!,"AAAAAH313mk=")</f>
        <v>#REF!</v>
      </c>
      <c r="DC73" t="e">
        <f>AND('GA55 Entry'!#REF!,"AAAAAH313mo=")</f>
        <v>#REF!</v>
      </c>
      <c r="DD73" t="e">
        <f>AND('GA55 Entry'!#REF!,"AAAAAH313ms=")</f>
        <v>#REF!</v>
      </c>
      <c r="DE73" t="e">
        <f>AND('GA55 Entry'!#REF!,"AAAAAH313mw=")</f>
        <v>#REF!</v>
      </c>
      <c r="DF73" t="e">
        <f>AND('GA55 Entry'!#REF!,"AAAAAH313m0=")</f>
        <v>#REF!</v>
      </c>
      <c r="DG73" t="e">
        <f>AND('GA55 Entry'!#REF!,"AAAAAH313m4=")</f>
        <v>#REF!</v>
      </c>
      <c r="DH73" t="e">
        <f>AND('GA55 Entry'!#REF!,"AAAAAH313m8=")</f>
        <v>#REF!</v>
      </c>
      <c r="DI73" t="e">
        <f>AND('GA55 Entry'!Z134,"AAAAAH313nA=")</f>
        <v>#VALUE!</v>
      </c>
      <c r="DJ73" t="e">
        <f>AND('GA55 Entry'!AA134,"AAAAAH313nE=")</f>
        <v>#VALUE!</v>
      </c>
      <c r="DK73" t="e">
        <f>AND('GA55 Entry'!#REF!,"AAAAAH313nI=")</f>
        <v>#REF!</v>
      </c>
      <c r="DL73" t="e">
        <f>AND('GA55 Entry'!#REF!,"AAAAAH313nM=")</f>
        <v>#REF!</v>
      </c>
      <c r="DM73" t="e">
        <f>AND('GA55 Entry'!#REF!,"AAAAAH313nQ=")</f>
        <v>#REF!</v>
      </c>
      <c r="DN73" t="e">
        <f>AND('GA55 Entry'!AB134,"AAAAAH313nU=")</f>
        <v>#VALUE!</v>
      </c>
      <c r="DO73" t="e">
        <f>AND('GA55 Entry'!AC134,"AAAAAH313nY=")</f>
        <v>#VALUE!</v>
      </c>
      <c r="DP73" t="e">
        <f>AND('GA55 Entry'!#REF!,"AAAAAH313nc=")</f>
        <v>#REF!</v>
      </c>
      <c r="DQ73">
        <f>IF('GA55 Entry'!135:135,"AAAAAH313ng=",0)</f>
        <v>0</v>
      </c>
      <c r="DR73" t="e">
        <f>AND('GA55 Entry'!B135,"AAAAAH313nk=")</f>
        <v>#VALUE!</v>
      </c>
      <c r="DS73" t="e">
        <f>AND('GA55 Entry'!#REF!,"AAAAAH313no=")</f>
        <v>#REF!</v>
      </c>
      <c r="DT73" t="e">
        <f>AND('GA55 Entry'!C135,"AAAAAH313ns=")</f>
        <v>#VALUE!</v>
      </c>
      <c r="DU73" t="e">
        <f>AND('GA55 Entry'!#REF!,"AAAAAH313nw=")</f>
        <v>#REF!</v>
      </c>
      <c r="DV73" t="e">
        <f>AND('GA55 Entry'!#REF!,"AAAAAH313n0=")</f>
        <v>#REF!</v>
      </c>
      <c r="DW73" t="e">
        <f>AND('GA55 Entry'!#REF!,"AAAAAH313n4=")</f>
        <v>#REF!</v>
      </c>
      <c r="DX73" t="e">
        <f>AND('GA55 Entry'!#REF!,"AAAAAH313n8=")</f>
        <v>#REF!</v>
      </c>
      <c r="DY73" t="e">
        <f>AND('GA55 Entry'!#REF!,"AAAAAH313oA=")</f>
        <v>#REF!</v>
      </c>
      <c r="DZ73" t="e">
        <f>AND('GA55 Entry'!D135,"AAAAAH313oE=")</f>
        <v>#VALUE!</v>
      </c>
      <c r="EA73" t="e">
        <f>AND('GA55 Entry'!#REF!,"AAAAAH313oI=")</f>
        <v>#REF!</v>
      </c>
      <c r="EB73" t="e">
        <f>AND('GA55 Entry'!E135,"AAAAAH313oM=")</f>
        <v>#VALUE!</v>
      </c>
      <c r="EC73" t="e">
        <f>AND('GA55 Entry'!F135,"AAAAAH313oQ=")</f>
        <v>#VALUE!</v>
      </c>
      <c r="ED73" t="e">
        <f>AND('GA55 Entry'!G135,"AAAAAH313oU=")</f>
        <v>#VALUE!</v>
      </c>
      <c r="EE73" t="e">
        <f>AND('GA55 Entry'!H135,"AAAAAH313oY=")</f>
        <v>#VALUE!</v>
      </c>
      <c r="EF73" t="e">
        <f>AND('GA55 Entry'!I135,"AAAAAH313oc=")</f>
        <v>#VALUE!</v>
      </c>
      <c r="EG73" t="e">
        <f>AND('GA55 Entry'!J135,"AAAAAH313og=")</f>
        <v>#VALUE!</v>
      </c>
      <c r="EH73" t="e">
        <f>AND('GA55 Entry'!#REF!,"AAAAAH313ok=")</f>
        <v>#REF!</v>
      </c>
      <c r="EI73" t="e">
        <f>AND('GA55 Entry'!K135,"AAAAAH313oo=")</f>
        <v>#VALUE!</v>
      </c>
      <c r="EJ73" t="e">
        <f>AND('GA55 Entry'!L135,"AAAAAH313os=")</f>
        <v>#VALUE!</v>
      </c>
      <c r="EK73" t="e">
        <f>AND('GA55 Entry'!M135,"AAAAAH313ow=")</f>
        <v>#VALUE!</v>
      </c>
      <c r="EL73" t="e">
        <f>AND('GA55 Entry'!N135,"AAAAAH313o0=")</f>
        <v>#VALUE!</v>
      </c>
      <c r="EM73" t="e">
        <f>AND('GA55 Entry'!O135,"AAAAAH313o4=")</f>
        <v>#VALUE!</v>
      </c>
      <c r="EN73" t="e">
        <f>AND('GA55 Entry'!P135,"AAAAAH313o8=")</f>
        <v>#VALUE!</v>
      </c>
      <c r="EO73" t="e">
        <f>AND('GA55 Entry'!Q135,"AAAAAH313pA=")</f>
        <v>#VALUE!</v>
      </c>
      <c r="EP73" t="e">
        <f>AND('GA55 Entry'!S135,"AAAAAH313pE=")</f>
        <v>#VALUE!</v>
      </c>
      <c r="EQ73" t="e">
        <f>AND('GA55 Entry'!#REF!,"AAAAAH313pI=")</f>
        <v>#REF!</v>
      </c>
      <c r="ER73" t="e">
        <f>AND('GA55 Entry'!T135,"AAAAAH313pM=")</f>
        <v>#VALUE!</v>
      </c>
      <c r="ES73" t="e">
        <f>AND('GA55 Entry'!U135,"AAAAAH313pQ=")</f>
        <v>#VALUE!</v>
      </c>
      <c r="ET73" t="e">
        <f>AND('GA55 Entry'!V135,"AAAAAH313pU=")</f>
        <v>#VALUE!</v>
      </c>
      <c r="EU73" t="e">
        <f>AND('GA55 Entry'!#REF!,"AAAAAH313pY=")</f>
        <v>#REF!</v>
      </c>
      <c r="EV73" t="e">
        <f>AND('GA55 Entry'!#REF!,"AAAAAH313pc=")</f>
        <v>#REF!</v>
      </c>
      <c r="EW73" t="e">
        <f>AND('GA55 Entry'!X135,"AAAAAH313pg=")</f>
        <v>#VALUE!</v>
      </c>
      <c r="EX73" t="e">
        <f>AND('GA55 Entry'!Y135,"AAAAAH313pk=")</f>
        <v>#VALUE!</v>
      </c>
      <c r="EY73" t="e">
        <f>AND('GA55 Entry'!#REF!,"AAAAAH313po=")</f>
        <v>#REF!</v>
      </c>
      <c r="EZ73" t="e">
        <f>AND('GA55 Entry'!#REF!,"AAAAAH313ps=")</f>
        <v>#REF!</v>
      </c>
      <c r="FA73" t="e">
        <f>AND('GA55 Entry'!#REF!,"AAAAAH313pw=")</f>
        <v>#REF!</v>
      </c>
      <c r="FB73" t="e">
        <f>AND('GA55 Entry'!#REF!,"AAAAAH313p0=")</f>
        <v>#REF!</v>
      </c>
      <c r="FC73" t="e">
        <f>AND('GA55 Entry'!#REF!,"AAAAAH313p4=")</f>
        <v>#REF!</v>
      </c>
      <c r="FD73" t="e">
        <f>AND('GA55 Entry'!#REF!,"AAAAAH313p8=")</f>
        <v>#REF!</v>
      </c>
      <c r="FE73" t="e">
        <f>AND('GA55 Entry'!#REF!,"AAAAAH313qA=")</f>
        <v>#REF!</v>
      </c>
      <c r="FF73" t="e">
        <f>AND('GA55 Entry'!#REF!,"AAAAAH313qE=")</f>
        <v>#REF!</v>
      </c>
      <c r="FG73" t="e">
        <f>AND('GA55 Entry'!#REF!,"AAAAAH313qI=")</f>
        <v>#REF!</v>
      </c>
      <c r="FH73" t="e">
        <f>AND('GA55 Entry'!Z135,"AAAAAH313qM=")</f>
        <v>#VALUE!</v>
      </c>
      <c r="FI73" t="e">
        <f>AND('GA55 Entry'!AA135,"AAAAAH313qQ=")</f>
        <v>#VALUE!</v>
      </c>
      <c r="FJ73" t="e">
        <f>AND('GA55 Entry'!#REF!,"AAAAAH313qU=")</f>
        <v>#REF!</v>
      </c>
      <c r="FK73" t="e">
        <f>AND('GA55 Entry'!#REF!,"AAAAAH313qY=")</f>
        <v>#REF!</v>
      </c>
      <c r="FL73" t="e">
        <f>AND('GA55 Entry'!#REF!,"AAAAAH313qc=")</f>
        <v>#REF!</v>
      </c>
      <c r="FM73" t="e">
        <f>AND('GA55 Entry'!AB135,"AAAAAH313qg=")</f>
        <v>#VALUE!</v>
      </c>
      <c r="FN73" t="e">
        <f>AND('GA55 Entry'!AC135,"AAAAAH313qk=")</f>
        <v>#VALUE!</v>
      </c>
      <c r="FO73" t="e">
        <f>AND('GA55 Entry'!#REF!,"AAAAAH313qo=")</f>
        <v>#REF!</v>
      </c>
      <c r="FP73">
        <f>IF('GA55 Entry'!136:136,"AAAAAH313qs=",0)</f>
        <v>0</v>
      </c>
      <c r="FQ73" t="e">
        <f>AND('GA55 Entry'!B136,"AAAAAH313qw=")</f>
        <v>#VALUE!</v>
      </c>
      <c r="FR73" t="e">
        <f>AND('GA55 Entry'!#REF!,"AAAAAH313q0=")</f>
        <v>#REF!</v>
      </c>
      <c r="FS73" t="e">
        <f>AND('GA55 Entry'!C136,"AAAAAH313q4=")</f>
        <v>#VALUE!</v>
      </c>
      <c r="FT73" t="e">
        <f>AND('GA55 Entry'!#REF!,"AAAAAH313q8=")</f>
        <v>#REF!</v>
      </c>
      <c r="FU73" t="e">
        <f>AND('GA55 Entry'!#REF!,"AAAAAH313rA=")</f>
        <v>#REF!</v>
      </c>
      <c r="FV73" t="e">
        <f>AND('GA55 Entry'!#REF!,"AAAAAH313rE=")</f>
        <v>#REF!</v>
      </c>
      <c r="FW73" t="e">
        <f>AND('GA55 Entry'!#REF!,"AAAAAH313rI=")</f>
        <v>#REF!</v>
      </c>
      <c r="FX73" t="e">
        <f>AND('GA55 Entry'!#REF!,"AAAAAH313rM=")</f>
        <v>#REF!</v>
      </c>
      <c r="FY73" t="e">
        <f>AND('GA55 Entry'!D136,"AAAAAH313rQ=")</f>
        <v>#VALUE!</v>
      </c>
      <c r="FZ73" t="e">
        <f>AND('GA55 Entry'!#REF!,"AAAAAH313rU=")</f>
        <v>#REF!</v>
      </c>
      <c r="GA73" t="e">
        <f>AND('GA55 Entry'!E136,"AAAAAH313rY=")</f>
        <v>#VALUE!</v>
      </c>
      <c r="GB73" t="e">
        <f>AND('GA55 Entry'!F136,"AAAAAH313rc=")</f>
        <v>#VALUE!</v>
      </c>
      <c r="GC73" t="e">
        <f>AND('GA55 Entry'!G136,"AAAAAH313rg=")</f>
        <v>#VALUE!</v>
      </c>
      <c r="GD73" t="e">
        <f>AND('GA55 Entry'!H136,"AAAAAH313rk=")</f>
        <v>#VALUE!</v>
      </c>
      <c r="GE73" t="e">
        <f>AND('GA55 Entry'!I136,"AAAAAH313ro=")</f>
        <v>#VALUE!</v>
      </c>
      <c r="GF73" t="e">
        <f>AND('GA55 Entry'!J136,"AAAAAH313rs=")</f>
        <v>#VALUE!</v>
      </c>
      <c r="GG73" t="e">
        <f>AND('GA55 Entry'!#REF!,"AAAAAH313rw=")</f>
        <v>#REF!</v>
      </c>
      <c r="GH73" t="e">
        <f>AND('GA55 Entry'!K136,"AAAAAH313r0=")</f>
        <v>#VALUE!</v>
      </c>
      <c r="GI73" t="e">
        <f>AND('GA55 Entry'!L136,"AAAAAH313r4=")</f>
        <v>#VALUE!</v>
      </c>
      <c r="GJ73" t="e">
        <f>AND('GA55 Entry'!M136,"AAAAAH313r8=")</f>
        <v>#VALUE!</v>
      </c>
      <c r="GK73" t="e">
        <f>AND('GA55 Entry'!N136,"AAAAAH313sA=")</f>
        <v>#VALUE!</v>
      </c>
      <c r="GL73" t="e">
        <f>AND('GA55 Entry'!O136,"AAAAAH313sE=")</f>
        <v>#VALUE!</v>
      </c>
      <c r="GM73" t="e">
        <f>AND('GA55 Entry'!P136,"AAAAAH313sI=")</f>
        <v>#VALUE!</v>
      </c>
      <c r="GN73" t="e">
        <f>AND('GA55 Entry'!Q136,"AAAAAH313sM=")</f>
        <v>#VALUE!</v>
      </c>
      <c r="GO73" t="e">
        <f>AND('GA55 Entry'!S136,"AAAAAH313sQ=")</f>
        <v>#VALUE!</v>
      </c>
      <c r="GP73" t="e">
        <f>AND('GA55 Entry'!#REF!,"AAAAAH313sU=")</f>
        <v>#REF!</v>
      </c>
      <c r="GQ73" t="e">
        <f>AND('GA55 Entry'!T136,"AAAAAH313sY=")</f>
        <v>#VALUE!</v>
      </c>
      <c r="GR73" t="e">
        <f>AND('GA55 Entry'!U136,"AAAAAH313sc=")</f>
        <v>#VALUE!</v>
      </c>
      <c r="GS73" t="e">
        <f>AND('GA55 Entry'!V136,"AAAAAH313sg=")</f>
        <v>#VALUE!</v>
      </c>
      <c r="GT73" t="e">
        <f>AND('GA55 Entry'!#REF!,"AAAAAH313sk=")</f>
        <v>#REF!</v>
      </c>
      <c r="GU73" t="e">
        <f>AND('GA55 Entry'!#REF!,"AAAAAH313so=")</f>
        <v>#REF!</v>
      </c>
      <c r="GV73" t="e">
        <f>AND('GA55 Entry'!X136,"AAAAAH313ss=")</f>
        <v>#VALUE!</v>
      </c>
      <c r="GW73" t="e">
        <f>AND('GA55 Entry'!Y136,"AAAAAH313sw=")</f>
        <v>#VALUE!</v>
      </c>
      <c r="GX73" t="e">
        <f>AND('GA55 Entry'!#REF!,"AAAAAH313s0=")</f>
        <v>#REF!</v>
      </c>
      <c r="GY73" t="e">
        <f>AND('GA55 Entry'!#REF!,"AAAAAH313s4=")</f>
        <v>#REF!</v>
      </c>
      <c r="GZ73" t="e">
        <f>AND('GA55 Entry'!#REF!,"AAAAAH313s8=")</f>
        <v>#REF!</v>
      </c>
      <c r="HA73" t="e">
        <f>AND('GA55 Entry'!#REF!,"AAAAAH313tA=")</f>
        <v>#REF!</v>
      </c>
      <c r="HB73" t="e">
        <f>AND('GA55 Entry'!#REF!,"AAAAAH313tE=")</f>
        <v>#REF!</v>
      </c>
      <c r="HC73" t="e">
        <f>AND('GA55 Entry'!#REF!,"AAAAAH313tI=")</f>
        <v>#REF!</v>
      </c>
      <c r="HD73" t="e">
        <f>AND('GA55 Entry'!#REF!,"AAAAAH313tM=")</f>
        <v>#REF!</v>
      </c>
      <c r="HE73" t="e">
        <f>AND('GA55 Entry'!#REF!,"AAAAAH313tQ=")</f>
        <v>#REF!</v>
      </c>
      <c r="HF73" t="e">
        <f>AND('GA55 Entry'!#REF!,"AAAAAH313tU=")</f>
        <v>#REF!</v>
      </c>
      <c r="HG73" t="e">
        <f>AND('GA55 Entry'!Z136,"AAAAAH313tY=")</f>
        <v>#VALUE!</v>
      </c>
      <c r="HH73" t="e">
        <f>AND('GA55 Entry'!AA136,"AAAAAH313tc=")</f>
        <v>#VALUE!</v>
      </c>
      <c r="HI73" t="e">
        <f>AND('GA55 Entry'!#REF!,"AAAAAH313tg=")</f>
        <v>#REF!</v>
      </c>
      <c r="HJ73" t="e">
        <f>AND('GA55 Entry'!#REF!,"AAAAAH313tk=")</f>
        <v>#REF!</v>
      </c>
      <c r="HK73" t="e">
        <f>AND('GA55 Entry'!#REF!,"AAAAAH313to=")</f>
        <v>#REF!</v>
      </c>
      <c r="HL73" t="e">
        <f>AND('GA55 Entry'!AB136,"AAAAAH313ts=")</f>
        <v>#VALUE!</v>
      </c>
      <c r="HM73" t="e">
        <f>AND('GA55 Entry'!AC136,"AAAAAH313tw=")</f>
        <v>#VALUE!</v>
      </c>
      <c r="HN73" t="e">
        <f>AND('GA55 Entry'!#REF!,"AAAAAH313t0=")</f>
        <v>#REF!</v>
      </c>
      <c r="HO73">
        <f>IF('GA55 Entry'!137:137,"AAAAAH313t4=",0)</f>
        <v>0</v>
      </c>
      <c r="HP73" t="e">
        <f>AND('GA55 Entry'!B137,"AAAAAH313t8=")</f>
        <v>#VALUE!</v>
      </c>
      <c r="HQ73" t="e">
        <f>AND('GA55 Entry'!#REF!,"AAAAAH313uA=")</f>
        <v>#REF!</v>
      </c>
      <c r="HR73" t="e">
        <f>AND('GA55 Entry'!C137,"AAAAAH313uE=")</f>
        <v>#VALUE!</v>
      </c>
      <c r="HS73" t="e">
        <f>AND('GA55 Entry'!#REF!,"AAAAAH313uI=")</f>
        <v>#REF!</v>
      </c>
      <c r="HT73" t="e">
        <f>AND('GA55 Entry'!#REF!,"AAAAAH313uM=")</f>
        <v>#REF!</v>
      </c>
      <c r="HU73" t="e">
        <f>AND('GA55 Entry'!#REF!,"AAAAAH313uQ=")</f>
        <v>#REF!</v>
      </c>
      <c r="HV73" t="e">
        <f>AND('GA55 Entry'!#REF!,"AAAAAH313uU=")</f>
        <v>#REF!</v>
      </c>
      <c r="HW73" t="e">
        <f>AND('GA55 Entry'!#REF!,"AAAAAH313uY=")</f>
        <v>#REF!</v>
      </c>
      <c r="HX73" t="e">
        <f>AND('GA55 Entry'!D137,"AAAAAH313uc=")</f>
        <v>#VALUE!</v>
      </c>
      <c r="HY73" t="e">
        <f>AND('GA55 Entry'!#REF!,"AAAAAH313ug=")</f>
        <v>#REF!</v>
      </c>
      <c r="HZ73" t="e">
        <f>AND('GA55 Entry'!E137,"AAAAAH313uk=")</f>
        <v>#VALUE!</v>
      </c>
      <c r="IA73" t="e">
        <f>AND('GA55 Entry'!F137,"AAAAAH313uo=")</f>
        <v>#VALUE!</v>
      </c>
      <c r="IB73" t="e">
        <f>AND('GA55 Entry'!G137,"AAAAAH313us=")</f>
        <v>#VALUE!</v>
      </c>
      <c r="IC73" t="e">
        <f>AND('GA55 Entry'!H137,"AAAAAH313uw=")</f>
        <v>#VALUE!</v>
      </c>
      <c r="ID73" t="e">
        <f>AND('GA55 Entry'!I137,"AAAAAH313u0=")</f>
        <v>#VALUE!</v>
      </c>
      <c r="IE73" t="e">
        <f>AND('GA55 Entry'!J137,"AAAAAH313u4=")</f>
        <v>#VALUE!</v>
      </c>
      <c r="IF73" t="e">
        <f>AND('GA55 Entry'!#REF!,"AAAAAH313u8=")</f>
        <v>#REF!</v>
      </c>
      <c r="IG73" t="e">
        <f>AND('GA55 Entry'!K137,"AAAAAH313vA=")</f>
        <v>#VALUE!</v>
      </c>
      <c r="IH73" t="e">
        <f>AND('GA55 Entry'!L137,"AAAAAH313vE=")</f>
        <v>#VALUE!</v>
      </c>
      <c r="II73" t="e">
        <f>AND('GA55 Entry'!M137,"AAAAAH313vI=")</f>
        <v>#VALUE!</v>
      </c>
      <c r="IJ73" t="e">
        <f>AND('GA55 Entry'!N137,"AAAAAH313vM=")</f>
        <v>#VALUE!</v>
      </c>
      <c r="IK73" t="e">
        <f>AND('GA55 Entry'!O137,"AAAAAH313vQ=")</f>
        <v>#VALUE!</v>
      </c>
      <c r="IL73" t="e">
        <f>AND('GA55 Entry'!P137,"AAAAAH313vU=")</f>
        <v>#VALUE!</v>
      </c>
      <c r="IM73" t="e">
        <f>AND('GA55 Entry'!Q137,"AAAAAH313vY=")</f>
        <v>#VALUE!</v>
      </c>
      <c r="IN73" t="e">
        <f>AND('GA55 Entry'!S137,"AAAAAH313vc=")</f>
        <v>#VALUE!</v>
      </c>
      <c r="IO73" t="e">
        <f>AND('GA55 Entry'!#REF!,"AAAAAH313vg=")</f>
        <v>#REF!</v>
      </c>
      <c r="IP73" t="e">
        <f>AND('GA55 Entry'!T137,"AAAAAH313vk=")</f>
        <v>#VALUE!</v>
      </c>
      <c r="IQ73" t="e">
        <f>AND('GA55 Entry'!U137,"AAAAAH313vo=")</f>
        <v>#VALUE!</v>
      </c>
      <c r="IR73" t="e">
        <f>AND('GA55 Entry'!V137,"AAAAAH313vs=")</f>
        <v>#VALUE!</v>
      </c>
      <c r="IS73" t="e">
        <f>AND('GA55 Entry'!#REF!,"AAAAAH313vw=")</f>
        <v>#REF!</v>
      </c>
      <c r="IT73" t="e">
        <f>AND('GA55 Entry'!#REF!,"AAAAAH313v0=")</f>
        <v>#REF!</v>
      </c>
      <c r="IU73" t="e">
        <f>AND('GA55 Entry'!X137,"AAAAAH313v4=")</f>
        <v>#VALUE!</v>
      </c>
      <c r="IV73" t="e">
        <f>AND('GA55 Entry'!Y137,"AAAAAH313v8=")</f>
        <v>#VALUE!</v>
      </c>
    </row>
    <row r="74" spans="1:256">
      <c r="A74" t="e">
        <f>AND('GA55 Entry'!#REF!,"AAAAAB3PxwA=")</f>
        <v>#REF!</v>
      </c>
      <c r="B74" t="e">
        <f>AND('GA55 Entry'!#REF!,"AAAAAB3PxwE=")</f>
        <v>#REF!</v>
      </c>
      <c r="C74" t="e">
        <f>AND('GA55 Entry'!#REF!,"AAAAAB3PxwI=")</f>
        <v>#REF!</v>
      </c>
      <c r="D74" t="e">
        <f>AND('GA55 Entry'!#REF!,"AAAAAB3PxwM=")</f>
        <v>#REF!</v>
      </c>
      <c r="E74" t="e">
        <f>AND('GA55 Entry'!#REF!,"AAAAAB3PxwQ=")</f>
        <v>#REF!</v>
      </c>
      <c r="F74" t="e">
        <f>AND('GA55 Entry'!#REF!,"AAAAAB3PxwU=")</f>
        <v>#REF!</v>
      </c>
      <c r="G74" t="e">
        <f>AND('GA55 Entry'!#REF!,"AAAAAB3PxwY=")</f>
        <v>#REF!</v>
      </c>
      <c r="H74" t="e">
        <f>AND('GA55 Entry'!#REF!,"AAAAAB3Pxwc=")</f>
        <v>#REF!</v>
      </c>
      <c r="I74" t="e">
        <f>AND('GA55 Entry'!#REF!,"AAAAAB3Pxwg=")</f>
        <v>#REF!</v>
      </c>
      <c r="J74" t="e">
        <f>AND('GA55 Entry'!Z137,"AAAAAB3Pxwk=")</f>
        <v>#VALUE!</v>
      </c>
      <c r="K74" t="e">
        <f>AND('GA55 Entry'!AA137,"AAAAAB3Pxwo=")</f>
        <v>#VALUE!</v>
      </c>
      <c r="L74" t="e">
        <f>AND('GA55 Entry'!#REF!,"AAAAAB3Pxws=")</f>
        <v>#REF!</v>
      </c>
      <c r="M74" t="e">
        <f>AND('GA55 Entry'!#REF!,"AAAAAB3Pxww=")</f>
        <v>#REF!</v>
      </c>
      <c r="N74" t="e">
        <f>AND('GA55 Entry'!#REF!,"AAAAAB3Pxw0=")</f>
        <v>#REF!</v>
      </c>
      <c r="O74" t="e">
        <f>AND('GA55 Entry'!AB137,"AAAAAB3Pxw4=")</f>
        <v>#VALUE!</v>
      </c>
      <c r="P74" t="e">
        <f>AND('GA55 Entry'!AC137,"AAAAAB3Pxw8=")</f>
        <v>#VALUE!</v>
      </c>
      <c r="Q74" t="e">
        <f>AND('GA55 Entry'!#REF!,"AAAAAB3PxxA=")</f>
        <v>#REF!</v>
      </c>
      <c r="R74">
        <f>IF('GA55 Entry'!138:138,"AAAAAB3PxxE=",0)</f>
        <v>0</v>
      </c>
      <c r="S74" t="e">
        <f>AND('GA55 Entry'!B138,"AAAAAB3PxxI=")</f>
        <v>#VALUE!</v>
      </c>
      <c r="T74" t="e">
        <f>AND('GA55 Entry'!#REF!,"AAAAAB3PxxM=")</f>
        <v>#REF!</v>
      </c>
      <c r="U74" t="e">
        <f>AND('GA55 Entry'!C138,"AAAAAB3PxxQ=")</f>
        <v>#VALUE!</v>
      </c>
      <c r="V74" t="e">
        <f>AND('GA55 Entry'!#REF!,"AAAAAB3PxxU=")</f>
        <v>#REF!</v>
      </c>
      <c r="W74" t="e">
        <f>AND('GA55 Entry'!#REF!,"AAAAAB3PxxY=")</f>
        <v>#REF!</v>
      </c>
      <c r="X74" t="e">
        <f>AND('GA55 Entry'!#REF!,"AAAAAB3Pxxc=")</f>
        <v>#REF!</v>
      </c>
      <c r="Y74" t="e">
        <f>AND('GA55 Entry'!#REF!,"AAAAAB3Pxxg=")</f>
        <v>#REF!</v>
      </c>
      <c r="Z74" t="e">
        <f>AND('GA55 Entry'!#REF!,"AAAAAB3Pxxk=")</f>
        <v>#REF!</v>
      </c>
      <c r="AA74" t="e">
        <f>AND('GA55 Entry'!D138,"AAAAAB3Pxxo=")</f>
        <v>#VALUE!</v>
      </c>
      <c r="AB74" t="e">
        <f>AND('GA55 Entry'!#REF!,"AAAAAB3Pxxs=")</f>
        <v>#REF!</v>
      </c>
      <c r="AC74" t="e">
        <f>AND('GA55 Entry'!E138,"AAAAAB3Pxxw=")</f>
        <v>#VALUE!</v>
      </c>
      <c r="AD74" t="e">
        <f>AND('GA55 Entry'!F138,"AAAAAB3Pxx0=")</f>
        <v>#VALUE!</v>
      </c>
      <c r="AE74" t="e">
        <f>AND('GA55 Entry'!G138,"AAAAAB3Pxx4=")</f>
        <v>#VALUE!</v>
      </c>
      <c r="AF74" t="e">
        <f>AND('GA55 Entry'!H138,"AAAAAB3Pxx8=")</f>
        <v>#VALUE!</v>
      </c>
      <c r="AG74" t="e">
        <f>AND('GA55 Entry'!I138,"AAAAAB3PxyA=")</f>
        <v>#VALUE!</v>
      </c>
      <c r="AH74" t="e">
        <f>AND('GA55 Entry'!J138,"AAAAAB3PxyE=")</f>
        <v>#VALUE!</v>
      </c>
      <c r="AI74" t="e">
        <f>AND('GA55 Entry'!#REF!,"AAAAAB3PxyI=")</f>
        <v>#REF!</v>
      </c>
      <c r="AJ74" t="e">
        <f>AND('GA55 Entry'!K138,"AAAAAB3PxyM=")</f>
        <v>#VALUE!</v>
      </c>
      <c r="AK74" t="e">
        <f>AND('GA55 Entry'!L138,"AAAAAB3PxyQ=")</f>
        <v>#VALUE!</v>
      </c>
      <c r="AL74" t="e">
        <f>AND('GA55 Entry'!M138,"AAAAAB3PxyU=")</f>
        <v>#VALUE!</v>
      </c>
      <c r="AM74" t="e">
        <f>AND('GA55 Entry'!N138,"AAAAAB3PxyY=")</f>
        <v>#VALUE!</v>
      </c>
      <c r="AN74" t="e">
        <f>AND('GA55 Entry'!O138,"AAAAAB3Pxyc=")</f>
        <v>#VALUE!</v>
      </c>
      <c r="AO74" t="e">
        <f>AND('GA55 Entry'!P138,"AAAAAB3Pxyg=")</f>
        <v>#VALUE!</v>
      </c>
      <c r="AP74" t="e">
        <f>AND('GA55 Entry'!Q138,"AAAAAB3Pxyk=")</f>
        <v>#VALUE!</v>
      </c>
      <c r="AQ74" t="e">
        <f>AND('GA55 Entry'!S138,"AAAAAB3Pxyo=")</f>
        <v>#VALUE!</v>
      </c>
      <c r="AR74" t="e">
        <f>AND('GA55 Entry'!#REF!,"AAAAAB3Pxys=")</f>
        <v>#REF!</v>
      </c>
      <c r="AS74" t="e">
        <f>AND('GA55 Entry'!T138,"AAAAAB3Pxyw=")</f>
        <v>#VALUE!</v>
      </c>
      <c r="AT74" t="e">
        <f>AND('GA55 Entry'!U138,"AAAAAB3Pxy0=")</f>
        <v>#VALUE!</v>
      </c>
      <c r="AU74" t="e">
        <f>AND('GA55 Entry'!V138,"AAAAAB3Pxy4=")</f>
        <v>#VALUE!</v>
      </c>
      <c r="AV74" t="e">
        <f>AND('GA55 Entry'!#REF!,"AAAAAB3Pxy8=")</f>
        <v>#REF!</v>
      </c>
      <c r="AW74" t="e">
        <f>AND('GA55 Entry'!#REF!,"AAAAAB3PxzA=")</f>
        <v>#REF!</v>
      </c>
      <c r="AX74" t="e">
        <f>AND('GA55 Entry'!X138,"AAAAAB3PxzE=")</f>
        <v>#VALUE!</v>
      </c>
      <c r="AY74" t="e">
        <f>AND('GA55 Entry'!Y138,"AAAAAB3PxzI=")</f>
        <v>#VALUE!</v>
      </c>
      <c r="AZ74" t="e">
        <f>AND('GA55 Entry'!#REF!,"AAAAAB3PxzM=")</f>
        <v>#REF!</v>
      </c>
      <c r="BA74" t="e">
        <f>AND('GA55 Entry'!#REF!,"AAAAAB3PxzQ=")</f>
        <v>#REF!</v>
      </c>
      <c r="BB74" t="e">
        <f>AND('GA55 Entry'!#REF!,"AAAAAB3PxzU=")</f>
        <v>#REF!</v>
      </c>
      <c r="BC74" t="e">
        <f>AND('GA55 Entry'!#REF!,"AAAAAB3PxzY=")</f>
        <v>#REF!</v>
      </c>
      <c r="BD74" t="e">
        <f>AND('GA55 Entry'!#REF!,"AAAAAB3Pxzc=")</f>
        <v>#REF!</v>
      </c>
      <c r="BE74" t="e">
        <f>AND('GA55 Entry'!#REF!,"AAAAAB3Pxzg=")</f>
        <v>#REF!</v>
      </c>
      <c r="BF74" t="e">
        <f>AND('GA55 Entry'!#REF!,"AAAAAB3Pxzk=")</f>
        <v>#REF!</v>
      </c>
      <c r="BG74" t="e">
        <f>AND('GA55 Entry'!#REF!,"AAAAAB3Pxzo=")</f>
        <v>#REF!</v>
      </c>
      <c r="BH74" t="e">
        <f>AND('GA55 Entry'!#REF!,"AAAAAB3Pxzs=")</f>
        <v>#REF!</v>
      </c>
      <c r="BI74" t="e">
        <f>AND('GA55 Entry'!Z138,"AAAAAB3Pxzw=")</f>
        <v>#VALUE!</v>
      </c>
      <c r="BJ74" t="e">
        <f>AND('GA55 Entry'!AA138,"AAAAAB3Pxz0=")</f>
        <v>#VALUE!</v>
      </c>
      <c r="BK74" t="e">
        <f>AND('GA55 Entry'!#REF!,"AAAAAB3Pxz4=")</f>
        <v>#REF!</v>
      </c>
      <c r="BL74" t="e">
        <f>AND('GA55 Entry'!#REF!,"AAAAAB3Pxz8=")</f>
        <v>#REF!</v>
      </c>
      <c r="BM74" t="e">
        <f>AND('GA55 Entry'!#REF!,"AAAAAB3Px0A=")</f>
        <v>#REF!</v>
      </c>
      <c r="BN74" t="e">
        <f>AND('GA55 Entry'!AB138,"AAAAAB3Px0E=")</f>
        <v>#VALUE!</v>
      </c>
      <c r="BO74" t="e">
        <f>AND('GA55 Entry'!AC138,"AAAAAB3Px0I=")</f>
        <v>#VALUE!</v>
      </c>
      <c r="BP74" t="e">
        <f>AND('GA55 Entry'!#REF!,"AAAAAB3Px0M=")</f>
        <v>#REF!</v>
      </c>
      <c r="BQ74">
        <f>IF('GA55 Entry'!139:139,"AAAAAB3Px0Q=",0)</f>
        <v>0</v>
      </c>
      <c r="BR74" t="e">
        <f>AND('GA55 Entry'!B139,"AAAAAB3Px0U=")</f>
        <v>#VALUE!</v>
      </c>
      <c r="BS74" t="e">
        <f>AND('GA55 Entry'!#REF!,"AAAAAB3Px0Y=")</f>
        <v>#REF!</v>
      </c>
      <c r="BT74" t="e">
        <f>AND('GA55 Entry'!C139,"AAAAAB3Px0c=")</f>
        <v>#VALUE!</v>
      </c>
      <c r="BU74" t="e">
        <f>AND('GA55 Entry'!#REF!,"AAAAAB3Px0g=")</f>
        <v>#REF!</v>
      </c>
      <c r="BV74" t="e">
        <f>AND('GA55 Entry'!#REF!,"AAAAAB3Px0k=")</f>
        <v>#REF!</v>
      </c>
      <c r="BW74" t="e">
        <f>AND('GA55 Entry'!#REF!,"AAAAAB3Px0o=")</f>
        <v>#REF!</v>
      </c>
      <c r="BX74" t="e">
        <f>AND('GA55 Entry'!#REF!,"AAAAAB3Px0s=")</f>
        <v>#REF!</v>
      </c>
      <c r="BY74" t="e">
        <f>AND('GA55 Entry'!#REF!,"AAAAAB3Px0w=")</f>
        <v>#REF!</v>
      </c>
      <c r="BZ74" t="e">
        <f>AND('GA55 Entry'!D139,"AAAAAB3Px00=")</f>
        <v>#VALUE!</v>
      </c>
      <c r="CA74" t="e">
        <f>AND('GA55 Entry'!#REF!,"AAAAAB3Px04=")</f>
        <v>#REF!</v>
      </c>
      <c r="CB74" t="e">
        <f>AND('GA55 Entry'!E139,"AAAAAB3Px08=")</f>
        <v>#VALUE!</v>
      </c>
      <c r="CC74" t="e">
        <f>AND('GA55 Entry'!F139,"AAAAAB3Px1A=")</f>
        <v>#VALUE!</v>
      </c>
      <c r="CD74" t="e">
        <f>AND('GA55 Entry'!G139,"AAAAAB3Px1E=")</f>
        <v>#VALUE!</v>
      </c>
      <c r="CE74" t="e">
        <f>AND('GA55 Entry'!H139,"AAAAAB3Px1I=")</f>
        <v>#VALUE!</v>
      </c>
      <c r="CF74" t="e">
        <f>AND('GA55 Entry'!I139,"AAAAAB3Px1M=")</f>
        <v>#VALUE!</v>
      </c>
      <c r="CG74" t="e">
        <f>AND('GA55 Entry'!J139,"AAAAAB3Px1Q=")</f>
        <v>#VALUE!</v>
      </c>
      <c r="CH74" t="e">
        <f>AND('GA55 Entry'!#REF!,"AAAAAB3Px1U=")</f>
        <v>#REF!</v>
      </c>
      <c r="CI74" t="e">
        <f>AND('GA55 Entry'!K139,"AAAAAB3Px1Y=")</f>
        <v>#VALUE!</v>
      </c>
      <c r="CJ74" t="e">
        <f>AND('GA55 Entry'!L139,"AAAAAB3Px1c=")</f>
        <v>#VALUE!</v>
      </c>
      <c r="CK74" t="e">
        <f>AND('GA55 Entry'!M139,"AAAAAB3Px1g=")</f>
        <v>#VALUE!</v>
      </c>
      <c r="CL74" t="e">
        <f>AND('GA55 Entry'!N139,"AAAAAB3Px1k=")</f>
        <v>#VALUE!</v>
      </c>
      <c r="CM74" t="e">
        <f>AND('GA55 Entry'!O139,"AAAAAB3Px1o=")</f>
        <v>#VALUE!</v>
      </c>
      <c r="CN74" t="e">
        <f>AND('GA55 Entry'!P139,"AAAAAB3Px1s=")</f>
        <v>#VALUE!</v>
      </c>
      <c r="CO74" t="e">
        <f>AND('GA55 Entry'!Q139,"AAAAAB3Px1w=")</f>
        <v>#VALUE!</v>
      </c>
      <c r="CP74" t="e">
        <f>AND('GA55 Entry'!S139,"AAAAAB3Px10=")</f>
        <v>#VALUE!</v>
      </c>
      <c r="CQ74" t="e">
        <f>AND('GA55 Entry'!#REF!,"AAAAAB3Px14=")</f>
        <v>#REF!</v>
      </c>
      <c r="CR74" t="e">
        <f>AND('GA55 Entry'!T139,"AAAAAB3Px18=")</f>
        <v>#VALUE!</v>
      </c>
      <c r="CS74" t="e">
        <f>AND('GA55 Entry'!U139,"AAAAAB3Px2A=")</f>
        <v>#VALUE!</v>
      </c>
      <c r="CT74" t="e">
        <f>AND('GA55 Entry'!V139,"AAAAAB3Px2E=")</f>
        <v>#VALUE!</v>
      </c>
      <c r="CU74" t="e">
        <f>AND('GA55 Entry'!#REF!,"AAAAAB3Px2I=")</f>
        <v>#REF!</v>
      </c>
      <c r="CV74" t="e">
        <f>AND('GA55 Entry'!#REF!,"AAAAAB3Px2M=")</f>
        <v>#REF!</v>
      </c>
      <c r="CW74" t="e">
        <f>AND('GA55 Entry'!X139,"AAAAAB3Px2Q=")</f>
        <v>#VALUE!</v>
      </c>
      <c r="CX74" t="e">
        <f>AND('GA55 Entry'!Y139,"AAAAAB3Px2U=")</f>
        <v>#VALUE!</v>
      </c>
      <c r="CY74" t="e">
        <f>AND('GA55 Entry'!#REF!,"AAAAAB3Px2Y=")</f>
        <v>#REF!</v>
      </c>
      <c r="CZ74" t="e">
        <f>AND('GA55 Entry'!#REF!,"AAAAAB3Px2c=")</f>
        <v>#REF!</v>
      </c>
      <c r="DA74" t="e">
        <f>AND('GA55 Entry'!#REF!,"AAAAAB3Px2g=")</f>
        <v>#REF!</v>
      </c>
      <c r="DB74" t="e">
        <f>AND('GA55 Entry'!#REF!,"AAAAAB3Px2k=")</f>
        <v>#REF!</v>
      </c>
      <c r="DC74" t="e">
        <f>AND('GA55 Entry'!#REF!,"AAAAAB3Px2o=")</f>
        <v>#REF!</v>
      </c>
      <c r="DD74" t="e">
        <f>AND('GA55 Entry'!#REF!,"AAAAAB3Px2s=")</f>
        <v>#REF!</v>
      </c>
      <c r="DE74" t="e">
        <f>AND('GA55 Entry'!#REF!,"AAAAAB3Px2w=")</f>
        <v>#REF!</v>
      </c>
      <c r="DF74" t="e">
        <f>AND('GA55 Entry'!#REF!,"AAAAAB3Px20=")</f>
        <v>#REF!</v>
      </c>
      <c r="DG74" t="e">
        <f>AND('GA55 Entry'!#REF!,"AAAAAB3Px24=")</f>
        <v>#REF!</v>
      </c>
      <c r="DH74" t="e">
        <f>AND('GA55 Entry'!Z139,"AAAAAB3Px28=")</f>
        <v>#VALUE!</v>
      </c>
      <c r="DI74" t="e">
        <f>AND('GA55 Entry'!AA139,"AAAAAB3Px3A=")</f>
        <v>#VALUE!</v>
      </c>
      <c r="DJ74" t="e">
        <f>AND('GA55 Entry'!#REF!,"AAAAAB3Px3E=")</f>
        <v>#REF!</v>
      </c>
      <c r="DK74" t="e">
        <f>AND('GA55 Entry'!#REF!,"AAAAAB3Px3I=")</f>
        <v>#REF!</v>
      </c>
      <c r="DL74" t="e">
        <f>AND('GA55 Entry'!#REF!,"AAAAAB3Px3M=")</f>
        <v>#REF!</v>
      </c>
      <c r="DM74" t="e">
        <f>AND('GA55 Entry'!AB139,"AAAAAB3Px3Q=")</f>
        <v>#VALUE!</v>
      </c>
      <c r="DN74" t="e">
        <f>AND('GA55 Entry'!AC139,"AAAAAB3Px3U=")</f>
        <v>#VALUE!</v>
      </c>
      <c r="DO74" t="e">
        <f>AND('GA55 Entry'!#REF!,"AAAAAB3Px3Y=")</f>
        <v>#REF!</v>
      </c>
      <c r="DP74">
        <f>IF('GA55 Entry'!140:140,"AAAAAB3Px3c=",0)</f>
        <v>0</v>
      </c>
      <c r="DQ74" t="e">
        <f>AND('GA55 Entry'!B140,"AAAAAB3Px3g=")</f>
        <v>#VALUE!</v>
      </c>
      <c r="DR74" t="e">
        <f>AND('GA55 Entry'!#REF!,"AAAAAB3Px3k=")</f>
        <v>#REF!</v>
      </c>
      <c r="DS74" t="e">
        <f>AND('GA55 Entry'!C140,"AAAAAB3Px3o=")</f>
        <v>#VALUE!</v>
      </c>
      <c r="DT74" t="e">
        <f>AND('GA55 Entry'!#REF!,"AAAAAB3Px3s=")</f>
        <v>#REF!</v>
      </c>
      <c r="DU74" t="e">
        <f>AND('GA55 Entry'!#REF!,"AAAAAB3Px3w=")</f>
        <v>#REF!</v>
      </c>
      <c r="DV74" t="e">
        <f>AND('GA55 Entry'!#REF!,"AAAAAB3Px30=")</f>
        <v>#REF!</v>
      </c>
      <c r="DW74" t="e">
        <f>AND('GA55 Entry'!#REF!,"AAAAAB3Px34=")</f>
        <v>#REF!</v>
      </c>
      <c r="DX74" t="e">
        <f>AND('GA55 Entry'!#REF!,"AAAAAB3Px38=")</f>
        <v>#REF!</v>
      </c>
      <c r="DY74" t="e">
        <f>AND('GA55 Entry'!D140,"AAAAAB3Px4A=")</f>
        <v>#VALUE!</v>
      </c>
      <c r="DZ74" t="e">
        <f>AND('GA55 Entry'!#REF!,"AAAAAB3Px4E=")</f>
        <v>#REF!</v>
      </c>
      <c r="EA74" t="e">
        <f>AND('GA55 Entry'!E140,"AAAAAB3Px4I=")</f>
        <v>#VALUE!</v>
      </c>
      <c r="EB74" t="e">
        <f>AND('GA55 Entry'!F140,"AAAAAB3Px4M=")</f>
        <v>#VALUE!</v>
      </c>
      <c r="EC74" t="e">
        <f>AND('GA55 Entry'!G140,"AAAAAB3Px4Q=")</f>
        <v>#VALUE!</v>
      </c>
      <c r="ED74" t="e">
        <f>AND('GA55 Entry'!H140,"AAAAAB3Px4U=")</f>
        <v>#VALUE!</v>
      </c>
      <c r="EE74" t="e">
        <f>AND('GA55 Entry'!I140,"AAAAAB3Px4Y=")</f>
        <v>#VALUE!</v>
      </c>
      <c r="EF74" t="e">
        <f>AND('GA55 Entry'!J140,"AAAAAB3Px4c=")</f>
        <v>#VALUE!</v>
      </c>
      <c r="EG74" t="e">
        <f>AND('GA55 Entry'!#REF!,"AAAAAB3Px4g=")</f>
        <v>#REF!</v>
      </c>
      <c r="EH74" t="e">
        <f>AND('GA55 Entry'!K140,"AAAAAB3Px4k=")</f>
        <v>#VALUE!</v>
      </c>
      <c r="EI74" t="e">
        <f>AND('GA55 Entry'!L140,"AAAAAB3Px4o=")</f>
        <v>#VALUE!</v>
      </c>
      <c r="EJ74" t="e">
        <f>AND('GA55 Entry'!M140,"AAAAAB3Px4s=")</f>
        <v>#VALUE!</v>
      </c>
      <c r="EK74" t="e">
        <f>AND('GA55 Entry'!N140,"AAAAAB3Px4w=")</f>
        <v>#VALUE!</v>
      </c>
      <c r="EL74" t="e">
        <f>AND('GA55 Entry'!O140,"AAAAAB3Px40=")</f>
        <v>#VALUE!</v>
      </c>
      <c r="EM74" t="e">
        <f>AND('GA55 Entry'!P140,"AAAAAB3Px44=")</f>
        <v>#VALUE!</v>
      </c>
      <c r="EN74" t="e">
        <f>AND('GA55 Entry'!Q140,"AAAAAB3Px48=")</f>
        <v>#VALUE!</v>
      </c>
      <c r="EO74" t="e">
        <f>AND('GA55 Entry'!S140,"AAAAAB3Px5A=")</f>
        <v>#VALUE!</v>
      </c>
      <c r="EP74" t="e">
        <f>AND('GA55 Entry'!#REF!,"AAAAAB3Px5E=")</f>
        <v>#REF!</v>
      </c>
      <c r="EQ74" t="e">
        <f>AND('GA55 Entry'!T140,"AAAAAB3Px5I=")</f>
        <v>#VALUE!</v>
      </c>
      <c r="ER74" t="e">
        <f>AND('GA55 Entry'!U140,"AAAAAB3Px5M=")</f>
        <v>#VALUE!</v>
      </c>
      <c r="ES74" t="e">
        <f>AND('GA55 Entry'!V140,"AAAAAB3Px5Q=")</f>
        <v>#VALUE!</v>
      </c>
      <c r="ET74" t="e">
        <f>AND('GA55 Entry'!#REF!,"AAAAAB3Px5U=")</f>
        <v>#REF!</v>
      </c>
      <c r="EU74" t="e">
        <f>AND('GA55 Entry'!#REF!,"AAAAAB3Px5Y=")</f>
        <v>#REF!</v>
      </c>
      <c r="EV74" t="e">
        <f>AND('GA55 Entry'!X140,"AAAAAB3Px5c=")</f>
        <v>#VALUE!</v>
      </c>
      <c r="EW74" t="e">
        <f>AND('GA55 Entry'!Y140,"AAAAAB3Px5g=")</f>
        <v>#VALUE!</v>
      </c>
      <c r="EX74" t="e">
        <f>AND('GA55 Entry'!#REF!,"AAAAAB3Px5k=")</f>
        <v>#REF!</v>
      </c>
      <c r="EY74" t="e">
        <f>AND('GA55 Entry'!#REF!,"AAAAAB3Px5o=")</f>
        <v>#REF!</v>
      </c>
      <c r="EZ74" t="e">
        <f>AND('GA55 Entry'!#REF!,"AAAAAB3Px5s=")</f>
        <v>#REF!</v>
      </c>
      <c r="FA74" t="e">
        <f>AND('GA55 Entry'!#REF!,"AAAAAB3Px5w=")</f>
        <v>#REF!</v>
      </c>
      <c r="FB74" t="e">
        <f>AND('GA55 Entry'!#REF!,"AAAAAB3Px50=")</f>
        <v>#REF!</v>
      </c>
      <c r="FC74" t="e">
        <f>AND('GA55 Entry'!#REF!,"AAAAAB3Px54=")</f>
        <v>#REF!</v>
      </c>
      <c r="FD74" t="e">
        <f>AND('GA55 Entry'!#REF!,"AAAAAB3Px58=")</f>
        <v>#REF!</v>
      </c>
      <c r="FE74" t="e">
        <f>AND('GA55 Entry'!#REF!,"AAAAAB3Px6A=")</f>
        <v>#REF!</v>
      </c>
      <c r="FF74" t="e">
        <f>AND('GA55 Entry'!#REF!,"AAAAAB3Px6E=")</f>
        <v>#REF!</v>
      </c>
      <c r="FG74" t="e">
        <f>AND('GA55 Entry'!Z140,"AAAAAB3Px6I=")</f>
        <v>#VALUE!</v>
      </c>
      <c r="FH74" t="e">
        <f>AND('GA55 Entry'!AA140,"AAAAAB3Px6M=")</f>
        <v>#VALUE!</v>
      </c>
      <c r="FI74" t="e">
        <f>AND('GA55 Entry'!#REF!,"AAAAAB3Px6Q=")</f>
        <v>#REF!</v>
      </c>
      <c r="FJ74" t="e">
        <f>AND('GA55 Entry'!#REF!,"AAAAAB3Px6U=")</f>
        <v>#REF!</v>
      </c>
      <c r="FK74" t="e">
        <f>AND('GA55 Entry'!#REF!,"AAAAAB3Px6Y=")</f>
        <v>#REF!</v>
      </c>
      <c r="FL74" t="e">
        <f>AND('GA55 Entry'!AB140,"AAAAAB3Px6c=")</f>
        <v>#VALUE!</v>
      </c>
      <c r="FM74" t="e">
        <f>AND('GA55 Entry'!AC140,"AAAAAB3Px6g=")</f>
        <v>#VALUE!</v>
      </c>
      <c r="FN74" t="e">
        <f>AND('GA55 Entry'!#REF!,"AAAAAB3Px6k=")</f>
        <v>#REF!</v>
      </c>
      <c r="FO74">
        <f>IF('GA55 Entry'!141:141,"AAAAAB3Px6o=",0)</f>
        <v>0</v>
      </c>
      <c r="FP74" t="e">
        <f>AND('GA55 Entry'!B141,"AAAAAB3Px6s=")</f>
        <v>#VALUE!</v>
      </c>
      <c r="FQ74" t="e">
        <f>AND('GA55 Entry'!#REF!,"AAAAAB3Px6w=")</f>
        <v>#REF!</v>
      </c>
      <c r="FR74" t="e">
        <f>AND('GA55 Entry'!C141,"AAAAAB3Px60=")</f>
        <v>#VALUE!</v>
      </c>
      <c r="FS74" t="e">
        <f>AND('GA55 Entry'!#REF!,"AAAAAB3Px64=")</f>
        <v>#REF!</v>
      </c>
      <c r="FT74" t="e">
        <f>AND('GA55 Entry'!#REF!,"AAAAAB3Px68=")</f>
        <v>#REF!</v>
      </c>
      <c r="FU74" t="e">
        <f>AND('GA55 Entry'!#REF!,"AAAAAB3Px7A=")</f>
        <v>#REF!</v>
      </c>
      <c r="FV74" t="e">
        <f>AND('GA55 Entry'!#REF!,"AAAAAB3Px7E=")</f>
        <v>#REF!</v>
      </c>
      <c r="FW74" t="e">
        <f>AND('GA55 Entry'!#REF!,"AAAAAB3Px7I=")</f>
        <v>#REF!</v>
      </c>
      <c r="FX74" t="e">
        <f>AND('GA55 Entry'!D141,"AAAAAB3Px7M=")</f>
        <v>#VALUE!</v>
      </c>
      <c r="FY74" t="e">
        <f>AND('GA55 Entry'!#REF!,"AAAAAB3Px7Q=")</f>
        <v>#REF!</v>
      </c>
      <c r="FZ74" t="e">
        <f>AND('GA55 Entry'!E141,"AAAAAB3Px7U=")</f>
        <v>#VALUE!</v>
      </c>
      <c r="GA74" t="e">
        <f>AND('GA55 Entry'!F141,"AAAAAB3Px7Y=")</f>
        <v>#VALUE!</v>
      </c>
      <c r="GB74" t="e">
        <f>AND('GA55 Entry'!G141,"AAAAAB3Px7c=")</f>
        <v>#VALUE!</v>
      </c>
      <c r="GC74" t="e">
        <f>AND('GA55 Entry'!H141,"AAAAAB3Px7g=")</f>
        <v>#VALUE!</v>
      </c>
      <c r="GD74" t="e">
        <f>AND('GA55 Entry'!I141,"AAAAAB3Px7k=")</f>
        <v>#VALUE!</v>
      </c>
      <c r="GE74" t="e">
        <f>AND('GA55 Entry'!J141,"AAAAAB3Px7o=")</f>
        <v>#VALUE!</v>
      </c>
      <c r="GF74" t="e">
        <f>AND('GA55 Entry'!#REF!,"AAAAAB3Px7s=")</f>
        <v>#REF!</v>
      </c>
      <c r="GG74" t="e">
        <f>AND('GA55 Entry'!K141,"AAAAAB3Px7w=")</f>
        <v>#VALUE!</v>
      </c>
      <c r="GH74" t="e">
        <f>AND('GA55 Entry'!L141,"AAAAAB3Px70=")</f>
        <v>#VALUE!</v>
      </c>
      <c r="GI74" t="e">
        <f>AND('GA55 Entry'!M141,"AAAAAB3Px74=")</f>
        <v>#VALUE!</v>
      </c>
      <c r="GJ74" t="e">
        <f>AND('GA55 Entry'!N141,"AAAAAB3Px78=")</f>
        <v>#VALUE!</v>
      </c>
      <c r="GK74" t="e">
        <f>AND('GA55 Entry'!O141,"AAAAAB3Px8A=")</f>
        <v>#VALUE!</v>
      </c>
      <c r="GL74" t="e">
        <f>AND('GA55 Entry'!P141,"AAAAAB3Px8E=")</f>
        <v>#VALUE!</v>
      </c>
      <c r="GM74" t="e">
        <f>AND('GA55 Entry'!Q141,"AAAAAB3Px8I=")</f>
        <v>#VALUE!</v>
      </c>
      <c r="GN74" t="e">
        <f>AND('GA55 Entry'!S141,"AAAAAB3Px8M=")</f>
        <v>#VALUE!</v>
      </c>
      <c r="GO74" t="e">
        <f>AND('GA55 Entry'!#REF!,"AAAAAB3Px8Q=")</f>
        <v>#REF!</v>
      </c>
      <c r="GP74" t="e">
        <f>AND('GA55 Entry'!T141,"AAAAAB3Px8U=")</f>
        <v>#VALUE!</v>
      </c>
      <c r="GQ74" t="e">
        <f>AND('GA55 Entry'!U141,"AAAAAB3Px8Y=")</f>
        <v>#VALUE!</v>
      </c>
      <c r="GR74" t="e">
        <f>AND('GA55 Entry'!V141,"AAAAAB3Px8c=")</f>
        <v>#VALUE!</v>
      </c>
      <c r="GS74" t="e">
        <f>AND('GA55 Entry'!#REF!,"AAAAAB3Px8g=")</f>
        <v>#REF!</v>
      </c>
      <c r="GT74" t="e">
        <f>AND('GA55 Entry'!#REF!,"AAAAAB3Px8k=")</f>
        <v>#REF!</v>
      </c>
      <c r="GU74" t="e">
        <f>AND('GA55 Entry'!X141,"AAAAAB3Px8o=")</f>
        <v>#VALUE!</v>
      </c>
      <c r="GV74" t="e">
        <f>AND('GA55 Entry'!Y141,"AAAAAB3Px8s=")</f>
        <v>#VALUE!</v>
      </c>
      <c r="GW74" t="e">
        <f>AND('GA55 Entry'!#REF!,"AAAAAB3Px8w=")</f>
        <v>#REF!</v>
      </c>
      <c r="GX74" t="e">
        <f>AND('GA55 Entry'!#REF!,"AAAAAB3Px80=")</f>
        <v>#REF!</v>
      </c>
      <c r="GY74" t="e">
        <f>AND('GA55 Entry'!#REF!,"AAAAAB3Px84=")</f>
        <v>#REF!</v>
      </c>
      <c r="GZ74" t="e">
        <f>AND('GA55 Entry'!#REF!,"AAAAAB3Px88=")</f>
        <v>#REF!</v>
      </c>
      <c r="HA74" t="e">
        <f>AND('GA55 Entry'!#REF!,"AAAAAB3Px9A=")</f>
        <v>#REF!</v>
      </c>
      <c r="HB74" t="e">
        <f>AND('GA55 Entry'!#REF!,"AAAAAB3Px9E=")</f>
        <v>#REF!</v>
      </c>
      <c r="HC74" t="e">
        <f>AND('GA55 Entry'!#REF!,"AAAAAB3Px9I=")</f>
        <v>#REF!</v>
      </c>
      <c r="HD74" t="e">
        <f>AND('GA55 Entry'!#REF!,"AAAAAB3Px9M=")</f>
        <v>#REF!</v>
      </c>
      <c r="HE74" t="e">
        <f>AND('GA55 Entry'!#REF!,"AAAAAB3Px9Q=")</f>
        <v>#REF!</v>
      </c>
      <c r="HF74" t="e">
        <f>AND('GA55 Entry'!Z141,"AAAAAB3Px9U=")</f>
        <v>#VALUE!</v>
      </c>
      <c r="HG74" t="e">
        <f>AND('GA55 Entry'!AA141,"AAAAAB3Px9Y=")</f>
        <v>#VALUE!</v>
      </c>
      <c r="HH74" t="e">
        <f>AND('GA55 Entry'!#REF!,"AAAAAB3Px9c=")</f>
        <v>#REF!</v>
      </c>
      <c r="HI74" t="e">
        <f>AND('GA55 Entry'!#REF!,"AAAAAB3Px9g=")</f>
        <v>#REF!</v>
      </c>
      <c r="HJ74" t="e">
        <f>AND('GA55 Entry'!#REF!,"AAAAAB3Px9k=")</f>
        <v>#REF!</v>
      </c>
      <c r="HK74" t="e">
        <f>AND('GA55 Entry'!AB141,"AAAAAB3Px9o=")</f>
        <v>#VALUE!</v>
      </c>
      <c r="HL74" t="e">
        <f>AND('GA55 Entry'!AC141,"AAAAAB3Px9s=")</f>
        <v>#VALUE!</v>
      </c>
      <c r="HM74" t="e">
        <f>AND('GA55 Entry'!#REF!,"AAAAAB3Px9w=")</f>
        <v>#REF!</v>
      </c>
      <c r="HN74">
        <f>IF('GA55 Entry'!142:142,"AAAAAB3Px90=",0)</f>
        <v>0</v>
      </c>
      <c r="HO74" t="e">
        <f>AND('GA55 Entry'!B142,"AAAAAB3Px94=")</f>
        <v>#VALUE!</v>
      </c>
      <c r="HP74" t="e">
        <f>AND('GA55 Entry'!#REF!,"AAAAAB3Px98=")</f>
        <v>#REF!</v>
      </c>
      <c r="HQ74" t="e">
        <f>AND('GA55 Entry'!C142,"AAAAAB3Px+A=")</f>
        <v>#VALUE!</v>
      </c>
      <c r="HR74" t="e">
        <f>AND('GA55 Entry'!#REF!,"AAAAAB3Px+E=")</f>
        <v>#REF!</v>
      </c>
      <c r="HS74" t="e">
        <f>AND('GA55 Entry'!#REF!,"AAAAAB3Px+I=")</f>
        <v>#REF!</v>
      </c>
      <c r="HT74" t="e">
        <f>AND('GA55 Entry'!#REF!,"AAAAAB3Px+M=")</f>
        <v>#REF!</v>
      </c>
      <c r="HU74" t="e">
        <f>AND('GA55 Entry'!#REF!,"AAAAAB3Px+Q=")</f>
        <v>#REF!</v>
      </c>
      <c r="HV74" t="e">
        <f>AND('GA55 Entry'!#REF!,"AAAAAB3Px+U=")</f>
        <v>#REF!</v>
      </c>
      <c r="HW74" t="e">
        <f>AND('GA55 Entry'!D142,"AAAAAB3Px+Y=")</f>
        <v>#VALUE!</v>
      </c>
      <c r="HX74" t="e">
        <f>AND('GA55 Entry'!#REF!,"AAAAAB3Px+c=")</f>
        <v>#REF!</v>
      </c>
      <c r="HY74" t="e">
        <f>AND('GA55 Entry'!E142,"AAAAAB3Px+g=")</f>
        <v>#VALUE!</v>
      </c>
      <c r="HZ74" t="e">
        <f>AND('GA55 Entry'!F142,"AAAAAB3Px+k=")</f>
        <v>#VALUE!</v>
      </c>
      <c r="IA74" t="e">
        <f>AND('GA55 Entry'!G142,"AAAAAB3Px+o=")</f>
        <v>#VALUE!</v>
      </c>
      <c r="IB74" t="e">
        <f>AND('GA55 Entry'!H142,"AAAAAB3Px+s=")</f>
        <v>#VALUE!</v>
      </c>
      <c r="IC74" t="e">
        <f>AND('GA55 Entry'!I142,"AAAAAB3Px+w=")</f>
        <v>#VALUE!</v>
      </c>
      <c r="ID74" t="e">
        <f>AND('GA55 Entry'!J142,"AAAAAB3Px+0=")</f>
        <v>#VALUE!</v>
      </c>
      <c r="IE74" t="e">
        <f>AND('GA55 Entry'!#REF!,"AAAAAB3Px+4=")</f>
        <v>#REF!</v>
      </c>
      <c r="IF74" t="e">
        <f>AND('GA55 Entry'!K142,"AAAAAB3Px+8=")</f>
        <v>#VALUE!</v>
      </c>
      <c r="IG74" t="e">
        <f>AND('GA55 Entry'!L142,"AAAAAB3Px/A=")</f>
        <v>#VALUE!</v>
      </c>
      <c r="IH74" t="e">
        <f>AND('GA55 Entry'!M142,"AAAAAB3Px/E=")</f>
        <v>#VALUE!</v>
      </c>
      <c r="II74" t="e">
        <f>AND('GA55 Entry'!N142,"AAAAAB3Px/I=")</f>
        <v>#VALUE!</v>
      </c>
      <c r="IJ74" t="e">
        <f>AND('GA55 Entry'!O142,"AAAAAB3Px/M=")</f>
        <v>#VALUE!</v>
      </c>
      <c r="IK74" t="e">
        <f>AND('GA55 Entry'!P142,"AAAAAB3Px/Q=")</f>
        <v>#VALUE!</v>
      </c>
      <c r="IL74" t="e">
        <f>AND('GA55 Entry'!Q142,"AAAAAB3Px/U=")</f>
        <v>#VALUE!</v>
      </c>
      <c r="IM74" t="e">
        <f>AND('GA55 Entry'!S142,"AAAAAB3Px/Y=")</f>
        <v>#VALUE!</v>
      </c>
      <c r="IN74" t="e">
        <f>AND('GA55 Entry'!#REF!,"AAAAAB3Px/c=")</f>
        <v>#REF!</v>
      </c>
      <c r="IO74" t="e">
        <f>AND('GA55 Entry'!T142,"AAAAAB3Px/g=")</f>
        <v>#VALUE!</v>
      </c>
      <c r="IP74" t="e">
        <f>AND('GA55 Entry'!U142,"AAAAAB3Px/k=")</f>
        <v>#VALUE!</v>
      </c>
      <c r="IQ74" t="e">
        <f>AND('GA55 Entry'!V142,"AAAAAB3Px/o=")</f>
        <v>#VALUE!</v>
      </c>
      <c r="IR74" t="e">
        <f>AND('GA55 Entry'!#REF!,"AAAAAB3Px/s=")</f>
        <v>#REF!</v>
      </c>
      <c r="IS74" t="e">
        <f>AND('GA55 Entry'!#REF!,"AAAAAB3Px/w=")</f>
        <v>#REF!</v>
      </c>
      <c r="IT74" t="e">
        <f>AND('GA55 Entry'!X142,"AAAAAB3Px/0=")</f>
        <v>#VALUE!</v>
      </c>
      <c r="IU74" t="e">
        <f>AND('GA55 Entry'!Y142,"AAAAAB3Px/4=")</f>
        <v>#VALUE!</v>
      </c>
      <c r="IV74" t="e">
        <f>AND('GA55 Entry'!#REF!,"AAAAAB3Px/8=")</f>
        <v>#REF!</v>
      </c>
    </row>
    <row r="75" spans="1:256">
      <c r="A75" t="e">
        <f>AND('GA55 Entry'!#REF!,"AAAAAD1f/wA=")</f>
        <v>#REF!</v>
      </c>
      <c r="B75" t="e">
        <f>AND('GA55 Entry'!#REF!,"AAAAAD1f/wE=")</f>
        <v>#REF!</v>
      </c>
      <c r="C75" t="e">
        <f>AND('GA55 Entry'!#REF!,"AAAAAD1f/wI=")</f>
        <v>#REF!</v>
      </c>
      <c r="D75" t="e">
        <f>AND('GA55 Entry'!#REF!,"AAAAAD1f/wM=")</f>
        <v>#REF!</v>
      </c>
      <c r="E75" t="e">
        <f>AND('GA55 Entry'!#REF!,"AAAAAD1f/wQ=")</f>
        <v>#REF!</v>
      </c>
      <c r="F75" t="e">
        <f>AND('GA55 Entry'!#REF!,"AAAAAD1f/wU=")</f>
        <v>#REF!</v>
      </c>
      <c r="G75" t="e">
        <f>AND('GA55 Entry'!#REF!,"AAAAAD1f/wY=")</f>
        <v>#REF!</v>
      </c>
      <c r="H75" t="e">
        <f>AND('GA55 Entry'!#REF!,"AAAAAD1f/wc=")</f>
        <v>#REF!</v>
      </c>
      <c r="I75" t="e">
        <f>AND('GA55 Entry'!Z142,"AAAAAD1f/wg=")</f>
        <v>#VALUE!</v>
      </c>
      <c r="J75" t="e">
        <f>AND('GA55 Entry'!AA142,"AAAAAD1f/wk=")</f>
        <v>#VALUE!</v>
      </c>
      <c r="K75" t="e">
        <f>AND('GA55 Entry'!#REF!,"AAAAAD1f/wo=")</f>
        <v>#REF!</v>
      </c>
      <c r="L75" t="e">
        <f>AND('GA55 Entry'!#REF!,"AAAAAD1f/ws=")</f>
        <v>#REF!</v>
      </c>
      <c r="M75" t="e">
        <f>AND('GA55 Entry'!#REF!,"AAAAAD1f/ww=")</f>
        <v>#REF!</v>
      </c>
      <c r="N75" t="e">
        <f>AND('GA55 Entry'!AB142,"AAAAAD1f/w0=")</f>
        <v>#VALUE!</v>
      </c>
      <c r="O75" t="e">
        <f>AND('GA55 Entry'!AC142,"AAAAAD1f/w4=")</f>
        <v>#VALUE!</v>
      </c>
      <c r="P75" t="e">
        <f>AND('GA55 Entry'!#REF!,"AAAAAD1f/w8=")</f>
        <v>#REF!</v>
      </c>
      <c r="Q75">
        <f>IF('GA55 Entry'!143:143,"AAAAAD1f/xA=",0)</f>
        <v>0</v>
      </c>
      <c r="R75" t="e">
        <f>AND('GA55 Entry'!B143,"AAAAAD1f/xE=")</f>
        <v>#VALUE!</v>
      </c>
      <c r="S75" t="e">
        <f>AND('GA55 Entry'!#REF!,"AAAAAD1f/xI=")</f>
        <v>#REF!</v>
      </c>
      <c r="T75" t="e">
        <f>AND('GA55 Entry'!C143,"AAAAAD1f/xM=")</f>
        <v>#VALUE!</v>
      </c>
      <c r="U75" t="e">
        <f>AND('GA55 Entry'!#REF!,"AAAAAD1f/xQ=")</f>
        <v>#REF!</v>
      </c>
      <c r="V75" t="e">
        <f>AND('GA55 Entry'!#REF!,"AAAAAD1f/xU=")</f>
        <v>#REF!</v>
      </c>
      <c r="W75" t="e">
        <f>AND('GA55 Entry'!#REF!,"AAAAAD1f/xY=")</f>
        <v>#REF!</v>
      </c>
      <c r="X75" t="e">
        <f>AND('GA55 Entry'!#REF!,"AAAAAD1f/xc=")</f>
        <v>#REF!</v>
      </c>
      <c r="Y75" t="e">
        <f>AND('GA55 Entry'!#REF!,"AAAAAD1f/xg=")</f>
        <v>#REF!</v>
      </c>
      <c r="Z75" t="e">
        <f>AND('GA55 Entry'!D143,"AAAAAD1f/xk=")</f>
        <v>#VALUE!</v>
      </c>
      <c r="AA75" t="e">
        <f>AND('GA55 Entry'!#REF!,"AAAAAD1f/xo=")</f>
        <v>#REF!</v>
      </c>
      <c r="AB75" t="e">
        <f>AND('GA55 Entry'!E143,"AAAAAD1f/xs=")</f>
        <v>#VALUE!</v>
      </c>
      <c r="AC75" t="e">
        <f>AND('GA55 Entry'!F143,"AAAAAD1f/xw=")</f>
        <v>#VALUE!</v>
      </c>
      <c r="AD75" t="e">
        <f>AND('GA55 Entry'!G143,"AAAAAD1f/x0=")</f>
        <v>#VALUE!</v>
      </c>
      <c r="AE75" t="e">
        <f>AND('GA55 Entry'!H143,"AAAAAD1f/x4=")</f>
        <v>#VALUE!</v>
      </c>
      <c r="AF75" t="e">
        <f>AND('GA55 Entry'!I143,"AAAAAD1f/x8=")</f>
        <v>#VALUE!</v>
      </c>
      <c r="AG75" t="e">
        <f>AND('GA55 Entry'!J143,"AAAAAD1f/yA=")</f>
        <v>#VALUE!</v>
      </c>
      <c r="AH75" t="e">
        <f>AND('GA55 Entry'!#REF!,"AAAAAD1f/yE=")</f>
        <v>#REF!</v>
      </c>
      <c r="AI75" t="e">
        <f>AND('GA55 Entry'!K143,"AAAAAD1f/yI=")</f>
        <v>#VALUE!</v>
      </c>
      <c r="AJ75" t="e">
        <f>AND('GA55 Entry'!L143,"AAAAAD1f/yM=")</f>
        <v>#VALUE!</v>
      </c>
      <c r="AK75" t="e">
        <f>AND('GA55 Entry'!M143,"AAAAAD1f/yQ=")</f>
        <v>#VALUE!</v>
      </c>
      <c r="AL75" t="e">
        <f>AND('GA55 Entry'!N143,"AAAAAD1f/yU=")</f>
        <v>#VALUE!</v>
      </c>
      <c r="AM75" t="e">
        <f>AND('GA55 Entry'!O143,"AAAAAD1f/yY=")</f>
        <v>#VALUE!</v>
      </c>
      <c r="AN75" t="e">
        <f>AND('GA55 Entry'!P143,"AAAAAD1f/yc=")</f>
        <v>#VALUE!</v>
      </c>
      <c r="AO75" t="e">
        <f>AND('GA55 Entry'!Q143,"AAAAAD1f/yg=")</f>
        <v>#VALUE!</v>
      </c>
      <c r="AP75" t="e">
        <f>AND('GA55 Entry'!S143,"AAAAAD1f/yk=")</f>
        <v>#VALUE!</v>
      </c>
      <c r="AQ75" t="e">
        <f>AND('GA55 Entry'!#REF!,"AAAAAD1f/yo=")</f>
        <v>#REF!</v>
      </c>
      <c r="AR75" t="e">
        <f>AND('GA55 Entry'!T143,"AAAAAD1f/ys=")</f>
        <v>#VALUE!</v>
      </c>
      <c r="AS75" t="e">
        <f>AND('GA55 Entry'!U143,"AAAAAD1f/yw=")</f>
        <v>#VALUE!</v>
      </c>
      <c r="AT75" t="e">
        <f>AND('GA55 Entry'!V143,"AAAAAD1f/y0=")</f>
        <v>#VALUE!</v>
      </c>
      <c r="AU75" t="e">
        <f>AND('GA55 Entry'!#REF!,"AAAAAD1f/y4=")</f>
        <v>#REF!</v>
      </c>
      <c r="AV75" t="e">
        <f>AND('GA55 Entry'!#REF!,"AAAAAD1f/y8=")</f>
        <v>#REF!</v>
      </c>
      <c r="AW75" t="e">
        <f>AND('GA55 Entry'!X143,"AAAAAD1f/zA=")</f>
        <v>#VALUE!</v>
      </c>
      <c r="AX75" t="e">
        <f>AND('GA55 Entry'!Y143,"AAAAAD1f/zE=")</f>
        <v>#VALUE!</v>
      </c>
      <c r="AY75" t="e">
        <f>AND('GA55 Entry'!#REF!,"AAAAAD1f/zI=")</f>
        <v>#REF!</v>
      </c>
      <c r="AZ75" t="e">
        <f>AND('GA55 Entry'!#REF!,"AAAAAD1f/zM=")</f>
        <v>#REF!</v>
      </c>
      <c r="BA75" t="e">
        <f>AND('GA55 Entry'!#REF!,"AAAAAD1f/zQ=")</f>
        <v>#REF!</v>
      </c>
      <c r="BB75" t="e">
        <f>AND('GA55 Entry'!#REF!,"AAAAAD1f/zU=")</f>
        <v>#REF!</v>
      </c>
      <c r="BC75" t="e">
        <f>AND('GA55 Entry'!#REF!,"AAAAAD1f/zY=")</f>
        <v>#REF!</v>
      </c>
      <c r="BD75" t="e">
        <f>AND('GA55 Entry'!#REF!,"AAAAAD1f/zc=")</f>
        <v>#REF!</v>
      </c>
      <c r="BE75" t="e">
        <f>AND('GA55 Entry'!#REF!,"AAAAAD1f/zg=")</f>
        <v>#REF!</v>
      </c>
      <c r="BF75" t="e">
        <f>AND('GA55 Entry'!#REF!,"AAAAAD1f/zk=")</f>
        <v>#REF!</v>
      </c>
      <c r="BG75" t="e">
        <f>AND('GA55 Entry'!#REF!,"AAAAAD1f/zo=")</f>
        <v>#REF!</v>
      </c>
      <c r="BH75" t="e">
        <f>AND('GA55 Entry'!Z143,"AAAAAD1f/zs=")</f>
        <v>#VALUE!</v>
      </c>
      <c r="BI75" t="e">
        <f>AND('GA55 Entry'!AA143,"AAAAAD1f/zw=")</f>
        <v>#VALUE!</v>
      </c>
      <c r="BJ75" t="e">
        <f>AND('GA55 Entry'!#REF!,"AAAAAD1f/z0=")</f>
        <v>#REF!</v>
      </c>
      <c r="BK75" t="e">
        <f>AND('GA55 Entry'!#REF!,"AAAAAD1f/z4=")</f>
        <v>#REF!</v>
      </c>
      <c r="BL75" t="e">
        <f>AND('GA55 Entry'!#REF!,"AAAAAD1f/z8=")</f>
        <v>#REF!</v>
      </c>
      <c r="BM75" t="e">
        <f>AND('GA55 Entry'!AB143,"AAAAAD1f/0A=")</f>
        <v>#VALUE!</v>
      </c>
      <c r="BN75" t="e">
        <f>AND('GA55 Entry'!AC143,"AAAAAD1f/0E=")</f>
        <v>#VALUE!</v>
      </c>
      <c r="BO75" t="e">
        <f>AND('GA55 Entry'!#REF!,"AAAAAD1f/0I=")</f>
        <v>#REF!</v>
      </c>
      <c r="BP75">
        <f>IF('GA55 Entry'!144:144,"AAAAAD1f/0M=",0)</f>
        <v>0</v>
      </c>
      <c r="BQ75" t="e">
        <f>AND('GA55 Entry'!B144,"AAAAAD1f/0Q=")</f>
        <v>#VALUE!</v>
      </c>
      <c r="BR75" t="e">
        <f>AND('GA55 Entry'!#REF!,"AAAAAD1f/0U=")</f>
        <v>#REF!</v>
      </c>
      <c r="BS75" t="e">
        <f>AND('GA55 Entry'!C144,"AAAAAD1f/0Y=")</f>
        <v>#VALUE!</v>
      </c>
      <c r="BT75" t="e">
        <f>AND('GA55 Entry'!#REF!,"AAAAAD1f/0c=")</f>
        <v>#REF!</v>
      </c>
      <c r="BU75" t="e">
        <f>AND('GA55 Entry'!#REF!,"AAAAAD1f/0g=")</f>
        <v>#REF!</v>
      </c>
      <c r="BV75" t="e">
        <f>AND('GA55 Entry'!#REF!,"AAAAAD1f/0k=")</f>
        <v>#REF!</v>
      </c>
      <c r="BW75" t="e">
        <f>AND('GA55 Entry'!#REF!,"AAAAAD1f/0o=")</f>
        <v>#REF!</v>
      </c>
      <c r="BX75" t="e">
        <f>AND('GA55 Entry'!#REF!,"AAAAAD1f/0s=")</f>
        <v>#REF!</v>
      </c>
      <c r="BY75" t="e">
        <f>AND('GA55 Entry'!D144,"AAAAAD1f/0w=")</f>
        <v>#VALUE!</v>
      </c>
      <c r="BZ75" t="e">
        <f>AND('GA55 Entry'!#REF!,"AAAAAD1f/00=")</f>
        <v>#REF!</v>
      </c>
      <c r="CA75" t="e">
        <f>AND('GA55 Entry'!E144,"AAAAAD1f/04=")</f>
        <v>#VALUE!</v>
      </c>
      <c r="CB75" t="e">
        <f>AND('GA55 Entry'!F144,"AAAAAD1f/08=")</f>
        <v>#VALUE!</v>
      </c>
      <c r="CC75" t="e">
        <f>AND('GA55 Entry'!G144,"AAAAAD1f/1A=")</f>
        <v>#VALUE!</v>
      </c>
      <c r="CD75" t="e">
        <f>AND('GA55 Entry'!H144,"AAAAAD1f/1E=")</f>
        <v>#VALUE!</v>
      </c>
      <c r="CE75" t="e">
        <f>AND('GA55 Entry'!I144,"AAAAAD1f/1I=")</f>
        <v>#VALUE!</v>
      </c>
      <c r="CF75" t="e">
        <f>AND('GA55 Entry'!J144,"AAAAAD1f/1M=")</f>
        <v>#VALUE!</v>
      </c>
      <c r="CG75" t="e">
        <f>AND('GA55 Entry'!#REF!,"AAAAAD1f/1Q=")</f>
        <v>#REF!</v>
      </c>
      <c r="CH75" t="e">
        <f>AND('GA55 Entry'!K144,"AAAAAD1f/1U=")</f>
        <v>#VALUE!</v>
      </c>
      <c r="CI75" t="e">
        <f>AND('GA55 Entry'!L144,"AAAAAD1f/1Y=")</f>
        <v>#VALUE!</v>
      </c>
      <c r="CJ75" t="e">
        <f>AND('GA55 Entry'!M144,"AAAAAD1f/1c=")</f>
        <v>#VALUE!</v>
      </c>
      <c r="CK75" t="e">
        <f>AND('GA55 Entry'!N144,"AAAAAD1f/1g=")</f>
        <v>#VALUE!</v>
      </c>
      <c r="CL75" t="e">
        <f>AND('GA55 Entry'!O144,"AAAAAD1f/1k=")</f>
        <v>#VALUE!</v>
      </c>
      <c r="CM75" t="e">
        <f>AND('GA55 Entry'!P144,"AAAAAD1f/1o=")</f>
        <v>#VALUE!</v>
      </c>
      <c r="CN75" t="e">
        <f>AND('GA55 Entry'!Q144,"AAAAAD1f/1s=")</f>
        <v>#VALUE!</v>
      </c>
      <c r="CO75" t="e">
        <f>AND('GA55 Entry'!S144,"AAAAAD1f/1w=")</f>
        <v>#VALUE!</v>
      </c>
      <c r="CP75" t="e">
        <f>AND('GA55 Entry'!#REF!,"AAAAAD1f/10=")</f>
        <v>#REF!</v>
      </c>
      <c r="CQ75" t="e">
        <f>AND('GA55 Entry'!T144,"AAAAAD1f/14=")</f>
        <v>#VALUE!</v>
      </c>
      <c r="CR75" t="e">
        <f>AND('GA55 Entry'!U144,"AAAAAD1f/18=")</f>
        <v>#VALUE!</v>
      </c>
      <c r="CS75" t="e">
        <f>AND('GA55 Entry'!V144,"AAAAAD1f/2A=")</f>
        <v>#VALUE!</v>
      </c>
      <c r="CT75" t="e">
        <f>AND('GA55 Entry'!#REF!,"AAAAAD1f/2E=")</f>
        <v>#REF!</v>
      </c>
      <c r="CU75" t="e">
        <f>AND('GA55 Entry'!#REF!,"AAAAAD1f/2I=")</f>
        <v>#REF!</v>
      </c>
      <c r="CV75" t="e">
        <f>AND('GA55 Entry'!X144,"AAAAAD1f/2M=")</f>
        <v>#VALUE!</v>
      </c>
      <c r="CW75" t="e">
        <f>AND('GA55 Entry'!Y144,"AAAAAD1f/2Q=")</f>
        <v>#VALUE!</v>
      </c>
      <c r="CX75" t="e">
        <f>AND('GA55 Entry'!#REF!,"AAAAAD1f/2U=")</f>
        <v>#REF!</v>
      </c>
      <c r="CY75" t="e">
        <f>AND('GA55 Entry'!#REF!,"AAAAAD1f/2Y=")</f>
        <v>#REF!</v>
      </c>
      <c r="CZ75" t="e">
        <f>AND('GA55 Entry'!#REF!,"AAAAAD1f/2c=")</f>
        <v>#REF!</v>
      </c>
      <c r="DA75" t="e">
        <f>AND('GA55 Entry'!#REF!,"AAAAAD1f/2g=")</f>
        <v>#REF!</v>
      </c>
      <c r="DB75" t="e">
        <f>AND('GA55 Entry'!#REF!,"AAAAAD1f/2k=")</f>
        <v>#REF!</v>
      </c>
      <c r="DC75" t="e">
        <f>AND('GA55 Entry'!#REF!,"AAAAAD1f/2o=")</f>
        <v>#REF!</v>
      </c>
      <c r="DD75" t="e">
        <f>AND('GA55 Entry'!#REF!,"AAAAAD1f/2s=")</f>
        <v>#REF!</v>
      </c>
      <c r="DE75" t="e">
        <f>AND('GA55 Entry'!#REF!,"AAAAAD1f/2w=")</f>
        <v>#REF!</v>
      </c>
      <c r="DF75" t="e">
        <f>AND('GA55 Entry'!#REF!,"AAAAAD1f/20=")</f>
        <v>#REF!</v>
      </c>
      <c r="DG75" t="e">
        <f>AND('GA55 Entry'!Z144,"AAAAAD1f/24=")</f>
        <v>#VALUE!</v>
      </c>
      <c r="DH75" t="e">
        <f>AND('GA55 Entry'!AA144,"AAAAAD1f/28=")</f>
        <v>#VALUE!</v>
      </c>
      <c r="DI75" t="e">
        <f>AND('GA55 Entry'!#REF!,"AAAAAD1f/3A=")</f>
        <v>#REF!</v>
      </c>
      <c r="DJ75" t="e">
        <f>AND('GA55 Entry'!#REF!,"AAAAAD1f/3E=")</f>
        <v>#REF!</v>
      </c>
      <c r="DK75" t="e">
        <f>AND('GA55 Entry'!#REF!,"AAAAAD1f/3I=")</f>
        <v>#REF!</v>
      </c>
      <c r="DL75" t="e">
        <f>AND('GA55 Entry'!AB144,"AAAAAD1f/3M=")</f>
        <v>#VALUE!</v>
      </c>
      <c r="DM75" t="e">
        <f>AND('GA55 Entry'!AC144,"AAAAAD1f/3Q=")</f>
        <v>#VALUE!</v>
      </c>
      <c r="DN75" t="e">
        <f>AND('GA55 Entry'!#REF!,"AAAAAD1f/3U=")</f>
        <v>#REF!</v>
      </c>
      <c r="DO75">
        <f>IF('GA55 Entry'!145:145,"AAAAAD1f/3Y=",0)</f>
        <v>0</v>
      </c>
      <c r="DP75" t="e">
        <f>AND('GA55 Entry'!B145,"AAAAAD1f/3c=")</f>
        <v>#VALUE!</v>
      </c>
      <c r="DQ75" t="e">
        <f>AND('GA55 Entry'!#REF!,"AAAAAD1f/3g=")</f>
        <v>#REF!</v>
      </c>
      <c r="DR75" t="e">
        <f>AND('GA55 Entry'!C145,"AAAAAD1f/3k=")</f>
        <v>#VALUE!</v>
      </c>
      <c r="DS75" t="e">
        <f>AND('GA55 Entry'!#REF!,"AAAAAD1f/3o=")</f>
        <v>#REF!</v>
      </c>
      <c r="DT75" t="e">
        <f>AND('GA55 Entry'!#REF!,"AAAAAD1f/3s=")</f>
        <v>#REF!</v>
      </c>
      <c r="DU75" t="e">
        <f>AND('GA55 Entry'!#REF!,"AAAAAD1f/3w=")</f>
        <v>#REF!</v>
      </c>
      <c r="DV75" t="e">
        <f>AND('GA55 Entry'!#REF!,"AAAAAD1f/30=")</f>
        <v>#REF!</v>
      </c>
      <c r="DW75" t="e">
        <f>AND('GA55 Entry'!#REF!,"AAAAAD1f/34=")</f>
        <v>#REF!</v>
      </c>
      <c r="DX75" t="e">
        <f>AND('GA55 Entry'!D145,"AAAAAD1f/38=")</f>
        <v>#VALUE!</v>
      </c>
      <c r="DY75" t="e">
        <f>AND('GA55 Entry'!#REF!,"AAAAAD1f/4A=")</f>
        <v>#REF!</v>
      </c>
      <c r="DZ75" t="e">
        <f>AND('GA55 Entry'!E145,"AAAAAD1f/4E=")</f>
        <v>#VALUE!</v>
      </c>
      <c r="EA75" t="e">
        <f>AND('GA55 Entry'!F145,"AAAAAD1f/4I=")</f>
        <v>#VALUE!</v>
      </c>
      <c r="EB75" t="e">
        <f>AND('GA55 Entry'!G145,"AAAAAD1f/4M=")</f>
        <v>#VALUE!</v>
      </c>
      <c r="EC75" t="e">
        <f>AND('GA55 Entry'!H145,"AAAAAD1f/4Q=")</f>
        <v>#VALUE!</v>
      </c>
      <c r="ED75" t="e">
        <f>AND('GA55 Entry'!I145,"AAAAAD1f/4U=")</f>
        <v>#VALUE!</v>
      </c>
      <c r="EE75" t="e">
        <f>AND('GA55 Entry'!J145,"AAAAAD1f/4Y=")</f>
        <v>#VALUE!</v>
      </c>
      <c r="EF75" t="e">
        <f>AND('GA55 Entry'!#REF!,"AAAAAD1f/4c=")</f>
        <v>#REF!</v>
      </c>
      <c r="EG75" t="e">
        <f>AND('GA55 Entry'!K145,"AAAAAD1f/4g=")</f>
        <v>#VALUE!</v>
      </c>
      <c r="EH75" t="e">
        <f>AND('GA55 Entry'!L145,"AAAAAD1f/4k=")</f>
        <v>#VALUE!</v>
      </c>
      <c r="EI75" t="e">
        <f>AND('GA55 Entry'!M145,"AAAAAD1f/4o=")</f>
        <v>#VALUE!</v>
      </c>
      <c r="EJ75" t="e">
        <f>AND('GA55 Entry'!N145,"AAAAAD1f/4s=")</f>
        <v>#VALUE!</v>
      </c>
      <c r="EK75" t="e">
        <f>AND('GA55 Entry'!O145,"AAAAAD1f/4w=")</f>
        <v>#VALUE!</v>
      </c>
      <c r="EL75" t="e">
        <f>AND('GA55 Entry'!P145,"AAAAAD1f/40=")</f>
        <v>#VALUE!</v>
      </c>
      <c r="EM75" t="e">
        <f>AND('GA55 Entry'!Q145,"AAAAAD1f/44=")</f>
        <v>#VALUE!</v>
      </c>
      <c r="EN75" t="e">
        <f>AND('GA55 Entry'!S145,"AAAAAD1f/48=")</f>
        <v>#VALUE!</v>
      </c>
      <c r="EO75" t="e">
        <f>AND('GA55 Entry'!#REF!,"AAAAAD1f/5A=")</f>
        <v>#REF!</v>
      </c>
      <c r="EP75" t="e">
        <f>AND('GA55 Entry'!T145,"AAAAAD1f/5E=")</f>
        <v>#VALUE!</v>
      </c>
      <c r="EQ75" t="e">
        <f>AND('GA55 Entry'!U145,"AAAAAD1f/5I=")</f>
        <v>#VALUE!</v>
      </c>
      <c r="ER75" t="e">
        <f>AND('GA55 Entry'!V145,"AAAAAD1f/5M=")</f>
        <v>#VALUE!</v>
      </c>
      <c r="ES75" t="e">
        <f>AND('GA55 Entry'!#REF!,"AAAAAD1f/5Q=")</f>
        <v>#REF!</v>
      </c>
      <c r="ET75" t="e">
        <f>AND('GA55 Entry'!#REF!,"AAAAAD1f/5U=")</f>
        <v>#REF!</v>
      </c>
      <c r="EU75" t="e">
        <f>AND('GA55 Entry'!X145,"AAAAAD1f/5Y=")</f>
        <v>#VALUE!</v>
      </c>
      <c r="EV75" t="e">
        <f>AND('GA55 Entry'!Y145,"AAAAAD1f/5c=")</f>
        <v>#VALUE!</v>
      </c>
      <c r="EW75" t="e">
        <f>AND('GA55 Entry'!#REF!,"AAAAAD1f/5g=")</f>
        <v>#REF!</v>
      </c>
      <c r="EX75" t="e">
        <f>AND('GA55 Entry'!#REF!,"AAAAAD1f/5k=")</f>
        <v>#REF!</v>
      </c>
      <c r="EY75" t="e">
        <f>AND('GA55 Entry'!#REF!,"AAAAAD1f/5o=")</f>
        <v>#REF!</v>
      </c>
      <c r="EZ75" t="e">
        <f>AND('GA55 Entry'!#REF!,"AAAAAD1f/5s=")</f>
        <v>#REF!</v>
      </c>
      <c r="FA75" t="e">
        <f>AND('GA55 Entry'!#REF!,"AAAAAD1f/5w=")</f>
        <v>#REF!</v>
      </c>
      <c r="FB75" t="e">
        <f>AND('GA55 Entry'!#REF!,"AAAAAD1f/50=")</f>
        <v>#REF!</v>
      </c>
      <c r="FC75" t="e">
        <f>AND('GA55 Entry'!#REF!,"AAAAAD1f/54=")</f>
        <v>#REF!</v>
      </c>
      <c r="FD75" t="e">
        <f>AND('GA55 Entry'!#REF!,"AAAAAD1f/58=")</f>
        <v>#REF!</v>
      </c>
      <c r="FE75" t="e">
        <f>AND('GA55 Entry'!#REF!,"AAAAAD1f/6A=")</f>
        <v>#REF!</v>
      </c>
      <c r="FF75" t="e">
        <f>AND('GA55 Entry'!Z145,"AAAAAD1f/6E=")</f>
        <v>#VALUE!</v>
      </c>
      <c r="FG75" t="e">
        <f>AND('GA55 Entry'!AA145,"AAAAAD1f/6I=")</f>
        <v>#VALUE!</v>
      </c>
      <c r="FH75" t="e">
        <f>AND('GA55 Entry'!#REF!,"AAAAAD1f/6M=")</f>
        <v>#REF!</v>
      </c>
      <c r="FI75" t="e">
        <f>AND('GA55 Entry'!#REF!,"AAAAAD1f/6Q=")</f>
        <v>#REF!</v>
      </c>
      <c r="FJ75" t="e">
        <f>AND('GA55 Entry'!#REF!,"AAAAAD1f/6U=")</f>
        <v>#REF!</v>
      </c>
      <c r="FK75" t="e">
        <f>AND('GA55 Entry'!AB145,"AAAAAD1f/6Y=")</f>
        <v>#VALUE!</v>
      </c>
      <c r="FL75" t="e">
        <f>AND('GA55 Entry'!AC145,"AAAAAD1f/6c=")</f>
        <v>#VALUE!</v>
      </c>
      <c r="FM75" t="e">
        <f>AND('GA55 Entry'!#REF!,"AAAAAD1f/6g=")</f>
        <v>#REF!</v>
      </c>
      <c r="FN75">
        <f>IF('GA55 Entry'!146:146,"AAAAAD1f/6k=",0)</f>
        <v>0</v>
      </c>
      <c r="FO75" t="e">
        <f>AND('GA55 Entry'!B146,"AAAAAD1f/6o=")</f>
        <v>#VALUE!</v>
      </c>
      <c r="FP75" t="e">
        <f>AND('GA55 Entry'!#REF!,"AAAAAD1f/6s=")</f>
        <v>#REF!</v>
      </c>
      <c r="FQ75" t="e">
        <f>AND('GA55 Entry'!C146,"AAAAAD1f/6w=")</f>
        <v>#VALUE!</v>
      </c>
      <c r="FR75" t="e">
        <f>AND('GA55 Entry'!#REF!,"AAAAAD1f/60=")</f>
        <v>#REF!</v>
      </c>
      <c r="FS75" t="e">
        <f>AND('GA55 Entry'!#REF!,"AAAAAD1f/64=")</f>
        <v>#REF!</v>
      </c>
      <c r="FT75" t="e">
        <f>AND('GA55 Entry'!#REF!,"AAAAAD1f/68=")</f>
        <v>#REF!</v>
      </c>
      <c r="FU75" t="e">
        <f>AND('GA55 Entry'!#REF!,"AAAAAD1f/7A=")</f>
        <v>#REF!</v>
      </c>
      <c r="FV75" t="e">
        <f>AND('GA55 Entry'!#REF!,"AAAAAD1f/7E=")</f>
        <v>#REF!</v>
      </c>
      <c r="FW75" t="e">
        <f>AND('GA55 Entry'!D146,"AAAAAD1f/7I=")</f>
        <v>#VALUE!</v>
      </c>
      <c r="FX75" t="e">
        <f>AND('GA55 Entry'!#REF!,"AAAAAD1f/7M=")</f>
        <v>#REF!</v>
      </c>
      <c r="FY75" t="e">
        <f>AND('GA55 Entry'!E146,"AAAAAD1f/7Q=")</f>
        <v>#VALUE!</v>
      </c>
      <c r="FZ75" t="e">
        <f>AND('GA55 Entry'!F146,"AAAAAD1f/7U=")</f>
        <v>#VALUE!</v>
      </c>
      <c r="GA75" t="e">
        <f>AND('GA55 Entry'!G146,"AAAAAD1f/7Y=")</f>
        <v>#VALUE!</v>
      </c>
      <c r="GB75" t="e">
        <f>AND('GA55 Entry'!H146,"AAAAAD1f/7c=")</f>
        <v>#VALUE!</v>
      </c>
      <c r="GC75" t="e">
        <f>AND('GA55 Entry'!I146,"AAAAAD1f/7g=")</f>
        <v>#VALUE!</v>
      </c>
      <c r="GD75" t="e">
        <f>AND('GA55 Entry'!J146,"AAAAAD1f/7k=")</f>
        <v>#VALUE!</v>
      </c>
      <c r="GE75" t="e">
        <f>AND('GA55 Entry'!#REF!,"AAAAAD1f/7o=")</f>
        <v>#REF!</v>
      </c>
      <c r="GF75" t="e">
        <f>AND('GA55 Entry'!K146,"AAAAAD1f/7s=")</f>
        <v>#VALUE!</v>
      </c>
      <c r="GG75" t="e">
        <f>AND('GA55 Entry'!L146,"AAAAAD1f/7w=")</f>
        <v>#VALUE!</v>
      </c>
      <c r="GH75" t="e">
        <f>AND('GA55 Entry'!M146,"AAAAAD1f/70=")</f>
        <v>#VALUE!</v>
      </c>
      <c r="GI75" t="e">
        <f>AND('GA55 Entry'!N146,"AAAAAD1f/74=")</f>
        <v>#VALUE!</v>
      </c>
      <c r="GJ75" t="e">
        <f>AND('GA55 Entry'!O146,"AAAAAD1f/78=")</f>
        <v>#VALUE!</v>
      </c>
      <c r="GK75" t="e">
        <f>AND('GA55 Entry'!P146,"AAAAAD1f/8A=")</f>
        <v>#VALUE!</v>
      </c>
      <c r="GL75" t="e">
        <f>AND('GA55 Entry'!Q146,"AAAAAD1f/8E=")</f>
        <v>#VALUE!</v>
      </c>
      <c r="GM75" t="e">
        <f>AND('GA55 Entry'!S146,"AAAAAD1f/8I=")</f>
        <v>#VALUE!</v>
      </c>
      <c r="GN75" t="e">
        <f>AND('GA55 Entry'!#REF!,"AAAAAD1f/8M=")</f>
        <v>#REF!</v>
      </c>
      <c r="GO75" t="e">
        <f>AND('GA55 Entry'!T146,"AAAAAD1f/8Q=")</f>
        <v>#VALUE!</v>
      </c>
      <c r="GP75" t="e">
        <f>AND('GA55 Entry'!U146,"AAAAAD1f/8U=")</f>
        <v>#VALUE!</v>
      </c>
      <c r="GQ75" t="e">
        <f>AND('GA55 Entry'!V146,"AAAAAD1f/8Y=")</f>
        <v>#VALUE!</v>
      </c>
      <c r="GR75" t="e">
        <f>AND('GA55 Entry'!#REF!,"AAAAAD1f/8c=")</f>
        <v>#REF!</v>
      </c>
      <c r="GS75" t="e">
        <f>AND('GA55 Entry'!#REF!,"AAAAAD1f/8g=")</f>
        <v>#REF!</v>
      </c>
      <c r="GT75" t="e">
        <f>AND('GA55 Entry'!X146,"AAAAAD1f/8k=")</f>
        <v>#VALUE!</v>
      </c>
      <c r="GU75" t="e">
        <f>AND('GA55 Entry'!Y146,"AAAAAD1f/8o=")</f>
        <v>#VALUE!</v>
      </c>
      <c r="GV75" t="e">
        <f>AND('GA55 Entry'!#REF!,"AAAAAD1f/8s=")</f>
        <v>#REF!</v>
      </c>
      <c r="GW75" t="e">
        <f>AND('GA55 Entry'!#REF!,"AAAAAD1f/8w=")</f>
        <v>#REF!</v>
      </c>
      <c r="GX75" t="e">
        <f>AND('GA55 Entry'!#REF!,"AAAAAD1f/80=")</f>
        <v>#REF!</v>
      </c>
      <c r="GY75" t="e">
        <f>AND('GA55 Entry'!#REF!,"AAAAAD1f/84=")</f>
        <v>#REF!</v>
      </c>
      <c r="GZ75" t="e">
        <f>AND('GA55 Entry'!#REF!,"AAAAAD1f/88=")</f>
        <v>#REF!</v>
      </c>
      <c r="HA75" t="e">
        <f>AND('GA55 Entry'!#REF!,"AAAAAD1f/9A=")</f>
        <v>#REF!</v>
      </c>
      <c r="HB75" t="e">
        <f>AND('GA55 Entry'!#REF!,"AAAAAD1f/9E=")</f>
        <v>#REF!</v>
      </c>
      <c r="HC75" t="e">
        <f>AND('GA55 Entry'!#REF!,"AAAAAD1f/9I=")</f>
        <v>#REF!</v>
      </c>
      <c r="HD75" t="e">
        <f>AND('GA55 Entry'!#REF!,"AAAAAD1f/9M=")</f>
        <v>#REF!</v>
      </c>
      <c r="HE75" t="e">
        <f>AND('GA55 Entry'!Z146,"AAAAAD1f/9Q=")</f>
        <v>#VALUE!</v>
      </c>
      <c r="HF75" t="e">
        <f>AND('GA55 Entry'!AA146,"AAAAAD1f/9U=")</f>
        <v>#VALUE!</v>
      </c>
      <c r="HG75" t="e">
        <f>AND('GA55 Entry'!#REF!,"AAAAAD1f/9Y=")</f>
        <v>#REF!</v>
      </c>
      <c r="HH75" t="e">
        <f>AND('GA55 Entry'!#REF!,"AAAAAD1f/9c=")</f>
        <v>#REF!</v>
      </c>
      <c r="HI75" t="e">
        <f>AND('GA55 Entry'!#REF!,"AAAAAD1f/9g=")</f>
        <v>#REF!</v>
      </c>
      <c r="HJ75" t="e">
        <f>AND('GA55 Entry'!AB146,"AAAAAD1f/9k=")</f>
        <v>#VALUE!</v>
      </c>
      <c r="HK75" t="e">
        <f>AND('GA55 Entry'!AC146,"AAAAAD1f/9o=")</f>
        <v>#VALUE!</v>
      </c>
      <c r="HL75" t="e">
        <f>AND('GA55 Entry'!#REF!,"AAAAAD1f/9s=")</f>
        <v>#REF!</v>
      </c>
      <c r="HM75">
        <f>IF('GA55 Entry'!147:147,"AAAAAD1f/9w=",0)</f>
        <v>0</v>
      </c>
      <c r="HN75" t="e">
        <f>AND('GA55 Entry'!B147,"AAAAAD1f/90=")</f>
        <v>#VALUE!</v>
      </c>
      <c r="HO75" t="e">
        <f>AND('GA55 Entry'!#REF!,"AAAAAD1f/94=")</f>
        <v>#REF!</v>
      </c>
      <c r="HP75" t="e">
        <f>AND('GA55 Entry'!C147,"AAAAAD1f/98=")</f>
        <v>#VALUE!</v>
      </c>
      <c r="HQ75" t="e">
        <f>AND('GA55 Entry'!#REF!,"AAAAAD1f/+A=")</f>
        <v>#REF!</v>
      </c>
      <c r="HR75" t="e">
        <f>AND('GA55 Entry'!#REF!,"AAAAAD1f/+E=")</f>
        <v>#REF!</v>
      </c>
      <c r="HS75" t="e">
        <f>AND('GA55 Entry'!#REF!,"AAAAAD1f/+I=")</f>
        <v>#REF!</v>
      </c>
      <c r="HT75" t="e">
        <f>AND('GA55 Entry'!#REF!,"AAAAAD1f/+M=")</f>
        <v>#REF!</v>
      </c>
      <c r="HU75" t="e">
        <f>AND('GA55 Entry'!#REF!,"AAAAAD1f/+Q=")</f>
        <v>#REF!</v>
      </c>
      <c r="HV75" t="e">
        <f>AND('GA55 Entry'!D147,"AAAAAD1f/+U=")</f>
        <v>#VALUE!</v>
      </c>
      <c r="HW75" t="e">
        <f>AND('GA55 Entry'!#REF!,"AAAAAD1f/+Y=")</f>
        <v>#REF!</v>
      </c>
      <c r="HX75" t="e">
        <f>AND('GA55 Entry'!E147,"AAAAAD1f/+c=")</f>
        <v>#VALUE!</v>
      </c>
      <c r="HY75" t="e">
        <f>AND('GA55 Entry'!F147,"AAAAAD1f/+g=")</f>
        <v>#VALUE!</v>
      </c>
      <c r="HZ75" t="e">
        <f>AND('GA55 Entry'!G147,"AAAAAD1f/+k=")</f>
        <v>#VALUE!</v>
      </c>
      <c r="IA75" t="e">
        <f>AND('GA55 Entry'!H147,"AAAAAD1f/+o=")</f>
        <v>#VALUE!</v>
      </c>
      <c r="IB75" t="e">
        <f>AND('GA55 Entry'!I147,"AAAAAD1f/+s=")</f>
        <v>#VALUE!</v>
      </c>
      <c r="IC75" t="e">
        <f>AND('GA55 Entry'!J147,"AAAAAD1f/+w=")</f>
        <v>#VALUE!</v>
      </c>
      <c r="ID75" t="e">
        <f>AND('GA55 Entry'!#REF!,"AAAAAD1f/+0=")</f>
        <v>#REF!</v>
      </c>
      <c r="IE75" t="e">
        <f>AND('GA55 Entry'!K147,"AAAAAD1f/+4=")</f>
        <v>#VALUE!</v>
      </c>
      <c r="IF75" t="e">
        <f>AND('GA55 Entry'!L147,"AAAAAD1f/+8=")</f>
        <v>#VALUE!</v>
      </c>
      <c r="IG75" t="e">
        <f>AND('GA55 Entry'!M147,"AAAAAD1f//A=")</f>
        <v>#VALUE!</v>
      </c>
      <c r="IH75" t="e">
        <f>AND('GA55 Entry'!N147,"AAAAAD1f//E=")</f>
        <v>#VALUE!</v>
      </c>
      <c r="II75" t="e">
        <f>AND('GA55 Entry'!O147,"AAAAAD1f//I=")</f>
        <v>#VALUE!</v>
      </c>
      <c r="IJ75" t="e">
        <f>AND('GA55 Entry'!P147,"AAAAAD1f//M=")</f>
        <v>#VALUE!</v>
      </c>
      <c r="IK75" t="e">
        <f>AND('GA55 Entry'!Q147,"AAAAAD1f//Q=")</f>
        <v>#VALUE!</v>
      </c>
      <c r="IL75" t="e">
        <f>AND('GA55 Entry'!S147,"AAAAAD1f//U=")</f>
        <v>#VALUE!</v>
      </c>
      <c r="IM75" t="e">
        <f>AND('GA55 Entry'!#REF!,"AAAAAD1f//Y=")</f>
        <v>#REF!</v>
      </c>
      <c r="IN75" t="e">
        <f>AND('GA55 Entry'!T147,"AAAAAD1f//c=")</f>
        <v>#VALUE!</v>
      </c>
      <c r="IO75" t="e">
        <f>AND('GA55 Entry'!U147,"AAAAAD1f//g=")</f>
        <v>#VALUE!</v>
      </c>
      <c r="IP75" t="e">
        <f>AND('GA55 Entry'!V147,"AAAAAD1f//k=")</f>
        <v>#VALUE!</v>
      </c>
      <c r="IQ75" t="e">
        <f>AND('GA55 Entry'!#REF!,"AAAAAD1f//o=")</f>
        <v>#REF!</v>
      </c>
      <c r="IR75" t="e">
        <f>AND('GA55 Entry'!#REF!,"AAAAAD1f//s=")</f>
        <v>#REF!</v>
      </c>
      <c r="IS75" t="e">
        <f>AND('GA55 Entry'!X147,"AAAAAD1f//w=")</f>
        <v>#VALUE!</v>
      </c>
      <c r="IT75" t="e">
        <f>AND('GA55 Entry'!Y147,"AAAAAD1f//0=")</f>
        <v>#VALUE!</v>
      </c>
      <c r="IU75" t="e">
        <f>AND('GA55 Entry'!#REF!,"AAAAAD1f//4=")</f>
        <v>#REF!</v>
      </c>
      <c r="IV75" t="e">
        <f>AND('GA55 Entry'!#REF!,"AAAAAD1f//8=")</f>
        <v>#REF!</v>
      </c>
    </row>
    <row r="76" spans="1:256">
      <c r="A76" t="e">
        <f>AND('GA55 Entry'!#REF!,"AAAAACv/+QA=")</f>
        <v>#REF!</v>
      </c>
      <c r="B76" t="e">
        <f>AND('GA55 Entry'!#REF!,"AAAAACv/+QE=")</f>
        <v>#REF!</v>
      </c>
      <c r="C76" t="e">
        <f>AND('GA55 Entry'!#REF!,"AAAAACv/+QI=")</f>
        <v>#REF!</v>
      </c>
      <c r="D76" t="e">
        <f>AND('GA55 Entry'!#REF!,"AAAAACv/+QM=")</f>
        <v>#REF!</v>
      </c>
      <c r="E76" t="e">
        <f>AND('GA55 Entry'!#REF!,"AAAAACv/+QQ=")</f>
        <v>#REF!</v>
      </c>
      <c r="F76" t="e">
        <f>AND('GA55 Entry'!#REF!,"AAAAACv/+QU=")</f>
        <v>#REF!</v>
      </c>
      <c r="G76" t="e">
        <f>AND('GA55 Entry'!#REF!,"AAAAACv/+QY=")</f>
        <v>#REF!</v>
      </c>
      <c r="H76" t="e">
        <f>AND('GA55 Entry'!Z147,"AAAAACv/+Qc=")</f>
        <v>#VALUE!</v>
      </c>
      <c r="I76" t="e">
        <f>AND('GA55 Entry'!AA147,"AAAAACv/+Qg=")</f>
        <v>#VALUE!</v>
      </c>
      <c r="J76" t="e">
        <f>AND('GA55 Entry'!#REF!,"AAAAACv/+Qk=")</f>
        <v>#REF!</v>
      </c>
      <c r="K76" t="e">
        <f>AND('GA55 Entry'!#REF!,"AAAAACv/+Qo=")</f>
        <v>#REF!</v>
      </c>
      <c r="L76" t="e">
        <f>AND('GA55 Entry'!#REF!,"AAAAACv/+Qs=")</f>
        <v>#REF!</v>
      </c>
      <c r="M76" t="e">
        <f>AND('GA55 Entry'!AB147,"AAAAACv/+Qw=")</f>
        <v>#VALUE!</v>
      </c>
      <c r="N76" t="e">
        <f>AND('GA55 Entry'!AC147,"AAAAACv/+Q0=")</f>
        <v>#VALUE!</v>
      </c>
      <c r="O76" t="e">
        <f>AND('GA55 Entry'!#REF!,"AAAAACv/+Q4=")</f>
        <v>#REF!</v>
      </c>
      <c r="P76">
        <f>IF('GA55 Entry'!148:148,"AAAAACv/+Q8=",0)</f>
        <v>0</v>
      </c>
      <c r="Q76" t="e">
        <f>AND('GA55 Entry'!B148,"AAAAACv/+RA=")</f>
        <v>#VALUE!</v>
      </c>
      <c r="R76" t="e">
        <f>AND('GA55 Entry'!#REF!,"AAAAACv/+RE=")</f>
        <v>#REF!</v>
      </c>
      <c r="S76" t="e">
        <f>AND('GA55 Entry'!C148,"AAAAACv/+RI=")</f>
        <v>#VALUE!</v>
      </c>
      <c r="T76" t="e">
        <f>AND('GA55 Entry'!#REF!,"AAAAACv/+RM=")</f>
        <v>#REF!</v>
      </c>
      <c r="U76" t="e">
        <f>AND('GA55 Entry'!#REF!,"AAAAACv/+RQ=")</f>
        <v>#REF!</v>
      </c>
      <c r="V76" t="e">
        <f>AND('GA55 Entry'!#REF!,"AAAAACv/+RU=")</f>
        <v>#REF!</v>
      </c>
      <c r="W76" t="e">
        <f>AND('GA55 Entry'!#REF!,"AAAAACv/+RY=")</f>
        <v>#REF!</v>
      </c>
      <c r="X76" t="e">
        <f>AND('GA55 Entry'!#REF!,"AAAAACv/+Rc=")</f>
        <v>#REF!</v>
      </c>
      <c r="Y76" t="e">
        <f>AND('GA55 Entry'!D148,"AAAAACv/+Rg=")</f>
        <v>#VALUE!</v>
      </c>
      <c r="Z76" t="e">
        <f>AND('GA55 Entry'!#REF!,"AAAAACv/+Rk=")</f>
        <v>#REF!</v>
      </c>
      <c r="AA76" t="e">
        <f>AND('GA55 Entry'!E148,"AAAAACv/+Ro=")</f>
        <v>#VALUE!</v>
      </c>
      <c r="AB76" t="e">
        <f>AND('GA55 Entry'!F148,"AAAAACv/+Rs=")</f>
        <v>#VALUE!</v>
      </c>
      <c r="AC76" t="e">
        <f>AND('GA55 Entry'!G148,"AAAAACv/+Rw=")</f>
        <v>#VALUE!</v>
      </c>
      <c r="AD76" t="e">
        <f>AND('GA55 Entry'!H148,"AAAAACv/+R0=")</f>
        <v>#VALUE!</v>
      </c>
      <c r="AE76" t="e">
        <f>AND('GA55 Entry'!I148,"AAAAACv/+R4=")</f>
        <v>#VALUE!</v>
      </c>
      <c r="AF76" t="e">
        <f>AND('GA55 Entry'!J148,"AAAAACv/+R8=")</f>
        <v>#VALUE!</v>
      </c>
      <c r="AG76" t="e">
        <f>AND('GA55 Entry'!#REF!,"AAAAACv/+SA=")</f>
        <v>#REF!</v>
      </c>
      <c r="AH76" t="e">
        <f>AND('GA55 Entry'!K148,"AAAAACv/+SE=")</f>
        <v>#VALUE!</v>
      </c>
      <c r="AI76" t="e">
        <f>AND('GA55 Entry'!L148,"AAAAACv/+SI=")</f>
        <v>#VALUE!</v>
      </c>
      <c r="AJ76" t="e">
        <f>AND('GA55 Entry'!M148,"AAAAACv/+SM=")</f>
        <v>#VALUE!</v>
      </c>
      <c r="AK76" t="e">
        <f>AND('GA55 Entry'!N148,"AAAAACv/+SQ=")</f>
        <v>#VALUE!</v>
      </c>
      <c r="AL76" t="e">
        <f>AND('GA55 Entry'!O148,"AAAAACv/+SU=")</f>
        <v>#VALUE!</v>
      </c>
      <c r="AM76" t="e">
        <f>AND('GA55 Entry'!P148,"AAAAACv/+SY=")</f>
        <v>#VALUE!</v>
      </c>
      <c r="AN76" t="e">
        <f>AND('GA55 Entry'!Q148,"AAAAACv/+Sc=")</f>
        <v>#VALUE!</v>
      </c>
      <c r="AO76" t="e">
        <f>AND('GA55 Entry'!S148,"AAAAACv/+Sg=")</f>
        <v>#VALUE!</v>
      </c>
      <c r="AP76" t="e">
        <f>AND('GA55 Entry'!#REF!,"AAAAACv/+Sk=")</f>
        <v>#REF!</v>
      </c>
      <c r="AQ76" t="e">
        <f>AND('GA55 Entry'!T148,"AAAAACv/+So=")</f>
        <v>#VALUE!</v>
      </c>
      <c r="AR76" t="e">
        <f>AND('GA55 Entry'!U148,"AAAAACv/+Ss=")</f>
        <v>#VALUE!</v>
      </c>
      <c r="AS76" t="e">
        <f>AND('GA55 Entry'!V148,"AAAAACv/+Sw=")</f>
        <v>#VALUE!</v>
      </c>
      <c r="AT76" t="e">
        <f>AND('GA55 Entry'!#REF!,"AAAAACv/+S0=")</f>
        <v>#REF!</v>
      </c>
      <c r="AU76" t="e">
        <f>AND('GA55 Entry'!#REF!,"AAAAACv/+S4=")</f>
        <v>#REF!</v>
      </c>
      <c r="AV76" t="e">
        <f>AND('GA55 Entry'!X148,"AAAAACv/+S8=")</f>
        <v>#VALUE!</v>
      </c>
      <c r="AW76" t="e">
        <f>AND('GA55 Entry'!Y148,"AAAAACv/+TA=")</f>
        <v>#VALUE!</v>
      </c>
      <c r="AX76" t="e">
        <f>AND('GA55 Entry'!#REF!,"AAAAACv/+TE=")</f>
        <v>#REF!</v>
      </c>
      <c r="AY76" t="e">
        <f>AND('GA55 Entry'!#REF!,"AAAAACv/+TI=")</f>
        <v>#REF!</v>
      </c>
      <c r="AZ76" t="e">
        <f>AND('GA55 Entry'!#REF!,"AAAAACv/+TM=")</f>
        <v>#REF!</v>
      </c>
      <c r="BA76" t="e">
        <f>AND('GA55 Entry'!#REF!,"AAAAACv/+TQ=")</f>
        <v>#REF!</v>
      </c>
      <c r="BB76" t="e">
        <f>AND('GA55 Entry'!#REF!,"AAAAACv/+TU=")</f>
        <v>#REF!</v>
      </c>
      <c r="BC76" t="e">
        <f>AND('GA55 Entry'!#REF!,"AAAAACv/+TY=")</f>
        <v>#REF!</v>
      </c>
      <c r="BD76" t="e">
        <f>AND('GA55 Entry'!#REF!,"AAAAACv/+Tc=")</f>
        <v>#REF!</v>
      </c>
      <c r="BE76" t="e">
        <f>AND('GA55 Entry'!#REF!,"AAAAACv/+Tg=")</f>
        <v>#REF!</v>
      </c>
      <c r="BF76" t="e">
        <f>AND('GA55 Entry'!#REF!,"AAAAACv/+Tk=")</f>
        <v>#REF!</v>
      </c>
      <c r="BG76" t="e">
        <f>AND('GA55 Entry'!Z148,"AAAAACv/+To=")</f>
        <v>#VALUE!</v>
      </c>
      <c r="BH76" t="e">
        <f>AND('GA55 Entry'!AA148,"AAAAACv/+Ts=")</f>
        <v>#VALUE!</v>
      </c>
      <c r="BI76" t="e">
        <f>AND('GA55 Entry'!#REF!,"AAAAACv/+Tw=")</f>
        <v>#REF!</v>
      </c>
      <c r="BJ76" t="e">
        <f>AND('GA55 Entry'!#REF!,"AAAAACv/+T0=")</f>
        <v>#REF!</v>
      </c>
      <c r="BK76" t="e">
        <f>AND('GA55 Entry'!#REF!,"AAAAACv/+T4=")</f>
        <v>#REF!</v>
      </c>
      <c r="BL76" t="e">
        <f>AND('GA55 Entry'!AB148,"AAAAACv/+T8=")</f>
        <v>#VALUE!</v>
      </c>
      <c r="BM76" t="e">
        <f>AND('GA55 Entry'!AC148,"AAAAACv/+UA=")</f>
        <v>#VALUE!</v>
      </c>
      <c r="BN76" t="e">
        <f>AND('GA55 Entry'!#REF!,"AAAAACv/+UE=")</f>
        <v>#REF!</v>
      </c>
      <c r="BO76">
        <f>IF('GA55 Entry'!149:149,"AAAAACv/+UI=",0)</f>
        <v>0</v>
      </c>
      <c r="BP76" t="e">
        <f>AND('GA55 Entry'!B149,"AAAAACv/+UM=")</f>
        <v>#VALUE!</v>
      </c>
      <c r="BQ76" t="e">
        <f>AND('GA55 Entry'!#REF!,"AAAAACv/+UQ=")</f>
        <v>#REF!</v>
      </c>
      <c r="BR76" t="e">
        <f>AND('GA55 Entry'!C149,"AAAAACv/+UU=")</f>
        <v>#VALUE!</v>
      </c>
      <c r="BS76" t="e">
        <f>AND('GA55 Entry'!#REF!,"AAAAACv/+UY=")</f>
        <v>#REF!</v>
      </c>
      <c r="BT76" t="e">
        <f>AND('GA55 Entry'!#REF!,"AAAAACv/+Uc=")</f>
        <v>#REF!</v>
      </c>
      <c r="BU76" t="e">
        <f>AND('GA55 Entry'!#REF!,"AAAAACv/+Ug=")</f>
        <v>#REF!</v>
      </c>
      <c r="BV76" t="e">
        <f>AND('GA55 Entry'!#REF!,"AAAAACv/+Uk=")</f>
        <v>#REF!</v>
      </c>
      <c r="BW76" t="e">
        <f>AND('GA55 Entry'!#REF!,"AAAAACv/+Uo=")</f>
        <v>#REF!</v>
      </c>
      <c r="BX76" t="e">
        <f>AND('GA55 Entry'!D149,"AAAAACv/+Us=")</f>
        <v>#VALUE!</v>
      </c>
      <c r="BY76" t="e">
        <f>AND('GA55 Entry'!#REF!,"AAAAACv/+Uw=")</f>
        <v>#REF!</v>
      </c>
      <c r="BZ76" t="e">
        <f>AND('GA55 Entry'!E149,"AAAAACv/+U0=")</f>
        <v>#VALUE!</v>
      </c>
      <c r="CA76" t="e">
        <f>AND('GA55 Entry'!F149,"AAAAACv/+U4=")</f>
        <v>#VALUE!</v>
      </c>
      <c r="CB76" t="e">
        <f>AND('GA55 Entry'!G149,"AAAAACv/+U8=")</f>
        <v>#VALUE!</v>
      </c>
      <c r="CC76" t="e">
        <f>AND('GA55 Entry'!H149,"AAAAACv/+VA=")</f>
        <v>#VALUE!</v>
      </c>
      <c r="CD76" t="e">
        <f>AND('GA55 Entry'!I149,"AAAAACv/+VE=")</f>
        <v>#VALUE!</v>
      </c>
      <c r="CE76" t="e">
        <f>AND('GA55 Entry'!J149,"AAAAACv/+VI=")</f>
        <v>#VALUE!</v>
      </c>
      <c r="CF76" t="e">
        <f>AND('GA55 Entry'!#REF!,"AAAAACv/+VM=")</f>
        <v>#REF!</v>
      </c>
      <c r="CG76" t="e">
        <f>AND('GA55 Entry'!K149,"AAAAACv/+VQ=")</f>
        <v>#VALUE!</v>
      </c>
      <c r="CH76" t="e">
        <f>AND('GA55 Entry'!L149,"AAAAACv/+VU=")</f>
        <v>#VALUE!</v>
      </c>
      <c r="CI76" t="e">
        <f>AND('GA55 Entry'!M149,"AAAAACv/+VY=")</f>
        <v>#VALUE!</v>
      </c>
      <c r="CJ76" t="e">
        <f>AND('GA55 Entry'!N149,"AAAAACv/+Vc=")</f>
        <v>#VALUE!</v>
      </c>
      <c r="CK76" t="e">
        <f>AND('GA55 Entry'!O149,"AAAAACv/+Vg=")</f>
        <v>#VALUE!</v>
      </c>
      <c r="CL76" t="e">
        <f>AND('GA55 Entry'!P149,"AAAAACv/+Vk=")</f>
        <v>#VALUE!</v>
      </c>
      <c r="CM76" t="e">
        <f>AND('GA55 Entry'!Q149,"AAAAACv/+Vo=")</f>
        <v>#VALUE!</v>
      </c>
      <c r="CN76" t="e">
        <f>AND('GA55 Entry'!S149,"AAAAACv/+Vs=")</f>
        <v>#VALUE!</v>
      </c>
      <c r="CO76" t="e">
        <f>AND('GA55 Entry'!#REF!,"AAAAACv/+Vw=")</f>
        <v>#REF!</v>
      </c>
      <c r="CP76" t="e">
        <f>AND('GA55 Entry'!T149,"AAAAACv/+V0=")</f>
        <v>#VALUE!</v>
      </c>
      <c r="CQ76" t="e">
        <f>AND('GA55 Entry'!U149,"AAAAACv/+V4=")</f>
        <v>#VALUE!</v>
      </c>
      <c r="CR76" t="e">
        <f>AND('GA55 Entry'!V149,"AAAAACv/+V8=")</f>
        <v>#VALUE!</v>
      </c>
      <c r="CS76" t="e">
        <f>AND('GA55 Entry'!#REF!,"AAAAACv/+WA=")</f>
        <v>#REF!</v>
      </c>
      <c r="CT76" t="e">
        <f>AND('GA55 Entry'!#REF!,"AAAAACv/+WE=")</f>
        <v>#REF!</v>
      </c>
      <c r="CU76" t="e">
        <f>AND('GA55 Entry'!X149,"AAAAACv/+WI=")</f>
        <v>#VALUE!</v>
      </c>
      <c r="CV76" t="e">
        <f>AND('GA55 Entry'!Y149,"AAAAACv/+WM=")</f>
        <v>#VALUE!</v>
      </c>
      <c r="CW76" t="e">
        <f>AND('GA55 Entry'!#REF!,"AAAAACv/+WQ=")</f>
        <v>#REF!</v>
      </c>
      <c r="CX76" t="e">
        <f>AND('GA55 Entry'!#REF!,"AAAAACv/+WU=")</f>
        <v>#REF!</v>
      </c>
      <c r="CY76" t="e">
        <f>AND('GA55 Entry'!#REF!,"AAAAACv/+WY=")</f>
        <v>#REF!</v>
      </c>
      <c r="CZ76" t="e">
        <f>AND('GA55 Entry'!#REF!,"AAAAACv/+Wc=")</f>
        <v>#REF!</v>
      </c>
      <c r="DA76" t="e">
        <f>AND('GA55 Entry'!#REF!,"AAAAACv/+Wg=")</f>
        <v>#REF!</v>
      </c>
      <c r="DB76" t="e">
        <f>AND('GA55 Entry'!#REF!,"AAAAACv/+Wk=")</f>
        <v>#REF!</v>
      </c>
      <c r="DC76" t="e">
        <f>AND('GA55 Entry'!#REF!,"AAAAACv/+Wo=")</f>
        <v>#REF!</v>
      </c>
      <c r="DD76" t="e">
        <f>AND('GA55 Entry'!#REF!,"AAAAACv/+Ws=")</f>
        <v>#REF!</v>
      </c>
      <c r="DE76" t="e">
        <f>AND('GA55 Entry'!#REF!,"AAAAACv/+Ww=")</f>
        <v>#REF!</v>
      </c>
      <c r="DF76" t="e">
        <f>AND('GA55 Entry'!Z149,"AAAAACv/+W0=")</f>
        <v>#VALUE!</v>
      </c>
      <c r="DG76" t="e">
        <f>AND('GA55 Entry'!AA149,"AAAAACv/+W4=")</f>
        <v>#VALUE!</v>
      </c>
      <c r="DH76" t="e">
        <f>AND('GA55 Entry'!#REF!,"AAAAACv/+W8=")</f>
        <v>#REF!</v>
      </c>
      <c r="DI76" t="e">
        <f>AND('GA55 Entry'!#REF!,"AAAAACv/+XA=")</f>
        <v>#REF!</v>
      </c>
      <c r="DJ76" t="e">
        <f>AND('GA55 Entry'!#REF!,"AAAAACv/+XE=")</f>
        <v>#REF!</v>
      </c>
      <c r="DK76" t="e">
        <f>AND('GA55 Entry'!AB149,"AAAAACv/+XI=")</f>
        <v>#VALUE!</v>
      </c>
      <c r="DL76" t="e">
        <f>AND('GA55 Entry'!AC149,"AAAAACv/+XM=")</f>
        <v>#VALUE!</v>
      </c>
      <c r="DM76" t="e">
        <f>AND('GA55 Entry'!#REF!,"AAAAACv/+XQ=")</f>
        <v>#REF!</v>
      </c>
      <c r="DN76">
        <f>IF('GA55 Entry'!150:150,"AAAAACv/+XU=",0)</f>
        <v>0</v>
      </c>
      <c r="DO76" t="e">
        <f>AND('GA55 Entry'!B150,"AAAAACv/+XY=")</f>
        <v>#VALUE!</v>
      </c>
      <c r="DP76" t="e">
        <f>AND('GA55 Entry'!#REF!,"AAAAACv/+Xc=")</f>
        <v>#REF!</v>
      </c>
      <c r="DQ76" t="e">
        <f>AND('GA55 Entry'!C150,"AAAAACv/+Xg=")</f>
        <v>#VALUE!</v>
      </c>
      <c r="DR76" t="e">
        <f>AND('GA55 Entry'!#REF!,"AAAAACv/+Xk=")</f>
        <v>#REF!</v>
      </c>
      <c r="DS76" t="e">
        <f>AND('GA55 Entry'!#REF!,"AAAAACv/+Xo=")</f>
        <v>#REF!</v>
      </c>
      <c r="DT76" t="e">
        <f>AND('GA55 Entry'!#REF!,"AAAAACv/+Xs=")</f>
        <v>#REF!</v>
      </c>
      <c r="DU76" t="e">
        <f>AND('GA55 Entry'!#REF!,"AAAAACv/+Xw=")</f>
        <v>#REF!</v>
      </c>
      <c r="DV76" t="e">
        <f>AND('GA55 Entry'!#REF!,"AAAAACv/+X0=")</f>
        <v>#REF!</v>
      </c>
      <c r="DW76" t="e">
        <f>AND('GA55 Entry'!D150,"AAAAACv/+X4=")</f>
        <v>#VALUE!</v>
      </c>
      <c r="DX76" t="e">
        <f>AND('GA55 Entry'!#REF!,"AAAAACv/+X8=")</f>
        <v>#REF!</v>
      </c>
      <c r="DY76" t="e">
        <f>AND('GA55 Entry'!E150,"AAAAACv/+YA=")</f>
        <v>#VALUE!</v>
      </c>
      <c r="DZ76" t="e">
        <f>AND('GA55 Entry'!F150,"AAAAACv/+YE=")</f>
        <v>#VALUE!</v>
      </c>
      <c r="EA76" t="e">
        <f>AND('GA55 Entry'!G150,"AAAAACv/+YI=")</f>
        <v>#VALUE!</v>
      </c>
      <c r="EB76" t="e">
        <f>AND('GA55 Entry'!H150,"AAAAACv/+YM=")</f>
        <v>#VALUE!</v>
      </c>
      <c r="EC76" t="e">
        <f>AND('GA55 Entry'!I150,"AAAAACv/+YQ=")</f>
        <v>#VALUE!</v>
      </c>
      <c r="ED76" t="e">
        <f>AND('GA55 Entry'!J150,"AAAAACv/+YU=")</f>
        <v>#VALUE!</v>
      </c>
      <c r="EE76" t="e">
        <f>AND('GA55 Entry'!#REF!,"AAAAACv/+YY=")</f>
        <v>#REF!</v>
      </c>
      <c r="EF76" t="e">
        <f>AND('GA55 Entry'!K150,"AAAAACv/+Yc=")</f>
        <v>#VALUE!</v>
      </c>
      <c r="EG76" t="e">
        <f>AND('GA55 Entry'!L150,"AAAAACv/+Yg=")</f>
        <v>#VALUE!</v>
      </c>
      <c r="EH76" t="e">
        <f>AND('GA55 Entry'!M150,"AAAAACv/+Yk=")</f>
        <v>#VALUE!</v>
      </c>
      <c r="EI76" t="e">
        <f>AND('GA55 Entry'!N150,"AAAAACv/+Yo=")</f>
        <v>#VALUE!</v>
      </c>
      <c r="EJ76" t="e">
        <f>AND('GA55 Entry'!O150,"AAAAACv/+Ys=")</f>
        <v>#VALUE!</v>
      </c>
      <c r="EK76" t="e">
        <f>AND('GA55 Entry'!P150,"AAAAACv/+Yw=")</f>
        <v>#VALUE!</v>
      </c>
      <c r="EL76" t="e">
        <f>AND('GA55 Entry'!Q150,"AAAAACv/+Y0=")</f>
        <v>#VALUE!</v>
      </c>
      <c r="EM76" t="e">
        <f>AND('GA55 Entry'!S150,"AAAAACv/+Y4=")</f>
        <v>#VALUE!</v>
      </c>
      <c r="EN76" t="e">
        <f>AND('GA55 Entry'!#REF!,"AAAAACv/+Y8=")</f>
        <v>#REF!</v>
      </c>
      <c r="EO76" t="e">
        <f>AND('GA55 Entry'!T150,"AAAAACv/+ZA=")</f>
        <v>#VALUE!</v>
      </c>
      <c r="EP76" t="e">
        <f>AND('GA55 Entry'!U150,"AAAAACv/+ZE=")</f>
        <v>#VALUE!</v>
      </c>
      <c r="EQ76" t="e">
        <f>AND('GA55 Entry'!V150,"AAAAACv/+ZI=")</f>
        <v>#VALUE!</v>
      </c>
      <c r="ER76" t="e">
        <f>AND('GA55 Entry'!#REF!,"AAAAACv/+ZM=")</f>
        <v>#REF!</v>
      </c>
      <c r="ES76" t="e">
        <f>AND('GA55 Entry'!#REF!,"AAAAACv/+ZQ=")</f>
        <v>#REF!</v>
      </c>
      <c r="ET76" t="e">
        <f>AND('GA55 Entry'!X150,"AAAAACv/+ZU=")</f>
        <v>#VALUE!</v>
      </c>
      <c r="EU76" t="e">
        <f>AND('GA55 Entry'!Y150,"AAAAACv/+ZY=")</f>
        <v>#VALUE!</v>
      </c>
      <c r="EV76" t="e">
        <f>AND('GA55 Entry'!#REF!,"AAAAACv/+Zc=")</f>
        <v>#REF!</v>
      </c>
      <c r="EW76" t="e">
        <f>AND('GA55 Entry'!#REF!,"AAAAACv/+Zg=")</f>
        <v>#REF!</v>
      </c>
      <c r="EX76" t="e">
        <f>AND('GA55 Entry'!#REF!,"AAAAACv/+Zk=")</f>
        <v>#REF!</v>
      </c>
      <c r="EY76" t="e">
        <f>AND('GA55 Entry'!#REF!,"AAAAACv/+Zo=")</f>
        <v>#REF!</v>
      </c>
      <c r="EZ76" t="e">
        <f>AND('GA55 Entry'!#REF!,"AAAAACv/+Zs=")</f>
        <v>#REF!</v>
      </c>
      <c r="FA76" t="e">
        <f>AND('GA55 Entry'!#REF!,"AAAAACv/+Zw=")</f>
        <v>#REF!</v>
      </c>
      <c r="FB76" t="e">
        <f>AND('GA55 Entry'!#REF!,"AAAAACv/+Z0=")</f>
        <v>#REF!</v>
      </c>
      <c r="FC76" t="e">
        <f>AND('GA55 Entry'!#REF!,"AAAAACv/+Z4=")</f>
        <v>#REF!</v>
      </c>
      <c r="FD76" t="e">
        <f>AND('GA55 Entry'!#REF!,"AAAAACv/+Z8=")</f>
        <v>#REF!</v>
      </c>
      <c r="FE76" t="e">
        <f>AND('GA55 Entry'!Z150,"AAAAACv/+aA=")</f>
        <v>#VALUE!</v>
      </c>
      <c r="FF76" t="e">
        <f>AND('GA55 Entry'!AA150,"AAAAACv/+aE=")</f>
        <v>#VALUE!</v>
      </c>
      <c r="FG76" t="e">
        <f>AND('GA55 Entry'!#REF!,"AAAAACv/+aI=")</f>
        <v>#REF!</v>
      </c>
      <c r="FH76" t="e">
        <f>AND('GA55 Entry'!#REF!,"AAAAACv/+aM=")</f>
        <v>#REF!</v>
      </c>
      <c r="FI76" t="e">
        <f>AND('GA55 Entry'!#REF!,"AAAAACv/+aQ=")</f>
        <v>#REF!</v>
      </c>
      <c r="FJ76" t="e">
        <f>AND('GA55 Entry'!AB150,"AAAAACv/+aU=")</f>
        <v>#VALUE!</v>
      </c>
      <c r="FK76" t="e">
        <f>AND('GA55 Entry'!AC150,"AAAAACv/+aY=")</f>
        <v>#VALUE!</v>
      </c>
      <c r="FL76" t="e">
        <f>AND('GA55 Entry'!#REF!,"AAAAACv/+ac=")</f>
        <v>#REF!</v>
      </c>
      <c r="FM76">
        <f>IF('GA55 Entry'!151:151,"AAAAACv/+ag=",0)</f>
        <v>0</v>
      </c>
      <c r="FN76" t="e">
        <f>AND('GA55 Entry'!B151,"AAAAACv/+ak=")</f>
        <v>#VALUE!</v>
      </c>
      <c r="FO76" t="e">
        <f>AND('GA55 Entry'!#REF!,"AAAAACv/+ao=")</f>
        <v>#REF!</v>
      </c>
      <c r="FP76" t="e">
        <f>AND('GA55 Entry'!C151,"AAAAACv/+as=")</f>
        <v>#VALUE!</v>
      </c>
      <c r="FQ76" t="e">
        <f>AND('GA55 Entry'!#REF!,"AAAAACv/+aw=")</f>
        <v>#REF!</v>
      </c>
      <c r="FR76" t="e">
        <f>AND('GA55 Entry'!#REF!,"AAAAACv/+a0=")</f>
        <v>#REF!</v>
      </c>
      <c r="FS76" t="e">
        <f>AND('GA55 Entry'!#REF!,"AAAAACv/+a4=")</f>
        <v>#REF!</v>
      </c>
      <c r="FT76" t="e">
        <f>AND('GA55 Entry'!#REF!,"AAAAACv/+a8=")</f>
        <v>#REF!</v>
      </c>
      <c r="FU76" t="e">
        <f>AND('GA55 Entry'!#REF!,"AAAAACv/+bA=")</f>
        <v>#REF!</v>
      </c>
      <c r="FV76" t="e">
        <f>AND('GA55 Entry'!D151,"AAAAACv/+bE=")</f>
        <v>#VALUE!</v>
      </c>
      <c r="FW76" t="e">
        <f>AND('GA55 Entry'!#REF!,"AAAAACv/+bI=")</f>
        <v>#REF!</v>
      </c>
      <c r="FX76" t="e">
        <f>AND('GA55 Entry'!E151,"AAAAACv/+bM=")</f>
        <v>#VALUE!</v>
      </c>
      <c r="FY76" t="e">
        <f>AND('GA55 Entry'!F151,"AAAAACv/+bQ=")</f>
        <v>#VALUE!</v>
      </c>
      <c r="FZ76" t="e">
        <f>AND('GA55 Entry'!G151,"AAAAACv/+bU=")</f>
        <v>#VALUE!</v>
      </c>
      <c r="GA76" t="e">
        <f>AND('GA55 Entry'!H151,"AAAAACv/+bY=")</f>
        <v>#VALUE!</v>
      </c>
      <c r="GB76" t="e">
        <f>AND('GA55 Entry'!I151,"AAAAACv/+bc=")</f>
        <v>#VALUE!</v>
      </c>
      <c r="GC76" t="e">
        <f>AND('GA55 Entry'!J151,"AAAAACv/+bg=")</f>
        <v>#VALUE!</v>
      </c>
      <c r="GD76" t="e">
        <f>AND('GA55 Entry'!#REF!,"AAAAACv/+bk=")</f>
        <v>#REF!</v>
      </c>
      <c r="GE76" t="e">
        <f>AND('GA55 Entry'!K151,"AAAAACv/+bo=")</f>
        <v>#VALUE!</v>
      </c>
      <c r="GF76" t="e">
        <f>AND('GA55 Entry'!L151,"AAAAACv/+bs=")</f>
        <v>#VALUE!</v>
      </c>
      <c r="GG76" t="e">
        <f>AND('GA55 Entry'!M151,"AAAAACv/+bw=")</f>
        <v>#VALUE!</v>
      </c>
      <c r="GH76" t="e">
        <f>AND('GA55 Entry'!N151,"AAAAACv/+b0=")</f>
        <v>#VALUE!</v>
      </c>
      <c r="GI76" t="e">
        <f>AND('GA55 Entry'!O151,"AAAAACv/+b4=")</f>
        <v>#VALUE!</v>
      </c>
      <c r="GJ76" t="e">
        <f>AND('GA55 Entry'!P151,"AAAAACv/+b8=")</f>
        <v>#VALUE!</v>
      </c>
      <c r="GK76" t="e">
        <f>AND('GA55 Entry'!Q151,"AAAAACv/+cA=")</f>
        <v>#VALUE!</v>
      </c>
      <c r="GL76" t="e">
        <f>AND('GA55 Entry'!S151,"AAAAACv/+cE=")</f>
        <v>#VALUE!</v>
      </c>
      <c r="GM76" t="e">
        <f>AND('GA55 Entry'!#REF!,"AAAAACv/+cI=")</f>
        <v>#REF!</v>
      </c>
      <c r="GN76" t="e">
        <f>AND('GA55 Entry'!T151,"AAAAACv/+cM=")</f>
        <v>#VALUE!</v>
      </c>
      <c r="GO76" t="e">
        <f>AND('GA55 Entry'!U151,"AAAAACv/+cQ=")</f>
        <v>#VALUE!</v>
      </c>
      <c r="GP76" t="e">
        <f>AND('GA55 Entry'!V151,"AAAAACv/+cU=")</f>
        <v>#VALUE!</v>
      </c>
      <c r="GQ76" t="e">
        <f>AND('GA55 Entry'!#REF!,"AAAAACv/+cY=")</f>
        <v>#REF!</v>
      </c>
      <c r="GR76" t="e">
        <f>AND('GA55 Entry'!#REF!,"AAAAACv/+cc=")</f>
        <v>#REF!</v>
      </c>
      <c r="GS76" t="e">
        <f>AND('GA55 Entry'!X151,"AAAAACv/+cg=")</f>
        <v>#VALUE!</v>
      </c>
      <c r="GT76" t="e">
        <f>AND('GA55 Entry'!Y151,"AAAAACv/+ck=")</f>
        <v>#VALUE!</v>
      </c>
      <c r="GU76" t="e">
        <f>AND('GA55 Entry'!#REF!,"AAAAACv/+co=")</f>
        <v>#REF!</v>
      </c>
      <c r="GV76" t="e">
        <f>AND('GA55 Entry'!#REF!,"AAAAACv/+cs=")</f>
        <v>#REF!</v>
      </c>
      <c r="GW76" t="e">
        <f>AND('GA55 Entry'!#REF!,"AAAAACv/+cw=")</f>
        <v>#REF!</v>
      </c>
      <c r="GX76" t="e">
        <f>AND('GA55 Entry'!#REF!,"AAAAACv/+c0=")</f>
        <v>#REF!</v>
      </c>
      <c r="GY76" t="e">
        <f>AND('GA55 Entry'!#REF!,"AAAAACv/+c4=")</f>
        <v>#REF!</v>
      </c>
      <c r="GZ76" t="e">
        <f>AND('GA55 Entry'!#REF!,"AAAAACv/+c8=")</f>
        <v>#REF!</v>
      </c>
      <c r="HA76" t="e">
        <f>AND('GA55 Entry'!#REF!,"AAAAACv/+dA=")</f>
        <v>#REF!</v>
      </c>
      <c r="HB76" t="e">
        <f>AND('GA55 Entry'!#REF!,"AAAAACv/+dE=")</f>
        <v>#REF!</v>
      </c>
      <c r="HC76" t="e">
        <f>AND('GA55 Entry'!#REF!,"AAAAACv/+dI=")</f>
        <v>#REF!</v>
      </c>
      <c r="HD76" t="e">
        <f>AND('GA55 Entry'!Z151,"AAAAACv/+dM=")</f>
        <v>#VALUE!</v>
      </c>
      <c r="HE76" t="e">
        <f>AND('GA55 Entry'!AA151,"AAAAACv/+dQ=")</f>
        <v>#VALUE!</v>
      </c>
      <c r="HF76" t="e">
        <f>AND('GA55 Entry'!#REF!,"AAAAACv/+dU=")</f>
        <v>#REF!</v>
      </c>
      <c r="HG76" t="e">
        <f>AND('GA55 Entry'!#REF!,"AAAAACv/+dY=")</f>
        <v>#REF!</v>
      </c>
      <c r="HH76" t="e">
        <f>AND('GA55 Entry'!#REF!,"AAAAACv/+dc=")</f>
        <v>#REF!</v>
      </c>
      <c r="HI76" t="e">
        <f>AND('GA55 Entry'!AB151,"AAAAACv/+dg=")</f>
        <v>#VALUE!</v>
      </c>
      <c r="HJ76" t="e">
        <f>AND('GA55 Entry'!AC151,"AAAAACv/+dk=")</f>
        <v>#VALUE!</v>
      </c>
      <c r="HK76" t="e">
        <f>AND('GA55 Entry'!#REF!,"AAAAACv/+do=")</f>
        <v>#REF!</v>
      </c>
      <c r="HL76">
        <f>IF('GA55 Entry'!152:152,"AAAAACv/+ds=",0)</f>
        <v>0</v>
      </c>
      <c r="HM76" t="e">
        <f>AND('GA55 Entry'!B152,"AAAAACv/+dw=")</f>
        <v>#VALUE!</v>
      </c>
      <c r="HN76" t="e">
        <f>AND('GA55 Entry'!#REF!,"AAAAACv/+d0=")</f>
        <v>#REF!</v>
      </c>
      <c r="HO76" t="e">
        <f>AND('GA55 Entry'!C152,"AAAAACv/+d4=")</f>
        <v>#VALUE!</v>
      </c>
      <c r="HP76" t="e">
        <f>AND('GA55 Entry'!#REF!,"AAAAACv/+d8=")</f>
        <v>#REF!</v>
      </c>
      <c r="HQ76" t="e">
        <f>AND('GA55 Entry'!#REF!,"AAAAACv/+eA=")</f>
        <v>#REF!</v>
      </c>
      <c r="HR76" t="e">
        <f>AND('GA55 Entry'!#REF!,"AAAAACv/+eE=")</f>
        <v>#REF!</v>
      </c>
      <c r="HS76" t="e">
        <f>AND('GA55 Entry'!#REF!,"AAAAACv/+eI=")</f>
        <v>#REF!</v>
      </c>
      <c r="HT76" t="e">
        <f>AND('GA55 Entry'!#REF!,"AAAAACv/+eM=")</f>
        <v>#REF!</v>
      </c>
      <c r="HU76" t="e">
        <f>AND('GA55 Entry'!D152,"AAAAACv/+eQ=")</f>
        <v>#VALUE!</v>
      </c>
      <c r="HV76" t="e">
        <f>AND('GA55 Entry'!#REF!,"AAAAACv/+eU=")</f>
        <v>#REF!</v>
      </c>
      <c r="HW76" t="e">
        <f>AND('GA55 Entry'!E152,"AAAAACv/+eY=")</f>
        <v>#VALUE!</v>
      </c>
      <c r="HX76" t="e">
        <f>AND('GA55 Entry'!F152,"AAAAACv/+ec=")</f>
        <v>#VALUE!</v>
      </c>
      <c r="HY76" t="e">
        <f>AND('GA55 Entry'!G152,"AAAAACv/+eg=")</f>
        <v>#VALUE!</v>
      </c>
      <c r="HZ76" t="e">
        <f>AND('GA55 Entry'!H152,"AAAAACv/+ek=")</f>
        <v>#VALUE!</v>
      </c>
      <c r="IA76" t="e">
        <f>AND('GA55 Entry'!I152,"AAAAACv/+eo=")</f>
        <v>#VALUE!</v>
      </c>
      <c r="IB76" t="e">
        <f>AND('GA55 Entry'!J152,"AAAAACv/+es=")</f>
        <v>#VALUE!</v>
      </c>
      <c r="IC76" t="e">
        <f>AND('GA55 Entry'!#REF!,"AAAAACv/+ew=")</f>
        <v>#REF!</v>
      </c>
      <c r="ID76" t="e">
        <f>AND('GA55 Entry'!K152,"AAAAACv/+e0=")</f>
        <v>#VALUE!</v>
      </c>
      <c r="IE76" t="e">
        <f>AND('GA55 Entry'!L152,"AAAAACv/+e4=")</f>
        <v>#VALUE!</v>
      </c>
      <c r="IF76" t="e">
        <f>AND('GA55 Entry'!M152,"AAAAACv/+e8=")</f>
        <v>#VALUE!</v>
      </c>
      <c r="IG76" t="e">
        <f>AND('GA55 Entry'!N152,"AAAAACv/+fA=")</f>
        <v>#VALUE!</v>
      </c>
      <c r="IH76" t="e">
        <f>AND('GA55 Entry'!O152,"AAAAACv/+fE=")</f>
        <v>#VALUE!</v>
      </c>
      <c r="II76" t="e">
        <f>AND('GA55 Entry'!P152,"AAAAACv/+fI=")</f>
        <v>#VALUE!</v>
      </c>
      <c r="IJ76" t="e">
        <f>AND('GA55 Entry'!Q152,"AAAAACv/+fM=")</f>
        <v>#VALUE!</v>
      </c>
      <c r="IK76" t="e">
        <f>AND('GA55 Entry'!S152,"AAAAACv/+fQ=")</f>
        <v>#VALUE!</v>
      </c>
      <c r="IL76" t="e">
        <f>AND('GA55 Entry'!#REF!,"AAAAACv/+fU=")</f>
        <v>#REF!</v>
      </c>
      <c r="IM76" t="e">
        <f>AND('GA55 Entry'!T152,"AAAAACv/+fY=")</f>
        <v>#VALUE!</v>
      </c>
      <c r="IN76" t="e">
        <f>AND('GA55 Entry'!U152,"AAAAACv/+fc=")</f>
        <v>#VALUE!</v>
      </c>
      <c r="IO76" t="e">
        <f>AND('GA55 Entry'!V152,"AAAAACv/+fg=")</f>
        <v>#VALUE!</v>
      </c>
      <c r="IP76" t="e">
        <f>AND('GA55 Entry'!#REF!,"AAAAACv/+fk=")</f>
        <v>#REF!</v>
      </c>
      <c r="IQ76" t="e">
        <f>AND('GA55 Entry'!#REF!,"AAAAACv/+fo=")</f>
        <v>#REF!</v>
      </c>
      <c r="IR76" t="e">
        <f>AND('GA55 Entry'!X152,"AAAAACv/+fs=")</f>
        <v>#VALUE!</v>
      </c>
      <c r="IS76" t="e">
        <f>AND('GA55 Entry'!Y152,"AAAAACv/+fw=")</f>
        <v>#VALUE!</v>
      </c>
      <c r="IT76" t="e">
        <f>AND('GA55 Entry'!#REF!,"AAAAACv/+f0=")</f>
        <v>#REF!</v>
      </c>
      <c r="IU76" t="e">
        <f>AND('GA55 Entry'!#REF!,"AAAAACv/+f4=")</f>
        <v>#REF!</v>
      </c>
      <c r="IV76" t="e">
        <f>AND('GA55 Entry'!#REF!,"AAAAACv/+f8=")</f>
        <v>#REF!</v>
      </c>
    </row>
    <row r="77" spans="1:256">
      <c r="A77" t="e">
        <f>AND('GA55 Entry'!#REF!,"AAAAAH+5zQA=")</f>
        <v>#REF!</v>
      </c>
      <c r="B77" t="e">
        <f>AND('GA55 Entry'!#REF!,"AAAAAH+5zQE=")</f>
        <v>#REF!</v>
      </c>
      <c r="C77" t="e">
        <f>AND('GA55 Entry'!#REF!,"AAAAAH+5zQI=")</f>
        <v>#REF!</v>
      </c>
      <c r="D77" t="e">
        <f>AND('GA55 Entry'!#REF!,"AAAAAH+5zQM=")</f>
        <v>#REF!</v>
      </c>
      <c r="E77" t="e">
        <f>AND('GA55 Entry'!#REF!,"AAAAAH+5zQQ=")</f>
        <v>#REF!</v>
      </c>
      <c r="F77" t="e">
        <f>AND('GA55 Entry'!#REF!,"AAAAAH+5zQU=")</f>
        <v>#REF!</v>
      </c>
      <c r="G77" t="e">
        <f>AND('GA55 Entry'!Z152,"AAAAAH+5zQY=")</f>
        <v>#VALUE!</v>
      </c>
      <c r="H77" t="e">
        <f>AND('GA55 Entry'!AA152,"AAAAAH+5zQc=")</f>
        <v>#VALUE!</v>
      </c>
      <c r="I77" t="e">
        <f>AND('GA55 Entry'!#REF!,"AAAAAH+5zQg=")</f>
        <v>#REF!</v>
      </c>
      <c r="J77" t="e">
        <f>AND('GA55 Entry'!#REF!,"AAAAAH+5zQk=")</f>
        <v>#REF!</v>
      </c>
      <c r="K77" t="e">
        <f>AND('GA55 Entry'!#REF!,"AAAAAH+5zQo=")</f>
        <v>#REF!</v>
      </c>
      <c r="L77" t="e">
        <f>AND('GA55 Entry'!AB152,"AAAAAH+5zQs=")</f>
        <v>#VALUE!</v>
      </c>
      <c r="M77" t="e">
        <f>AND('GA55 Entry'!AC152,"AAAAAH+5zQw=")</f>
        <v>#VALUE!</v>
      </c>
      <c r="N77" t="e">
        <f>AND('GA55 Entry'!#REF!,"AAAAAH+5zQ0=")</f>
        <v>#REF!</v>
      </c>
      <c r="O77">
        <f>IF('GA55 Entry'!153:153,"AAAAAH+5zQ4=",0)</f>
        <v>0</v>
      </c>
      <c r="P77" t="e">
        <f>AND('GA55 Entry'!B153,"AAAAAH+5zQ8=")</f>
        <v>#VALUE!</v>
      </c>
      <c r="Q77" t="e">
        <f>AND('GA55 Entry'!#REF!,"AAAAAH+5zRA=")</f>
        <v>#REF!</v>
      </c>
      <c r="R77" t="e">
        <f>AND('GA55 Entry'!C153,"AAAAAH+5zRE=")</f>
        <v>#VALUE!</v>
      </c>
      <c r="S77" t="e">
        <f>AND('GA55 Entry'!#REF!,"AAAAAH+5zRI=")</f>
        <v>#REF!</v>
      </c>
      <c r="T77" t="e">
        <f>AND('GA55 Entry'!#REF!,"AAAAAH+5zRM=")</f>
        <v>#REF!</v>
      </c>
      <c r="U77" t="e">
        <f>AND('GA55 Entry'!#REF!,"AAAAAH+5zRQ=")</f>
        <v>#REF!</v>
      </c>
      <c r="V77" t="e">
        <f>AND('GA55 Entry'!#REF!,"AAAAAH+5zRU=")</f>
        <v>#REF!</v>
      </c>
      <c r="W77" t="e">
        <f>AND('GA55 Entry'!#REF!,"AAAAAH+5zRY=")</f>
        <v>#REF!</v>
      </c>
      <c r="X77" t="e">
        <f>AND('GA55 Entry'!D153,"AAAAAH+5zRc=")</f>
        <v>#VALUE!</v>
      </c>
      <c r="Y77" t="e">
        <f>AND('GA55 Entry'!#REF!,"AAAAAH+5zRg=")</f>
        <v>#REF!</v>
      </c>
      <c r="Z77" t="e">
        <f>AND('GA55 Entry'!E153,"AAAAAH+5zRk=")</f>
        <v>#VALUE!</v>
      </c>
      <c r="AA77" t="e">
        <f>AND('GA55 Entry'!F153,"AAAAAH+5zRo=")</f>
        <v>#VALUE!</v>
      </c>
      <c r="AB77" t="e">
        <f>AND('GA55 Entry'!G153,"AAAAAH+5zRs=")</f>
        <v>#VALUE!</v>
      </c>
      <c r="AC77" t="e">
        <f>AND('GA55 Entry'!H153,"AAAAAH+5zRw=")</f>
        <v>#VALUE!</v>
      </c>
      <c r="AD77" t="e">
        <f>AND('GA55 Entry'!I153,"AAAAAH+5zR0=")</f>
        <v>#VALUE!</v>
      </c>
      <c r="AE77" t="e">
        <f>AND('GA55 Entry'!J153,"AAAAAH+5zR4=")</f>
        <v>#VALUE!</v>
      </c>
      <c r="AF77" t="e">
        <f>AND('GA55 Entry'!#REF!,"AAAAAH+5zR8=")</f>
        <v>#REF!</v>
      </c>
      <c r="AG77" t="e">
        <f>AND('GA55 Entry'!K153,"AAAAAH+5zSA=")</f>
        <v>#VALUE!</v>
      </c>
      <c r="AH77" t="e">
        <f>AND('GA55 Entry'!L153,"AAAAAH+5zSE=")</f>
        <v>#VALUE!</v>
      </c>
      <c r="AI77" t="e">
        <f>AND('GA55 Entry'!M153,"AAAAAH+5zSI=")</f>
        <v>#VALUE!</v>
      </c>
      <c r="AJ77" t="e">
        <f>AND('GA55 Entry'!N153,"AAAAAH+5zSM=")</f>
        <v>#VALUE!</v>
      </c>
      <c r="AK77" t="e">
        <f>AND('GA55 Entry'!O153,"AAAAAH+5zSQ=")</f>
        <v>#VALUE!</v>
      </c>
      <c r="AL77" t="e">
        <f>AND('GA55 Entry'!P153,"AAAAAH+5zSU=")</f>
        <v>#VALUE!</v>
      </c>
      <c r="AM77" t="e">
        <f>AND('GA55 Entry'!Q153,"AAAAAH+5zSY=")</f>
        <v>#VALUE!</v>
      </c>
      <c r="AN77" t="e">
        <f>AND('GA55 Entry'!S153,"AAAAAH+5zSc=")</f>
        <v>#VALUE!</v>
      </c>
      <c r="AO77" t="e">
        <f>AND('GA55 Entry'!#REF!,"AAAAAH+5zSg=")</f>
        <v>#REF!</v>
      </c>
      <c r="AP77" t="e">
        <f>AND('GA55 Entry'!T153,"AAAAAH+5zSk=")</f>
        <v>#VALUE!</v>
      </c>
      <c r="AQ77" t="e">
        <f>AND('GA55 Entry'!U153,"AAAAAH+5zSo=")</f>
        <v>#VALUE!</v>
      </c>
      <c r="AR77" t="e">
        <f>AND('GA55 Entry'!V153,"AAAAAH+5zSs=")</f>
        <v>#VALUE!</v>
      </c>
      <c r="AS77" t="e">
        <f>AND('GA55 Entry'!#REF!,"AAAAAH+5zSw=")</f>
        <v>#REF!</v>
      </c>
      <c r="AT77" t="e">
        <f>AND('GA55 Entry'!#REF!,"AAAAAH+5zS0=")</f>
        <v>#REF!</v>
      </c>
      <c r="AU77" t="e">
        <f>AND('GA55 Entry'!X153,"AAAAAH+5zS4=")</f>
        <v>#VALUE!</v>
      </c>
      <c r="AV77" t="e">
        <f>AND('GA55 Entry'!Y153,"AAAAAH+5zS8=")</f>
        <v>#VALUE!</v>
      </c>
      <c r="AW77" t="e">
        <f>AND('GA55 Entry'!#REF!,"AAAAAH+5zTA=")</f>
        <v>#REF!</v>
      </c>
      <c r="AX77" t="e">
        <f>AND('GA55 Entry'!#REF!,"AAAAAH+5zTE=")</f>
        <v>#REF!</v>
      </c>
      <c r="AY77" t="e">
        <f>AND('GA55 Entry'!#REF!,"AAAAAH+5zTI=")</f>
        <v>#REF!</v>
      </c>
      <c r="AZ77" t="e">
        <f>AND('GA55 Entry'!#REF!,"AAAAAH+5zTM=")</f>
        <v>#REF!</v>
      </c>
      <c r="BA77" t="e">
        <f>AND('GA55 Entry'!#REF!,"AAAAAH+5zTQ=")</f>
        <v>#REF!</v>
      </c>
      <c r="BB77" t="e">
        <f>AND('GA55 Entry'!#REF!,"AAAAAH+5zTU=")</f>
        <v>#REF!</v>
      </c>
      <c r="BC77" t="e">
        <f>AND('GA55 Entry'!#REF!,"AAAAAH+5zTY=")</f>
        <v>#REF!</v>
      </c>
      <c r="BD77" t="e">
        <f>AND('GA55 Entry'!#REF!,"AAAAAH+5zTc=")</f>
        <v>#REF!</v>
      </c>
      <c r="BE77" t="e">
        <f>AND('GA55 Entry'!#REF!,"AAAAAH+5zTg=")</f>
        <v>#REF!</v>
      </c>
      <c r="BF77" t="e">
        <f>AND('GA55 Entry'!Z153,"AAAAAH+5zTk=")</f>
        <v>#VALUE!</v>
      </c>
      <c r="BG77" t="e">
        <f>AND('GA55 Entry'!AA153,"AAAAAH+5zTo=")</f>
        <v>#VALUE!</v>
      </c>
      <c r="BH77" t="e">
        <f>AND('GA55 Entry'!#REF!,"AAAAAH+5zTs=")</f>
        <v>#REF!</v>
      </c>
      <c r="BI77" t="e">
        <f>AND('GA55 Entry'!#REF!,"AAAAAH+5zTw=")</f>
        <v>#REF!</v>
      </c>
      <c r="BJ77" t="e">
        <f>AND('GA55 Entry'!#REF!,"AAAAAH+5zT0=")</f>
        <v>#REF!</v>
      </c>
      <c r="BK77" t="e">
        <f>AND('GA55 Entry'!AB153,"AAAAAH+5zT4=")</f>
        <v>#VALUE!</v>
      </c>
      <c r="BL77" t="e">
        <f>AND('GA55 Entry'!AC153,"AAAAAH+5zT8=")</f>
        <v>#VALUE!</v>
      </c>
      <c r="BM77" t="e">
        <f>AND('GA55 Entry'!#REF!,"AAAAAH+5zUA=")</f>
        <v>#REF!</v>
      </c>
      <c r="BN77">
        <f>IF('GA55 Entry'!154:154,"AAAAAH+5zUE=",0)</f>
        <v>0</v>
      </c>
      <c r="BO77" t="e">
        <f>AND('GA55 Entry'!B154,"AAAAAH+5zUI=")</f>
        <v>#VALUE!</v>
      </c>
      <c r="BP77" t="e">
        <f>AND('GA55 Entry'!#REF!,"AAAAAH+5zUM=")</f>
        <v>#REF!</v>
      </c>
      <c r="BQ77" t="e">
        <f>AND('GA55 Entry'!C154,"AAAAAH+5zUQ=")</f>
        <v>#VALUE!</v>
      </c>
      <c r="BR77" t="e">
        <f>AND('GA55 Entry'!#REF!,"AAAAAH+5zUU=")</f>
        <v>#REF!</v>
      </c>
      <c r="BS77" t="e">
        <f>AND('GA55 Entry'!#REF!,"AAAAAH+5zUY=")</f>
        <v>#REF!</v>
      </c>
      <c r="BT77" t="e">
        <f>AND('GA55 Entry'!#REF!,"AAAAAH+5zUc=")</f>
        <v>#REF!</v>
      </c>
      <c r="BU77" t="e">
        <f>AND('GA55 Entry'!#REF!,"AAAAAH+5zUg=")</f>
        <v>#REF!</v>
      </c>
      <c r="BV77" t="e">
        <f>AND('GA55 Entry'!#REF!,"AAAAAH+5zUk=")</f>
        <v>#REF!</v>
      </c>
      <c r="BW77" t="e">
        <f>AND('GA55 Entry'!D154,"AAAAAH+5zUo=")</f>
        <v>#VALUE!</v>
      </c>
      <c r="BX77" t="e">
        <f>AND('GA55 Entry'!#REF!,"AAAAAH+5zUs=")</f>
        <v>#REF!</v>
      </c>
      <c r="BY77" t="e">
        <f>AND('GA55 Entry'!E154,"AAAAAH+5zUw=")</f>
        <v>#VALUE!</v>
      </c>
      <c r="BZ77" t="e">
        <f>AND('GA55 Entry'!F154,"AAAAAH+5zU0=")</f>
        <v>#VALUE!</v>
      </c>
      <c r="CA77" t="e">
        <f>AND('GA55 Entry'!G154,"AAAAAH+5zU4=")</f>
        <v>#VALUE!</v>
      </c>
      <c r="CB77" t="e">
        <f>AND('GA55 Entry'!H154,"AAAAAH+5zU8=")</f>
        <v>#VALUE!</v>
      </c>
      <c r="CC77" t="e">
        <f>AND('GA55 Entry'!I154,"AAAAAH+5zVA=")</f>
        <v>#VALUE!</v>
      </c>
      <c r="CD77" t="e">
        <f>AND('GA55 Entry'!J154,"AAAAAH+5zVE=")</f>
        <v>#VALUE!</v>
      </c>
      <c r="CE77" t="e">
        <f>AND('GA55 Entry'!#REF!,"AAAAAH+5zVI=")</f>
        <v>#REF!</v>
      </c>
      <c r="CF77" t="e">
        <f>AND('GA55 Entry'!K154,"AAAAAH+5zVM=")</f>
        <v>#VALUE!</v>
      </c>
      <c r="CG77" t="e">
        <f>AND('GA55 Entry'!L154,"AAAAAH+5zVQ=")</f>
        <v>#VALUE!</v>
      </c>
      <c r="CH77" t="e">
        <f>AND('GA55 Entry'!M154,"AAAAAH+5zVU=")</f>
        <v>#VALUE!</v>
      </c>
      <c r="CI77" t="e">
        <f>AND('GA55 Entry'!N154,"AAAAAH+5zVY=")</f>
        <v>#VALUE!</v>
      </c>
      <c r="CJ77" t="e">
        <f>AND('GA55 Entry'!O154,"AAAAAH+5zVc=")</f>
        <v>#VALUE!</v>
      </c>
      <c r="CK77" t="e">
        <f>AND('GA55 Entry'!P154,"AAAAAH+5zVg=")</f>
        <v>#VALUE!</v>
      </c>
      <c r="CL77" t="e">
        <f>AND('GA55 Entry'!Q154,"AAAAAH+5zVk=")</f>
        <v>#VALUE!</v>
      </c>
      <c r="CM77" t="e">
        <f>AND('GA55 Entry'!S154,"AAAAAH+5zVo=")</f>
        <v>#VALUE!</v>
      </c>
      <c r="CN77" t="e">
        <f>AND('GA55 Entry'!#REF!,"AAAAAH+5zVs=")</f>
        <v>#REF!</v>
      </c>
      <c r="CO77" t="e">
        <f>AND('GA55 Entry'!T154,"AAAAAH+5zVw=")</f>
        <v>#VALUE!</v>
      </c>
      <c r="CP77" t="e">
        <f>AND('GA55 Entry'!U154,"AAAAAH+5zV0=")</f>
        <v>#VALUE!</v>
      </c>
      <c r="CQ77" t="e">
        <f>AND('GA55 Entry'!V154,"AAAAAH+5zV4=")</f>
        <v>#VALUE!</v>
      </c>
      <c r="CR77" t="e">
        <f>AND('GA55 Entry'!#REF!,"AAAAAH+5zV8=")</f>
        <v>#REF!</v>
      </c>
      <c r="CS77" t="e">
        <f>AND('GA55 Entry'!#REF!,"AAAAAH+5zWA=")</f>
        <v>#REF!</v>
      </c>
      <c r="CT77" t="e">
        <f>AND('GA55 Entry'!X154,"AAAAAH+5zWE=")</f>
        <v>#VALUE!</v>
      </c>
      <c r="CU77" t="e">
        <f>AND('GA55 Entry'!Y154,"AAAAAH+5zWI=")</f>
        <v>#VALUE!</v>
      </c>
      <c r="CV77" t="e">
        <f>AND('GA55 Entry'!#REF!,"AAAAAH+5zWM=")</f>
        <v>#REF!</v>
      </c>
      <c r="CW77" t="e">
        <f>AND('GA55 Entry'!#REF!,"AAAAAH+5zWQ=")</f>
        <v>#REF!</v>
      </c>
      <c r="CX77" t="e">
        <f>AND('GA55 Entry'!#REF!,"AAAAAH+5zWU=")</f>
        <v>#REF!</v>
      </c>
      <c r="CY77" t="e">
        <f>AND('GA55 Entry'!#REF!,"AAAAAH+5zWY=")</f>
        <v>#REF!</v>
      </c>
      <c r="CZ77" t="e">
        <f>AND('GA55 Entry'!#REF!,"AAAAAH+5zWc=")</f>
        <v>#REF!</v>
      </c>
      <c r="DA77" t="e">
        <f>AND('GA55 Entry'!#REF!,"AAAAAH+5zWg=")</f>
        <v>#REF!</v>
      </c>
      <c r="DB77" t="e">
        <f>AND('GA55 Entry'!#REF!,"AAAAAH+5zWk=")</f>
        <v>#REF!</v>
      </c>
      <c r="DC77" t="e">
        <f>AND('GA55 Entry'!#REF!,"AAAAAH+5zWo=")</f>
        <v>#REF!</v>
      </c>
      <c r="DD77" t="e">
        <f>AND('GA55 Entry'!#REF!,"AAAAAH+5zWs=")</f>
        <v>#REF!</v>
      </c>
      <c r="DE77" t="e">
        <f>AND('GA55 Entry'!Z154,"AAAAAH+5zWw=")</f>
        <v>#VALUE!</v>
      </c>
      <c r="DF77" t="e">
        <f>AND('GA55 Entry'!AA154,"AAAAAH+5zW0=")</f>
        <v>#VALUE!</v>
      </c>
      <c r="DG77" t="e">
        <f>AND('GA55 Entry'!#REF!,"AAAAAH+5zW4=")</f>
        <v>#REF!</v>
      </c>
      <c r="DH77" t="e">
        <f>AND('GA55 Entry'!#REF!,"AAAAAH+5zW8=")</f>
        <v>#REF!</v>
      </c>
      <c r="DI77" t="e">
        <f>AND('GA55 Entry'!#REF!,"AAAAAH+5zXA=")</f>
        <v>#REF!</v>
      </c>
      <c r="DJ77" t="e">
        <f>AND('GA55 Entry'!AB154,"AAAAAH+5zXE=")</f>
        <v>#VALUE!</v>
      </c>
      <c r="DK77" t="e">
        <f>AND('GA55 Entry'!AC154,"AAAAAH+5zXI=")</f>
        <v>#VALUE!</v>
      </c>
      <c r="DL77" t="e">
        <f>AND('GA55 Entry'!#REF!,"AAAAAH+5zXM=")</f>
        <v>#REF!</v>
      </c>
      <c r="DM77">
        <f>IF('GA55 Entry'!155:155,"AAAAAH+5zXQ=",0)</f>
        <v>0</v>
      </c>
      <c r="DN77" t="e">
        <f>AND('GA55 Entry'!B155,"AAAAAH+5zXU=")</f>
        <v>#VALUE!</v>
      </c>
      <c r="DO77" t="e">
        <f>AND('GA55 Entry'!#REF!,"AAAAAH+5zXY=")</f>
        <v>#REF!</v>
      </c>
      <c r="DP77" t="e">
        <f>AND('GA55 Entry'!C155,"AAAAAH+5zXc=")</f>
        <v>#VALUE!</v>
      </c>
      <c r="DQ77" t="e">
        <f>AND('GA55 Entry'!#REF!,"AAAAAH+5zXg=")</f>
        <v>#REF!</v>
      </c>
      <c r="DR77" t="e">
        <f>AND('GA55 Entry'!#REF!,"AAAAAH+5zXk=")</f>
        <v>#REF!</v>
      </c>
      <c r="DS77" t="e">
        <f>AND('GA55 Entry'!#REF!,"AAAAAH+5zXo=")</f>
        <v>#REF!</v>
      </c>
      <c r="DT77" t="e">
        <f>AND('GA55 Entry'!#REF!,"AAAAAH+5zXs=")</f>
        <v>#REF!</v>
      </c>
      <c r="DU77" t="e">
        <f>AND('GA55 Entry'!#REF!,"AAAAAH+5zXw=")</f>
        <v>#REF!</v>
      </c>
      <c r="DV77" t="e">
        <f>AND('GA55 Entry'!D155,"AAAAAH+5zX0=")</f>
        <v>#VALUE!</v>
      </c>
      <c r="DW77" t="e">
        <f>AND('GA55 Entry'!#REF!,"AAAAAH+5zX4=")</f>
        <v>#REF!</v>
      </c>
      <c r="DX77" t="e">
        <f>AND('GA55 Entry'!E155,"AAAAAH+5zX8=")</f>
        <v>#VALUE!</v>
      </c>
      <c r="DY77" t="e">
        <f>AND('GA55 Entry'!F155,"AAAAAH+5zYA=")</f>
        <v>#VALUE!</v>
      </c>
      <c r="DZ77" t="e">
        <f>AND('GA55 Entry'!G155,"AAAAAH+5zYE=")</f>
        <v>#VALUE!</v>
      </c>
      <c r="EA77" t="e">
        <f>AND('GA55 Entry'!H155,"AAAAAH+5zYI=")</f>
        <v>#VALUE!</v>
      </c>
      <c r="EB77" t="e">
        <f>AND('GA55 Entry'!I155,"AAAAAH+5zYM=")</f>
        <v>#VALUE!</v>
      </c>
      <c r="EC77" t="e">
        <f>AND('GA55 Entry'!J155,"AAAAAH+5zYQ=")</f>
        <v>#VALUE!</v>
      </c>
      <c r="ED77" t="e">
        <f>AND('GA55 Entry'!#REF!,"AAAAAH+5zYU=")</f>
        <v>#REF!</v>
      </c>
      <c r="EE77" t="e">
        <f>AND('GA55 Entry'!K155,"AAAAAH+5zYY=")</f>
        <v>#VALUE!</v>
      </c>
      <c r="EF77" t="e">
        <f>AND('GA55 Entry'!L155,"AAAAAH+5zYc=")</f>
        <v>#VALUE!</v>
      </c>
      <c r="EG77" t="e">
        <f>AND('GA55 Entry'!M155,"AAAAAH+5zYg=")</f>
        <v>#VALUE!</v>
      </c>
      <c r="EH77" t="e">
        <f>AND('GA55 Entry'!N155,"AAAAAH+5zYk=")</f>
        <v>#VALUE!</v>
      </c>
      <c r="EI77" t="e">
        <f>AND('GA55 Entry'!O155,"AAAAAH+5zYo=")</f>
        <v>#VALUE!</v>
      </c>
      <c r="EJ77" t="e">
        <f>AND('GA55 Entry'!P155,"AAAAAH+5zYs=")</f>
        <v>#VALUE!</v>
      </c>
      <c r="EK77" t="e">
        <f>AND('GA55 Entry'!Q155,"AAAAAH+5zYw=")</f>
        <v>#VALUE!</v>
      </c>
      <c r="EL77" t="e">
        <f>AND('GA55 Entry'!S155,"AAAAAH+5zY0=")</f>
        <v>#VALUE!</v>
      </c>
      <c r="EM77" t="e">
        <f>AND('GA55 Entry'!#REF!,"AAAAAH+5zY4=")</f>
        <v>#REF!</v>
      </c>
      <c r="EN77" t="e">
        <f>AND('GA55 Entry'!T155,"AAAAAH+5zY8=")</f>
        <v>#VALUE!</v>
      </c>
      <c r="EO77" t="e">
        <f>AND('GA55 Entry'!U155,"AAAAAH+5zZA=")</f>
        <v>#VALUE!</v>
      </c>
      <c r="EP77" t="e">
        <f>AND('GA55 Entry'!V155,"AAAAAH+5zZE=")</f>
        <v>#VALUE!</v>
      </c>
      <c r="EQ77" t="e">
        <f>AND('GA55 Entry'!#REF!,"AAAAAH+5zZI=")</f>
        <v>#REF!</v>
      </c>
      <c r="ER77" t="e">
        <f>AND('GA55 Entry'!#REF!,"AAAAAH+5zZM=")</f>
        <v>#REF!</v>
      </c>
      <c r="ES77" t="e">
        <f>AND('GA55 Entry'!X155,"AAAAAH+5zZQ=")</f>
        <v>#VALUE!</v>
      </c>
      <c r="ET77" t="e">
        <f>AND('GA55 Entry'!Y155,"AAAAAH+5zZU=")</f>
        <v>#VALUE!</v>
      </c>
      <c r="EU77" t="e">
        <f>AND('GA55 Entry'!#REF!,"AAAAAH+5zZY=")</f>
        <v>#REF!</v>
      </c>
      <c r="EV77" t="e">
        <f>AND('GA55 Entry'!#REF!,"AAAAAH+5zZc=")</f>
        <v>#REF!</v>
      </c>
      <c r="EW77" t="e">
        <f>AND('GA55 Entry'!#REF!,"AAAAAH+5zZg=")</f>
        <v>#REF!</v>
      </c>
      <c r="EX77" t="e">
        <f>AND('GA55 Entry'!#REF!,"AAAAAH+5zZk=")</f>
        <v>#REF!</v>
      </c>
      <c r="EY77" t="e">
        <f>AND('GA55 Entry'!#REF!,"AAAAAH+5zZo=")</f>
        <v>#REF!</v>
      </c>
      <c r="EZ77" t="e">
        <f>AND('GA55 Entry'!#REF!,"AAAAAH+5zZs=")</f>
        <v>#REF!</v>
      </c>
      <c r="FA77" t="e">
        <f>AND('GA55 Entry'!#REF!,"AAAAAH+5zZw=")</f>
        <v>#REF!</v>
      </c>
      <c r="FB77" t="e">
        <f>AND('GA55 Entry'!#REF!,"AAAAAH+5zZ0=")</f>
        <v>#REF!</v>
      </c>
      <c r="FC77" t="e">
        <f>AND('GA55 Entry'!#REF!,"AAAAAH+5zZ4=")</f>
        <v>#REF!</v>
      </c>
      <c r="FD77" t="e">
        <f>AND('GA55 Entry'!Z155,"AAAAAH+5zZ8=")</f>
        <v>#VALUE!</v>
      </c>
      <c r="FE77" t="e">
        <f>AND('GA55 Entry'!AA155,"AAAAAH+5zaA=")</f>
        <v>#VALUE!</v>
      </c>
      <c r="FF77" t="e">
        <f>AND('GA55 Entry'!#REF!,"AAAAAH+5zaE=")</f>
        <v>#REF!</v>
      </c>
      <c r="FG77" t="e">
        <f>AND('GA55 Entry'!#REF!,"AAAAAH+5zaI=")</f>
        <v>#REF!</v>
      </c>
      <c r="FH77" t="e">
        <f>AND('GA55 Entry'!#REF!,"AAAAAH+5zaM=")</f>
        <v>#REF!</v>
      </c>
      <c r="FI77" t="e">
        <f>AND('GA55 Entry'!AB155,"AAAAAH+5zaQ=")</f>
        <v>#VALUE!</v>
      </c>
      <c r="FJ77" t="e">
        <f>AND('GA55 Entry'!AC155,"AAAAAH+5zaU=")</f>
        <v>#VALUE!</v>
      </c>
      <c r="FK77" t="e">
        <f>AND('GA55 Entry'!#REF!,"AAAAAH+5zaY=")</f>
        <v>#REF!</v>
      </c>
      <c r="FL77">
        <f>IF('GA55 Entry'!156:156,"AAAAAH+5zac=",0)</f>
        <v>0</v>
      </c>
      <c r="FM77" t="e">
        <f>AND('GA55 Entry'!B156,"AAAAAH+5zag=")</f>
        <v>#VALUE!</v>
      </c>
      <c r="FN77" t="e">
        <f>AND('GA55 Entry'!#REF!,"AAAAAH+5zak=")</f>
        <v>#REF!</v>
      </c>
      <c r="FO77" t="e">
        <f>AND('GA55 Entry'!C156,"AAAAAH+5zao=")</f>
        <v>#VALUE!</v>
      </c>
      <c r="FP77" t="e">
        <f>AND('GA55 Entry'!#REF!,"AAAAAH+5zas=")</f>
        <v>#REF!</v>
      </c>
      <c r="FQ77" t="e">
        <f>AND('GA55 Entry'!#REF!,"AAAAAH+5zaw=")</f>
        <v>#REF!</v>
      </c>
      <c r="FR77" t="e">
        <f>AND('GA55 Entry'!#REF!,"AAAAAH+5za0=")</f>
        <v>#REF!</v>
      </c>
      <c r="FS77" t="e">
        <f>AND('GA55 Entry'!#REF!,"AAAAAH+5za4=")</f>
        <v>#REF!</v>
      </c>
      <c r="FT77" t="e">
        <f>AND('GA55 Entry'!#REF!,"AAAAAH+5za8=")</f>
        <v>#REF!</v>
      </c>
      <c r="FU77" t="e">
        <f>AND('GA55 Entry'!D156,"AAAAAH+5zbA=")</f>
        <v>#VALUE!</v>
      </c>
      <c r="FV77" t="e">
        <f>AND('GA55 Entry'!#REF!,"AAAAAH+5zbE=")</f>
        <v>#REF!</v>
      </c>
      <c r="FW77" t="e">
        <f>AND('GA55 Entry'!E156,"AAAAAH+5zbI=")</f>
        <v>#VALUE!</v>
      </c>
      <c r="FX77" t="e">
        <f>AND('GA55 Entry'!F156,"AAAAAH+5zbM=")</f>
        <v>#VALUE!</v>
      </c>
      <c r="FY77" t="e">
        <f>AND('GA55 Entry'!G156,"AAAAAH+5zbQ=")</f>
        <v>#VALUE!</v>
      </c>
      <c r="FZ77" t="e">
        <f>AND('GA55 Entry'!H156,"AAAAAH+5zbU=")</f>
        <v>#VALUE!</v>
      </c>
      <c r="GA77" t="e">
        <f>AND('GA55 Entry'!I156,"AAAAAH+5zbY=")</f>
        <v>#VALUE!</v>
      </c>
      <c r="GB77" t="e">
        <f>AND('GA55 Entry'!J156,"AAAAAH+5zbc=")</f>
        <v>#VALUE!</v>
      </c>
      <c r="GC77" t="e">
        <f>AND('GA55 Entry'!#REF!,"AAAAAH+5zbg=")</f>
        <v>#REF!</v>
      </c>
      <c r="GD77" t="e">
        <f>AND('GA55 Entry'!K156,"AAAAAH+5zbk=")</f>
        <v>#VALUE!</v>
      </c>
      <c r="GE77" t="e">
        <f>AND('GA55 Entry'!L156,"AAAAAH+5zbo=")</f>
        <v>#VALUE!</v>
      </c>
      <c r="GF77" t="e">
        <f>AND('GA55 Entry'!M156,"AAAAAH+5zbs=")</f>
        <v>#VALUE!</v>
      </c>
      <c r="GG77" t="e">
        <f>AND('GA55 Entry'!N156,"AAAAAH+5zbw=")</f>
        <v>#VALUE!</v>
      </c>
      <c r="GH77" t="e">
        <f>AND('GA55 Entry'!O156,"AAAAAH+5zb0=")</f>
        <v>#VALUE!</v>
      </c>
      <c r="GI77" t="e">
        <f>AND('GA55 Entry'!P156,"AAAAAH+5zb4=")</f>
        <v>#VALUE!</v>
      </c>
      <c r="GJ77" t="e">
        <f>AND('GA55 Entry'!Q156,"AAAAAH+5zb8=")</f>
        <v>#VALUE!</v>
      </c>
      <c r="GK77" t="e">
        <f>AND('GA55 Entry'!S156,"AAAAAH+5zcA=")</f>
        <v>#VALUE!</v>
      </c>
      <c r="GL77" t="e">
        <f>AND('GA55 Entry'!#REF!,"AAAAAH+5zcE=")</f>
        <v>#REF!</v>
      </c>
      <c r="GM77" t="e">
        <f>AND('GA55 Entry'!T156,"AAAAAH+5zcI=")</f>
        <v>#VALUE!</v>
      </c>
      <c r="GN77" t="e">
        <f>AND('GA55 Entry'!U156,"AAAAAH+5zcM=")</f>
        <v>#VALUE!</v>
      </c>
      <c r="GO77" t="e">
        <f>AND('GA55 Entry'!V156,"AAAAAH+5zcQ=")</f>
        <v>#VALUE!</v>
      </c>
      <c r="GP77" t="e">
        <f>AND('GA55 Entry'!#REF!,"AAAAAH+5zcU=")</f>
        <v>#REF!</v>
      </c>
      <c r="GQ77" t="e">
        <f>AND('GA55 Entry'!#REF!,"AAAAAH+5zcY=")</f>
        <v>#REF!</v>
      </c>
      <c r="GR77" t="e">
        <f>AND('GA55 Entry'!X156,"AAAAAH+5zcc=")</f>
        <v>#VALUE!</v>
      </c>
      <c r="GS77" t="e">
        <f>AND('GA55 Entry'!Y156,"AAAAAH+5zcg=")</f>
        <v>#VALUE!</v>
      </c>
      <c r="GT77" t="e">
        <f>AND('GA55 Entry'!#REF!,"AAAAAH+5zck=")</f>
        <v>#REF!</v>
      </c>
      <c r="GU77" t="e">
        <f>AND('GA55 Entry'!#REF!,"AAAAAH+5zco=")</f>
        <v>#REF!</v>
      </c>
      <c r="GV77" t="e">
        <f>AND('GA55 Entry'!#REF!,"AAAAAH+5zcs=")</f>
        <v>#REF!</v>
      </c>
      <c r="GW77" t="e">
        <f>AND('GA55 Entry'!#REF!,"AAAAAH+5zcw=")</f>
        <v>#REF!</v>
      </c>
      <c r="GX77" t="e">
        <f>AND('GA55 Entry'!#REF!,"AAAAAH+5zc0=")</f>
        <v>#REF!</v>
      </c>
      <c r="GY77" t="e">
        <f>AND('GA55 Entry'!#REF!,"AAAAAH+5zc4=")</f>
        <v>#REF!</v>
      </c>
      <c r="GZ77" t="e">
        <f>AND('GA55 Entry'!#REF!,"AAAAAH+5zc8=")</f>
        <v>#REF!</v>
      </c>
      <c r="HA77" t="e">
        <f>AND('GA55 Entry'!#REF!,"AAAAAH+5zdA=")</f>
        <v>#REF!</v>
      </c>
      <c r="HB77" t="e">
        <f>AND('GA55 Entry'!#REF!,"AAAAAH+5zdE=")</f>
        <v>#REF!</v>
      </c>
      <c r="HC77" t="e">
        <f>AND('GA55 Entry'!Z156,"AAAAAH+5zdI=")</f>
        <v>#VALUE!</v>
      </c>
      <c r="HD77" t="e">
        <f>AND('GA55 Entry'!AA156,"AAAAAH+5zdM=")</f>
        <v>#VALUE!</v>
      </c>
      <c r="HE77" t="e">
        <f>AND('GA55 Entry'!#REF!,"AAAAAH+5zdQ=")</f>
        <v>#REF!</v>
      </c>
      <c r="HF77" t="e">
        <f>AND('GA55 Entry'!#REF!,"AAAAAH+5zdU=")</f>
        <v>#REF!</v>
      </c>
      <c r="HG77" t="e">
        <f>AND('GA55 Entry'!#REF!,"AAAAAH+5zdY=")</f>
        <v>#REF!</v>
      </c>
      <c r="HH77" t="e">
        <f>AND('GA55 Entry'!AB156,"AAAAAH+5zdc=")</f>
        <v>#VALUE!</v>
      </c>
      <c r="HI77" t="e">
        <f>AND('GA55 Entry'!AC156,"AAAAAH+5zdg=")</f>
        <v>#VALUE!</v>
      </c>
      <c r="HJ77" t="e">
        <f>AND('GA55 Entry'!#REF!,"AAAAAH+5zdk=")</f>
        <v>#REF!</v>
      </c>
      <c r="HK77">
        <f>IF('GA55 Entry'!157:157,"AAAAAH+5zdo=",0)</f>
        <v>0</v>
      </c>
      <c r="HL77" t="e">
        <f>AND('GA55 Entry'!B157,"AAAAAH+5zds=")</f>
        <v>#VALUE!</v>
      </c>
      <c r="HM77" t="e">
        <f>AND('GA55 Entry'!#REF!,"AAAAAH+5zdw=")</f>
        <v>#REF!</v>
      </c>
      <c r="HN77" t="e">
        <f>AND('GA55 Entry'!C157,"AAAAAH+5zd0=")</f>
        <v>#VALUE!</v>
      </c>
      <c r="HO77" t="e">
        <f>AND('GA55 Entry'!#REF!,"AAAAAH+5zd4=")</f>
        <v>#REF!</v>
      </c>
      <c r="HP77" t="e">
        <f>AND('GA55 Entry'!#REF!,"AAAAAH+5zd8=")</f>
        <v>#REF!</v>
      </c>
      <c r="HQ77" t="e">
        <f>AND('GA55 Entry'!#REF!,"AAAAAH+5zeA=")</f>
        <v>#REF!</v>
      </c>
      <c r="HR77" t="e">
        <f>AND('GA55 Entry'!#REF!,"AAAAAH+5zeE=")</f>
        <v>#REF!</v>
      </c>
      <c r="HS77" t="e">
        <f>AND('GA55 Entry'!#REF!,"AAAAAH+5zeI=")</f>
        <v>#REF!</v>
      </c>
      <c r="HT77" t="e">
        <f>AND('GA55 Entry'!D157,"AAAAAH+5zeM=")</f>
        <v>#VALUE!</v>
      </c>
      <c r="HU77" t="e">
        <f>AND('GA55 Entry'!#REF!,"AAAAAH+5zeQ=")</f>
        <v>#REF!</v>
      </c>
      <c r="HV77" t="e">
        <f>AND('GA55 Entry'!E157,"AAAAAH+5zeU=")</f>
        <v>#VALUE!</v>
      </c>
      <c r="HW77" t="e">
        <f>AND('GA55 Entry'!F157,"AAAAAH+5zeY=")</f>
        <v>#VALUE!</v>
      </c>
      <c r="HX77" t="e">
        <f>AND('GA55 Entry'!G157,"AAAAAH+5zec=")</f>
        <v>#VALUE!</v>
      </c>
      <c r="HY77" t="e">
        <f>AND('GA55 Entry'!H157,"AAAAAH+5zeg=")</f>
        <v>#VALUE!</v>
      </c>
      <c r="HZ77" t="e">
        <f>AND('GA55 Entry'!I157,"AAAAAH+5zek=")</f>
        <v>#VALUE!</v>
      </c>
      <c r="IA77" t="e">
        <f>AND('GA55 Entry'!J157,"AAAAAH+5zeo=")</f>
        <v>#VALUE!</v>
      </c>
      <c r="IB77" t="e">
        <f>AND('GA55 Entry'!#REF!,"AAAAAH+5zes=")</f>
        <v>#REF!</v>
      </c>
      <c r="IC77" t="e">
        <f>AND('GA55 Entry'!K157,"AAAAAH+5zew=")</f>
        <v>#VALUE!</v>
      </c>
      <c r="ID77" t="e">
        <f>AND('GA55 Entry'!L157,"AAAAAH+5ze0=")</f>
        <v>#VALUE!</v>
      </c>
      <c r="IE77" t="e">
        <f>AND('GA55 Entry'!M157,"AAAAAH+5ze4=")</f>
        <v>#VALUE!</v>
      </c>
      <c r="IF77" t="e">
        <f>AND('GA55 Entry'!N157,"AAAAAH+5ze8=")</f>
        <v>#VALUE!</v>
      </c>
      <c r="IG77" t="e">
        <f>AND('GA55 Entry'!O157,"AAAAAH+5zfA=")</f>
        <v>#VALUE!</v>
      </c>
      <c r="IH77" t="e">
        <f>AND('GA55 Entry'!P157,"AAAAAH+5zfE=")</f>
        <v>#VALUE!</v>
      </c>
      <c r="II77" t="e">
        <f>AND('GA55 Entry'!Q157,"AAAAAH+5zfI=")</f>
        <v>#VALUE!</v>
      </c>
      <c r="IJ77" t="e">
        <f>AND('GA55 Entry'!S157,"AAAAAH+5zfM=")</f>
        <v>#VALUE!</v>
      </c>
      <c r="IK77" t="e">
        <f>AND('GA55 Entry'!#REF!,"AAAAAH+5zfQ=")</f>
        <v>#REF!</v>
      </c>
      <c r="IL77" t="e">
        <f>AND('GA55 Entry'!T157,"AAAAAH+5zfU=")</f>
        <v>#VALUE!</v>
      </c>
      <c r="IM77" t="e">
        <f>AND('GA55 Entry'!U157,"AAAAAH+5zfY=")</f>
        <v>#VALUE!</v>
      </c>
      <c r="IN77" t="e">
        <f>AND('GA55 Entry'!V157,"AAAAAH+5zfc=")</f>
        <v>#VALUE!</v>
      </c>
      <c r="IO77" t="e">
        <f>AND('GA55 Entry'!#REF!,"AAAAAH+5zfg=")</f>
        <v>#REF!</v>
      </c>
      <c r="IP77" t="e">
        <f>AND('GA55 Entry'!#REF!,"AAAAAH+5zfk=")</f>
        <v>#REF!</v>
      </c>
      <c r="IQ77" t="e">
        <f>AND('GA55 Entry'!X157,"AAAAAH+5zfo=")</f>
        <v>#VALUE!</v>
      </c>
      <c r="IR77" t="e">
        <f>AND('GA55 Entry'!Y157,"AAAAAH+5zfs=")</f>
        <v>#VALUE!</v>
      </c>
      <c r="IS77" t="e">
        <f>AND('GA55 Entry'!#REF!,"AAAAAH+5zfw=")</f>
        <v>#REF!</v>
      </c>
      <c r="IT77" t="e">
        <f>AND('GA55 Entry'!#REF!,"AAAAAH+5zf0=")</f>
        <v>#REF!</v>
      </c>
      <c r="IU77" t="e">
        <f>AND('GA55 Entry'!#REF!,"AAAAAH+5zf4=")</f>
        <v>#REF!</v>
      </c>
      <c r="IV77" t="e">
        <f>AND('GA55 Entry'!#REF!,"AAAAAH+5zf8=")</f>
        <v>#REF!</v>
      </c>
    </row>
    <row r="78" spans="1:256">
      <c r="A78" t="e">
        <f>AND('GA55 Entry'!#REF!,"AAAAAE97/wA=")</f>
        <v>#REF!</v>
      </c>
      <c r="B78" t="e">
        <f>AND('GA55 Entry'!#REF!,"AAAAAE97/wE=")</f>
        <v>#REF!</v>
      </c>
      <c r="C78" t="e">
        <f>AND('GA55 Entry'!#REF!,"AAAAAE97/wI=")</f>
        <v>#REF!</v>
      </c>
      <c r="D78" t="e">
        <f>AND('GA55 Entry'!#REF!,"AAAAAE97/wM=")</f>
        <v>#REF!</v>
      </c>
      <c r="E78" t="e">
        <f>AND('GA55 Entry'!#REF!,"AAAAAE97/wQ=")</f>
        <v>#REF!</v>
      </c>
      <c r="F78" t="e">
        <f>AND('GA55 Entry'!Z157,"AAAAAE97/wU=")</f>
        <v>#VALUE!</v>
      </c>
      <c r="G78" t="e">
        <f>AND('GA55 Entry'!AA157,"AAAAAE97/wY=")</f>
        <v>#VALUE!</v>
      </c>
      <c r="H78" t="e">
        <f>AND('GA55 Entry'!#REF!,"AAAAAE97/wc=")</f>
        <v>#REF!</v>
      </c>
      <c r="I78" t="e">
        <f>AND('GA55 Entry'!#REF!,"AAAAAE97/wg=")</f>
        <v>#REF!</v>
      </c>
      <c r="J78" t="e">
        <f>AND('GA55 Entry'!#REF!,"AAAAAE97/wk=")</f>
        <v>#REF!</v>
      </c>
      <c r="K78" t="e">
        <f>AND('GA55 Entry'!AB157,"AAAAAE97/wo=")</f>
        <v>#VALUE!</v>
      </c>
      <c r="L78" t="e">
        <f>AND('GA55 Entry'!AC157,"AAAAAE97/ws=")</f>
        <v>#VALUE!</v>
      </c>
      <c r="M78" t="e">
        <f>AND('GA55 Entry'!#REF!,"AAAAAE97/ww=")</f>
        <v>#REF!</v>
      </c>
      <c r="N78">
        <f>IF('GA55 Entry'!158:158,"AAAAAE97/w0=",0)</f>
        <v>0</v>
      </c>
      <c r="O78" t="e">
        <f>AND('GA55 Entry'!B158,"AAAAAE97/w4=")</f>
        <v>#VALUE!</v>
      </c>
      <c r="P78" t="e">
        <f>AND('GA55 Entry'!#REF!,"AAAAAE97/w8=")</f>
        <v>#REF!</v>
      </c>
      <c r="Q78" t="e">
        <f>AND('GA55 Entry'!C158,"AAAAAE97/xA=")</f>
        <v>#VALUE!</v>
      </c>
      <c r="R78" t="e">
        <f>AND('GA55 Entry'!#REF!,"AAAAAE97/xE=")</f>
        <v>#REF!</v>
      </c>
      <c r="S78" t="e">
        <f>AND('GA55 Entry'!#REF!,"AAAAAE97/xI=")</f>
        <v>#REF!</v>
      </c>
      <c r="T78" t="e">
        <f>AND('GA55 Entry'!#REF!,"AAAAAE97/xM=")</f>
        <v>#REF!</v>
      </c>
      <c r="U78" t="e">
        <f>AND('GA55 Entry'!#REF!,"AAAAAE97/xQ=")</f>
        <v>#REF!</v>
      </c>
      <c r="V78" t="e">
        <f>AND('GA55 Entry'!#REF!,"AAAAAE97/xU=")</f>
        <v>#REF!</v>
      </c>
      <c r="W78" t="e">
        <f>AND('GA55 Entry'!D158,"AAAAAE97/xY=")</f>
        <v>#VALUE!</v>
      </c>
      <c r="X78" t="e">
        <f>AND('GA55 Entry'!#REF!,"AAAAAE97/xc=")</f>
        <v>#REF!</v>
      </c>
      <c r="Y78" t="e">
        <f>AND('GA55 Entry'!E158,"AAAAAE97/xg=")</f>
        <v>#VALUE!</v>
      </c>
      <c r="Z78" t="e">
        <f>AND('GA55 Entry'!F158,"AAAAAE97/xk=")</f>
        <v>#VALUE!</v>
      </c>
      <c r="AA78" t="e">
        <f>AND('GA55 Entry'!G158,"AAAAAE97/xo=")</f>
        <v>#VALUE!</v>
      </c>
      <c r="AB78" t="e">
        <f>AND('GA55 Entry'!H158,"AAAAAE97/xs=")</f>
        <v>#VALUE!</v>
      </c>
      <c r="AC78" t="e">
        <f>AND('GA55 Entry'!I158,"AAAAAE97/xw=")</f>
        <v>#VALUE!</v>
      </c>
      <c r="AD78" t="e">
        <f>AND('GA55 Entry'!J158,"AAAAAE97/x0=")</f>
        <v>#VALUE!</v>
      </c>
      <c r="AE78" t="e">
        <f>AND('GA55 Entry'!#REF!,"AAAAAE97/x4=")</f>
        <v>#REF!</v>
      </c>
      <c r="AF78" t="e">
        <f>AND('GA55 Entry'!K158,"AAAAAE97/x8=")</f>
        <v>#VALUE!</v>
      </c>
      <c r="AG78" t="e">
        <f>AND('GA55 Entry'!L158,"AAAAAE97/yA=")</f>
        <v>#VALUE!</v>
      </c>
      <c r="AH78" t="e">
        <f>AND('GA55 Entry'!M158,"AAAAAE97/yE=")</f>
        <v>#VALUE!</v>
      </c>
      <c r="AI78" t="e">
        <f>AND('GA55 Entry'!N158,"AAAAAE97/yI=")</f>
        <v>#VALUE!</v>
      </c>
      <c r="AJ78" t="e">
        <f>AND('GA55 Entry'!O158,"AAAAAE97/yM=")</f>
        <v>#VALUE!</v>
      </c>
      <c r="AK78" t="e">
        <f>AND('GA55 Entry'!P158,"AAAAAE97/yQ=")</f>
        <v>#VALUE!</v>
      </c>
      <c r="AL78" t="e">
        <f>AND('GA55 Entry'!Q158,"AAAAAE97/yU=")</f>
        <v>#VALUE!</v>
      </c>
      <c r="AM78" t="e">
        <f>AND('GA55 Entry'!S158,"AAAAAE97/yY=")</f>
        <v>#VALUE!</v>
      </c>
      <c r="AN78" t="e">
        <f>AND('GA55 Entry'!#REF!,"AAAAAE97/yc=")</f>
        <v>#REF!</v>
      </c>
      <c r="AO78" t="e">
        <f>AND('GA55 Entry'!T158,"AAAAAE97/yg=")</f>
        <v>#VALUE!</v>
      </c>
      <c r="AP78" t="e">
        <f>AND('GA55 Entry'!U158,"AAAAAE97/yk=")</f>
        <v>#VALUE!</v>
      </c>
      <c r="AQ78" t="e">
        <f>AND('GA55 Entry'!V158,"AAAAAE97/yo=")</f>
        <v>#VALUE!</v>
      </c>
      <c r="AR78" t="e">
        <f>AND('GA55 Entry'!#REF!,"AAAAAE97/ys=")</f>
        <v>#REF!</v>
      </c>
      <c r="AS78" t="e">
        <f>AND('GA55 Entry'!#REF!,"AAAAAE97/yw=")</f>
        <v>#REF!</v>
      </c>
      <c r="AT78" t="e">
        <f>AND('GA55 Entry'!X158,"AAAAAE97/y0=")</f>
        <v>#VALUE!</v>
      </c>
      <c r="AU78" t="e">
        <f>AND('GA55 Entry'!Y158,"AAAAAE97/y4=")</f>
        <v>#VALUE!</v>
      </c>
      <c r="AV78" t="e">
        <f>AND('GA55 Entry'!#REF!,"AAAAAE97/y8=")</f>
        <v>#REF!</v>
      </c>
      <c r="AW78" t="e">
        <f>AND('GA55 Entry'!#REF!,"AAAAAE97/zA=")</f>
        <v>#REF!</v>
      </c>
      <c r="AX78" t="e">
        <f>AND('GA55 Entry'!#REF!,"AAAAAE97/zE=")</f>
        <v>#REF!</v>
      </c>
      <c r="AY78" t="e">
        <f>AND('GA55 Entry'!#REF!,"AAAAAE97/zI=")</f>
        <v>#REF!</v>
      </c>
      <c r="AZ78" t="e">
        <f>AND('GA55 Entry'!#REF!,"AAAAAE97/zM=")</f>
        <v>#REF!</v>
      </c>
      <c r="BA78" t="e">
        <f>AND('GA55 Entry'!#REF!,"AAAAAE97/zQ=")</f>
        <v>#REF!</v>
      </c>
      <c r="BB78" t="e">
        <f>AND('GA55 Entry'!#REF!,"AAAAAE97/zU=")</f>
        <v>#REF!</v>
      </c>
      <c r="BC78" t="e">
        <f>AND('GA55 Entry'!#REF!,"AAAAAE97/zY=")</f>
        <v>#REF!</v>
      </c>
      <c r="BD78" t="e">
        <f>AND('GA55 Entry'!#REF!,"AAAAAE97/zc=")</f>
        <v>#REF!</v>
      </c>
      <c r="BE78" t="e">
        <f>AND('GA55 Entry'!Z158,"AAAAAE97/zg=")</f>
        <v>#VALUE!</v>
      </c>
      <c r="BF78" t="e">
        <f>AND('GA55 Entry'!AA158,"AAAAAE97/zk=")</f>
        <v>#VALUE!</v>
      </c>
      <c r="BG78" t="e">
        <f>AND('GA55 Entry'!#REF!,"AAAAAE97/zo=")</f>
        <v>#REF!</v>
      </c>
      <c r="BH78" t="e">
        <f>AND('GA55 Entry'!#REF!,"AAAAAE97/zs=")</f>
        <v>#REF!</v>
      </c>
      <c r="BI78" t="e">
        <f>AND('GA55 Entry'!#REF!,"AAAAAE97/zw=")</f>
        <v>#REF!</v>
      </c>
      <c r="BJ78" t="e">
        <f>AND('GA55 Entry'!AB158,"AAAAAE97/z0=")</f>
        <v>#VALUE!</v>
      </c>
      <c r="BK78" t="e">
        <f>AND('GA55 Entry'!AC158,"AAAAAE97/z4=")</f>
        <v>#VALUE!</v>
      </c>
      <c r="BL78" t="e">
        <f>AND('GA55 Entry'!#REF!,"AAAAAE97/z8=")</f>
        <v>#REF!</v>
      </c>
      <c r="BM78">
        <f>IF('GA55 Entry'!159:159,"AAAAAE97/0A=",0)</f>
        <v>0</v>
      </c>
      <c r="BN78" t="e">
        <f>AND('GA55 Entry'!B159,"AAAAAE97/0E=")</f>
        <v>#VALUE!</v>
      </c>
      <c r="BO78" t="e">
        <f>AND('GA55 Entry'!#REF!,"AAAAAE97/0I=")</f>
        <v>#REF!</v>
      </c>
      <c r="BP78" t="e">
        <f>AND('GA55 Entry'!C159,"AAAAAE97/0M=")</f>
        <v>#VALUE!</v>
      </c>
      <c r="BQ78" t="e">
        <f>AND('GA55 Entry'!#REF!,"AAAAAE97/0Q=")</f>
        <v>#REF!</v>
      </c>
      <c r="BR78" t="e">
        <f>AND('GA55 Entry'!#REF!,"AAAAAE97/0U=")</f>
        <v>#REF!</v>
      </c>
      <c r="BS78" t="e">
        <f>AND('GA55 Entry'!#REF!,"AAAAAE97/0Y=")</f>
        <v>#REF!</v>
      </c>
      <c r="BT78" t="e">
        <f>AND('GA55 Entry'!#REF!,"AAAAAE97/0c=")</f>
        <v>#REF!</v>
      </c>
      <c r="BU78" t="e">
        <f>AND('GA55 Entry'!#REF!,"AAAAAE97/0g=")</f>
        <v>#REF!</v>
      </c>
      <c r="BV78" t="e">
        <f>AND('GA55 Entry'!D159,"AAAAAE97/0k=")</f>
        <v>#VALUE!</v>
      </c>
      <c r="BW78" t="e">
        <f>AND('GA55 Entry'!#REF!,"AAAAAE97/0o=")</f>
        <v>#REF!</v>
      </c>
      <c r="BX78" t="e">
        <f>AND('GA55 Entry'!E159,"AAAAAE97/0s=")</f>
        <v>#VALUE!</v>
      </c>
      <c r="BY78" t="e">
        <f>AND('GA55 Entry'!F159,"AAAAAE97/0w=")</f>
        <v>#VALUE!</v>
      </c>
      <c r="BZ78" t="e">
        <f>AND('GA55 Entry'!G159,"AAAAAE97/00=")</f>
        <v>#VALUE!</v>
      </c>
      <c r="CA78" t="e">
        <f>AND('GA55 Entry'!H159,"AAAAAE97/04=")</f>
        <v>#VALUE!</v>
      </c>
      <c r="CB78" t="e">
        <f>AND('GA55 Entry'!I159,"AAAAAE97/08=")</f>
        <v>#VALUE!</v>
      </c>
      <c r="CC78" t="e">
        <f>AND('GA55 Entry'!J159,"AAAAAE97/1A=")</f>
        <v>#VALUE!</v>
      </c>
      <c r="CD78" t="e">
        <f>AND('GA55 Entry'!#REF!,"AAAAAE97/1E=")</f>
        <v>#REF!</v>
      </c>
      <c r="CE78" t="e">
        <f>AND('GA55 Entry'!K159,"AAAAAE97/1I=")</f>
        <v>#VALUE!</v>
      </c>
      <c r="CF78" t="e">
        <f>AND('GA55 Entry'!L159,"AAAAAE97/1M=")</f>
        <v>#VALUE!</v>
      </c>
      <c r="CG78" t="e">
        <f>AND('GA55 Entry'!M159,"AAAAAE97/1Q=")</f>
        <v>#VALUE!</v>
      </c>
      <c r="CH78" t="e">
        <f>AND('GA55 Entry'!N159,"AAAAAE97/1U=")</f>
        <v>#VALUE!</v>
      </c>
      <c r="CI78" t="e">
        <f>AND('GA55 Entry'!O159,"AAAAAE97/1Y=")</f>
        <v>#VALUE!</v>
      </c>
      <c r="CJ78" t="e">
        <f>AND('GA55 Entry'!P159,"AAAAAE97/1c=")</f>
        <v>#VALUE!</v>
      </c>
      <c r="CK78" t="e">
        <f>AND('GA55 Entry'!Q159,"AAAAAE97/1g=")</f>
        <v>#VALUE!</v>
      </c>
      <c r="CL78" t="e">
        <f>AND('GA55 Entry'!S159,"AAAAAE97/1k=")</f>
        <v>#VALUE!</v>
      </c>
      <c r="CM78" t="e">
        <f>AND('GA55 Entry'!#REF!,"AAAAAE97/1o=")</f>
        <v>#REF!</v>
      </c>
      <c r="CN78" t="e">
        <f>AND('GA55 Entry'!T159,"AAAAAE97/1s=")</f>
        <v>#VALUE!</v>
      </c>
      <c r="CO78" t="e">
        <f>AND('GA55 Entry'!U159,"AAAAAE97/1w=")</f>
        <v>#VALUE!</v>
      </c>
      <c r="CP78" t="e">
        <f>AND('GA55 Entry'!V159,"AAAAAE97/10=")</f>
        <v>#VALUE!</v>
      </c>
      <c r="CQ78" t="e">
        <f>AND('GA55 Entry'!#REF!,"AAAAAE97/14=")</f>
        <v>#REF!</v>
      </c>
      <c r="CR78" t="e">
        <f>AND('GA55 Entry'!#REF!,"AAAAAE97/18=")</f>
        <v>#REF!</v>
      </c>
      <c r="CS78" t="e">
        <f>AND('GA55 Entry'!X159,"AAAAAE97/2A=")</f>
        <v>#VALUE!</v>
      </c>
      <c r="CT78" t="e">
        <f>AND('GA55 Entry'!Y159,"AAAAAE97/2E=")</f>
        <v>#VALUE!</v>
      </c>
      <c r="CU78" t="e">
        <f>AND('GA55 Entry'!#REF!,"AAAAAE97/2I=")</f>
        <v>#REF!</v>
      </c>
      <c r="CV78" t="e">
        <f>AND('GA55 Entry'!#REF!,"AAAAAE97/2M=")</f>
        <v>#REF!</v>
      </c>
      <c r="CW78" t="e">
        <f>AND('GA55 Entry'!#REF!,"AAAAAE97/2Q=")</f>
        <v>#REF!</v>
      </c>
      <c r="CX78" t="e">
        <f>AND('GA55 Entry'!#REF!,"AAAAAE97/2U=")</f>
        <v>#REF!</v>
      </c>
      <c r="CY78" t="e">
        <f>AND('GA55 Entry'!#REF!,"AAAAAE97/2Y=")</f>
        <v>#REF!</v>
      </c>
      <c r="CZ78" t="e">
        <f>AND('GA55 Entry'!#REF!,"AAAAAE97/2c=")</f>
        <v>#REF!</v>
      </c>
      <c r="DA78" t="e">
        <f>AND('GA55 Entry'!#REF!,"AAAAAE97/2g=")</f>
        <v>#REF!</v>
      </c>
      <c r="DB78" t="e">
        <f>AND('GA55 Entry'!#REF!,"AAAAAE97/2k=")</f>
        <v>#REF!</v>
      </c>
      <c r="DC78" t="e">
        <f>AND('GA55 Entry'!#REF!,"AAAAAE97/2o=")</f>
        <v>#REF!</v>
      </c>
      <c r="DD78" t="e">
        <f>AND('GA55 Entry'!Z159,"AAAAAE97/2s=")</f>
        <v>#VALUE!</v>
      </c>
      <c r="DE78" t="e">
        <f>AND('GA55 Entry'!AA159,"AAAAAE97/2w=")</f>
        <v>#VALUE!</v>
      </c>
      <c r="DF78" t="e">
        <f>AND('GA55 Entry'!#REF!,"AAAAAE97/20=")</f>
        <v>#REF!</v>
      </c>
      <c r="DG78" t="e">
        <f>AND('GA55 Entry'!#REF!,"AAAAAE97/24=")</f>
        <v>#REF!</v>
      </c>
      <c r="DH78" t="e">
        <f>AND('GA55 Entry'!#REF!,"AAAAAE97/28=")</f>
        <v>#REF!</v>
      </c>
      <c r="DI78" t="e">
        <f>AND('GA55 Entry'!AB159,"AAAAAE97/3A=")</f>
        <v>#VALUE!</v>
      </c>
      <c r="DJ78" t="e">
        <f>AND('GA55 Entry'!AC159,"AAAAAE97/3E=")</f>
        <v>#VALUE!</v>
      </c>
      <c r="DK78" t="e">
        <f>AND('GA55 Entry'!#REF!,"AAAAAE97/3I=")</f>
        <v>#REF!</v>
      </c>
      <c r="DL78">
        <f>IF('GA55 Entry'!160:160,"AAAAAE97/3M=",0)</f>
        <v>0</v>
      </c>
      <c r="DM78" t="e">
        <f>AND('GA55 Entry'!B160,"AAAAAE97/3Q=")</f>
        <v>#VALUE!</v>
      </c>
      <c r="DN78" t="e">
        <f>AND('GA55 Entry'!#REF!,"AAAAAE97/3U=")</f>
        <v>#REF!</v>
      </c>
      <c r="DO78" t="e">
        <f>AND('GA55 Entry'!C160,"AAAAAE97/3Y=")</f>
        <v>#VALUE!</v>
      </c>
      <c r="DP78" t="e">
        <f>AND('GA55 Entry'!#REF!,"AAAAAE97/3c=")</f>
        <v>#REF!</v>
      </c>
      <c r="DQ78" t="e">
        <f>AND('GA55 Entry'!#REF!,"AAAAAE97/3g=")</f>
        <v>#REF!</v>
      </c>
      <c r="DR78" t="e">
        <f>AND('GA55 Entry'!#REF!,"AAAAAE97/3k=")</f>
        <v>#REF!</v>
      </c>
      <c r="DS78" t="e">
        <f>AND('GA55 Entry'!#REF!,"AAAAAE97/3o=")</f>
        <v>#REF!</v>
      </c>
      <c r="DT78" t="e">
        <f>AND('GA55 Entry'!#REF!,"AAAAAE97/3s=")</f>
        <v>#REF!</v>
      </c>
      <c r="DU78" t="e">
        <f>AND('GA55 Entry'!D160,"AAAAAE97/3w=")</f>
        <v>#VALUE!</v>
      </c>
      <c r="DV78" t="e">
        <f>AND('GA55 Entry'!#REF!,"AAAAAE97/30=")</f>
        <v>#REF!</v>
      </c>
      <c r="DW78" t="e">
        <f>AND('GA55 Entry'!E160,"AAAAAE97/34=")</f>
        <v>#VALUE!</v>
      </c>
      <c r="DX78" t="e">
        <f>AND('GA55 Entry'!F160,"AAAAAE97/38=")</f>
        <v>#VALUE!</v>
      </c>
      <c r="DY78" t="e">
        <f>AND('GA55 Entry'!G160,"AAAAAE97/4A=")</f>
        <v>#VALUE!</v>
      </c>
      <c r="DZ78" t="e">
        <f>AND('GA55 Entry'!H160,"AAAAAE97/4E=")</f>
        <v>#VALUE!</v>
      </c>
      <c r="EA78" t="e">
        <f>AND('GA55 Entry'!I160,"AAAAAE97/4I=")</f>
        <v>#VALUE!</v>
      </c>
      <c r="EB78" t="e">
        <f>AND('GA55 Entry'!J160,"AAAAAE97/4M=")</f>
        <v>#VALUE!</v>
      </c>
      <c r="EC78" t="e">
        <f>AND('GA55 Entry'!#REF!,"AAAAAE97/4Q=")</f>
        <v>#REF!</v>
      </c>
      <c r="ED78" t="e">
        <f>AND('GA55 Entry'!K160,"AAAAAE97/4U=")</f>
        <v>#VALUE!</v>
      </c>
      <c r="EE78" t="e">
        <f>AND('GA55 Entry'!L160,"AAAAAE97/4Y=")</f>
        <v>#VALUE!</v>
      </c>
      <c r="EF78" t="e">
        <f>AND('GA55 Entry'!M160,"AAAAAE97/4c=")</f>
        <v>#VALUE!</v>
      </c>
      <c r="EG78" t="e">
        <f>AND('GA55 Entry'!N160,"AAAAAE97/4g=")</f>
        <v>#VALUE!</v>
      </c>
      <c r="EH78" t="e">
        <f>AND('GA55 Entry'!O160,"AAAAAE97/4k=")</f>
        <v>#VALUE!</v>
      </c>
      <c r="EI78" t="e">
        <f>AND('GA55 Entry'!P160,"AAAAAE97/4o=")</f>
        <v>#VALUE!</v>
      </c>
      <c r="EJ78" t="e">
        <f>AND('GA55 Entry'!Q160,"AAAAAE97/4s=")</f>
        <v>#VALUE!</v>
      </c>
      <c r="EK78" t="e">
        <f>AND('GA55 Entry'!S160,"AAAAAE97/4w=")</f>
        <v>#VALUE!</v>
      </c>
      <c r="EL78" t="e">
        <f>AND('GA55 Entry'!#REF!,"AAAAAE97/40=")</f>
        <v>#REF!</v>
      </c>
      <c r="EM78" t="e">
        <f>AND('GA55 Entry'!T160,"AAAAAE97/44=")</f>
        <v>#VALUE!</v>
      </c>
      <c r="EN78" t="e">
        <f>AND('GA55 Entry'!U160,"AAAAAE97/48=")</f>
        <v>#VALUE!</v>
      </c>
      <c r="EO78" t="e">
        <f>AND('GA55 Entry'!V160,"AAAAAE97/5A=")</f>
        <v>#VALUE!</v>
      </c>
      <c r="EP78" t="e">
        <f>AND('GA55 Entry'!#REF!,"AAAAAE97/5E=")</f>
        <v>#REF!</v>
      </c>
      <c r="EQ78" t="e">
        <f>AND('GA55 Entry'!#REF!,"AAAAAE97/5I=")</f>
        <v>#REF!</v>
      </c>
      <c r="ER78" t="e">
        <f>AND('GA55 Entry'!X160,"AAAAAE97/5M=")</f>
        <v>#VALUE!</v>
      </c>
      <c r="ES78" t="e">
        <f>AND('GA55 Entry'!Y160,"AAAAAE97/5Q=")</f>
        <v>#VALUE!</v>
      </c>
      <c r="ET78" t="e">
        <f>AND('GA55 Entry'!#REF!,"AAAAAE97/5U=")</f>
        <v>#REF!</v>
      </c>
      <c r="EU78" t="e">
        <f>AND('GA55 Entry'!#REF!,"AAAAAE97/5Y=")</f>
        <v>#REF!</v>
      </c>
      <c r="EV78" t="e">
        <f>AND('GA55 Entry'!#REF!,"AAAAAE97/5c=")</f>
        <v>#REF!</v>
      </c>
      <c r="EW78" t="e">
        <f>AND('GA55 Entry'!#REF!,"AAAAAE97/5g=")</f>
        <v>#REF!</v>
      </c>
      <c r="EX78" t="e">
        <f>AND('GA55 Entry'!#REF!,"AAAAAE97/5k=")</f>
        <v>#REF!</v>
      </c>
      <c r="EY78" t="e">
        <f>AND('GA55 Entry'!#REF!,"AAAAAE97/5o=")</f>
        <v>#REF!</v>
      </c>
      <c r="EZ78" t="e">
        <f>AND('GA55 Entry'!#REF!,"AAAAAE97/5s=")</f>
        <v>#REF!</v>
      </c>
      <c r="FA78" t="e">
        <f>AND('GA55 Entry'!#REF!,"AAAAAE97/5w=")</f>
        <v>#REF!</v>
      </c>
      <c r="FB78" t="e">
        <f>AND('GA55 Entry'!#REF!,"AAAAAE97/50=")</f>
        <v>#REF!</v>
      </c>
      <c r="FC78" t="e">
        <f>AND('GA55 Entry'!Z160,"AAAAAE97/54=")</f>
        <v>#VALUE!</v>
      </c>
      <c r="FD78" t="e">
        <f>AND('GA55 Entry'!AA160,"AAAAAE97/58=")</f>
        <v>#VALUE!</v>
      </c>
      <c r="FE78" t="e">
        <f>AND('GA55 Entry'!#REF!,"AAAAAE97/6A=")</f>
        <v>#REF!</v>
      </c>
      <c r="FF78" t="e">
        <f>AND('GA55 Entry'!#REF!,"AAAAAE97/6E=")</f>
        <v>#REF!</v>
      </c>
      <c r="FG78" t="e">
        <f>AND('GA55 Entry'!#REF!,"AAAAAE97/6I=")</f>
        <v>#REF!</v>
      </c>
      <c r="FH78" t="e">
        <f>AND('GA55 Entry'!AB160,"AAAAAE97/6M=")</f>
        <v>#VALUE!</v>
      </c>
      <c r="FI78" t="e">
        <f>AND('GA55 Entry'!AC160,"AAAAAE97/6Q=")</f>
        <v>#VALUE!</v>
      </c>
      <c r="FJ78" t="e">
        <f>AND('GA55 Entry'!#REF!,"AAAAAE97/6U=")</f>
        <v>#REF!</v>
      </c>
      <c r="FK78">
        <f>IF('GA55 Entry'!161:161,"AAAAAE97/6Y=",0)</f>
        <v>0</v>
      </c>
      <c r="FL78" t="e">
        <f>AND('GA55 Entry'!B161,"AAAAAE97/6c=")</f>
        <v>#VALUE!</v>
      </c>
      <c r="FM78" t="e">
        <f>AND('GA55 Entry'!#REF!,"AAAAAE97/6g=")</f>
        <v>#REF!</v>
      </c>
      <c r="FN78" t="e">
        <f>AND('GA55 Entry'!C161,"AAAAAE97/6k=")</f>
        <v>#VALUE!</v>
      </c>
      <c r="FO78" t="e">
        <f>AND('GA55 Entry'!#REF!,"AAAAAE97/6o=")</f>
        <v>#REF!</v>
      </c>
      <c r="FP78" t="e">
        <f>AND('GA55 Entry'!#REF!,"AAAAAE97/6s=")</f>
        <v>#REF!</v>
      </c>
      <c r="FQ78" t="e">
        <f>AND('GA55 Entry'!#REF!,"AAAAAE97/6w=")</f>
        <v>#REF!</v>
      </c>
      <c r="FR78" t="e">
        <f>AND('GA55 Entry'!#REF!,"AAAAAE97/60=")</f>
        <v>#REF!</v>
      </c>
      <c r="FS78" t="e">
        <f>AND('GA55 Entry'!#REF!,"AAAAAE97/64=")</f>
        <v>#REF!</v>
      </c>
      <c r="FT78" t="e">
        <f>AND('GA55 Entry'!D161,"AAAAAE97/68=")</f>
        <v>#VALUE!</v>
      </c>
      <c r="FU78" t="e">
        <f>AND('GA55 Entry'!#REF!,"AAAAAE97/7A=")</f>
        <v>#REF!</v>
      </c>
      <c r="FV78" t="e">
        <f>AND('GA55 Entry'!E161,"AAAAAE97/7E=")</f>
        <v>#VALUE!</v>
      </c>
      <c r="FW78" t="e">
        <f>AND('GA55 Entry'!F161,"AAAAAE97/7I=")</f>
        <v>#VALUE!</v>
      </c>
      <c r="FX78" t="e">
        <f>AND('GA55 Entry'!G161,"AAAAAE97/7M=")</f>
        <v>#VALUE!</v>
      </c>
      <c r="FY78" t="e">
        <f>AND('GA55 Entry'!H161,"AAAAAE97/7Q=")</f>
        <v>#VALUE!</v>
      </c>
      <c r="FZ78" t="e">
        <f>AND('GA55 Entry'!I161,"AAAAAE97/7U=")</f>
        <v>#VALUE!</v>
      </c>
      <c r="GA78" t="e">
        <f>AND('GA55 Entry'!J161,"AAAAAE97/7Y=")</f>
        <v>#VALUE!</v>
      </c>
      <c r="GB78" t="e">
        <f>AND('GA55 Entry'!#REF!,"AAAAAE97/7c=")</f>
        <v>#REF!</v>
      </c>
      <c r="GC78" t="e">
        <f>AND('GA55 Entry'!K161,"AAAAAE97/7g=")</f>
        <v>#VALUE!</v>
      </c>
      <c r="GD78" t="e">
        <f>AND('GA55 Entry'!L161,"AAAAAE97/7k=")</f>
        <v>#VALUE!</v>
      </c>
      <c r="GE78" t="e">
        <f>AND('GA55 Entry'!M161,"AAAAAE97/7o=")</f>
        <v>#VALUE!</v>
      </c>
      <c r="GF78" t="e">
        <f>AND('GA55 Entry'!N161,"AAAAAE97/7s=")</f>
        <v>#VALUE!</v>
      </c>
      <c r="GG78" t="e">
        <f>AND('GA55 Entry'!O161,"AAAAAE97/7w=")</f>
        <v>#VALUE!</v>
      </c>
      <c r="GH78" t="e">
        <f>AND('GA55 Entry'!P161,"AAAAAE97/70=")</f>
        <v>#VALUE!</v>
      </c>
      <c r="GI78" t="e">
        <f>AND('GA55 Entry'!Q161,"AAAAAE97/74=")</f>
        <v>#VALUE!</v>
      </c>
      <c r="GJ78" t="e">
        <f>AND('GA55 Entry'!S161,"AAAAAE97/78=")</f>
        <v>#VALUE!</v>
      </c>
      <c r="GK78" t="e">
        <f>AND('GA55 Entry'!#REF!,"AAAAAE97/8A=")</f>
        <v>#REF!</v>
      </c>
      <c r="GL78" t="e">
        <f>AND('GA55 Entry'!T161,"AAAAAE97/8E=")</f>
        <v>#VALUE!</v>
      </c>
      <c r="GM78" t="e">
        <f>AND('GA55 Entry'!U161,"AAAAAE97/8I=")</f>
        <v>#VALUE!</v>
      </c>
      <c r="GN78" t="e">
        <f>AND('GA55 Entry'!V161,"AAAAAE97/8M=")</f>
        <v>#VALUE!</v>
      </c>
      <c r="GO78" t="e">
        <f>AND('GA55 Entry'!#REF!,"AAAAAE97/8Q=")</f>
        <v>#REF!</v>
      </c>
      <c r="GP78" t="e">
        <f>AND('GA55 Entry'!#REF!,"AAAAAE97/8U=")</f>
        <v>#REF!</v>
      </c>
      <c r="GQ78" t="e">
        <f>AND('GA55 Entry'!X161,"AAAAAE97/8Y=")</f>
        <v>#VALUE!</v>
      </c>
      <c r="GR78" t="e">
        <f>AND('GA55 Entry'!Y161,"AAAAAE97/8c=")</f>
        <v>#VALUE!</v>
      </c>
      <c r="GS78" t="e">
        <f>AND('GA55 Entry'!#REF!,"AAAAAE97/8g=")</f>
        <v>#REF!</v>
      </c>
      <c r="GT78" t="e">
        <f>AND('GA55 Entry'!#REF!,"AAAAAE97/8k=")</f>
        <v>#REF!</v>
      </c>
      <c r="GU78" t="e">
        <f>AND('GA55 Entry'!#REF!,"AAAAAE97/8o=")</f>
        <v>#REF!</v>
      </c>
      <c r="GV78" t="e">
        <f>AND('GA55 Entry'!#REF!,"AAAAAE97/8s=")</f>
        <v>#REF!</v>
      </c>
      <c r="GW78" t="e">
        <f>AND('GA55 Entry'!#REF!,"AAAAAE97/8w=")</f>
        <v>#REF!</v>
      </c>
      <c r="GX78" t="e">
        <f>AND('GA55 Entry'!#REF!,"AAAAAE97/80=")</f>
        <v>#REF!</v>
      </c>
      <c r="GY78" t="e">
        <f>AND('GA55 Entry'!#REF!,"AAAAAE97/84=")</f>
        <v>#REF!</v>
      </c>
      <c r="GZ78" t="e">
        <f>AND('GA55 Entry'!#REF!,"AAAAAE97/88=")</f>
        <v>#REF!</v>
      </c>
      <c r="HA78" t="e">
        <f>AND('GA55 Entry'!#REF!,"AAAAAE97/9A=")</f>
        <v>#REF!</v>
      </c>
      <c r="HB78" t="e">
        <f>AND('GA55 Entry'!Z161,"AAAAAE97/9E=")</f>
        <v>#VALUE!</v>
      </c>
      <c r="HC78" t="e">
        <f>AND('GA55 Entry'!AA161,"AAAAAE97/9I=")</f>
        <v>#VALUE!</v>
      </c>
      <c r="HD78" t="e">
        <f>AND('GA55 Entry'!#REF!,"AAAAAE97/9M=")</f>
        <v>#REF!</v>
      </c>
      <c r="HE78" t="e">
        <f>AND('GA55 Entry'!#REF!,"AAAAAE97/9Q=")</f>
        <v>#REF!</v>
      </c>
      <c r="HF78" t="e">
        <f>AND('GA55 Entry'!#REF!,"AAAAAE97/9U=")</f>
        <v>#REF!</v>
      </c>
      <c r="HG78" t="e">
        <f>AND('GA55 Entry'!AB161,"AAAAAE97/9Y=")</f>
        <v>#VALUE!</v>
      </c>
      <c r="HH78" t="e">
        <f>AND('GA55 Entry'!AC161,"AAAAAE97/9c=")</f>
        <v>#VALUE!</v>
      </c>
      <c r="HI78" t="e">
        <f>AND('GA55 Entry'!#REF!,"AAAAAE97/9g=")</f>
        <v>#REF!</v>
      </c>
      <c r="HJ78">
        <f>IF('GA55 Entry'!162:162,"AAAAAE97/9k=",0)</f>
        <v>0</v>
      </c>
      <c r="HK78" t="e">
        <f>AND('GA55 Entry'!B162,"AAAAAE97/9o=")</f>
        <v>#VALUE!</v>
      </c>
      <c r="HL78" t="e">
        <f>AND('GA55 Entry'!#REF!,"AAAAAE97/9s=")</f>
        <v>#REF!</v>
      </c>
      <c r="HM78" t="e">
        <f>AND('GA55 Entry'!C162,"AAAAAE97/9w=")</f>
        <v>#VALUE!</v>
      </c>
      <c r="HN78" t="e">
        <f>AND('GA55 Entry'!#REF!,"AAAAAE97/90=")</f>
        <v>#REF!</v>
      </c>
      <c r="HO78" t="e">
        <f>AND('GA55 Entry'!#REF!,"AAAAAE97/94=")</f>
        <v>#REF!</v>
      </c>
      <c r="HP78" t="e">
        <f>AND('GA55 Entry'!#REF!,"AAAAAE97/98=")</f>
        <v>#REF!</v>
      </c>
      <c r="HQ78" t="e">
        <f>AND('GA55 Entry'!#REF!,"AAAAAE97/+A=")</f>
        <v>#REF!</v>
      </c>
      <c r="HR78" t="e">
        <f>AND('GA55 Entry'!#REF!,"AAAAAE97/+E=")</f>
        <v>#REF!</v>
      </c>
      <c r="HS78" t="e">
        <f>AND('GA55 Entry'!D162,"AAAAAE97/+I=")</f>
        <v>#VALUE!</v>
      </c>
      <c r="HT78" t="e">
        <f>AND('GA55 Entry'!#REF!,"AAAAAE97/+M=")</f>
        <v>#REF!</v>
      </c>
      <c r="HU78" t="e">
        <f>AND('GA55 Entry'!E162,"AAAAAE97/+Q=")</f>
        <v>#VALUE!</v>
      </c>
      <c r="HV78" t="e">
        <f>AND('GA55 Entry'!F162,"AAAAAE97/+U=")</f>
        <v>#VALUE!</v>
      </c>
      <c r="HW78" t="e">
        <f>AND('GA55 Entry'!G162,"AAAAAE97/+Y=")</f>
        <v>#VALUE!</v>
      </c>
      <c r="HX78" t="e">
        <f>AND('GA55 Entry'!H162,"AAAAAE97/+c=")</f>
        <v>#VALUE!</v>
      </c>
      <c r="HY78" t="e">
        <f>AND('GA55 Entry'!I162,"AAAAAE97/+g=")</f>
        <v>#VALUE!</v>
      </c>
      <c r="HZ78" t="e">
        <f>AND('GA55 Entry'!J162,"AAAAAE97/+k=")</f>
        <v>#VALUE!</v>
      </c>
      <c r="IA78" t="e">
        <f>AND('GA55 Entry'!#REF!,"AAAAAE97/+o=")</f>
        <v>#REF!</v>
      </c>
      <c r="IB78" t="e">
        <f>AND('GA55 Entry'!K162,"AAAAAE97/+s=")</f>
        <v>#VALUE!</v>
      </c>
      <c r="IC78" t="e">
        <f>AND('GA55 Entry'!L162,"AAAAAE97/+w=")</f>
        <v>#VALUE!</v>
      </c>
      <c r="ID78" t="e">
        <f>AND('GA55 Entry'!M162,"AAAAAE97/+0=")</f>
        <v>#VALUE!</v>
      </c>
      <c r="IE78" t="e">
        <f>AND('GA55 Entry'!N162,"AAAAAE97/+4=")</f>
        <v>#VALUE!</v>
      </c>
      <c r="IF78" t="e">
        <f>AND('GA55 Entry'!O162,"AAAAAE97/+8=")</f>
        <v>#VALUE!</v>
      </c>
      <c r="IG78" t="e">
        <f>AND('GA55 Entry'!P162,"AAAAAE97//A=")</f>
        <v>#VALUE!</v>
      </c>
      <c r="IH78" t="e">
        <f>AND('GA55 Entry'!Q162,"AAAAAE97//E=")</f>
        <v>#VALUE!</v>
      </c>
      <c r="II78" t="e">
        <f>AND('GA55 Entry'!S162,"AAAAAE97//I=")</f>
        <v>#VALUE!</v>
      </c>
      <c r="IJ78" t="e">
        <f>AND('GA55 Entry'!#REF!,"AAAAAE97//M=")</f>
        <v>#REF!</v>
      </c>
      <c r="IK78" t="e">
        <f>AND('GA55 Entry'!T162,"AAAAAE97//Q=")</f>
        <v>#VALUE!</v>
      </c>
      <c r="IL78" t="e">
        <f>AND('GA55 Entry'!U162,"AAAAAE97//U=")</f>
        <v>#VALUE!</v>
      </c>
      <c r="IM78" t="e">
        <f>AND('GA55 Entry'!V162,"AAAAAE97//Y=")</f>
        <v>#VALUE!</v>
      </c>
      <c r="IN78" t="e">
        <f>AND('GA55 Entry'!#REF!,"AAAAAE97//c=")</f>
        <v>#REF!</v>
      </c>
      <c r="IO78" t="e">
        <f>AND('GA55 Entry'!#REF!,"AAAAAE97//g=")</f>
        <v>#REF!</v>
      </c>
      <c r="IP78" t="e">
        <f>AND('GA55 Entry'!X162,"AAAAAE97//k=")</f>
        <v>#VALUE!</v>
      </c>
      <c r="IQ78" t="e">
        <f>AND('GA55 Entry'!Y162,"AAAAAE97//o=")</f>
        <v>#VALUE!</v>
      </c>
      <c r="IR78" t="e">
        <f>AND('GA55 Entry'!#REF!,"AAAAAE97//s=")</f>
        <v>#REF!</v>
      </c>
      <c r="IS78" t="e">
        <f>AND('GA55 Entry'!#REF!,"AAAAAE97//w=")</f>
        <v>#REF!</v>
      </c>
      <c r="IT78" t="e">
        <f>AND('GA55 Entry'!#REF!,"AAAAAE97//0=")</f>
        <v>#REF!</v>
      </c>
      <c r="IU78" t="e">
        <f>AND('GA55 Entry'!#REF!,"AAAAAE97//4=")</f>
        <v>#REF!</v>
      </c>
      <c r="IV78" t="e">
        <f>AND('GA55 Entry'!#REF!,"AAAAAE97//8=")</f>
        <v>#REF!</v>
      </c>
    </row>
    <row r="79" spans="1:256">
      <c r="A79" t="e">
        <f>AND('GA55 Entry'!#REF!,"AAAAAH3stgA=")</f>
        <v>#REF!</v>
      </c>
      <c r="B79" t="e">
        <f>AND('GA55 Entry'!#REF!,"AAAAAH3stgE=")</f>
        <v>#REF!</v>
      </c>
      <c r="C79" t="e">
        <f>AND('GA55 Entry'!#REF!,"AAAAAH3stgI=")</f>
        <v>#REF!</v>
      </c>
      <c r="D79" t="e">
        <f>AND('GA55 Entry'!#REF!,"AAAAAH3stgM=")</f>
        <v>#REF!</v>
      </c>
      <c r="E79" t="e">
        <f>AND('GA55 Entry'!Z162,"AAAAAH3stgQ=")</f>
        <v>#VALUE!</v>
      </c>
      <c r="F79" t="e">
        <f>AND('GA55 Entry'!AA162,"AAAAAH3stgU=")</f>
        <v>#VALUE!</v>
      </c>
      <c r="G79" t="e">
        <f>AND('GA55 Entry'!#REF!,"AAAAAH3stgY=")</f>
        <v>#REF!</v>
      </c>
      <c r="H79" t="e">
        <f>AND('GA55 Entry'!#REF!,"AAAAAH3stgc=")</f>
        <v>#REF!</v>
      </c>
      <c r="I79" t="e">
        <f>AND('GA55 Entry'!#REF!,"AAAAAH3stgg=")</f>
        <v>#REF!</v>
      </c>
      <c r="J79" t="e">
        <f>AND('GA55 Entry'!AB162,"AAAAAH3stgk=")</f>
        <v>#VALUE!</v>
      </c>
      <c r="K79" t="e">
        <f>AND('GA55 Entry'!AC162,"AAAAAH3stgo=")</f>
        <v>#VALUE!</v>
      </c>
      <c r="L79" t="e">
        <f>AND('GA55 Entry'!#REF!,"AAAAAH3stgs=")</f>
        <v>#REF!</v>
      </c>
      <c r="M79">
        <f>IF('GA55 Entry'!163:163,"AAAAAH3stgw=",0)</f>
        <v>0</v>
      </c>
      <c r="N79" t="e">
        <f>AND('GA55 Entry'!B163,"AAAAAH3stg0=")</f>
        <v>#VALUE!</v>
      </c>
      <c r="O79" t="e">
        <f>AND('GA55 Entry'!#REF!,"AAAAAH3stg4=")</f>
        <v>#REF!</v>
      </c>
      <c r="P79" t="e">
        <f>AND('GA55 Entry'!C163,"AAAAAH3stg8=")</f>
        <v>#VALUE!</v>
      </c>
      <c r="Q79" t="e">
        <f>AND('GA55 Entry'!#REF!,"AAAAAH3sthA=")</f>
        <v>#REF!</v>
      </c>
      <c r="R79" t="e">
        <f>AND('GA55 Entry'!#REF!,"AAAAAH3sthE=")</f>
        <v>#REF!</v>
      </c>
      <c r="S79" t="e">
        <f>AND('GA55 Entry'!#REF!,"AAAAAH3sthI=")</f>
        <v>#REF!</v>
      </c>
      <c r="T79" t="e">
        <f>AND('GA55 Entry'!#REF!,"AAAAAH3sthM=")</f>
        <v>#REF!</v>
      </c>
      <c r="U79" t="e">
        <f>AND('GA55 Entry'!#REF!,"AAAAAH3sthQ=")</f>
        <v>#REF!</v>
      </c>
      <c r="V79" t="e">
        <f>AND('GA55 Entry'!D163,"AAAAAH3sthU=")</f>
        <v>#VALUE!</v>
      </c>
      <c r="W79" t="e">
        <f>AND('GA55 Entry'!#REF!,"AAAAAH3sthY=")</f>
        <v>#REF!</v>
      </c>
      <c r="X79" t="e">
        <f>AND('GA55 Entry'!E163,"AAAAAH3sthc=")</f>
        <v>#VALUE!</v>
      </c>
      <c r="Y79" t="e">
        <f>AND('GA55 Entry'!F163,"AAAAAH3sthg=")</f>
        <v>#VALUE!</v>
      </c>
      <c r="Z79" t="e">
        <f>AND('GA55 Entry'!G163,"AAAAAH3sthk=")</f>
        <v>#VALUE!</v>
      </c>
      <c r="AA79" t="e">
        <f>AND('GA55 Entry'!H163,"AAAAAH3stho=")</f>
        <v>#VALUE!</v>
      </c>
      <c r="AB79" t="e">
        <f>AND('GA55 Entry'!I163,"AAAAAH3sths=")</f>
        <v>#VALUE!</v>
      </c>
      <c r="AC79" t="e">
        <f>AND('GA55 Entry'!J163,"AAAAAH3sthw=")</f>
        <v>#VALUE!</v>
      </c>
      <c r="AD79" t="e">
        <f>AND('GA55 Entry'!#REF!,"AAAAAH3sth0=")</f>
        <v>#REF!</v>
      </c>
      <c r="AE79" t="e">
        <f>AND('GA55 Entry'!K163,"AAAAAH3sth4=")</f>
        <v>#VALUE!</v>
      </c>
      <c r="AF79" t="e">
        <f>AND('GA55 Entry'!L163,"AAAAAH3sth8=")</f>
        <v>#VALUE!</v>
      </c>
      <c r="AG79" t="e">
        <f>AND('GA55 Entry'!M163,"AAAAAH3stiA=")</f>
        <v>#VALUE!</v>
      </c>
      <c r="AH79" t="e">
        <f>AND('GA55 Entry'!N163,"AAAAAH3stiE=")</f>
        <v>#VALUE!</v>
      </c>
      <c r="AI79" t="e">
        <f>AND('GA55 Entry'!O163,"AAAAAH3stiI=")</f>
        <v>#VALUE!</v>
      </c>
      <c r="AJ79" t="e">
        <f>AND('GA55 Entry'!P163,"AAAAAH3stiM=")</f>
        <v>#VALUE!</v>
      </c>
      <c r="AK79" t="e">
        <f>AND('GA55 Entry'!Q163,"AAAAAH3stiQ=")</f>
        <v>#VALUE!</v>
      </c>
      <c r="AL79" t="e">
        <f>AND('GA55 Entry'!S163,"AAAAAH3stiU=")</f>
        <v>#VALUE!</v>
      </c>
      <c r="AM79" t="e">
        <f>AND('GA55 Entry'!#REF!,"AAAAAH3stiY=")</f>
        <v>#REF!</v>
      </c>
      <c r="AN79" t="e">
        <f>AND('GA55 Entry'!T163,"AAAAAH3stic=")</f>
        <v>#VALUE!</v>
      </c>
      <c r="AO79" t="e">
        <f>AND('GA55 Entry'!U163,"AAAAAH3stig=")</f>
        <v>#VALUE!</v>
      </c>
      <c r="AP79" t="e">
        <f>AND('GA55 Entry'!V163,"AAAAAH3stik=")</f>
        <v>#VALUE!</v>
      </c>
      <c r="AQ79" t="e">
        <f>AND('GA55 Entry'!#REF!,"AAAAAH3stio=")</f>
        <v>#REF!</v>
      </c>
      <c r="AR79" t="e">
        <f>AND('GA55 Entry'!#REF!,"AAAAAH3stis=")</f>
        <v>#REF!</v>
      </c>
      <c r="AS79" t="e">
        <f>AND('GA55 Entry'!X163,"AAAAAH3stiw=")</f>
        <v>#VALUE!</v>
      </c>
      <c r="AT79" t="e">
        <f>AND('GA55 Entry'!Y163,"AAAAAH3sti0=")</f>
        <v>#VALUE!</v>
      </c>
      <c r="AU79" t="e">
        <f>AND('GA55 Entry'!#REF!,"AAAAAH3sti4=")</f>
        <v>#REF!</v>
      </c>
      <c r="AV79" t="e">
        <f>AND('GA55 Entry'!#REF!,"AAAAAH3sti8=")</f>
        <v>#REF!</v>
      </c>
      <c r="AW79" t="e">
        <f>AND('GA55 Entry'!#REF!,"AAAAAH3stjA=")</f>
        <v>#REF!</v>
      </c>
      <c r="AX79" t="e">
        <f>AND('GA55 Entry'!#REF!,"AAAAAH3stjE=")</f>
        <v>#REF!</v>
      </c>
      <c r="AY79" t="e">
        <f>AND('GA55 Entry'!#REF!,"AAAAAH3stjI=")</f>
        <v>#REF!</v>
      </c>
      <c r="AZ79" t="e">
        <f>AND('GA55 Entry'!#REF!,"AAAAAH3stjM=")</f>
        <v>#REF!</v>
      </c>
      <c r="BA79" t="e">
        <f>AND('GA55 Entry'!#REF!,"AAAAAH3stjQ=")</f>
        <v>#REF!</v>
      </c>
      <c r="BB79" t="e">
        <f>AND('GA55 Entry'!#REF!,"AAAAAH3stjU=")</f>
        <v>#REF!</v>
      </c>
      <c r="BC79" t="e">
        <f>AND('GA55 Entry'!#REF!,"AAAAAH3stjY=")</f>
        <v>#REF!</v>
      </c>
      <c r="BD79" t="e">
        <f>AND('GA55 Entry'!Z163,"AAAAAH3stjc=")</f>
        <v>#VALUE!</v>
      </c>
      <c r="BE79" t="e">
        <f>AND('GA55 Entry'!AA163,"AAAAAH3stjg=")</f>
        <v>#VALUE!</v>
      </c>
      <c r="BF79" t="e">
        <f>AND('GA55 Entry'!#REF!,"AAAAAH3stjk=")</f>
        <v>#REF!</v>
      </c>
      <c r="BG79" t="e">
        <f>AND('GA55 Entry'!#REF!,"AAAAAH3stjo=")</f>
        <v>#REF!</v>
      </c>
      <c r="BH79" t="e">
        <f>AND('GA55 Entry'!#REF!,"AAAAAH3stjs=")</f>
        <v>#REF!</v>
      </c>
      <c r="BI79" t="e">
        <f>AND('GA55 Entry'!AB163,"AAAAAH3stjw=")</f>
        <v>#VALUE!</v>
      </c>
      <c r="BJ79" t="e">
        <f>AND('GA55 Entry'!AC163,"AAAAAH3stj0=")</f>
        <v>#VALUE!</v>
      </c>
      <c r="BK79" t="e">
        <f>AND('GA55 Entry'!#REF!,"AAAAAH3stj4=")</f>
        <v>#REF!</v>
      </c>
      <c r="BL79">
        <f>IF('GA55 Entry'!164:164,"AAAAAH3stj8=",0)</f>
        <v>0</v>
      </c>
      <c r="BM79" t="e">
        <f>AND('GA55 Entry'!B164,"AAAAAH3stkA=")</f>
        <v>#VALUE!</v>
      </c>
      <c r="BN79" t="e">
        <f>AND('GA55 Entry'!#REF!,"AAAAAH3stkE=")</f>
        <v>#REF!</v>
      </c>
      <c r="BO79" t="e">
        <f>AND('GA55 Entry'!C164,"AAAAAH3stkI=")</f>
        <v>#VALUE!</v>
      </c>
      <c r="BP79" t="e">
        <f>AND('GA55 Entry'!#REF!,"AAAAAH3stkM=")</f>
        <v>#REF!</v>
      </c>
      <c r="BQ79" t="e">
        <f>AND('GA55 Entry'!#REF!,"AAAAAH3stkQ=")</f>
        <v>#REF!</v>
      </c>
      <c r="BR79" t="e">
        <f>AND('GA55 Entry'!#REF!,"AAAAAH3stkU=")</f>
        <v>#REF!</v>
      </c>
      <c r="BS79" t="e">
        <f>AND('GA55 Entry'!#REF!,"AAAAAH3stkY=")</f>
        <v>#REF!</v>
      </c>
      <c r="BT79" t="e">
        <f>AND('GA55 Entry'!#REF!,"AAAAAH3stkc=")</f>
        <v>#REF!</v>
      </c>
      <c r="BU79" t="e">
        <f>AND('GA55 Entry'!D164,"AAAAAH3stkg=")</f>
        <v>#VALUE!</v>
      </c>
      <c r="BV79" t="e">
        <f>AND('GA55 Entry'!#REF!,"AAAAAH3stkk=")</f>
        <v>#REF!</v>
      </c>
      <c r="BW79" t="e">
        <f>AND('GA55 Entry'!E164,"AAAAAH3stko=")</f>
        <v>#VALUE!</v>
      </c>
      <c r="BX79" t="e">
        <f>AND('GA55 Entry'!F164,"AAAAAH3stks=")</f>
        <v>#VALUE!</v>
      </c>
      <c r="BY79" t="e">
        <f>AND('GA55 Entry'!G164,"AAAAAH3stkw=")</f>
        <v>#VALUE!</v>
      </c>
      <c r="BZ79" t="e">
        <f>AND('GA55 Entry'!H164,"AAAAAH3stk0=")</f>
        <v>#VALUE!</v>
      </c>
      <c r="CA79" t="e">
        <f>AND('GA55 Entry'!I164,"AAAAAH3stk4=")</f>
        <v>#VALUE!</v>
      </c>
      <c r="CB79" t="e">
        <f>AND('GA55 Entry'!J164,"AAAAAH3stk8=")</f>
        <v>#VALUE!</v>
      </c>
      <c r="CC79" t="e">
        <f>AND('GA55 Entry'!#REF!,"AAAAAH3stlA=")</f>
        <v>#REF!</v>
      </c>
      <c r="CD79" t="e">
        <f>AND('GA55 Entry'!K164,"AAAAAH3stlE=")</f>
        <v>#VALUE!</v>
      </c>
      <c r="CE79" t="e">
        <f>AND('GA55 Entry'!L164,"AAAAAH3stlI=")</f>
        <v>#VALUE!</v>
      </c>
      <c r="CF79" t="e">
        <f>AND('GA55 Entry'!M164,"AAAAAH3stlM=")</f>
        <v>#VALUE!</v>
      </c>
      <c r="CG79" t="e">
        <f>AND('GA55 Entry'!N164,"AAAAAH3stlQ=")</f>
        <v>#VALUE!</v>
      </c>
      <c r="CH79" t="e">
        <f>AND('GA55 Entry'!O164,"AAAAAH3stlU=")</f>
        <v>#VALUE!</v>
      </c>
      <c r="CI79" t="e">
        <f>AND('GA55 Entry'!P164,"AAAAAH3stlY=")</f>
        <v>#VALUE!</v>
      </c>
      <c r="CJ79" t="e">
        <f>AND('GA55 Entry'!Q164,"AAAAAH3stlc=")</f>
        <v>#VALUE!</v>
      </c>
      <c r="CK79" t="e">
        <f>AND('GA55 Entry'!S164,"AAAAAH3stlg=")</f>
        <v>#VALUE!</v>
      </c>
      <c r="CL79" t="e">
        <f>AND('GA55 Entry'!#REF!,"AAAAAH3stlk=")</f>
        <v>#REF!</v>
      </c>
      <c r="CM79" t="e">
        <f>AND('GA55 Entry'!T164,"AAAAAH3stlo=")</f>
        <v>#VALUE!</v>
      </c>
      <c r="CN79" t="e">
        <f>AND('GA55 Entry'!U164,"AAAAAH3stls=")</f>
        <v>#VALUE!</v>
      </c>
      <c r="CO79" t="e">
        <f>AND('GA55 Entry'!V164,"AAAAAH3stlw=")</f>
        <v>#VALUE!</v>
      </c>
      <c r="CP79" t="e">
        <f>AND('GA55 Entry'!#REF!,"AAAAAH3stl0=")</f>
        <v>#REF!</v>
      </c>
      <c r="CQ79" t="e">
        <f>AND('GA55 Entry'!#REF!,"AAAAAH3stl4=")</f>
        <v>#REF!</v>
      </c>
      <c r="CR79" t="e">
        <f>AND('GA55 Entry'!X164,"AAAAAH3stl8=")</f>
        <v>#VALUE!</v>
      </c>
      <c r="CS79" t="e">
        <f>AND('GA55 Entry'!Y164,"AAAAAH3stmA=")</f>
        <v>#VALUE!</v>
      </c>
      <c r="CT79" t="e">
        <f>AND('GA55 Entry'!#REF!,"AAAAAH3stmE=")</f>
        <v>#REF!</v>
      </c>
      <c r="CU79" t="e">
        <f>AND('GA55 Entry'!#REF!,"AAAAAH3stmI=")</f>
        <v>#REF!</v>
      </c>
      <c r="CV79" t="e">
        <f>AND('GA55 Entry'!#REF!,"AAAAAH3stmM=")</f>
        <v>#REF!</v>
      </c>
      <c r="CW79" t="e">
        <f>AND('GA55 Entry'!#REF!,"AAAAAH3stmQ=")</f>
        <v>#REF!</v>
      </c>
      <c r="CX79" t="e">
        <f>AND('GA55 Entry'!#REF!,"AAAAAH3stmU=")</f>
        <v>#REF!</v>
      </c>
      <c r="CY79" t="e">
        <f>AND('GA55 Entry'!#REF!,"AAAAAH3stmY=")</f>
        <v>#REF!</v>
      </c>
      <c r="CZ79" t="e">
        <f>AND('GA55 Entry'!#REF!,"AAAAAH3stmc=")</f>
        <v>#REF!</v>
      </c>
      <c r="DA79" t="e">
        <f>AND('GA55 Entry'!#REF!,"AAAAAH3stmg=")</f>
        <v>#REF!</v>
      </c>
      <c r="DB79" t="e">
        <f>AND('GA55 Entry'!#REF!,"AAAAAH3stmk=")</f>
        <v>#REF!</v>
      </c>
      <c r="DC79" t="e">
        <f>AND('GA55 Entry'!Z164,"AAAAAH3stmo=")</f>
        <v>#VALUE!</v>
      </c>
      <c r="DD79" t="e">
        <f>AND('GA55 Entry'!AA164,"AAAAAH3stms=")</f>
        <v>#VALUE!</v>
      </c>
      <c r="DE79" t="e">
        <f>AND('GA55 Entry'!#REF!,"AAAAAH3stmw=")</f>
        <v>#REF!</v>
      </c>
      <c r="DF79" t="e">
        <f>AND('GA55 Entry'!#REF!,"AAAAAH3stm0=")</f>
        <v>#REF!</v>
      </c>
      <c r="DG79" t="e">
        <f>AND('GA55 Entry'!#REF!,"AAAAAH3stm4=")</f>
        <v>#REF!</v>
      </c>
      <c r="DH79" t="e">
        <f>AND('GA55 Entry'!AB164,"AAAAAH3stm8=")</f>
        <v>#VALUE!</v>
      </c>
      <c r="DI79" t="e">
        <f>AND('GA55 Entry'!AC164,"AAAAAH3stnA=")</f>
        <v>#VALUE!</v>
      </c>
      <c r="DJ79" t="e">
        <f>AND('GA55 Entry'!#REF!,"AAAAAH3stnE=")</f>
        <v>#REF!</v>
      </c>
      <c r="DK79">
        <f>IF('GA55 Entry'!165:165,"AAAAAH3stnI=",0)</f>
        <v>0</v>
      </c>
      <c r="DL79" t="e">
        <f>AND('GA55 Entry'!B165,"AAAAAH3stnM=")</f>
        <v>#VALUE!</v>
      </c>
      <c r="DM79" t="e">
        <f>AND('GA55 Entry'!#REF!,"AAAAAH3stnQ=")</f>
        <v>#REF!</v>
      </c>
      <c r="DN79" t="e">
        <f>AND('GA55 Entry'!C165,"AAAAAH3stnU=")</f>
        <v>#VALUE!</v>
      </c>
      <c r="DO79" t="e">
        <f>AND('GA55 Entry'!#REF!,"AAAAAH3stnY=")</f>
        <v>#REF!</v>
      </c>
      <c r="DP79" t="e">
        <f>AND('GA55 Entry'!#REF!,"AAAAAH3stnc=")</f>
        <v>#REF!</v>
      </c>
      <c r="DQ79" t="e">
        <f>AND('GA55 Entry'!#REF!,"AAAAAH3stng=")</f>
        <v>#REF!</v>
      </c>
      <c r="DR79" t="e">
        <f>AND('GA55 Entry'!#REF!,"AAAAAH3stnk=")</f>
        <v>#REF!</v>
      </c>
      <c r="DS79" t="e">
        <f>AND('GA55 Entry'!#REF!,"AAAAAH3stno=")</f>
        <v>#REF!</v>
      </c>
      <c r="DT79" t="e">
        <f>AND('GA55 Entry'!D165,"AAAAAH3stns=")</f>
        <v>#VALUE!</v>
      </c>
      <c r="DU79" t="e">
        <f>AND('GA55 Entry'!#REF!,"AAAAAH3stnw=")</f>
        <v>#REF!</v>
      </c>
      <c r="DV79" t="e">
        <f>AND('GA55 Entry'!E165,"AAAAAH3stn0=")</f>
        <v>#VALUE!</v>
      </c>
      <c r="DW79" t="e">
        <f>AND('GA55 Entry'!F165,"AAAAAH3stn4=")</f>
        <v>#VALUE!</v>
      </c>
      <c r="DX79" t="e">
        <f>AND('GA55 Entry'!G165,"AAAAAH3stn8=")</f>
        <v>#VALUE!</v>
      </c>
      <c r="DY79" t="e">
        <f>AND('GA55 Entry'!H165,"AAAAAH3stoA=")</f>
        <v>#VALUE!</v>
      </c>
      <c r="DZ79" t="e">
        <f>AND('GA55 Entry'!I165,"AAAAAH3stoE=")</f>
        <v>#VALUE!</v>
      </c>
      <c r="EA79" t="e">
        <f>AND('GA55 Entry'!J165,"AAAAAH3stoI=")</f>
        <v>#VALUE!</v>
      </c>
      <c r="EB79" t="e">
        <f>AND('GA55 Entry'!#REF!,"AAAAAH3stoM=")</f>
        <v>#REF!</v>
      </c>
      <c r="EC79" t="e">
        <f>AND('GA55 Entry'!K165,"AAAAAH3stoQ=")</f>
        <v>#VALUE!</v>
      </c>
      <c r="ED79" t="e">
        <f>AND('GA55 Entry'!L165,"AAAAAH3stoU=")</f>
        <v>#VALUE!</v>
      </c>
      <c r="EE79" t="e">
        <f>AND('GA55 Entry'!M165,"AAAAAH3stoY=")</f>
        <v>#VALUE!</v>
      </c>
      <c r="EF79" t="e">
        <f>AND('GA55 Entry'!N165,"AAAAAH3stoc=")</f>
        <v>#VALUE!</v>
      </c>
      <c r="EG79" t="e">
        <f>AND('GA55 Entry'!O165,"AAAAAH3stog=")</f>
        <v>#VALUE!</v>
      </c>
      <c r="EH79" t="e">
        <f>AND('GA55 Entry'!P165,"AAAAAH3stok=")</f>
        <v>#VALUE!</v>
      </c>
      <c r="EI79" t="e">
        <f>AND('GA55 Entry'!Q165,"AAAAAH3stoo=")</f>
        <v>#VALUE!</v>
      </c>
      <c r="EJ79" t="e">
        <f>AND('GA55 Entry'!S165,"AAAAAH3stos=")</f>
        <v>#VALUE!</v>
      </c>
      <c r="EK79" t="e">
        <f>AND('GA55 Entry'!#REF!,"AAAAAH3stow=")</f>
        <v>#REF!</v>
      </c>
      <c r="EL79" t="e">
        <f>AND('GA55 Entry'!T165,"AAAAAH3sto0=")</f>
        <v>#VALUE!</v>
      </c>
      <c r="EM79" t="e">
        <f>AND('GA55 Entry'!U165,"AAAAAH3sto4=")</f>
        <v>#VALUE!</v>
      </c>
      <c r="EN79" t="e">
        <f>AND('GA55 Entry'!V165,"AAAAAH3sto8=")</f>
        <v>#VALUE!</v>
      </c>
      <c r="EO79" t="e">
        <f>AND('GA55 Entry'!#REF!,"AAAAAH3stpA=")</f>
        <v>#REF!</v>
      </c>
      <c r="EP79" t="e">
        <f>AND('GA55 Entry'!#REF!,"AAAAAH3stpE=")</f>
        <v>#REF!</v>
      </c>
      <c r="EQ79" t="e">
        <f>AND('GA55 Entry'!X165,"AAAAAH3stpI=")</f>
        <v>#VALUE!</v>
      </c>
      <c r="ER79" t="e">
        <f>AND('GA55 Entry'!Y165,"AAAAAH3stpM=")</f>
        <v>#VALUE!</v>
      </c>
      <c r="ES79" t="e">
        <f>AND('GA55 Entry'!#REF!,"AAAAAH3stpQ=")</f>
        <v>#REF!</v>
      </c>
      <c r="ET79" t="e">
        <f>AND('GA55 Entry'!#REF!,"AAAAAH3stpU=")</f>
        <v>#REF!</v>
      </c>
      <c r="EU79" t="e">
        <f>AND('GA55 Entry'!#REF!,"AAAAAH3stpY=")</f>
        <v>#REF!</v>
      </c>
      <c r="EV79" t="e">
        <f>AND('GA55 Entry'!#REF!,"AAAAAH3stpc=")</f>
        <v>#REF!</v>
      </c>
      <c r="EW79" t="e">
        <f>AND('GA55 Entry'!#REF!,"AAAAAH3stpg=")</f>
        <v>#REF!</v>
      </c>
      <c r="EX79" t="e">
        <f>AND('GA55 Entry'!#REF!,"AAAAAH3stpk=")</f>
        <v>#REF!</v>
      </c>
      <c r="EY79" t="e">
        <f>AND('GA55 Entry'!#REF!,"AAAAAH3stpo=")</f>
        <v>#REF!</v>
      </c>
      <c r="EZ79" t="e">
        <f>AND('GA55 Entry'!#REF!,"AAAAAH3stps=")</f>
        <v>#REF!</v>
      </c>
      <c r="FA79" t="e">
        <f>AND('GA55 Entry'!#REF!,"AAAAAH3stpw=")</f>
        <v>#REF!</v>
      </c>
      <c r="FB79" t="e">
        <f>AND('GA55 Entry'!Z165,"AAAAAH3stp0=")</f>
        <v>#VALUE!</v>
      </c>
      <c r="FC79" t="e">
        <f>AND('GA55 Entry'!AA165,"AAAAAH3stp4=")</f>
        <v>#VALUE!</v>
      </c>
      <c r="FD79" t="e">
        <f>AND('GA55 Entry'!#REF!,"AAAAAH3stp8=")</f>
        <v>#REF!</v>
      </c>
      <c r="FE79" t="e">
        <f>AND('GA55 Entry'!#REF!,"AAAAAH3stqA=")</f>
        <v>#REF!</v>
      </c>
      <c r="FF79" t="e">
        <f>AND('GA55 Entry'!#REF!,"AAAAAH3stqE=")</f>
        <v>#REF!</v>
      </c>
      <c r="FG79" t="e">
        <f>AND('GA55 Entry'!AB165,"AAAAAH3stqI=")</f>
        <v>#VALUE!</v>
      </c>
      <c r="FH79" t="e">
        <f>AND('GA55 Entry'!AC165,"AAAAAH3stqM=")</f>
        <v>#VALUE!</v>
      </c>
      <c r="FI79" t="e">
        <f>AND('GA55 Entry'!#REF!,"AAAAAH3stqQ=")</f>
        <v>#REF!</v>
      </c>
      <c r="FJ79">
        <f>IF('GA55 Entry'!166:166,"AAAAAH3stqU=",0)</f>
        <v>0</v>
      </c>
      <c r="FK79" t="e">
        <f>AND('GA55 Entry'!B166,"AAAAAH3stqY=")</f>
        <v>#VALUE!</v>
      </c>
      <c r="FL79" t="e">
        <f>AND('GA55 Entry'!#REF!,"AAAAAH3stqc=")</f>
        <v>#REF!</v>
      </c>
      <c r="FM79" t="e">
        <f>AND('GA55 Entry'!C166,"AAAAAH3stqg=")</f>
        <v>#VALUE!</v>
      </c>
      <c r="FN79" t="e">
        <f>AND('GA55 Entry'!#REF!,"AAAAAH3stqk=")</f>
        <v>#REF!</v>
      </c>
      <c r="FO79" t="e">
        <f>AND('GA55 Entry'!#REF!,"AAAAAH3stqo=")</f>
        <v>#REF!</v>
      </c>
      <c r="FP79" t="e">
        <f>AND('GA55 Entry'!#REF!,"AAAAAH3stqs=")</f>
        <v>#REF!</v>
      </c>
      <c r="FQ79" t="e">
        <f>AND('GA55 Entry'!#REF!,"AAAAAH3stqw=")</f>
        <v>#REF!</v>
      </c>
      <c r="FR79" t="e">
        <f>AND('GA55 Entry'!#REF!,"AAAAAH3stq0=")</f>
        <v>#REF!</v>
      </c>
      <c r="FS79" t="e">
        <f>AND('GA55 Entry'!D166,"AAAAAH3stq4=")</f>
        <v>#VALUE!</v>
      </c>
      <c r="FT79" t="e">
        <f>AND('GA55 Entry'!#REF!,"AAAAAH3stq8=")</f>
        <v>#REF!</v>
      </c>
      <c r="FU79" t="e">
        <f>AND('GA55 Entry'!E166,"AAAAAH3strA=")</f>
        <v>#VALUE!</v>
      </c>
      <c r="FV79" t="e">
        <f>AND('GA55 Entry'!F166,"AAAAAH3strE=")</f>
        <v>#VALUE!</v>
      </c>
      <c r="FW79" t="e">
        <f>AND('GA55 Entry'!G166,"AAAAAH3strI=")</f>
        <v>#VALUE!</v>
      </c>
      <c r="FX79" t="e">
        <f>AND('GA55 Entry'!H166,"AAAAAH3strM=")</f>
        <v>#VALUE!</v>
      </c>
      <c r="FY79" t="e">
        <f>AND('GA55 Entry'!I166,"AAAAAH3strQ=")</f>
        <v>#VALUE!</v>
      </c>
      <c r="FZ79" t="e">
        <f>AND('GA55 Entry'!J166,"AAAAAH3strU=")</f>
        <v>#VALUE!</v>
      </c>
      <c r="GA79" t="e">
        <f>AND('GA55 Entry'!#REF!,"AAAAAH3strY=")</f>
        <v>#REF!</v>
      </c>
      <c r="GB79" t="e">
        <f>AND('GA55 Entry'!K166,"AAAAAH3strc=")</f>
        <v>#VALUE!</v>
      </c>
      <c r="GC79" t="e">
        <f>AND('GA55 Entry'!L166,"AAAAAH3strg=")</f>
        <v>#VALUE!</v>
      </c>
      <c r="GD79" t="e">
        <f>AND('GA55 Entry'!M166,"AAAAAH3strk=")</f>
        <v>#VALUE!</v>
      </c>
      <c r="GE79" t="e">
        <f>AND('GA55 Entry'!N166,"AAAAAH3stro=")</f>
        <v>#VALUE!</v>
      </c>
      <c r="GF79" t="e">
        <f>AND('GA55 Entry'!O166,"AAAAAH3strs=")</f>
        <v>#VALUE!</v>
      </c>
      <c r="GG79" t="e">
        <f>AND('GA55 Entry'!P166,"AAAAAH3strw=")</f>
        <v>#VALUE!</v>
      </c>
      <c r="GH79" t="e">
        <f>AND('GA55 Entry'!Q166,"AAAAAH3str0=")</f>
        <v>#VALUE!</v>
      </c>
      <c r="GI79" t="e">
        <f>AND('GA55 Entry'!S166,"AAAAAH3str4=")</f>
        <v>#VALUE!</v>
      </c>
      <c r="GJ79" t="e">
        <f>AND('GA55 Entry'!#REF!,"AAAAAH3str8=")</f>
        <v>#REF!</v>
      </c>
      <c r="GK79" t="e">
        <f>AND('GA55 Entry'!T166,"AAAAAH3stsA=")</f>
        <v>#VALUE!</v>
      </c>
      <c r="GL79" t="e">
        <f>AND('GA55 Entry'!U166,"AAAAAH3stsE=")</f>
        <v>#VALUE!</v>
      </c>
      <c r="GM79" t="e">
        <f>AND('GA55 Entry'!V166,"AAAAAH3stsI=")</f>
        <v>#VALUE!</v>
      </c>
      <c r="GN79" t="e">
        <f>AND('GA55 Entry'!#REF!,"AAAAAH3stsM=")</f>
        <v>#REF!</v>
      </c>
      <c r="GO79" t="e">
        <f>AND('GA55 Entry'!#REF!,"AAAAAH3stsQ=")</f>
        <v>#REF!</v>
      </c>
      <c r="GP79" t="e">
        <f>AND('GA55 Entry'!X166,"AAAAAH3stsU=")</f>
        <v>#VALUE!</v>
      </c>
      <c r="GQ79" t="e">
        <f>AND('GA55 Entry'!Y166,"AAAAAH3stsY=")</f>
        <v>#VALUE!</v>
      </c>
      <c r="GR79" t="e">
        <f>AND('GA55 Entry'!#REF!,"AAAAAH3stsc=")</f>
        <v>#REF!</v>
      </c>
      <c r="GS79" t="e">
        <f>AND('GA55 Entry'!#REF!,"AAAAAH3stsg=")</f>
        <v>#REF!</v>
      </c>
      <c r="GT79" t="e">
        <f>AND('GA55 Entry'!#REF!,"AAAAAH3stsk=")</f>
        <v>#REF!</v>
      </c>
      <c r="GU79" t="e">
        <f>AND('GA55 Entry'!#REF!,"AAAAAH3stso=")</f>
        <v>#REF!</v>
      </c>
      <c r="GV79" t="e">
        <f>AND('GA55 Entry'!#REF!,"AAAAAH3stss=")</f>
        <v>#REF!</v>
      </c>
      <c r="GW79" t="e">
        <f>AND('GA55 Entry'!#REF!,"AAAAAH3stsw=")</f>
        <v>#REF!</v>
      </c>
      <c r="GX79" t="e">
        <f>AND('GA55 Entry'!#REF!,"AAAAAH3sts0=")</f>
        <v>#REF!</v>
      </c>
      <c r="GY79" t="e">
        <f>AND('GA55 Entry'!#REF!,"AAAAAH3sts4=")</f>
        <v>#REF!</v>
      </c>
      <c r="GZ79" t="e">
        <f>AND('GA55 Entry'!#REF!,"AAAAAH3sts8=")</f>
        <v>#REF!</v>
      </c>
      <c r="HA79" t="e">
        <f>AND('GA55 Entry'!Z166,"AAAAAH3sttA=")</f>
        <v>#VALUE!</v>
      </c>
      <c r="HB79" t="e">
        <f>AND('GA55 Entry'!AA166,"AAAAAH3sttE=")</f>
        <v>#VALUE!</v>
      </c>
      <c r="HC79" t="e">
        <f>AND('GA55 Entry'!#REF!,"AAAAAH3sttI=")</f>
        <v>#REF!</v>
      </c>
      <c r="HD79" t="e">
        <f>AND('GA55 Entry'!#REF!,"AAAAAH3sttM=")</f>
        <v>#REF!</v>
      </c>
      <c r="HE79" t="e">
        <f>AND('GA55 Entry'!#REF!,"AAAAAH3sttQ=")</f>
        <v>#REF!</v>
      </c>
      <c r="HF79" t="e">
        <f>AND('GA55 Entry'!AB166,"AAAAAH3sttU=")</f>
        <v>#VALUE!</v>
      </c>
      <c r="HG79" t="e">
        <f>AND('GA55 Entry'!AC166,"AAAAAH3sttY=")</f>
        <v>#VALUE!</v>
      </c>
      <c r="HH79" t="e">
        <f>AND('GA55 Entry'!#REF!,"AAAAAH3sttc=")</f>
        <v>#REF!</v>
      </c>
      <c r="HI79">
        <f>IF('GA55 Entry'!167:167,"AAAAAH3sttg=",0)</f>
        <v>0</v>
      </c>
      <c r="HJ79" t="e">
        <f>AND('GA55 Entry'!B167,"AAAAAH3sttk=")</f>
        <v>#VALUE!</v>
      </c>
      <c r="HK79" t="e">
        <f>AND('GA55 Entry'!#REF!,"AAAAAH3stto=")</f>
        <v>#REF!</v>
      </c>
      <c r="HL79" t="e">
        <f>AND('GA55 Entry'!C167,"AAAAAH3stts=")</f>
        <v>#VALUE!</v>
      </c>
      <c r="HM79" t="e">
        <f>AND('GA55 Entry'!#REF!,"AAAAAH3sttw=")</f>
        <v>#REF!</v>
      </c>
      <c r="HN79" t="e">
        <f>AND('GA55 Entry'!#REF!,"AAAAAH3stt0=")</f>
        <v>#REF!</v>
      </c>
      <c r="HO79" t="e">
        <f>AND('GA55 Entry'!#REF!,"AAAAAH3stt4=")</f>
        <v>#REF!</v>
      </c>
      <c r="HP79" t="e">
        <f>AND('GA55 Entry'!#REF!,"AAAAAH3stt8=")</f>
        <v>#REF!</v>
      </c>
      <c r="HQ79" t="e">
        <f>AND('GA55 Entry'!#REF!,"AAAAAH3stuA=")</f>
        <v>#REF!</v>
      </c>
      <c r="HR79" t="e">
        <f>AND('GA55 Entry'!D167,"AAAAAH3stuE=")</f>
        <v>#VALUE!</v>
      </c>
      <c r="HS79" t="e">
        <f>AND('GA55 Entry'!#REF!,"AAAAAH3stuI=")</f>
        <v>#REF!</v>
      </c>
      <c r="HT79" t="e">
        <f>AND('GA55 Entry'!E167,"AAAAAH3stuM=")</f>
        <v>#VALUE!</v>
      </c>
      <c r="HU79" t="e">
        <f>AND('GA55 Entry'!F167,"AAAAAH3stuQ=")</f>
        <v>#VALUE!</v>
      </c>
      <c r="HV79" t="e">
        <f>AND('GA55 Entry'!G167,"AAAAAH3stuU=")</f>
        <v>#VALUE!</v>
      </c>
      <c r="HW79" t="e">
        <f>AND('GA55 Entry'!H167,"AAAAAH3stuY=")</f>
        <v>#VALUE!</v>
      </c>
      <c r="HX79" t="e">
        <f>AND('GA55 Entry'!I167,"AAAAAH3stuc=")</f>
        <v>#VALUE!</v>
      </c>
      <c r="HY79" t="e">
        <f>AND('GA55 Entry'!J167,"AAAAAH3stug=")</f>
        <v>#VALUE!</v>
      </c>
      <c r="HZ79" t="e">
        <f>AND('GA55 Entry'!#REF!,"AAAAAH3stuk=")</f>
        <v>#REF!</v>
      </c>
      <c r="IA79" t="e">
        <f>AND('GA55 Entry'!K167,"AAAAAH3stuo=")</f>
        <v>#VALUE!</v>
      </c>
      <c r="IB79" t="e">
        <f>AND('GA55 Entry'!L167,"AAAAAH3stus=")</f>
        <v>#VALUE!</v>
      </c>
      <c r="IC79" t="e">
        <f>AND('GA55 Entry'!M167,"AAAAAH3stuw=")</f>
        <v>#VALUE!</v>
      </c>
      <c r="ID79" t="e">
        <f>AND('GA55 Entry'!N167,"AAAAAH3stu0=")</f>
        <v>#VALUE!</v>
      </c>
      <c r="IE79" t="e">
        <f>AND('GA55 Entry'!O167,"AAAAAH3stu4=")</f>
        <v>#VALUE!</v>
      </c>
      <c r="IF79" t="e">
        <f>AND('GA55 Entry'!P167,"AAAAAH3stu8=")</f>
        <v>#VALUE!</v>
      </c>
      <c r="IG79" t="e">
        <f>AND('GA55 Entry'!Q167,"AAAAAH3stvA=")</f>
        <v>#VALUE!</v>
      </c>
      <c r="IH79" t="e">
        <f>AND('GA55 Entry'!S167,"AAAAAH3stvE=")</f>
        <v>#VALUE!</v>
      </c>
      <c r="II79" t="e">
        <f>AND('GA55 Entry'!#REF!,"AAAAAH3stvI=")</f>
        <v>#REF!</v>
      </c>
      <c r="IJ79" t="e">
        <f>AND('GA55 Entry'!T167,"AAAAAH3stvM=")</f>
        <v>#VALUE!</v>
      </c>
      <c r="IK79" t="e">
        <f>AND('GA55 Entry'!U167,"AAAAAH3stvQ=")</f>
        <v>#VALUE!</v>
      </c>
      <c r="IL79" t="e">
        <f>AND('GA55 Entry'!V167,"AAAAAH3stvU=")</f>
        <v>#VALUE!</v>
      </c>
      <c r="IM79" t="e">
        <f>AND('GA55 Entry'!#REF!,"AAAAAH3stvY=")</f>
        <v>#REF!</v>
      </c>
      <c r="IN79" t="e">
        <f>AND('GA55 Entry'!#REF!,"AAAAAH3stvc=")</f>
        <v>#REF!</v>
      </c>
      <c r="IO79" t="e">
        <f>AND('GA55 Entry'!X167,"AAAAAH3stvg=")</f>
        <v>#VALUE!</v>
      </c>
      <c r="IP79" t="e">
        <f>AND('GA55 Entry'!Y167,"AAAAAH3stvk=")</f>
        <v>#VALUE!</v>
      </c>
      <c r="IQ79" t="e">
        <f>AND('GA55 Entry'!#REF!,"AAAAAH3stvo=")</f>
        <v>#REF!</v>
      </c>
      <c r="IR79" t="e">
        <f>AND('GA55 Entry'!#REF!,"AAAAAH3stvs=")</f>
        <v>#REF!</v>
      </c>
      <c r="IS79" t="e">
        <f>AND('GA55 Entry'!#REF!,"AAAAAH3stvw=")</f>
        <v>#REF!</v>
      </c>
      <c r="IT79" t="e">
        <f>AND('GA55 Entry'!#REF!,"AAAAAH3stv0=")</f>
        <v>#REF!</v>
      </c>
      <c r="IU79" t="e">
        <f>AND('GA55 Entry'!#REF!,"AAAAAH3stv4=")</f>
        <v>#REF!</v>
      </c>
      <c r="IV79" t="e">
        <f>AND('GA55 Entry'!#REF!,"AAAAAH3stv8=")</f>
        <v>#REF!</v>
      </c>
    </row>
    <row r="80" spans="1:256">
      <c r="A80" t="e">
        <f>AND('GA55 Entry'!#REF!,"AAAAAEn5fwA=")</f>
        <v>#REF!</v>
      </c>
      <c r="B80" t="e">
        <f>AND('GA55 Entry'!#REF!,"AAAAAEn5fwE=")</f>
        <v>#REF!</v>
      </c>
      <c r="C80" t="e">
        <f>AND('GA55 Entry'!#REF!,"AAAAAEn5fwI=")</f>
        <v>#REF!</v>
      </c>
      <c r="D80" t="e">
        <f>AND('GA55 Entry'!Z167,"AAAAAEn5fwM=")</f>
        <v>#VALUE!</v>
      </c>
      <c r="E80" t="e">
        <f>AND('GA55 Entry'!AA167,"AAAAAEn5fwQ=")</f>
        <v>#VALUE!</v>
      </c>
      <c r="F80" t="e">
        <f>AND('GA55 Entry'!#REF!,"AAAAAEn5fwU=")</f>
        <v>#REF!</v>
      </c>
      <c r="G80" t="e">
        <f>AND('GA55 Entry'!#REF!,"AAAAAEn5fwY=")</f>
        <v>#REF!</v>
      </c>
      <c r="H80" t="e">
        <f>AND('GA55 Entry'!#REF!,"AAAAAEn5fwc=")</f>
        <v>#REF!</v>
      </c>
      <c r="I80" t="e">
        <f>AND('GA55 Entry'!AB167,"AAAAAEn5fwg=")</f>
        <v>#VALUE!</v>
      </c>
      <c r="J80" t="e">
        <f>AND('GA55 Entry'!AC167,"AAAAAEn5fwk=")</f>
        <v>#VALUE!</v>
      </c>
      <c r="K80" t="e">
        <f>AND('GA55 Entry'!#REF!,"AAAAAEn5fwo=")</f>
        <v>#REF!</v>
      </c>
      <c r="L80">
        <f>IF('GA55 Entry'!168:168,"AAAAAEn5fws=",0)</f>
        <v>0</v>
      </c>
      <c r="M80" t="e">
        <f>AND('GA55 Entry'!B168,"AAAAAEn5fww=")</f>
        <v>#VALUE!</v>
      </c>
      <c r="N80" t="e">
        <f>AND('GA55 Entry'!#REF!,"AAAAAEn5fw0=")</f>
        <v>#REF!</v>
      </c>
      <c r="O80" t="e">
        <f>AND('GA55 Entry'!C168,"AAAAAEn5fw4=")</f>
        <v>#VALUE!</v>
      </c>
      <c r="P80" t="e">
        <f>AND('GA55 Entry'!#REF!,"AAAAAEn5fw8=")</f>
        <v>#REF!</v>
      </c>
      <c r="Q80" t="e">
        <f>AND('GA55 Entry'!#REF!,"AAAAAEn5fxA=")</f>
        <v>#REF!</v>
      </c>
      <c r="R80" t="e">
        <f>AND('GA55 Entry'!#REF!,"AAAAAEn5fxE=")</f>
        <v>#REF!</v>
      </c>
      <c r="S80" t="e">
        <f>AND('GA55 Entry'!#REF!,"AAAAAEn5fxI=")</f>
        <v>#REF!</v>
      </c>
      <c r="T80" t="e">
        <f>AND('GA55 Entry'!#REF!,"AAAAAEn5fxM=")</f>
        <v>#REF!</v>
      </c>
      <c r="U80" t="e">
        <f>AND('GA55 Entry'!D168,"AAAAAEn5fxQ=")</f>
        <v>#VALUE!</v>
      </c>
      <c r="V80" t="e">
        <f>AND('GA55 Entry'!#REF!,"AAAAAEn5fxU=")</f>
        <v>#REF!</v>
      </c>
      <c r="W80" t="e">
        <f>AND('GA55 Entry'!E168,"AAAAAEn5fxY=")</f>
        <v>#VALUE!</v>
      </c>
      <c r="X80" t="e">
        <f>AND('GA55 Entry'!F168,"AAAAAEn5fxc=")</f>
        <v>#VALUE!</v>
      </c>
      <c r="Y80" t="e">
        <f>AND('GA55 Entry'!G168,"AAAAAEn5fxg=")</f>
        <v>#VALUE!</v>
      </c>
      <c r="Z80" t="e">
        <f>AND('GA55 Entry'!H168,"AAAAAEn5fxk=")</f>
        <v>#VALUE!</v>
      </c>
      <c r="AA80" t="e">
        <f>AND('GA55 Entry'!I168,"AAAAAEn5fxo=")</f>
        <v>#VALUE!</v>
      </c>
      <c r="AB80" t="e">
        <f>AND('GA55 Entry'!J168,"AAAAAEn5fxs=")</f>
        <v>#VALUE!</v>
      </c>
      <c r="AC80" t="e">
        <f>AND('GA55 Entry'!#REF!,"AAAAAEn5fxw=")</f>
        <v>#REF!</v>
      </c>
      <c r="AD80" t="e">
        <f>AND('GA55 Entry'!K168,"AAAAAEn5fx0=")</f>
        <v>#VALUE!</v>
      </c>
      <c r="AE80" t="e">
        <f>AND('GA55 Entry'!L168,"AAAAAEn5fx4=")</f>
        <v>#VALUE!</v>
      </c>
      <c r="AF80" t="e">
        <f>AND('GA55 Entry'!M168,"AAAAAEn5fx8=")</f>
        <v>#VALUE!</v>
      </c>
      <c r="AG80" t="e">
        <f>AND('GA55 Entry'!N168,"AAAAAEn5fyA=")</f>
        <v>#VALUE!</v>
      </c>
      <c r="AH80" t="e">
        <f>AND('GA55 Entry'!O168,"AAAAAEn5fyE=")</f>
        <v>#VALUE!</v>
      </c>
      <c r="AI80" t="e">
        <f>AND('GA55 Entry'!P168,"AAAAAEn5fyI=")</f>
        <v>#VALUE!</v>
      </c>
      <c r="AJ80" t="e">
        <f>AND('GA55 Entry'!Q168,"AAAAAEn5fyM=")</f>
        <v>#VALUE!</v>
      </c>
      <c r="AK80" t="e">
        <f>AND('GA55 Entry'!S168,"AAAAAEn5fyQ=")</f>
        <v>#VALUE!</v>
      </c>
      <c r="AL80" t="e">
        <f>AND('GA55 Entry'!#REF!,"AAAAAEn5fyU=")</f>
        <v>#REF!</v>
      </c>
      <c r="AM80" t="e">
        <f>AND('GA55 Entry'!T168,"AAAAAEn5fyY=")</f>
        <v>#VALUE!</v>
      </c>
      <c r="AN80" t="e">
        <f>AND('GA55 Entry'!U168,"AAAAAEn5fyc=")</f>
        <v>#VALUE!</v>
      </c>
      <c r="AO80" t="e">
        <f>AND('GA55 Entry'!V168,"AAAAAEn5fyg=")</f>
        <v>#VALUE!</v>
      </c>
      <c r="AP80" t="e">
        <f>AND('GA55 Entry'!#REF!,"AAAAAEn5fyk=")</f>
        <v>#REF!</v>
      </c>
      <c r="AQ80" t="e">
        <f>AND('GA55 Entry'!#REF!,"AAAAAEn5fyo=")</f>
        <v>#REF!</v>
      </c>
      <c r="AR80" t="e">
        <f>AND('GA55 Entry'!X168,"AAAAAEn5fys=")</f>
        <v>#VALUE!</v>
      </c>
      <c r="AS80" t="e">
        <f>AND('GA55 Entry'!Y168,"AAAAAEn5fyw=")</f>
        <v>#VALUE!</v>
      </c>
      <c r="AT80" t="e">
        <f>AND('GA55 Entry'!#REF!,"AAAAAEn5fy0=")</f>
        <v>#REF!</v>
      </c>
      <c r="AU80" t="e">
        <f>AND('GA55 Entry'!#REF!,"AAAAAEn5fy4=")</f>
        <v>#REF!</v>
      </c>
      <c r="AV80" t="e">
        <f>AND('GA55 Entry'!#REF!,"AAAAAEn5fy8=")</f>
        <v>#REF!</v>
      </c>
      <c r="AW80" t="e">
        <f>AND('GA55 Entry'!#REF!,"AAAAAEn5fzA=")</f>
        <v>#REF!</v>
      </c>
      <c r="AX80" t="e">
        <f>AND('GA55 Entry'!#REF!,"AAAAAEn5fzE=")</f>
        <v>#REF!</v>
      </c>
      <c r="AY80" t="e">
        <f>AND('GA55 Entry'!#REF!,"AAAAAEn5fzI=")</f>
        <v>#REF!</v>
      </c>
      <c r="AZ80" t="e">
        <f>AND('GA55 Entry'!#REF!,"AAAAAEn5fzM=")</f>
        <v>#REF!</v>
      </c>
      <c r="BA80" t="e">
        <f>AND('GA55 Entry'!#REF!,"AAAAAEn5fzQ=")</f>
        <v>#REF!</v>
      </c>
      <c r="BB80" t="e">
        <f>AND('GA55 Entry'!#REF!,"AAAAAEn5fzU=")</f>
        <v>#REF!</v>
      </c>
      <c r="BC80" t="e">
        <f>AND('GA55 Entry'!Z168,"AAAAAEn5fzY=")</f>
        <v>#VALUE!</v>
      </c>
      <c r="BD80" t="e">
        <f>AND('GA55 Entry'!AA168,"AAAAAEn5fzc=")</f>
        <v>#VALUE!</v>
      </c>
      <c r="BE80" t="e">
        <f>AND('GA55 Entry'!#REF!,"AAAAAEn5fzg=")</f>
        <v>#REF!</v>
      </c>
      <c r="BF80" t="e">
        <f>AND('GA55 Entry'!#REF!,"AAAAAEn5fzk=")</f>
        <v>#REF!</v>
      </c>
      <c r="BG80" t="e">
        <f>AND('GA55 Entry'!#REF!,"AAAAAEn5fzo=")</f>
        <v>#REF!</v>
      </c>
      <c r="BH80" t="e">
        <f>AND('GA55 Entry'!AB168,"AAAAAEn5fzs=")</f>
        <v>#VALUE!</v>
      </c>
      <c r="BI80" t="e">
        <f>AND('GA55 Entry'!AC168,"AAAAAEn5fzw=")</f>
        <v>#VALUE!</v>
      </c>
      <c r="BJ80" t="e">
        <f>AND('GA55 Entry'!#REF!,"AAAAAEn5fz0=")</f>
        <v>#REF!</v>
      </c>
      <c r="BK80">
        <f>IF('GA55 Entry'!169:169,"AAAAAEn5fz4=",0)</f>
        <v>0</v>
      </c>
      <c r="BL80" t="e">
        <f>AND('GA55 Entry'!B169,"AAAAAEn5fz8=")</f>
        <v>#VALUE!</v>
      </c>
      <c r="BM80" t="e">
        <f>AND('GA55 Entry'!#REF!,"AAAAAEn5f0A=")</f>
        <v>#REF!</v>
      </c>
      <c r="BN80" t="e">
        <f>AND('GA55 Entry'!C169,"AAAAAEn5f0E=")</f>
        <v>#VALUE!</v>
      </c>
      <c r="BO80" t="e">
        <f>AND('GA55 Entry'!#REF!,"AAAAAEn5f0I=")</f>
        <v>#REF!</v>
      </c>
      <c r="BP80" t="e">
        <f>AND('GA55 Entry'!#REF!,"AAAAAEn5f0M=")</f>
        <v>#REF!</v>
      </c>
      <c r="BQ80" t="e">
        <f>AND('GA55 Entry'!#REF!,"AAAAAEn5f0Q=")</f>
        <v>#REF!</v>
      </c>
      <c r="BR80" t="e">
        <f>AND('GA55 Entry'!#REF!,"AAAAAEn5f0U=")</f>
        <v>#REF!</v>
      </c>
      <c r="BS80" t="e">
        <f>AND('GA55 Entry'!#REF!,"AAAAAEn5f0Y=")</f>
        <v>#REF!</v>
      </c>
      <c r="BT80" t="e">
        <f>AND('GA55 Entry'!D169,"AAAAAEn5f0c=")</f>
        <v>#VALUE!</v>
      </c>
      <c r="BU80" t="e">
        <f>AND('GA55 Entry'!#REF!,"AAAAAEn5f0g=")</f>
        <v>#REF!</v>
      </c>
      <c r="BV80" t="e">
        <f>AND('GA55 Entry'!E169,"AAAAAEn5f0k=")</f>
        <v>#VALUE!</v>
      </c>
      <c r="BW80" t="e">
        <f>AND('GA55 Entry'!F169,"AAAAAEn5f0o=")</f>
        <v>#VALUE!</v>
      </c>
      <c r="BX80" t="e">
        <f>AND('GA55 Entry'!G169,"AAAAAEn5f0s=")</f>
        <v>#VALUE!</v>
      </c>
      <c r="BY80" t="e">
        <f>AND('GA55 Entry'!H169,"AAAAAEn5f0w=")</f>
        <v>#VALUE!</v>
      </c>
      <c r="BZ80" t="e">
        <f>AND('GA55 Entry'!I169,"AAAAAEn5f00=")</f>
        <v>#VALUE!</v>
      </c>
      <c r="CA80" t="e">
        <f>AND('GA55 Entry'!J169,"AAAAAEn5f04=")</f>
        <v>#VALUE!</v>
      </c>
      <c r="CB80" t="e">
        <f>AND('GA55 Entry'!#REF!,"AAAAAEn5f08=")</f>
        <v>#REF!</v>
      </c>
      <c r="CC80" t="e">
        <f>AND('GA55 Entry'!K169,"AAAAAEn5f1A=")</f>
        <v>#VALUE!</v>
      </c>
      <c r="CD80" t="e">
        <f>AND('GA55 Entry'!L169,"AAAAAEn5f1E=")</f>
        <v>#VALUE!</v>
      </c>
      <c r="CE80" t="e">
        <f>AND('GA55 Entry'!M169,"AAAAAEn5f1I=")</f>
        <v>#VALUE!</v>
      </c>
      <c r="CF80" t="e">
        <f>AND('GA55 Entry'!N169,"AAAAAEn5f1M=")</f>
        <v>#VALUE!</v>
      </c>
      <c r="CG80" t="e">
        <f>AND('GA55 Entry'!O169,"AAAAAEn5f1Q=")</f>
        <v>#VALUE!</v>
      </c>
      <c r="CH80" t="e">
        <f>AND('GA55 Entry'!P169,"AAAAAEn5f1U=")</f>
        <v>#VALUE!</v>
      </c>
      <c r="CI80" t="e">
        <f>AND('GA55 Entry'!Q169,"AAAAAEn5f1Y=")</f>
        <v>#VALUE!</v>
      </c>
      <c r="CJ80" t="e">
        <f>AND('GA55 Entry'!S169,"AAAAAEn5f1c=")</f>
        <v>#VALUE!</v>
      </c>
      <c r="CK80" t="e">
        <f>AND('GA55 Entry'!#REF!,"AAAAAEn5f1g=")</f>
        <v>#REF!</v>
      </c>
      <c r="CL80" t="e">
        <f>AND('GA55 Entry'!T169,"AAAAAEn5f1k=")</f>
        <v>#VALUE!</v>
      </c>
      <c r="CM80" t="e">
        <f>AND('GA55 Entry'!U169,"AAAAAEn5f1o=")</f>
        <v>#VALUE!</v>
      </c>
      <c r="CN80" t="e">
        <f>AND('GA55 Entry'!V169,"AAAAAEn5f1s=")</f>
        <v>#VALUE!</v>
      </c>
      <c r="CO80" t="e">
        <f>AND('GA55 Entry'!#REF!,"AAAAAEn5f1w=")</f>
        <v>#REF!</v>
      </c>
      <c r="CP80" t="e">
        <f>AND('GA55 Entry'!#REF!,"AAAAAEn5f10=")</f>
        <v>#REF!</v>
      </c>
      <c r="CQ80" t="e">
        <f>AND('GA55 Entry'!X169,"AAAAAEn5f14=")</f>
        <v>#VALUE!</v>
      </c>
      <c r="CR80" t="e">
        <f>AND('GA55 Entry'!Y169,"AAAAAEn5f18=")</f>
        <v>#VALUE!</v>
      </c>
      <c r="CS80" t="e">
        <f>AND('GA55 Entry'!#REF!,"AAAAAEn5f2A=")</f>
        <v>#REF!</v>
      </c>
      <c r="CT80" t="e">
        <f>AND('GA55 Entry'!#REF!,"AAAAAEn5f2E=")</f>
        <v>#REF!</v>
      </c>
      <c r="CU80" t="e">
        <f>AND('GA55 Entry'!#REF!,"AAAAAEn5f2I=")</f>
        <v>#REF!</v>
      </c>
      <c r="CV80" t="e">
        <f>AND('GA55 Entry'!#REF!,"AAAAAEn5f2M=")</f>
        <v>#REF!</v>
      </c>
      <c r="CW80" t="e">
        <f>AND('GA55 Entry'!#REF!,"AAAAAEn5f2Q=")</f>
        <v>#REF!</v>
      </c>
      <c r="CX80" t="e">
        <f>AND('GA55 Entry'!#REF!,"AAAAAEn5f2U=")</f>
        <v>#REF!</v>
      </c>
      <c r="CY80" t="e">
        <f>AND('GA55 Entry'!#REF!,"AAAAAEn5f2Y=")</f>
        <v>#REF!</v>
      </c>
      <c r="CZ80" t="e">
        <f>AND('GA55 Entry'!#REF!,"AAAAAEn5f2c=")</f>
        <v>#REF!</v>
      </c>
      <c r="DA80" t="e">
        <f>AND('GA55 Entry'!#REF!,"AAAAAEn5f2g=")</f>
        <v>#REF!</v>
      </c>
      <c r="DB80" t="e">
        <f>AND('GA55 Entry'!Z169,"AAAAAEn5f2k=")</f>
        <v>#VALUE!</v>
      </c>
      <c r="DC80" t="e">
        <f>AND('GA55 Entry'!AA169,"AAAAAEn5f2o=")</f>
        <v>#VALUE!</v>
      </c>
      <c r="DD80" t="e">
        <f>AND('GA55 Entry'!#REF!,"AAAAAEn5f2s=")</f>
        <v>#REF!</v>
      </c>
      <c r="DE80" t="e">
        <f>AND('GA55 Entry'!#REF!,"AAAAAEn5f2w=")</f>
        <v>#REF!</v>
      </c>
      <c r="DF80" t="e">
        <f>AND('GA55 Entry'!#REF!,"AAAAAEn5f20=")</f>
        <v>#REF!</v>
      </c>
      <c r="DG80" t="e">
        <f>AND('GA55 Entry'!AB169,"AAAAAEn5f24=")</f>
        <v>#VALUE!</v>
      </c>
      <c r="DH80" t="e">
        <f>AND('GA55 Entry'!AC169,"AAAAAEn5f28=")</f>
        <v>#VALUE!</v>
      </c>
      <c r="DI80" t="e">
        <f>AND('GA55 Entry'!#REF!,"AAAAAEn5f3A=")</f>
        <v>#REF!</v>
      </c>
      <c r="DJ80">
        <f>IF('GA55 Entry'!170:170,"AAAAAEn5f3E=",0)</f>
        <v>0</v>
      </c>
      <c r="DK80" t="e">
        <f>AND('GA55 Entry'!B170,"AAAAAEn5f3I=")</f>
        <v>#VALUE!</v>
      </c>
      <c r="DL80" t="e">
        <f>AND('GA55 Entry'!#REF!,"AAAAAEn5f3M=")</f>
        <v>#REF!</v>
      </c>
      <c r="DM80" t="e">
        <f>AND('GA55 Entry'!C170,"AAAAAEn5f3Q=")</f>
        <v>#VALUE!</v>
      </c>
      <c r="DN80" t="e">
        <f>AND('GA55 Entry'!#REF!,"AAAAAEn5f3U=")</f>
        <v>#REF!</v>
      </c>
      <c r="DO80" t="e">
        <f>AND('GA55 Entry'!#REF!,"AAAAAEn5f3Y=")</f>
        <v>#REF!</v>
      </c>
      <c r="DP80" t="e">
        <f>AND('GA55 Entry'!#REF!,"AAAAAEn5f3c=")</f>
        <v>#REF!</v>
      </c>
      <c r="DQ80" t="e">
        <f>AND('GA55 Entry'!#REF!,"AAAAAEn5f3g=")</f>
        <v>#REF!</v>
      </c>
      <c r="DR80" t="e">
        <f>AND('GA55 Entry'!#REF!,"AAAAAEn5f3k=")</f>
        <v>#REF!</v>
      </c>
      <c r="DS80" t="e">
        <f>AND('GA55 Entry'!D170,"AAAAAEn5f3o=")</f>
        <v>#VALUE!</v>
      </c>
      <c r="DT80" t="e">
        <f>AND('GA55 Entry'!#REF!,"AAAAAEn5f3s=")</f>
        <v>#REF!</v>
      </c>
      <c r="DU80" t="e">
        <f>AND('GA55 Entry'!E170,"AAAAAEn5f3w=")</f>
        <v>#VALUE!</v>
      </c>
      <c r="DV80" t="e">
        <f>AND('GA55 Entry'!F170,"AAAAAEn5f30=")</f>
        <v>#VALUE!</v>
      </c>
      <c r="DW80" t="e">
        <f>AND('GA55 Entry'!G170,"AAAAAEn5f34=")</f>
        <v>#VALUE!</v>
      </c>
      <c r="DX80" t="e">
        <f>AND('GA55 Entry'!H170,"AAAAAEn5f38=")</f>
        <v>#VALUE!</v>
      </c>
      <c r="DY80" t="e">
        <f>AND('GA55 Entry'!I170,"AAAAAEn5f4A=")</f>
        <v>#VALUE!</v>
      </c>
      <c r="DZ80" t="e">
        <f>AND('GA55 Entry'!J170,"AAAAAEn5f4E=")</f>
        <v>#VALUE!</v>
      </c>
      <c r="EA80" t="e">
        <f>AND('GA55 Entry'!#REF!,"AAAAAEn5f4I=")</f>
        <v>#REF!</v>
      </c>
      <c r="EB80" t="e">
        <f>AND('GA55 Entry'!K170,"AAAAAEn5f4M=")</f>
        <v>#VALUE!</v>
      </c>
      <c r="EC80" t="e">
        <f>AND('GA55 Entry'!L170,"AAAAAEn5f4Q=")</f>
        <v>#VALUE!</v>
      </c>
      <c r="ED80" t="e">
        <f>AND('GA55 Entry'!M170,"AAAAAEn5f4U=")</f>
        <v>#VALUE!</v>
      </c>
      <c r="EE80" t="e">
        <f>AND('GA55 Entry'!N170,"AAAAAEn5f4Y=")</f>
        <v>#VALUE!</v>
      </c>
      <c r="EF80" t="e">
        <f>AND('GA55 Entry'!O170,"AAAAAEn5f4c=")</f>
        <v>#VALUE!</v>
      </c>
      <c r="EG80" t="e">
        <f>AND('GA55 Entry'!P170,"AAAAAEn5f4g=")</f>
        <v>#VALUE!</v>
      </c>
      <c r="EH80" t="e">
        <f>AND('GA55 Entry'!Q170,"AAAAAEn5f4k=")</f>
        <v>#VALUE!</v>
      </c>
      <c r="EI80" t="e">
        <f>AND('GA55 Entry'!S170,"AAAAAEn5f4o=")</f>
        <v>#VALUE!</v>
      </c>
      <c r="EJ80" t="e">
        <f>AND('GA55 Entry'!#REF!,"AAAAAEn5f4s=")</f>
        <v>#REF!</v>
      </c>
      <c r="EK80" t="e">
        <f>AND('GA55 Entry'!T170,"AAAAAEn5f4w=")</f>
        <v>#VALUE!</v>
      </c>
      <c r="EL80" t="e">
        <f>AND('GA55 Entry'!U170,"AAAAAEn5f40=")</f>
        <v>#VALUE!</v>
      </c>
      <c r="EM80" t="e">
        <f>AND('GA55 Entry'!V170,"AAAAAEn5f44=")</f>
        <v>#VALUE!</v>
      </c>
      <c r="EN80" t="e">
        <f>AND('GA55 Entry'!#REF!,"AAAAAEn5f48=")</f>
        <v>#REF!</v>
      </c>
      <c r="EO80" t="e">
        <f>AND('GA55 Entry'!#REF!,"AAAAAEn5f5A=")</f>
        <v>#REF!</v>
      </c>
      <c r="EP80" t="e">
        <f>AND('GA55 Entry'!X170,"AAAAAEn5f5E=")</f>
        <v>#VALUE!</v>
      </c>
      <c r="EQ80" t="e">
        <f>AND('GA55 Entry'!Y170,"AAAAAEn5f5I=")</f>
        <v>#VALUE!</v>
      </c>
      <c r="ER80" t="e">
        <f>AND('GA55 Entry'!#REF!,"AAAAAEn5f5M=")</f>
        <v>#REF!</v>
      </c>
      <c r="ES80" t="e">
        <f>AND('GA55 Entry'!#REF!,"AAAAAEn5f5Q=")</f>
        <v>#REF!</v>
      </c>
      <c r="ET80" t="e">
        <f>AND('GA55 Entry'!#REF!,"AAAAAEn5f5U=")</f>
        <v>#REF!</v>
      </c>
      <c r="EU80" t="e">
        <f>AND('GA55 Entry'!#REF!,"AAAAAEn5f5Y=")</f>
        <v>#REF!</v>
      </c>
      <c r="EV80" t="e">
        <f>AND('GA55 Entry'!#REF!,"AAAAAEn5f5c=")</f>
        <v>#REF!</v>
      </c>
      <c r="EW80" t="e">
        <f>AND('GA55 Entry'!#REF!,"AAAAAEn5f5g=")</f>
        <v>#REF!</v>
      </c>
      <c r="EX80" t="e">
        <f>AND('GA55 Entry'!#REF!,"AAAAAEn5f5k=")</f>
        <v>#REF!</v>
      </c>
      <c r="EY80" t="e">
        <f>AND('GA55 Entry'!#REF!,"AAAAAEn5f5o=")</f>
        <v>#REF!</v>
      </c>
      <c r="EZ80" t="e">
        <f>AND('GA55 Entry'!#REF!,"AAAAAEn5f5s=")</f>
        <v>#REF!</v>
      </c>
      <c r="FA80" t="e">
        <f>AND('GA55 Entry'!Z170,"AAAAAEn5f5w=")</f>
        <v>#VALUE!</v>
      </c>
      <c r="FB80" t="e">
        <f>AND('GA55 Entry'!AA170,"AAAAAEn5f50=")</f>
        <v>#VALUE!</v>
      </c>
      <c r="FC80" t="e">
        <f>AND('GA55 Entry'!#REF!,"AAAAAEn5f54=")</f>
        <v>#REF!</v>
      </c>
      <c r="FD80" t="e">
        <f>AND('GA55 Entry'!#REF!,"AAAAAEn5f58=")</f>
        <v>#REF!</v>
      </c>
      <c r="FE80" t="e">
        <f>AND('GA55 Entry'!#REF!,"AAAAAEn5f6A=")</f>
        <v>#REF!</v>
      </c>
      <c r="FF80" t="e">
        <f>AND('GA55 Entry'!AB170,"AAAAAEn5f6E=")</f>
        <v>#VALUE!</v>
      </c>
      <c r="FG80" t="e">
        <f>AND('GA55 Entry'!AC170,"AAAAAEn5f6I=")</f>
        <v>#VALUE!</v>
      </c>
      <c r="FH80" t="e">
        <f>AND('GA55 Entry'!#REF!,"AAAAAEn5f6M=")</f>
        <v>#REF!</v>
      </c>
      <c r="FI80">
        <f>IF('GA55 Entry'!171:171,"AAAAAEn5f6Q=",0)</f>
        <v>0</v>
      </c>
      <c r="FJ80" t="e">
        <f>AND('GA55 Entry'!B171,"AAAAAEn5f6U=")</f>
        <v>#VALUE!</v>
      </c>
      <c r="FK80" t="e">
        <f>AND('GA55 Entry'!#REF!,"AAAAAEn5f6Y=")</f>
        <v>#REF!</v>
      </c>
      <c r="FL80" t="e">
        <f>AND('GA55 Entry'!C171,"AAAAAEn5f6c=")</f>
        <v>#VALUE!</v>
      </c>
      <c r="FM80" t="e">
        <f>AND('GA55 Entry'!#REF!,"AAAAAEn5f6g=")</f>
        <v>#REF!</v>
      </c>
      <c r="FN80" t="e">
        <f>AND('GA55 Entry'!#REF!,"AAAAAEn5f6k=")</f>
        <v>#REF!</v>
      </c>
      <c r="FO80" t="e">
        <f>AND('GA55 Entry'!#REF!,"AAAAAEn5f6o=")</f>
        <v>#REF!</v>
      </c>
      <c r="FP80" t="e">
        <f>AND('GA55 Entry'!#REF!,"AAAAAEn5f6s=")</f>
        <v>#REF!</v>
      </c>
      <c r="FQ80" t="e">
        <f>AND('GA55 Entry'!#REF!,"AAAAAEn5f6w=")</f>
        <v>#REF!</v>
      </c>
      <c r="FR80" t="e">
        <f>AND('GA55 Entry'!D171,"AAAAAEn5f60=")</f>
        <v>#VALUE!</v>
      </c>
      <c r="FS80" t="e">
        <f>AND('GA55 Entry'!#REF!,"AAAAAEn5f64=")</f>
        <v>#REF!</v>
      </c>
      <c r="FT80" t="e">
        <f>AND('GA55 Entry'!E171,"AAAAAEn5f68=")</f>
        <v>#VALUE!</v>
      </c>
      <c r="FU80" t="e">
        <f>AND('GA55 Entry'!F171,"AAAAAEn5f7A=")</f>
        <v>#VALUE!</v>
      </c>
      <c r="FV80" t="e">
        <f>AND('GA55 Entry'!G171,"AAAAAEn5f7E=")</f>
        <v>#VALUE!</v>
      </c>
      <c r="FW80" t="e">
        <f>AND('GA55 Entry'!H171,"AAAAAEn5f7I=")</f>
        <v>#VALUE!</v>
      </c>
      <c r="FX80" t="e">
        <f>AND('GA55 Entry'!I171,"AAAAAEn5f7M=")</f>
        <v>#VALUE!</v>
      </c>
      <c r="FY80" t="e">
        <f>AND('GA55 Entry'!J171,"AAAAAEn5f7Q=")</f>
        <v>#VALUE!</v>
      </c>
      <c r="FZ80" t="e">
        <f>AND('GA55 Entry'!#REF!,"AAAAAEn5f7U=")</f>
        <v>#REF!</v>
      </c>
      <c r="GA80" t="e">
        <f>AND('GA55 Entry'!K171,"AAAAAEn5f7Y=")</f>
        <v>#VALUE!</v>
      </c>
      <c r="GB80" t="e">
        <f>AND('GA55 Entry'!L171,"AAAAAEn5f7c=")</f>
        <v>#VALUE!</v>
      </c>
      <c r="GC80" t="e">
        <f>AND('GA55 Entry'!M171,"AAAAAEn5f7g=")</f>
        <v>#VALUE!</v>
      </c>
      <c r="GD80" t="e">
        <f>AND('GA55 Entry'!N171,"AAAAAEn5f7k=")</f>
        <v>#VALUE!</v>
      </c>
      <c r="GE80" t="e">
        <f>AND('GA55 Entry'!O171,"AAAAAEn5f7o=")</f>
        <v>#VALUE!</v>
      </c>
      <c r="GF80" t="e">
        <f>AND('GA55 Entry'!P171,"AAAAAEn5f7s=")</f>
        <v>#VALUE!</v>
      </c>
      <c r="GG80" t="e">
        <f>AND('GA55 Entry'!Q171,"AAAAAEn5f7w=")</f>
        <v>#VALUE!</v>
      </c>
      <c r="GH80" t="e">
        <f>AND('GA55 Entry'!S171,"AAAAAEn5f70=")</f>
        <v>#VALUE!</v>
      </c>
      <c r="GI80" t="e">
        <f>AND('GA55 Entry'!#REF!,"AAAAAEn5f74=")</f>
        <v>#REF!</v>
      </c>
      <c r="GJ80" t="e">
        <f>AND('GA55 Entry'!T171,"AAAAAEn5f78=")</f>
        <v>#VALUE!</v>
      </c>
      <c r="GK80" t="e">
        <f>AND('GA55 Entry'!U171,"AAAAAEn5f8A=")</f>
        <v>#VALUE!</v>
      </c>
      <c r="GL80" t="e">
        <f>AND('GA55 Entry'!V171,"AAAAAEn5f8E=")</f>
        <v>#VALUE!</v>
      </c>
      <c r="GM80" t="e">
        <f>AND('GA55 Entry'!#REF!,"AAAAAEn5f8I=")</f>
        <v>#REF!</v>
      </c>
      <c r="GN80" t="e">
        <f>AND('GA55 Entry'!#REF!,"AAAAAEn5f8M=")</f>
        <v>#REF!</v>
      </c>
      <c r="GO80" t="e">
        <f>AND('GA55 Entry'!X171,"AAAAAEn5f8Q=")</f>
        <v>#VALUE!</v>
      </c>
      <c r="GP80" t="e">
        <f>AND('GA55 Entry'!Y171,"AAAAAEn5f8U=")</f>
        <v>#VALUE!</v>
      </c>
      <c r="GQ80" t="e">
        <f>AND('GA55 Entry'!#REF!,"AAAAAEn5f8Y=")</f>
        <v>#REF!</v>
      </c>
      <c r="GR80" t="e">
        <f>AND('GA55 Entry'!#REF!,"AAAAAEn5f8c=")</f>
        <v>#REF!</v>
      </c>
      <c r="GS80" t="e">
        <f>AND('GA55 Entry'!#REF!,"AAAAAEn5f8g=")</f>
        <v>#REF!</v>
      </c>
      <c r="GT80" t="e">
        <f>AND('GA55 Entry'!#REF!,"AAAAAEn5f8k=")</f>
        <v>#REF!</v>
      </c>
      <c r="GU80" t="e">
        <f>AND('GA55 Entry'!#REF!,"AAAAAEn5f8o=")</f>
        <v>#REF!</v>
      </c>
      <c r="GV80" t="e">
        <f>AND('GA55 Entry'!#REF!,"AAAAAEn5f8s=")</f>
        <v>#REF!</v>
      </c>
      <c r="GW80" t="e">
        <f>AND('GA55 Entry'!#REF!,"AAAAAEn5f8w=")</f>
        <v>#REF!</v>
      </c>
      <c r="GX80" t="e">
        <f>AND('GA55 Entry'!#REF!,"AAAAAEn5f80=")</f>
        <v>#REF!</v>
      </c>
      <c r="GY80" t="e">
        <f>AND('GA55 Entry'!#REF!,"AAAAAEn5f84=")</f>
        <v>#REF!</v>
      </c>
      <c r="GZ80" t="e">
        <f>AND('GA55 Entry'!Z171,"AAAAAEn5f88=")</f>
        <v>#VALUE!</v>
      </c>
      <c r="HA80" t="e">
        <f>AND('GA55 Entry'!AA171,"AAAAAEn5f9A=")</f>
        <v>#VALUE!</v>
      </c>
      <c r="HB80" t="e">
        <f>AND('GA55 Entry'!#REF!,"AAAAAEn5f9E=")</f>
        <v>#REF!</v>
      </c>
      <c r="HC80" t="e">
        <f>AND('GA55 Entry'!#REF!,"AAAAAEn5f9I=")</f>
        <v>#REF!</v>
      </c>
      <c r="HD80" t="e">
        <f>AND('GA55 Entry'!#REF!,"AAAAAEn5f9M=")</f>
        <v>#REF!</v>
      </c>
      <c r="HE80" t="e">
        <f>AND('GA55 Entry'!AB171,"AAAAAEn5f9Q=")</f>
        <v>#VALUE!</v>
      </c>
      <c r="HF80" t="e">
        <f>AND('GA55 Entry'!AC171,"AAAAAEn5f9U=")</f>
        <v>#VALUE!</v>
      </c>
      <c r="HG80" t="e">
        <f>AND('GA55 Entry'!#REF!,"AAAAAEn5f9Y=")</f>
        <v>#REF!</v>
      </c>
      <c r="HH80">
        <f>IF('GA55 Entry'!172:172,"AAAAAEn5f9c=",0)</f>
        <v>0</v>
      </c>
      <c r="HI80" t="e">
        <f>AND('GA55 Entry'!B172,"AAAAAEn5f9g=")</f>
        <v>#VALUE!</v>
      </c>
      <c r="HJ80" t="e">
        <f>AND('GA55 Entry'!#REF!,"AAAAAEn5f9k=")</f>
        <v>#REF!</v>
      </c>
      <c r="HK80" t="e">
        <f>AND('GA55 Entry'!C172,"AAAAAEn5f9o=")</f>
        <v>#VALUE!</v>
      </c>
      <c r="HL80" t="e">
        <f>AND('GA55 Entry'!#REF!,"AAAAAEn5f9s=")</f>
        <v>#REF!</v>
      </c>
      <c r="HM80" t="e">
        <f>AND('GA55 Entry'!#REF!,"AAAAAEn5f9w=")</f>
        <v>#REF!</v>
      </c>
      <c r="HN80" t="e">
        <f>AND('GA55 Entry'!#REF!,"AAAAAEn5f90=")</f>
        <v>#REF!</v>
      </c>
      <c r="HO80" t="e">
        <f>AND('GA55 Entry'!#REF!,"AAAAAEn5f94=")</f>
        <v>#REF!</v>
      </c>
      <c r="HP80" t="e">
        <f>AND('GA55 Entry'!#REF!,"AAAAAEn5f98=")</f>
        <v>#REF!</v>
      </c>
      <c r="HQ80" t="e">
        <f>AND('GA55 Entry'!D172,"AAAAAEn5f+A=")</f>
        <v>#VALUE!</v>
      </c>
      <c r="HR80" t="e">
        <f>AND('GA55 Entry'!#REF!,"AAAAAEn5f+E=")</f>
        <v>#REF!</v>
      </c>
      <c r="HS80" t="e">
        <f>AND('GA55 Entry'!E172,"AAAAAEn5f+I=")</f>
        <v>#VALUE!</v>
      </c>
      <c r="HT80" t="e">
        <f>AND('GA55 Entry'!F172,"AAAAAEn5f+M=")</f>
        <v>#VALUE!</v>
      </c>
      <c r="HU80" t="e">
        <f>AND('GA55 Entry'!G172,"AAAAAEn5f+Q=")</f>
        <v>#VALUE!</v>
      </c>
      <c r="HV80" t="e">
        <f>AND('GA55 Entry'!H172,"AAAAAEn5f+U=")</f>
        <v>#VALUE!</v>
      </c>
      <c r="HW80" t="e">
        <f>AND('GA55 Entry'!I172,"AAAAAEn5f+Y=")</f>
        <v>#VALUE!</v>
      </c>
      <c r="HX80" t="e">
        <f>AND('GA55 Entry'!J172,"AAAAAEn5f+c=")</f>
        <v>#VALUE!</v>
      </c>
      <c r="HY80" t="e">
        <f>AND('GA55 Entry'!#REF!,"AAAAAEn5f+g=")</f>
        <v>#REF!</v>
      </c>
      <c r="HZ80" t="e">
        <f>AND('GA55 Entry'!K172,"AAAAAEn5f+k=")</f>
        <v>#VALUE!</v>
      </c>
      <c r="IA80" t="e">
        <f>AND('GA55 Entry'!L172,"AAAAAEn5f+o=")</f>
        <v>#VALUE!</v>
      </c>
      <c r="IB80" t="e">
        <f>AND('GA55 Entry'!M172,"AAAAAEn5f+s=")</f>
        <v>#VALUE!</v>
      </c>
      <c r="IC80" t="e">
        <f>AND('GA55 Entry'!N172,"AAAAAEn5f+w=")</f>
        <v>#VALUE!</v>
      </c>
      <c r="ID80" t="e">
        <f>AND('GA55 Entry'!O172,"AAAAAEn5f+0=")</f>
        <v>#VALUE!</v>
      </c>
      <c r="IE80" t="e">
        <f>AND('GA55 Entry'!P172,"AAAAAEn5f+4=")</f>
        <v>#VALUE!</v>
      </c>
      <c r="IF80" t="e">
        <f>AND('GA55 Entry'!Q172,"AAAAAEn5f+8=")</f>
        <v>#VALUE!</v>
      </c>
      <c r="IG80" t="e">
        <f>AND('GA55 Entry'!S172,"AAAAAEn5f/A=")</f>
        <v>#VALUE!</v>
      </c>
      <c r="IH80" t="e">
        <f>AND('GA55 Entry'!#REF!,"AAAAAEn5f/E=")</f>
        <v>#REF!</v>
      </c>
      <c r="II80" t="e">
        <f>AND('GA55 Entry'!T172,"AAAAAEn5f/I=")</f>
        <v>#VALUE!</v>
      </c>
      <c r="IJ80" t="e">
        <f>AND('GA55 Entry'!U172,"AAAAAEn5f/M=")</f>
        <v>#VALUE!</v>
      </c>
      <c r="IK80" t="e">
        <f>AND('GA55 Entry'!V172,"AAAAAEn5f/Q=")</f>
        <v>#VALUE!</v>
      </c>
      <c r="IL80" t="e">
        <f>AND('GA55 Entry'!#REF!,"AAAAAEn5f/U=")</f>
        <v>#REF!</v>
      </c>
      <c r="IM80" t="e">
        <f>AND('GA55 Entry'!#REF!,"AAAAAEn5f/Y=")</f>
        <v>#REF!</v>
      </c>
      <c r="IN80" t="e">
        <f>AND('GA55 Entry'!X172,"AAAAAEn5f/c=")</f>
        <v>#VALUE!</v>
      </c>
      <c r="IO80" t="e">
        <f>AND('GA55 Entry'!Y172,"AAAAAEn5f/g=")</f>
        <v>#VALUE!</v>
      </c>
      <c r="IP80" t="e">
        <f>AND('GA55 Entry'!#REF!,"AAAAAEn5f/k=")</f>
        <v>#REF!</v>
      </c>
      <c r="IQ80" t="e">
        <f>AND('GA55 Entry'!#REF!,"AAAAAEn5f/o=")</f>
        <v>#REF!</v>
      </c>
      <c r="IR80" t="e">
        <f>AND('GA55 Entry'!#REF!,"AAAAAEn5f/s=")</f>
        <v>#REF!</v>
      </c>
      <c r="IS80" t="e">
        <f>AND('GA55 Entry'!#REF!,"AAAAAEn5f/w=")</f>
        <v>#REF!</v>
      </c>
      <c r="IT80" t="e">
        <f>AND('GA55 Entry'!#REF!,"AAAAAEn5f/0=")</f>
        <v>#REF!</v>
      </c>
      <c r="IU80" t="e">
        <f>AND('GA55 Entry'!#REF!,"AAAAAEn5f/4=")</f>
        <v>#REF!</v>
      </c>
      <c r="IV80" t="e">
        <f>AND('GA55 Entry'!#REF!,"AAAAAEn5f/8=")</f>
        <v>#REF!</v>
      </c>
    </row>
    <row r="81" spans="1:256">
      <c r="A81" t="e">
        <f>AND('GA55 Entry'!#REF!,"AAAAAH3uzAA=")</f>
        <v>#REF!</v>
      </c>
      <c r="B81" t="e">
        <f>AND('GA55 Entry'!#REF!,"AAAAAH3uzAE=")</f>
        <v>#REF!</v>
      </c>
      <c r="C81" t="e">
        <f>AND('GA55 Entry'!Z172,"AAAAAH3uzAI=")</f>
        <v>#VALUE!</v>
      </c>
      <c r="D81" t="e">
        <f>AND('GA55 Entry'!AA172,"AAAAAH3uzAM=")</f>
        <v>#VALUE!</v>
      </c>
      <c r="E81" t="e">
        <f>AND('GA55 Entry'!#REF!,"AAAAAH3uzAQ=")</f>
        <v>#REF!</v>
      </c>
      <c r="F81" t="e">
        <f>AND('GA55 Entry'!#REF!,"AAAAAH3uzAU=")</f>
        <v>#REF!</v>
      </c>
      <c r="G81" t="e">
        <f>AND('GA55 Entry'!#REF!,"AAAAAH3uzAY=")</f>
        <v>#REF!</v>
      </c>
      <c r="H81" t="e">
        <f>AND('GA55 Entry'!AB172,"AAAAAH3uzAc=")</f>
        <v>#VALUE!</v>
      </c>
      <c r="I81" t="e">
        <f>AND('GA55 Entry'!AC172,"AAAAAH3uzAg=")</f>
        <v>#VALUE!</v>
      </c>
      <c r="J81" t="e">
        <f>AND('GA55 Entry'!#REF!,"AAAAAH3uzAk=")</f>
        <v>#REF!</v>
      </c>
      <c r="K81">
        <f>IF('GA55 Entry'!173:173,"AAAAAH3uzAo=",0)</f>
        <v>0</v>
      </c>
      <c r="L81" t="e">
        <f>AND('GA55 Entry'!B173,"AAAAAH3uzAs=")</f>
        <v>#VALUE!</v>
      </c>
      <c r="M81" t="e">
        <f>AND('GA55 Entry'!#REF!,"AAAAAH3uzAw=")</f>
        <v>#REF!</v>
      </c>
      <c r="N81" t="e">
        <f>AND('GA55 Entry'!C173,"AAAAAH3uzA0=")</f>
        <v>#VALUE!</v>
      </c>
      <c r="O81" t="e">
        <f>AND('GA55 Entry'!#REF!,"AAAAAH3uzA4=")</f>
        <v>#REF!</v>
      </c>
      <c r="P81" t="e">
        <f>AND('GA55 Entry'!#REF!,"AAAAAH3uzA8=")</f>
        <v>#REF!</v>
      </c>
      <c r="Q81" t="e">
        <f>AND('GA55 Entry'!#REF!,"AAAAAH3uzBA=")</f>
        <v>#REF!</v>
      </c>
      <c r="R81" t="e">
        <f>AND('GA55 Entry'!#REF!,"AAAAAH3uzBE=")</f>
        <v>#REF!</v>
      </c>
      <c r="S81" t="e">
        <f>AND('GA55 Entry'!#REF!,"AAAAAH3uzBI=")</f>
        <v>#REF!</v>
      </c>
      <c r="T81" t="e">
        <f>AND('GA55 Entry'!D173,"AAAAAH3uzBM=")</f>
        <v>#VALUE!</v>
      </c>
      <c r="U81" t="e">
        <f>AND('GA55 Entry'!#REF!,"AAAAAH3uzBQ=")</f>
        <v>#REF!</v>
      </c>
      <c r="V81" t="e">
        <f>AND('GA55 Entry'!E173,"AAAAAH3uzBU=")</f>
        <v>#VALUE!</v>
      </c>
      <c r="W81" t="e">
        <f>AND('GA55 Entry'!F173,"AAAAAH3uzBY=")</f>
        <v>#VALUE!</v>
      </c>
      <c r="X81" t="e">
        <f>AND('GA55 Entry'!G173,"AAAAAH3uzBc=")</f>
        <v>#VALUE!</v>
      </c>
      <c r="Y81" t="e">
        <f>AND('GA55 Entry'!H173,"AAAAAH3uzBg=")</f>
        <v>#VALUE!</v>
      </c>
      <c r="Z81" t="e">
        <f>AND('GA55 Entry'!I173,"AAAAAH3uzBk=")</f>
        <v>#VALUE!</v>
      </c>
      <c r="AA81" t="e">
        <f>AND('GA55 Entry'!J173,"AAAAAH3uzBo=")</f>
        <v>#VALUE!</v>
      </c>
      <c r="AB81" t="e">
        <f>AND('GA55 Entry'!#REF!,"AAAAAH3uzBs=")</f>
        <v>#REF!</v>
      </c>
      <c r="AC81" t="e">
        <f>AND('GA55 Entry'!K173,"AAAAAH3uzBw=")</f>
        <v>#VALUE!</v>
      </c>
      <c r="AD81" t="e">
        <f>AND('GA55 Entry'!L173,"AAAAAH3uzB0=")</f>
        <v>#VALUE!</v>
      </c>
      <c r="AE81" t="e">
        <f>AND('GA55 Entry'!M173,"AAAAAH3uzB4=")</f>
        <v>#VALUE!</v>
      </c>
      <c r="AF81" t="e">
        <f>AND('GA55 Entry'!N173,"AAAAAH3uzB8=")</f>
        <v>#VALUE!</v>
      </c>
      <c r="AG81" t="e">
        <f>AND('GA55 Entry'!O173,"AAAAAH3uzCA=")</f>
        <v>#VALUE!</v>
      </c>
      <c r="AH81" t="e">
        <f>AND('GA55 Entry'!P173,"AAAAAH3uzCE=")</f>
        <v>#VALUE!</v>
      </c>
      <c r="AI81" t="e">
        <f>AND('GA55 Entry'!Q173,"AAAAAH3uzCI=")</f>
        <v>#VALUE!</v>
      </c>
      <c r="AJ81" t="e">
        <f>AND('GA55 Entry'!S173,"AAAAAH3uzCM=")</f>
        <v>#VALUE!</v>
      </c>
      <c r="AK81" t="e">
        <f>AND('GA55 Entry'!#REF!,"AAAAAH3uzCQ=")</f>
        <v>#REF!</v>
      </c>
      <c r="AL81" t="e">
        <f>AND('GA55 Entry'!T173,"AAAAAH3uzCU=")</f>
        <v>#VALUE!</v>
      </c>
      <c r="AM81" t="e">
        <f>AND('GA55 Entry'!U173,"AAAAAH3uzCY=")</f>
        <v>#VALUE!</v>
      </c>
      <c r="AN81" t="e">
        <f>AND('GA55 Entry'!V173,"AAAAAH3uzCc=")</f>
        <v>#VALUE!</v>
      </c>
      <c r="AO81" t="e">
        <f>AND('GA55 Entry'!#REF!,"AAAAAH3uzCg=")</f>
        <v>#REF!</v>
      </c>
      <c r="AP81" t="e">
        <f>AND('GA55 Entry'!#REF!,"AAAAAH3uzCk=")</f>
        <v>#REF!</v>
      </c>
      <c r="AQ81" t="e">
        <f>AND('GA55 Entry'!X173,"AAAAAH3uzCo=")</f>
        <v>#VALUE!</v>
      </c>
      <c r="AR81" t="e">
        <f>AND('GA55 Entry'!Y173,"AAAAAH3uzCs=")</f>
        <v>#VALUE!</v>
      </c>
      <c r="AS81" t="e">
        <f>AND('GA55 Entry'!#REF!,"AAAAAH3uzCw=")</f>
        <v>#REF!</v>
      </c>
      <c r="AT81" t="e">
        <f>AND('GA55 Entry'!#REF!,"AAAAAH3uzC0=")</f>
        <v>#REF!</v>
      </c>
      <c r="AU81" t="e">
        <f>AND('GA55 Entry'!#REF!,"AAAAAH3uzC4=")</f>
        <v>#REF!</v>
      </c>
      <c r="AV81" t="e">
        <f>AND('GA55 Entry'!#REF!,"AAAAAH3uzC8=")</f>
        <v>#REF!</v>
      </c>
      <c r="AW81" t="e">
        <f>AND('GA55 Entry'!#REF!,"AAAAAH3uzDA=")</f>
        <v>#REF!</v>
      </c>
      <c r="AX81" t="e">
        <f>AND('GA55 Entry'!#REF!,"AAAAAH3uzDE=")</f>
        <v>#REF!</v>
      </c>
      <c r="AY81" t="e">
        <f>AND('GA55 Entry'!#REF!,"AAAAAH3uzDI=")</f>
        <v>#REF!</v>
      </c>
      <c r="AZ81" t="e">
        <f>AND('GA55 Entry'!#REF!,"AAAAAH3uzDM=")</f>
        <v>#REF!</v>
      </c>
      <c r="BA81" t="e">
        <f>AND('GA55 Entry'!#REF!,"AAAAAH3uzDQ=")</f>
        <v>#REF!</v>
      </c>
      <c r="BB81" t="e">
        <f>AND('GA55 Entry'!Z173,"AAAAAH3uzDU=")</f>
        <v>#VALUE!</v>
      </c>
      <c r="BC81" t="e">
        <f>AND('GA55 Entry'!AA173,"AAAAAH3uzDY=")</f>
        <v>#VALUE!</v>
      </c>
      <c r="BD81" t="e">
        <f>AND('GA55 Entry'!#REF!,"AAAAAH3uzDc=")</f>
        <v>#REF!</v>
      </c>
      <c r="BE81" t="e">
        <f>AND('GA55 Entry'!#REF!,"AAAAAH3uzDg=")</f>
        <v>#REF!</v>
      </c>
      <c r="BF81" t="e">
        <f>AND('GA55 Entry'!#REF!,"AAAAAH3uzDk=")</f>
        <v>#REF!</v>
      </c>
      <c r="BG81" t="e">
        <f>AND('GA55 Entry'!AB173,"AAAAAH3uzDo=")</f>
        <v>#VALUE!</v>
      </c>
      <c r="BH81" t="e">
        <f>AND('GA55 Entry'!AC173,"AAAAAH3uzDs=")</f>
        <v>#VALUE!</v>
      </c>
      <c r="BI81" t="e">
        <f>AND('GA55 Entry'!#REF!,"AAAAAH3uzDw=")</f>
        <v>#REF!</v>
      </c>
      <c r="BJ81">
        <f>IF('GA55 Entry'!174:174,"AAAAAH3uzD0=",0)</f>
        <v>0</v>
      </c>
      <c r="BK81" t="e">
        <f>AND('GA55 Entry'!B174,"AAAAAH3uzD4=")</f>
        <v>#VALUE!</v>
      </c>
      <c r="BL81" t="e">
        <f>AND('GA55 Entry'!#REF!,"AAAAAH3uzD8=")</f>
        <v>#REF!</v>
      </c>
      <c r="BM81" t="e">
        <f>AND('GA55 Entry'!C174,"AAAAAH3uzEA=")</f>
        <v>#VALUE!</v>
      </c>
      <c r="BN81" t="e">
        <f>AND('GA55 Entry'!#REF!,"AAAAAH3uzEE=")</f>
        <v>#REF!</v>
      </c>
      <c r="BO81" t="e">
        <f>AND('GA55 Entry'!#REF!,"AAAAAH3uzEI=")</f>
        <v>#REF!</v>
      </c>
      <c r="BP81" t="e">
        <f>AND('GA55 Entry'!#REF!,"AAAAAH3uzEM=")</f>
        <v>#REF!</v>
      </c>
      <c r="BQ81" t="e">
        <f>AND('GA55 Entry'!#REF!,"AAAAAH3uzEQ=")</f>
        <v>#REF!</v>
      </c>
      <c r="BR81" t="e">
        <f>AND('GA55 Entry'!#REF!,"AAAAAH3uzEU=")</f>
        <v>#REF!</v>
      </c>
      <c r="BS81" t="e">
        <f>AND('GA55 Entry'!D174,"AAAAAH3uzEY=")</f>
        <v>#VALUE!</v>
      </c>
      <c r="BT81" t="e">
        <f>AND('GA55 Entry'!#REF!,"AAAAAH3uzEc=")</f>
        <v>#REF!</v>
      </c>
      <c r="BU81" t="e">
        <f>AND('GA55 Entry'!E174,"AAAAAH3uzEg=")</f>
        <v>#VALUE!</v>
      </c>
      <c r="BV81" t="e">
        <f>AND('GA55 Entry'!F174,"AAAAAH3uzEk=")</f>
        <v>#VALUE!</v>
      </c>
      <c r="BW81" t="e">
        <f>AND('GA55 Entry'!G174,"AAAAAH3uzEo=")</f>
        <v>#VALUE!</v>
      </c>
      <c r="BX81" t="e">
        <f>AND('GA55 Entry'!H174,"AAAAAH3uzEs=")</f>
        <v>#VALUE!</v>
      </c>
      <c r="BY81" t="e">
        <f>AND('GA55 Entry'!I174,"AAAAAH3uzEw=")</f>
        <v>#VALUE!</v>
      </c>
      <c r="BZ81" t="e">
        <f>AND('GA55 Entry'!J174,"AAAAAH3uzE0=")</f>
        <v>#VALUE!</v>
      </c>
      <c r="CA81" t="e">
        <f>AND('GA55 Entry'!#REF!,"AAAAAH3uzE4=")</f>
        <v>#REF!</v>
      </c>
      <c r="CB81" t="e">
        <f>AND('GA55 Entry'!K174,"AAAAAH3uzE8=")</f>
        <v>#VALUE!</v>
      </c>
      <c r="CC81" t="e">
        <f>AND('GA55 Entry'!L174,"AAAAAH3uzFA=")</f>
        <v>#VALUE!</v>
      </c>
      <c r="CD81" t="e">
        <f>AND('GA55 Entry'!M174,"AAAAAH3uzFE=")</f>
        <v>#VALUE!</v>
      </c>
      <c r="CE81" t="e">
        <f>AND('GA55 Entry'!N174,"AAAAAH3uzFI=")</f>
        <v>#VALUE!</v>
      </c>
      <c r="CF81" t="e">
        <f>AND('GA55 Entry'!O174,"AAAAAH3uzFM=")</f>
        <v>#VALUE!</v>
      </c>
      <c r="CG81" t="e">
        <f>AND('GA55 Entry'!P174,"AAAAAH3uzFQ=")</f>
        <v>#VALUE!</v>
      </c>
      <c r="CH81" t="e">
        <f>AND('GA55 Entry'!Q174,"AAAAAH3uzFU=")</f>
        <v>#VALUE!</v>
      </c>
      <c r="CI81" t="e">
        <f>AND('GA55 Entry'!S174,"AAAAAH3uzFY=")</f>
        <v>#VALUE!</v>
      </c>
      <c r="CJ81" t="e">
        <f>AND('GA55 Entry'!#REF!,"AAAAAH3uzFc=")</f>
        <v>#REF!</v>
      </c>
      <c r="CK81" t="e">
        <f>AND('GA55 Entry'!T174,"AAAAAH3uzFg=")</f>
        <v>#VALUE!</v>
      </c>
      <c r="CL81" t="e">
        <f>AND('GA55 Entry'!U174,"AAAAAH3uzFk=")</f>
        <v>#VALUE!</v>
      </c>
      <c r="CM81" t="e">
        <f>AND('GA55 Entry'!V174,"AAAAAH3uzFo=")</f>
        <v>#VALUE!</v>
      </c>
      <c r="CN81" t="e">
        <f>AND('GA55 Entry'!#REF!,"AAAAAH3uzFs=")</f>
        <v>#REF!</v>
      </c>
      <c r="CO81" t="e">
        <f>AND('GA55 Entry'!#REF!,"AAAAAH3uzFw=")</f>
        <v>#REF!</v>
      </c>
      <c r="CP81" t="e">
        <f>AND('GA55 Entry'!X174,"AAAAAH3uzF0=")</f>
        <v>#VALUE!</v>
      </c>
      <c r="CQ81" t="e">
        <f>AND('GA55 Entry'!Y174,"AAAAAH3uzF4=")</f>
        <v>#VALUE!</v>
      </c>
      <c r="CR81" t="e">
        <f>AND('GA55 Entry'!#REF!,"AAAAAH3uzF8=")</f>
        <v>#REF!</v>
      </c>
      <c r="CS81" t="e">
        <f>AND('GA55 Entry'!#REF!,"AAAAAH3uzGA=")</f>
        <v>#REF!</v>
      </c>
      <c r="CT81" t="e">
        <f>AND('GA55 Entry'!#REF!,"AAAAAH3uzGE=")</f>
        <v>#REF!</v>
      </c>
      <c r="CU81" t="e">
        <f>AND('GA55 Entry'!#REF!,"AAAAAH3uzGI=")</f>
        <v>#REF!</v>
      </c>
      <c r="CV81" t="e">
        <f>AND('GA55 Entry'!#REF!,"AAAAAH3uzGM=")</f>
        <v>#REF!</v>
      </c>
      <c r="CW81" t="e">
        <f>AND('GA55 Entry'!#REF!,"AAAAAH3uzGQ=")</f>
        <v>#REF!</v>
      </c>
      <c r="CX81" t="e">
        <f>AND('GA55 Entry'!#REF!,"AAAAAH3uzGU=")</f>
        <v>#REF!</v>
      </c>
      <c r="CY81" t="e">
        <f>AND('GA55 Entry'!#REF!,"AAAAAH3uzGY=")</f>
        <v>#REF!</v>
      </c>
      <c r="CZ81" t="e">
        <f>AND('GA55 Entry'!#REF!,"AAAAAH3uzGc=")</f>
        <v>#REF!</v>
      </c>
      <c r="DA81" t="e">
        <f>AND('GA55 Entry'!Z174,"AAAAAH3uzGg=")</f>
        <v>#VALUE!</v>
      </c>
      <c r="DB81" t="e">
        <f>AND('GA55 Entry'!AA174,"AAAAAH3uzGk=")</f>
        <v>#VALUE!</v>
      </c>
      <c r="DC81" t="e">
        <f>AND('GA55 Entry'!#REF!,"AAAAAH3uzGo=")</f>
        <v>#REF!</v>
      </c>
      <c r="DD81" t="e">
        <f>AND('GA55 Entry'!#REF!,"AAAAAH3uzGs=")</f>
        <v>#REF!</v>
      </c>
      <c r="DE81" t="e">
        <f>AND('GA55 Entry'!#REF!,"AAAAAH3uzGw=")</f>
        <v>#REF!</v>
      </c>
      <c r="DF81" t="e">
        <f>AND('GA55 Entry'!AB174,"AAAAAH3uzG0=")</f>
        <v>#VALUE!</v>
      </c>
      <c r="DG81" t="e">
        <f>AND('GA55 Entry'!AC174,"AAAAAH3uzG4=")</f>
        <v>#VALUE!</v>
      </c>
      <c r="DH81" t="e">
        <f>AND('GA55 Entry'!#REF!,"AAAAAH3uzG8=")</f>
        <v>#REF!</v>
      </c>
      <c r="DI81">
        <f>IF('GA55 Entry'!175:175,"AAAAAH3uzHA=",0)</f>
        <v>0</v>
      </c>
      <c r="DJ81" t="e">
        <f>AND('GA55 Entry'!B175,"AAAAAH3uzHE=")</f>
        <v>#VALUE!</v>
      </c>
      <c r="DK81" t="e">
        <f>AND('GA55 Entry'!#REF!,"AAAAAH3uzHI=")</f>
        <v>#REF!</v>
      </c>
      <c r="DL81" t="e">
        <f>AND('GA55 Entry'!C175,"AAAAAH3uzHM=")</f>
        <v>#VALUE!</v>
      </c>
      <c r="DM81" t="e">
        <f>AND('GA55 Entry'!#REF!,"AAAAAH3uzHQ=")</f>
        <v>#REF!</v>
      </c>
      <c r="DN81" t="e">
        <f>AND('GA55 Entry'!#REF!,"AAAAAH3uzHU=")</f>
        <v>#REF!</v>
      </c>
      <c r="DO81" t="e">
        <f>AND('GA55 Entry'!#REF!,"AAAAAH3uzHY=")</f>
        <v>#REF!</v>
      </c>
      <c r="DP81" t="e">
        <f>AND('GA55 Entry'!#REF!,"AAAAAH3uzHc=")</f>
        <v>#REF!</v>
      </c>
      <c r="DQ81" t="e">
        <f>AND('GA55 Entry'!#REF!,"AAAAAH3uzHg=")</f>
        <v>#REF!</v>
      </c>
      <c r="DR81" t="e">
        <f>AND('GA55 Entry'!D175,"AAAAAH3uzHk=")</f>
        <v>#VALUE!</v>
      </c>
      <c r="DS81" t="e">
        <f>AND('GA55 Entry'!#REF!,"AAAAAH3uzHo=")</f>
        <v>#REF!</v>
      </c>
      <c r="DT81" t="e">
        <f>AND('GA55 Entry'!E175,"AAAAAH3uzHs=")</f>
        <v>#VALUE!</v>
      </c>
      <c r="DU81" t="e">
        <f>AND('GA55 Entry'!F175,"AAAAAH3uzHw=")</f>
        <v>#VALUE!</v>
      </c>
      <c r="DV81" t="e">
        <f>AND('GA55 Entry'!G175,"AAAAAH3uzH0=")</f>
        <v>#VALUE!</v>
      </c>
      <c r="DW81" t="e">
        <f>AND('GA55 Entry'!H175,"AAAAAH3uzH4=")</f>
        <v>#VALUE!</v>
      </c>
      <c r="DX81" t="e">
        <f>AND('GA55 Entry'!I175,"AAAAAH3uzH8=")</f>
        <v>#VALUE!</v>
      </c>
      <c r="DY81" t="e">
        <f>AND('GA55 Entry'!J175,"AAAAAH3uzIA=")</f>
        <v>#VALUE!</v>
      </c>
      <c r="DZ81" t="e">
        <f>AND('GA55 Entry'!#REF!,"AAAAAH3uzIE=")</f>
        <v>#REF!</v>
      </c>
      <c r="EA81" t="e">
        <f>AND('GA55 Entry'!K175,"AAAAAH3uzII=")</f>
        <v>#VALUE!</v>
      </c>
      <c r="EB81" t="e">
        <f>AND('GA55 Entry'!L175,"AAAAAH3uzIM=")</f>
        <v>#VALUE!</v>
      </c>
      <c r="EC81" t="e">
        <f>AND('GA55 Entry'!M175,"AAAAAH3uzIQ=")</f>
        <v>#VALUE!</v>
      </c>
      <c r="ED81" t="e">
        <f>AND('GA55 Entry'!N175,"AAAAAH3uzIU=")</f>
        <v>#VALUE!</v>
      </c>
      <c r="EE81" t="e">
        <f>AND('GA55 Entry'!O175,"AAAAAH3uzIY=")</f>
        <v>#VALUE!</v>
      </c>
      <c r="EF81" t="e">
        <f>AND('GA55 Entry'!P175,"AAAAAH3uzIc=")</f>
        <v>#VALUE!</v>
      </c>
      <c r="EG81" t="e">
        <f>AND('GA55 Entry'!Q175,"AAAAAH3uzIg=")</f>
        <v>#VALUE!</v>
      </c>
      <c r="EH81" t="e">
        <f>AND('GA55 Entry'!S175,"AAAAAH3uzIk=")</f>
        <v>#VALUE!</v>
      </c>
      <c r="EI81" t="e">
        <f>AND('GA55 Entry'!#REF!,"AAAAAH3uzIo=")</f>
        <v>#REF!</v>
      </c>
      <c r="EJ81" t="e">
        <f>AND('GA55 Entry'!T175,"AAAAAH3uzIs=")</f>
        <v>#VALUE!</v>
      </c>
      <c r="EK81" t="e">
        <f>AND('GA55 Entry'!U175,"AAAAAH3uzIw=")</f>
        <v>#VALUE!</v>
      </c>
      <c r="EL81" t="e">
        <f>AND('GA55 Entry'!V175,"AAAAAH3uzI0=")</f>
        <v>#VALUE!</v>
      </c>
      <c r="EM81" t="e">
        <f>AND('GA55 Entry'!#REF!,"AAAAAH3uzI4=")</f>
        <v>#REF!</v>
      </c>
      <c r="EN81" t="e">
        <f>AND('GA55 Entry'!#REF!,"AAAAAH3uzI8=")</f>
        <v>#REF!</v>
      </c>
      <c r="EO81" t="e">
        <f>AND('GA55 Entry'!X175,"AAAAAH3uzJA=")</f>
        <v>#VALUE!</v>
      </c>
      <c r="EP81" t="e">
        <f>AND('GA55 Entry'!Y175,"AAAAAH3uzJE=")</f>
        <v>#VALUE!</v>
      </c>
      <c r="EQ81" t="e">
        <f>AND('GA55 Entry'!#REF!,"AAAAAH3uzJI=")</f>
        <v>#REF!</v>
      </c>
      <c r="ER81" t="e">
        <f>AND('GA55 Entry'!#REF!,"AAAAAH3uzJM=")</f>
        <v>#REF!</v>
      </c>
      <c r="ES81" t="e">
        <f>AND('GA55 Entry'!#REF!,"AAAAAH3uzJQ=")</f>
        <v>#REF!</v>
      </c>
      <c r="ET81" t="e">
        <f>AND('GA55 Entry'!#REF!,"AAAAAH3uzJU=")</f>
        <v>#REF!</v>
      </c>
      <c r="EU81" t="e">
        <f>AND('GA55 Entry'!#REF!,"AAAAAH3uzJY=")</f>
        <v>#REF!</v>
      </c>
      <c r="EV81" t="e">
        <f>AND('GA55 Entry'!#REF!,"AAAAAH3uzJc=")</f>
        <v>#REF!</v>
      </c>
      <c r="EW81" t="e">
        <f>AND('GA55 Entry'!#REF!,"AAAAAH3uzJg=")</f>
        <v>#REF!</v>
      </c>
      <c r="EX81" t="e">
        <f>AND('GA55 Entry'!#REF!,"AAAAAH3uzJk=")</f>
        <v>#REF!</v>
      </c>
      <c r="EY81" t="e">
        <f>AND('GA55 Entry'!#REF!,"AAAAAH3uzJo=")</f>
        <v>#REF!</v>
      </c>
      <c r="EZ81" t="e">
        <f>AND('GA55 Entry'!Z175,"AAAAAH3uzJs=")</f>
        <v>#VALUE!</v>
      </c>
      <c r="FA81" t="e">
        <f>AND('GA55 Entry'!AA175,"AAAAAH3uzJw=")</f>
        <v>#VALUE!</v>
      </c>
      <c r="FB81" t="e">
        <f>AND('GA55 Entry'!#REF!,"AAAAAH3uzJ0=")</f>
        <v>#REF!</v>
      </c>
      <c r="FC81" t="e">
        <f>AND('GA55 Entry'!#REF!,"AAAAAH3uzJ4=")</f>
        <v>#REF!</v>
      </c>
      <c r="FD81" t="e">
        <f>AND('GA55 Entry'!#REF!,"AAAAAH3uzJ8=")</f>
        <v>#REF!</v>
      </c>
      <c r="FE81" t="e">
        <f>AND('GA55 Entry'!AB175,"AAAAAH3uzKA=")</f>
        <v>#VALUE!</v>
      </c>
      <c r="FF81" t="e">
        <f>AND('GA55 Entry'!AC175,"AAAAAH3uzKE=")</f>
        <v>#VALUE!</v>
      </c>
      <c r="FG81" t="e">
        <f>AND('GA55 Entry'!#REF!,"AAAAAH3uzKI=")</f>
        <v>#REF!</v>
      </c>
      <c r="FH81">
        <f>IF('GA55 Entry'!176:176,"AAAAAH3uzKM=",0)</f>
        <v>0</v>
      </c>
      <c r="FI81" t="e">
        <f>AND('GA55 Entry'!B176,"AAAAAH3uzKQ=")</f>
        <v>#VALUE!</v>
      </c>
      <c r="FJ81" t="e">
        <f>AND('GA55 Entry'!#REF!,"AAAAAH3uzKU=")</f>
        <v>#REF!</v>
      </c>
      <c r="FK81" t="e">
        <f>AND('GA55 Entry'!C176,"AAAAAH3uzKY=")</f>
        <v>#VALUE!</v>
      </c>
      <c r="FL81" t="e">
        <f>AND('GA55 Entry'!#REF!,"AAAAAH3uzKc=")</f>
        <v>#REF!</v>
      </c>
      <c r="FM81" t="e">
        <f>AND('GA55 Entry'!#REF!,"AAAAAH3uzKg=")</f>
        <v>#REF!</v>
      </c>
      <c r="FN81" t="e">
        <f>AND('GA55 Entry'!#REF!,"AAAAAH3uzKk=")</f>
        <v>#REF!</v>
      </c>
      <c r="FO81" t="e">
        <f>AND('GA55 Entry'!#REF!,"AAAAAH3uzKo=")</f>
        <v>#REF!</v>
      </c>
      <c r="FP81" t="e">
        <f>AND('GA55 Entry'!#REF!,"AAAAAH3uzKs=")</f>
        <v>#REF!</v>
      </c>
      <c r="FQ81" t="e">
        <f>AND('GA55 Entry'!D176,"AAAAAH3uzKw=")</f>
        <v>#VALUE!</v>
      </c>
      <c r="FR81" t="e">
        <f>AND('GA55 Entry'!#REF!,"AAAAAH3uzK0=")</f>
        <v>#REF!</v>
      </c>
      <c r="FS81" t="e">
        <f>AND('GA55 Entry'!E176,"AAAAAH3uzK4=")</f>
        <v>#VALUE!</v>
      </c>
      <c r="FT81" t="e">
        <f>AND('GA55 Entry'!F176,"AAAAAH3uzK8=")</f>
        <v>#VALUE!</v>
      </c>
      <c r="FU81" t="e">
        <f>AND('GA55 Entry'!G176,"AAAAAH3uzLA=")</f>
        <v>#VALUE!</v>
      </c>
      <c r="FV81" t="e">
        <f>AND('GA55 Entry'!H176,"AAAAAH3uzLE=")</f>
        <v>#VALUE!</v>
      </c>
      <c r="FW81" t="e">
        <f>AND('GA55 Entry'!I176,"AAAAAH3uzLI=")</f>
        <v>#VALUE!</v>
      </c>
      <c r="FX81" t="e">
        <f>AND('GA55 Entry'!J176,"AAAAAH3uzLM=")</f>
        <v>#VALUE!</v>
      </c>
      <c r="FY81" t="e">
        <f>AND('GA55 Entry'!#REF!,"AAAAAH3uzLQ=")</f>
        <v>#REF!</v>
      </c>
      <c r="FZ81" t="e">
        <f>AND('GA55 Entry'!K176,"AAAAAH3uzLU=")</f>
        <v>#VALUE!</v>
      </c>
      <c r="GA81" t="e">
        <f>AND('GA55 Entry'!L176,"AAAAAH3uzLY=")</f>
        <v>#VALUE!</v>
      </c>
      <c r="GB81" t="e">
        <f>AND('GA55 Entry'!M176,"AAAAAH3uzLc=")</f>
        <v>#VALUE!</v>
      </c>
      <c r="GC81" t="e">
        <f>AND('GA55 Entry'!N176,"AAAAAH3uzLg=")</f>
        <v>#VALUE!</v>
      </c>
      <c r="GD81" t="e">
        <f>AND('GA55 Entry'!O176,"AAAAAH3uzLk=")</f>
        <v>#VALUE!</v>
      </c>
      <c r="GE81" t="e">
        <f>AND('GA55 Entry'!P176,"AAAAAH3uzLo=")</f>
        <v>#VALUE!</v>
      </c>
      <c r="GF81" t="e">
        <f>AND('GA55 Entry'!Q176,"AAAAAH3uzLs=")</f>
        <v>#VALUE!</v>
      </c>
      <c r="GG81" t="e">
        <f>AND('GA55 Entry'!S176,"AAAAAH3uzLw=")</f>
        <v>#VALUE!</v>
      </c>
      <c r="GH81" t="e">
        <f>AND('GA55 Entry'!#REF!,"AAAAAH3uzL0=")</f>
        <v>#REF!</v>
      </c>
      <c r="GI81" t="e">
        <f>AND('GA55 Entry'!T176,"AAAAAH3uzL4=")</f>
        <v>#VALUE!</v>
      </c>
      <c r="GJ81" t="e">
        <f>AND('GA55 Entry'!U176,"AAAAAH3uzL8=")</f>
        <v>#VALUE!</v>
      </c>
      <c r="GK81" t="e">
        <f>AND('GA55 Entry'!V176,"AAAAAH3uzMA=")</f>
        <v>#VALUE!</v>
      </c>
      <c r="GL81" t="e">
        <f>AND('GA55 Entry'!#REF!,"AAAAAH3uzME=")</f>
        <v>#REF!</v>
      </c>
      <c r="GM81" t="e">
        <f>AND('GA55 Entry'!#REF!,"AAAAAH3uzMI=")</f>
        <v>#REF!</v>
      </c>
      <c r="GN81" t="e">
        <f>AND('GA55 Entry'!X176,"AAAAAH3uzMM=")</f>
        <v>#VALUE!</v>
      </c>
      <c r="GO81" t="e">
        <f>AND('GA55 Entry'!Y176,"AAAAAH3uzMQ=")</f>
        <v>#VALUE!</v>
      </c>
      <c r="GP81" t="e">
        <f>AND('GA55 Entry'!#REF!,"AAAAAH3uzMU=")</f>
        <v>#REF!</v>
      </c>
      <c r="GQ81" t="e">
        <f>AND('GA55 Entry'!#REF!,"AAAAAH3uzMY=")</f>
        <v>#REF!</v>
      </c>
      <c r="GR81" t="e">
        <f>AND('GA55 Entry'!#REF!,"AAAAAH3uzMc=")</f>
        <v>#REF!</v>
      </c>
      <c r="GS81" t="e">
        <f>AND('GA55 Entry'!#REF!,"AAAAAH3uzMg=")</f>
        <v>#REF!</v>
      </c>
      <c r="GT81" t="e">
        <f>AND('GA55 Entry'!#REF!,"AAAAAH3uzMk=")</f>
        <v>#REF!</v>
      </c>
      <c r="GU81" t="e">
        <f>AND('GA55 Entry'!#REF!,"AAAAAH3uzMo=")</f>
        <v>#REF!</v>
      </c>
      <c r="GV81" t="e">
        <f>AND('GA55 Entry'!#REF!,"AAAAAH3uzMs=")</f>
        <v>#REF!</v>
      </c>
      <c r="GW81" t="e">
        <f>AND('GA55 Entry'!#REF!,"AAAAAH3uzMw=")</f>
        <v>#REF!</v>
      </c>
      <c r="GX81" t="e">
        <f>AND('GA55 Entry'!#REF!,"AAAAAH3uzM0=")</f>
        <v>#REF!</v>
      </c>
      <c r="GY81" t="e">
        <f>AND('GA55 Entry'!Z176,"AAAAAH3uzM4=")</f>
        <v>#VALUE!</v>
      </c>
      <c r="GZ81" t="e">
        <f>AND('GA55 Entry'!AA176,"AAAAAH3uzM8=")</f>
        <v>#VALUE!</v>
      </c>
      <c r="HA81" t="e">
        <f>AND('GA55 Entry'!#REF!,"AAAAAH3uzNA=")</f>
        <v>#REF!</v>
      </c>
      <c r="HB81" t="e">
        <f>AND('GA55 Entry'!#REF!,"AAAAAH3uzNE=")</f>
        <v>#REF!</v>
      </c>
      <c r="HC81" t="e">
        <f>AND('GA55 Entry'!#REF!,"AAAAAH3uzNI=")</f>
        <v>#REF!</v>
      </c>
      <c r="HD81" t="e">
        <f>AND('GA55 Entry'!AB176,"AAAAAH3uzNM=")</f>
        <v>#VALUE!</v>
      </c>
      <c r="HE81" t="e">
        <f>AND('GA55 Entry'!AC176,"AAAAAH3uzNQ=")</f>
        <v>#VALUE!</v>
      </c>
      <c r="HF81" t="e">
        <f>AND('GA55 Entry'!#REF!,"AAAAAH3uzNU=")</f>
        <v>#REF!</v>
      </c>
      <c r="HG81">
        <f>IF('GA55 Entry'!177:177,"AAAAAH3uzNY=",0)</f>
        <v>0</v>
      </c>
      <c r="HH81" t="e">
        <f>AND('GA55 Entry'!B177,"AAAAAH3uzNc=")</f>
        <v>#VALUE!</v>
      </c>
      <c r="HI81" t="e">
        <f>AND('GA55 Entry'!#REF!,"AAAAAH3uzNg=")</f>
        <v>#REF!</v>
      </c>
      <c r="HJ81" t="e">
        <f>AND('GA55 Entry'!C177,"AAAAAH3uzNk=")</f>
        <v>#VALUE!</v>
      </c>
      <c r="HK81" t="e">
        <f>AND('GA55 Entry'!#REF!,"AAAAAH3uzNo=")</f>
        <v>#REF!</v>
      </c>
      <c r="HL81" t="e">
        <f>AND('GA55 Entry'!#REF!,"AAAAAH3uzNs=")</f>
        <v>#REF!</v>
      </c>
      <c r="HM81" t="e">
        <f>AND('GA55 Entry'!#REF!,"AAAAAH3uzNw=")</f>
        <v>#REF!</v>
      </c>
      <c r="HN81" t="e">
        <f>AND('GA55 Entry'!#REF!,"AAAAAH3uzN0=")</f>
        <v>#REF!</v>
      </c>
      <c r="HO81" t="e">
        <f>AND('GA55 Entry'!#REF!,"AAAAAH3uzN4=")</f>
        <v>#REF!</v>
      </c>
      <c r="HP81" t="e">
        <f>AND('GA55 Entry'!D177,"AAAAAH3uzN8=")</f>
        <v>#VALUE!</v>
      </c>
      <c r="HQ81" t="e">
        <f>AND('GA55 Entry'!#REF!,"AAAAAH3uzOA=")</f>
        <v>#REF!</v>
      </c>
      <c r="HR81" t="e">
        <f>AND('GA55 Entry'!E177,"AAAAAH3uzOE=")</f>
        <v>#VALUE!</v>
      </c>
      <c r="HS81" t="e">
        <f>AND('GA55 Entry'!F177,"AAAAAH3uzOI=")</f>
        <v>#VALUE!</v>
      </c>
      <c r="HT81" t="e">
        <f>AND('GA55 Entry'!G177,"AAAAAH3uzOM=")</f>
        <v>#VALUE!</v>
      </c>
      <c r="HU81" t="e">
        <f>AND('GA55 Entry'!H177,"AAAAAH3uzOQ=")</f>
        <v>#VALUE!</v>
      </c>
      <c r="HV81" t="e">
        <f>AND('GA55 Entry'!I177,"AAAAAH3uzOU=")</f>
        <v>#VALUE!</v>
      </c>
      <c r="HW81" t="e">
        <f>AND('GA55 Entry'!J177,"AAAAAH3uzOY=")</f>
        <v>#VALUE!</v>
      </c>
      <c r="HX81" t="e">
        <f>AND('GA55 Entry'!#REF!,"AAAAAH3uzOc=")</f>
        <v>#REF!</v>
      </c>
      <c r="HY81" t="e">
        <f>AND('GA55 Entry'!K177,"AAAAAH3uzOg=")</f>
        <v>#VALUE!</v>
      </c>
      <c r="HZ81" t="e">
        <f>AND('GA55 Entry'!L177,"AAAAAH3uzOk=")</f>
        <v>#VALUE!</v>
      </c>
      <c r="IA81" t="e">
        <f>AND('GA55 Entry'!M177,"AAAAAH3uzOo=")</f>
        <v>#VALUE!</v>
      </c>
      <c r="IB81" t="e">
        <f>AND('GA55 Entry'!N177,"AAAAAH3uzOs=")</f>
        <v>#VALUE!</v>
      </c>
      <c r="IC81" t="e">
        <f>AND('GA55 Entry'!O177,"AAAAAH3uzOw=")</f>
        <v>#VALUE!</v>
      </c>
      <c r="ID81" t="e">
        <f>AND('GA55 Entry'!P177,"AAAAAH3uzO0=")</f>
        <v>#VALUE!</v>
      </c>
      <c r="IE81" t="e">
        <f>AND('GA55 Entry'!Q177,"AAAAAH3uzO4=")</f>
        <v>#VALUE!</v>
      </c>
      <c r="IF81" t="e">
        <f>AND('GA55 Entry'!S177,"AAAAAH3uzO8=")</f>
        <v>#VALUE!</v>
      </c>
      <c r="IG81" t="e">
        <f>AND('GA55 Entry'!#REF!,"AAAAAH3uzPA=")</f>
        <v>#REF!</v>
      </c>
      <c r="IH81" t="e">
        <f>AND('GA55 Entry'!T177,"AAAAAH3uzPE=")</f>
        <v>#VALUE!</v>
      </c>
      <c r="II81" t="e">
        <f>AND('GA55 Entry'!U177,"AAAAAH3uzPI=")</f>
        <v>#VALUE!</v>
      </c>
      <c r="IJ81" t="e">
        <f>AND('GA55 Entry'!V177,"AAAAAH3uzPM=")</f>
        <v>#VALUE!</v>
      </c>
      <c r="IK81" t="e">
        <f>AND('GA55 Entry'!#REF!,"AAAAAH3uzPQ=")</f>
        <v>#REF!</v>
      </c>
      <c r="IL81" t="e">
        <f>AND('GA55 Entry'!#REF!,"AAAAAH3uzPU=")</f>
        <v>#REF!</v>
      </c>
      <c r="IM81" t="e">
        <f>AND('GA55 Entry'!X177,"AAAAAH3uzPY=")</f>
        <v>#VALUE!</v>
      </c>
      <c r="IN81" t="e">
        <f>AND('GA55 Entry'!Y177,"AAAAAH3uzPc=")</f>
        <v>#VALUE!</v>
      </c>
      <c r="IO81" t="e">
        <f>AND('GA55 Entry'!#REF!,"AAAAAH3uzPg=")</f>
        <v>#REF!</v>
      </c>
      <c r="IP81" t="e">
        <f>AND('GA55 Entry'!#REF!,"AAAAAH3uzPk=")</f>
        <v>#REF!</v>
      </c>
      <c r="IQ81" t="e">
        <f>AND('GA55 Entry'!#REF!,"AAAAAH3uzPo=")</f>
        <v>#REF!</v>
      </c>
      <c r="IR81" t="e">
        <f>AND('GA55 Entry'!#REF!,"AAAAAH3uzPs=")</f>
        <v>#REF!</v>
      </c>
      <c r="IS81" t="e">
        <f>AND('GA55 Entry'!#REF!,"AAAAAH3uzPw=")</f>
        <v>#REF!</v>
      </c>
      <c r="IT81" t="e">
        <f>AND('GA55 Entry'!#REF!,"AAAAAH3uzP0=")</f>
        <v>#REF!</v>
      </c>
      <c r="IU81" t="e">
        <f>AND('GA55 Entry'!#REF!,"AAAAAH3uzP4=")</f>
        <v>#REF!</v>
      </c>
      <c r="IV81" t="e">
        <f>AND('GA55 Entry'!#REF!,"AAAAAH3uzP8=")</f>
        <v>#REF!</v>
      </c>
    </row>
    <row r="82" spans="1:256">
      <c r="A82" t="e">
        <f>AND('GA55 Entry'!#REF!,"AAAAADvPYwA=")</f>
        <v>#REF!</v>
      </c>
      <c r="B82" t="e">
        <f>AND('GA55 Entry'!Z177,"AAAAADvPYwE=")</f>
        <v>#VALUE!</v>
      </c>
      <c r="C82" t="e">
        <f>AND('GA55 Entry'!AA177,"AAAAADvPYwI=")</f>
        <v>#VALUE!</v>
      </c>
      <c r="D82" t="e">
        <f>AND('GA55 Entry'!#REF!,"AAAAADvPYwM=")</f>
        <v>#REF!</v>
      </c>
      <c r="E82" t="e">
        <f>AND('GA55 Entry'!#REF!,"AAAAADvPYwQ=")</f>
        <v>#REF!</v>
      </c>
      <c r="F82" t="e">
        <f>AND('GA55 Entry'!#REF!,"AAAAADvPYwU=")</f>
        <v>#REF!</v>
      </c>
      <c r="G82" t="e">
        <f>AND('GA55 Entry'!AB177,"AAAAADvPYwY=")</f>
        <v>#VALUE!</v>
      </c>
      <c r="H82" t="e">
        <f>AND('GA55 Entry'!AC177,"AAAAADvPYwc=")</f>
        <v>#VALUE!</v>
      </c>
      <c r="I82" t="e">
        <f>AND('GA55 Entry'!#REF!,"AAAAADvPYwg=")</f>
        <v>#REF!</v>
      </c>
      <c r="J82">
        <f>IF('GA55 Entry'!178:178,"AAAAADvPYwk=",0)</f>
        <v>0</v>
      </c>
      <c r="K82" t="e">
        <f>AND('GA55 Entry'!B178,"AAAAADvPYwo=")</f>
        <v>#VALUE!</v>
      </c>
      <c r="L82" t="e">
        <f>AND('GA55 Entry'!#REF!,"AAAAADvPYws=")</f>
        <v>#REF!</v>
      </c>
      <c r="M82" t="e">
        <f>AND('GA55 Entry'!C178,"AAAAADvPYww=")</f>
        <v>#VALUE!</v>
      </c>
      <c r="N82" t="e">
        <f>AND('GA55 Entry'!#REF!,"AAAAADvPYw0=")</f>
        <v>#REF!</v>
      </c>
      <c r="O82" t="e">
        <f>AND('GA55 Entry'!#REF!,"AAAAADvPYw4=")</f>
        <v>#REF!</v>
      </c>
      <c r="P82" t="e">
        <f>AND('GA55 Entry'!#REF!,"AAAAADvPYw8=")</f>
        <v>#REF!</v>
      </c>
      <c r="Q82" t="e">
        <f>AND('GA55 Entry'!#REF!,"AAAAADvPYxA=")</f>
        <v>#REF!</v>
      </c>
      <c r="R82" t="e">
        <f>AND('GA55 Entry'!#REF!,"AAAAADvPYxE=")</f>
        <v>#REF!</v>
      </c>
      <c r="S82" t="e">
        <f>AND('GA55 Entry'!D178,"AAAAADvPYxI=")</f>
        <v>#VALUE!</v>
      </c>
      <c r="T82" t="e">
        <f>AND('GA55 Entry'!#REF!,"AAAAADvPYxM=")</f>
        <v>#REF!</v>
      </c>
      <c r="U82" t="e">
        <f>AND('GA55 Entry'!E178,"AAAAADvPYxQ=")</f>
        <v>#VALUE!</v>
      </c>
      <c r="V82" t="e">
        <f>AND('GA55 Entry'!F178,"AAAAADvPYxU=")</f>
        <v>#VALUE!</v>
      </c>
      <c r="W82" t="e">
        <f>AND('GA55 Entry'!G178,"AAAAADvPYxY=")</f>
        <v>#VALUE!</v>
      </c>
      <c r="X82" t="e">
        <f>AND('GA55 Entry'!H178,"AAAAADvPYxc=")</f>
        <v>#VALUE!</v>
      </c>
      <c r="Y82" t="e">
        <f>AND('GA55 Entry'!I178,"AAAAADvPYxg=")</f>
        <v>#VALUE!</v>
      </c>
      <c r="Z82" t="e">
        <f>AND('GA55 Entry'!J178,"AAAAADvPYxk=")</f>
        <v>#VALUE!</v>
      </c>
      <c r="AA82" t="e">
        <f>AND('GA55 Entry'!#REF!,"AAAAADvPYxo=")</f>
        <v>#REF!</v>
      </c>
      <c r="AB82" t="e">
        <f>AND('GA55 Entry'!K178,"AAAAADvPYxs=")</f>
        <v>#VALUE!</v>
      </c>
      <c r="AC82" t="e">
        <f>AND('GA55 Entry'!L178,"AAAAADvPYxw=")</f>
        <v>#VALUE!</v>
      </c>
      <c r="AD82" t="e">
        <f>AND('GA55 Entry'!M178,"AAAAADvPYx0=")</f>
        <v>#VALUE!</v>
      </c>
      <c r="AE82" t="e">
        <f>AND('GA55 Entry'!N178,"AAAAADvPYx4=")</f>
        <v>#VALUE!</v>
      </c>
      <c r="AF82" t="e">
        <f>AND('GA55 Entry'!O178,"AAAAADvPYx8=")</f>
        <v>#VALUE!</v>
      </c>
      <c r="AG82" t="e">
        <f>AND('GA55 Entry'!P178,"AAAAADvPYyA=")</f>
        <v>#VALUE!</v>
      </c>
      <c r="AH82" t="e">
        <f>AND('GA55 Entry'!Q178,"AAAAADvPYyE=")</f>
        <v>#VALUE!</v>
      </c>
      <c r="AI82" t="e">
        <f>AND('GA55 Entry'!S178,"AAAAADvPYyI=")</f>
        <v>#VALUE!</v>
      </c>
      <c r="AJ82" t="e">
        <f>AND('GA55 Entry'!#REF!,"AAAAADvPYyM=")</f>
        <v>#REF!</v>
      </c>
      <c r="AK82" t="e">
        <f>AND('GA55 Entry'!T178,"AAAAADvPYyQ=")</f>
        <v>#VALUE!</v>
      </c>
      <c r="AL82" t="e">
        <f>AND('GA55 Entry'!U178,"AAAAADvPYyU=")</f>
        <v>#VALUE!</v>
      </c>
      <c r="AM82" t="e">
        <f>AND('GA55 Entry'!V178,"AAAAADvPYyY=")</f>
        <v>#VALUE!</v>
      </c>
      <c r="AN82" t="e">
        <f>AND('GA55 Entry'!#REF!,"AAAAADvPYyc=")</f>
        <v>#REF!</v>
      </c>
      <c r="AO82" t="e">
        <f>AND('GA55 Entry'!#REF!,"AAAAADvPYyg=")</f>
        <v>#REF!</v>
      </c>
      <c r="AP82" t="e">
        <f>AND('GA55 Entry'!X178,"AAAAADvPYyk=")</f>
        <v>#VALUE!</v>
      </c>
      <c r="AQ82" t="e">
        <f>AND('GA55 Entry'!Y178,"AAAAADvPYyo=")</f>
        <v>#VALUE!</v>
      </c>
      <c r="AR82" t="e">
        <f>AND('GA55 Entry'!#REF!,"AAAAADvPYys=")</f>
        <v>#REF!</v>
      </c>
      <c r="AS82" t="e">
        <f>AND('GA55 Entry'!#REF!,"AAAAADvPYyw=")</f>
        <v>#REF!</v>
      </c>
      <c r="AT82" t="e">
        <f>AND('GA55 Entry'!#REF!,"AAAAADvPYy0=")</f>
        <v>#REF!</v>
      </c>
      <c r="AU82" t="e">
        <f>AND('GA55 Entry'!#REF!,"AAAAADvPYy4=")</f>
        <v>#REF!</v>
      </c>
      <c r="AV82" t="e">
        <f>AND('GA55 Entry'!#REF!,"AAAAADvPYy8=")</f>
        <v>#REF!</v>
      </c>
      <c r="AW82" t="e">
        <f>AND('GA55 Entry'!#REF!,"AAAAADvPYzA=")</f>
        <v>#REF!</v>
      </c>
      <c r="AX82" t="e">
        <f>AND('GA55 Entry'!#REF!,"AAAAADvPYzE=")</f>
        <v>#REF!</v>
      </c>
      <c r="AY82" t="e">
        <f>AND('GA55 Entry'!#REF!,"AAAAADvPYzI=")</f>
        <v>#REF!</v>
      </c>
      <c r="AZ82" t="e">
        <f>AND('GA55 Entry'!#REF!,"AAAAADvPYzM=")</f>
        <v>#REF!</v>
      </c>
      <c r="BA82" t="e">
        <f>AND('GA55 Entry'!Z178,"AAAAADvPYzQ=")</f>
        <v>#VALUE!</v>
      </c>
      <c r="BB82" t="e">
        <f>AND('GA55 Entry'!AA178,"AAAAADvPYzU=")</f>
        <v>#VALUE!</v>
      </c>
      <c r="BC82" t="e">
        <f>AND('GA55 Entry'!#REF!,"AAAAADvPYzY=")</f>
        <v>#REF!</v>
      </c>
      <c r="BD82" t="e">
        <f>AND('GA55 Entry'!#REF!,"AAAAADvPYzc=")</f>
        <v>#REF!</v>
      </c>
      <c r="BE82" t="e">
        <f>AND('GA55 Entry'!#REF!,"AAAAADvPYzg=")</f>
        <v>#REF!</v>
      </c>
      <c r="BF82" t="e">
        <f>AND('GA55 Entry'!AB178,"AAAAADvPYzk=")</f>
        <v>#VALUE!</v>
      </c>
      <c r="BG82" t="e">
        <f>AND('GA55 Entry'!AC178,"AAAAADvPYzo=")</f>
        <v>#VALUE!</v>
      </c>
      <c r="BH82" t="e">
        <f>AND('GA55 Entry'!#REF!,"AAAAADvPYzs=")</f>
        <v>#REF!</v>
      </c>
      <c r="BI82">
        <f>IF('GA55 Entry'!179:179,"AAAAADvPYzw=",0)</f>
        <v>0</v>
      </c>
      <c r="BJ82" t="e">
        <f>AND('GA55 Entry'!B179,"AAAAADvPYz0=")</f>
        <v>#VALUE!</v>
      </c>
      <c r="BK82" t="e">
        <f>AND('GA55 Entry'!#REF!,"AAAAADvPYz4=")</f>
        <v>#REF!</v>
      </c>
      <c r="BL82" t="e">
        <f>AND('GA55 Entry'!C179,"AAAAADvPYz8=")</f>
        <v>#VALUE!</v>
      </c>
      <c r="BM82" t="e">
        <f>AND('GA55 Entry'!#REF!,"AAAAADvPY0A=")</f>
        <v>#REF!</v>
      </c>
      <c r="BN82" t="e">
        <f>AND('GA55 Entry'!#REF!,"AAAAADvPY0E=")</f>
        <v>#REF!</v>
      </c>
      <c r="BO82" t="e">
        <f>AND('GA55 Entry'!#REF!,"AAAAADvPY0I=")</f>
        <v>#REF!</v>
      </c>
      <c r="BP82" t="e">
        <f>AND('GA55 Entry'!#REF!,"AAAAADvPY0M=")</f>
        <v>#REF!</v>
      </c>
      <c r="BQ82" t="e">
        <f>AND('GA55 Entry'!#REF!,"AAAAADvPY0Q=")</f>
        <v>#REF!</v>
      </c>
      <c r="BR82" t="e">
        <f>AND('GA55 Entry'!D179,"AAAAADvPY0U=")</f>
        <v>#VALUE!</v>
      </c>
      <c r="BS82" t="e">
        <f>AND('GA55 Entry'!#REF!,"AAAAADvPY0Y=")</f>
        <v>#REF!</v>
      </c>
      <c r="BT82" t="e">
        <f>AND('GA55 Entry'!E179,"AAAAADvPY0c=")</f>
        <v>#VALUE!</v>
      </c>
      <c r="BU82" t="e">
        <f>AND('GA55 Entry'!F179,"AAAAADvPY0g=")</f>
        <v>#VALUE!</v>
      </c>
      <c r="BV82" t="e">
        <f>AND('GA55 Entry'!G179,"AAAAADvPY0k=")</f>
        <v>#VALUE!</v>
      </c>
      <c r="BW82" t="e">
        <f>AND('GA55 Entry'!H179,"AAAAADvPY0o=")</f>
        <v>#VALUE!</v>
      </c>
      <c r="BX82" t="e">
        <f>AND('GA55 Entry'!I179,"AAAAADvPY0s=")</f>
        <v>#VALUE!</v>
      </c>
      <c r="BY82" t="e">
        <f>AND('GA55 Entry'!J179,"AAAAADvPY0w=")</f>
        <v>#VALUE!</v>
      </c>
      <c r="BZ82" t="e">
        <f>AND('GA55 Entry'!#REF!,"AAAAADvPY00=")</f>
        <v>#REF!</v>
      </c>
      <c r="CA82" t="e">
        <f>AND('GA55 Entry'!K179,"AAAAADvPY04=")</f>
        <v>#VALUE!</v>
      </c>
      <c r="CB82" t="e">
        <f>AND('GA55 Entry'!L179,"AAAAADvPY08=")</f>
        <v>#VALUE!</v>
      </c>
      <c r="CC82" t="e">
        <f>AND('GA55 Entry'!M179,"AAAAADvPY1A=")</f>
        <v>#VALUE!</v>
      </c>
      <c r="CD82" t="e">
        <f>AND('GA55 Entry'!N179,"AAAAADvPY1E=")</f>
        <v>#VALUE!</v>
      </c>
      <c r="CE82" t="e">
        <f>AND('GA55 Entry'!O179,"AAAAADvPY1I=")</f>
        <v>#VALUE!</v>
      </c>
      <c r="CF82" t="e">
        <f>AND('GA55 Entry'!P179,"AAAAADvPY1M=")</f>
        <v>#VALUE!</v>
      </c>
      <c r="CG82" t="e">
        <f>AND('GA55 Entry'!Q179,"AAAAADvPY1Q=")</f>
        <v>#VALUE!</v>
      </c>
      <c r="CH82" t="e">
        <f>AND('GA55 Entry'!S179,"AAAAADvPY1U=")</f>
        <v>#VALUE!</v>
      </c>
      <c r="CI82" t="e">
        <f>AND('GA55 Entry'!#REF!,"AAAAADvPY1Y=")</f>
        <v>#REF!</v>
      </c>
      <c r="CJ82" t="e">
        <f>AND('GA55 Entry'!T179,"AAAAADvPY1c=")</f>
        <v>#VALUE!</v>
      </c>
      <c r="CK82" t="e">
        <f>AND('GA55 Entry'!U179,"AAAAADvPY1g=")</f>
        <v>#VALUE!</v>
      </c>
      <c r="CL82" t="e">
        <f>AND('GA55 Entry'!V179,"AAAAADvPY1k=")</f>
        <v>#VALUE!</v>
      </c>
      <c r="CM82" t="e">
        <f>AND('GA55 Entry'!#REF!,"AAAAADvPY1o=")</f>
        <v>#REF!</v>
      </c>
      <c r="CN82" t="e">
        <f>AND('GA55 Entry'!#REF!,"AAAAADvPY1s=")</f>
        <v>#REF!</v>
      </c>
      <c r="CO82" t="e">
        <f>AND('GA55 Entry'!X179,"AAAAADvPY1w=")</f>
        <v>#VALUE!</v>
      </c>
      <c r="CP82" t="e">
        <f>AND('GA55 Entry'!Y179,"AAAAADvPY10=")</f>
        <v>#VALUE!</v>
      </c>
      <c r="CQ82" t="e">
        <f>AND('GA55 Entry'!#REF!,"AAAAADvPY14=")</f>
        <v>#REF!</v>
      </c>
      <c r="CR82" t="e">
        <f>AND('GA55 Entry'!#REF!,"AAAAADvPY18=")</f>
        <v>#REF!</v>
      </c>
      <c r="CS82" t="e">
        <f>AND('GA55 Entry'!#REF!,"AAAAADvPY2A=")</f>
        <v>#REF!</v>
      </c>
      <c r="CT82" t="e">
        <f>AND('GA55 Entry'!#REF!,"AAAAADvPY2E=")</f>
        <v>#REF!</v>
      </c>
      <c r="CU82" t="e">
        <f>AND('GA55 Entry'!#REF!,"AAAAADvPY2I=")</f>
        <v>#REF!</v>
      </c>
      <c r="CV82" t="e">
        <f>AND('GA55 Entry'!#REF!,"AAAAADvPY2M=")</f>
        <v>#REF!</v>
      </c>
      <c r="CW82" t="e">
        <f>AND('GA55 Entry'!#REF!,"AAAAADvPY2Q=")</f>
        <v>#REF!</v>
      </c>
      <c r="CX82" t="e">
        <f>AND('GA55 Entry'!#REF!,"AAAAADvPY2U=")</f>
        <v>#REF!</v>
      </c>
      <c r="CY82" t="e">
        <f>AND('GA55 Entry'!#REF!,"AAAAADvPY2Y=")</f>
        <v>#REF!</v>
      </c>
      <c r="CZ82" t="e">
        <f>AND('GA55 Entry'!Z179,"AAAAADvPY2c=")</f>
        <v>#VALUE!</v>
      </c>
      <c r="DA82" t="e">
        <f>AND('GA55 Entry'!AA179,"AAAAADvPY2g=")</f>
        <v>#VALUE!</v>
      </c>
      <c r="DB82" t="e">
        <f>AND('GA55 Entry'!#REF!,"AAAAADvPY2k=")</f>
        <v>#REF!</v>
      </c>
      <c r="DC82" t="e">
        <f>AND('GA55 Entry'!#REF!,"AAAAADvPY2o=")</f>
        <v>#REF!</v>
      </c>
      <c r="DD82" t="e">
        <f>AND('GA55 Entry'!#REF!,"AAAAADvPY2s=")</f>
        <v>#REF!</v>
      </c>
      <c r="DE82" t="e">
        <f>AND('GA55 Entry'!AB179,"AAAAADvPY2w=")</f>
        <v>#VALUE!</v>
      </c>
      <c r="DF82" t="e">
        <f>AND('GA55 Entry'!AC179,"AAAAADvPY20=")</f>
        <v>#VALUE!</v>
      </c>
      <c r="DG82" t="e">
        <f>AND('GA55 Entry'!#REF!,"AAAAADvPY24=")</f>
        <v>#REF!</v>
      </c>
      <c r="DH82">
        <f>IF('GA55 Entry'!180:180,"AAAAADvPY28=",0)</f>
        <v>0</v>
      </c>
      <c r="DI82" t="e">
        <f>AND('GA55 Entry'!B180,"AAAAADvPY3A=")</f>
        <v>#VALUE!</v>
      </c>
      <c r="DJ82" t="e">
        <f>AND('GA55 Entry'!#REF!,"AAAAADvPY3E=")</f>
        <v>#REF!</v>
      </c>
      <c r="DK82" t="e">
        <f>AND('GA55 Entry'!C180,"AAAAADvPY3I=")</f>
        <v>#VALUE!</v>
      </c>
      <c r="DL82" t="e">
        <f>AND('GA55 Entry'!#REF!,"AAAAADvPY3M=")</f>
        <v>#REF!</v>
      </c>
      <c r="DM82" t="e">
        <f>AND('GA55 Entry'!#REF!,"AAAAADvPY3Q=")</f>
        <v>#REF!</v>
      </c>
      <c r="DN82" t="e">
        <f>AND('GA55 Entry'!#REF!,"AAAAADvPY3U=")</f>
        <v>#REF!</v>
      </c>
      <c r="DO82" t="e">
        <f>AND('GA55 Entry'!#REF!,"AAAAADvPY3Y=")</f>
        <v>#REF!</v>
      </c>
      <c r="DP82" t="e">
        <f>AND('GA55 Entry'!#REF!,"AAAAADvPY3c=")</f>
        <v>#REF!</v>
      </c>
      <c r="DQ82" t="e">
        <f>AND('GA55 Entry'!D180,"AAAAADvPY3g=")</f>
        <v>#VALUE!</v>
      </c>
      <c r="DR82" t="e">
        <f>AND('GA55 Entry'!#REF!,"AAAAADvPY3k=")</f>
        <v>#REF!</v>
      </c>
      <c r="DS82" t="e">
        <f>AND('GA55 Entry'!E180,"AAAAADvPY3o=")</f>
        <v>#VALUE!</v>
      </c>
      <c r="DT82" t="e">
        <f>AND('GA55 Entry'!F180,"AAAAADvPY3s=")</f>
        <v>#VALUE!</v>
      </c>
      <c r="DU82" t="e">
        <f>AND('GA55 Entry'!G180,"AAAAADvPY3w=")</f>
        <v>#VALUE!</v>
      </c>
      <c r="DV82" t="e">
        <f>AND('GA55 Entry'!H180,"AAAAADvPY30=")</f>
        <v>#VALUE!</v>
      </c>
      <c r="DW82" t="e">
        <f>AND('GA55 Entry'!I180,"AAAAADvPY34=")</f>
        <v>#VALUE!</v>
      </c>
      <c r="DX82" t="e">
        <f>AND('GA55 Entry'!J180,"AAAAADvPY38=")</f>
        <v>#VALUE!</v>
      </c>
      <c r="DY82" t="e">
        <f>AND('GA55 Entry'!#REF!,"AAAAADvPY4A=")</f>
        <v>#REF!</v>
      </c>
      <c r="DZ82" t="e">
        <f>AND('GA55 Entry'!K180,"AAAAADvPY4E=")</f>
        <v>#VALUE!</v>
      </c>
      <c r="EA82" t="e">
        <f>AND('GA55 Entry'!L180,"AAAAADvPY4I=")</f>
        <v>#VALUE!</v>
      </c>
      <c r="EB82" t="e">
        <f>AND('GA55 Entry'!M180,"AAAAADvPY4M=")</f>
        <v>#VALUE!</v>
      </c>
      <c r="EC82" t="e">
        <f>AND('GA55 Entry'!N180,"AAAAADvPY4Q=")</f>
        <v>#VALUE!</v>
      </c>
      <c r="ED82" t="e">
        <f>AND('GA55 Entry'!O180,"AAAAADvPY4U=")</f>
        <v>#VALUE!</v>
      </c>
      <c r="EE82" t="e">
        <f>AND('GA55 Entry'!P180,"AAAAADvPY4Y=")</f>
        <v>#VALUE!</v>
      </c>
      <c r="EF82" t="e">
        <f>AND('GA55 Entry'!Q180,"AAAAADvPY4c=")</f>
        <v>#VALUE!</v>
      </c>
      <c r="EG82" t="e">
        <f>AND('GA55 Entry'!S180,"AAAAADvPY4g=")</f>
        <v>#VALUE!</v>
      </c>
      <c r="EH82" t="e">
        <f>AND('GA55 Entry'!#REF!,"AAAAADvPY4k=")</f>
        <v>#REF!</v>
      </c>
      <c r="EI82" t="e">
        <f>AND('GA55 Entry'!T180,"AAAAADvPY4o=")</f>
        <v>#VALUE!</v>
      </c>
      <c r="EJ82" t="e">
        <f>AND('GA55 Entry'!U180,"AAAAADvPY4s=")</f>
        <v>#VALUE!</v>
      </c>
      <c r="EK82" t="e">
        <f>AND('GA55 Entry'!V180,"AAAAADvPY4w=")</f>
        <v>#VALUE!</v>
      </c>
      <c r="EL82" t="e">
        <f>AND('GA55 Entry'!#REF!,"AAAAADvPY40=")</f>
        <v>#REF!</v>
      </c>
      <c r="EM82" t="e">
        <f>AND('GA55 Entry'!#REF!,"AAAAADvPY44=")</f>
        <v>#REF!</v>
      </c>
      <c r="EN82" t="e">
        <f>AND('GA55 Entry'!X180,"AAAAADvPY48=")</f>
        <v>#VALUE!</v>
      </c>
      <c r="EO82" t="e">
        <f>AND('GA55 Entry'!Y180,"AAAAADvPY5A=")</f>
        <v>#VALUE!</v>
      </c>
      <c r="EP82" t="e">
        <f>AND('GA55 Entry'!#REF!,"AAAAADvPY5E=")</f>
        <v>#REF!</v>
      </c>
      <c r="EQ82" t="e">
        <f>AND('GA55 Entry'!#REF!,"AAAAADvPY5I=")</f>
        <v>#REF!</v>
      </c>
      <c r="ER82" t="e">
        <f>AND('GA55 Entry'!#REF!,"AAAAADvPY5M=")</f>
        <v>#REF!</v>
      </c>
      <c r="ES82" t="e">
        <f>AND('GA55 Entry'!#REF!,"AAAAADvPY5Q=")</f>
        <v>#REF!</v>
      </c>
      <c r="ET82" t="e">
        <f>AND('GA55 Entry'!#REF!,"AAAAADvPY5U=")</f>
        <v>#REF!</v>
      </c>
      <c r="EU82" t="e">
        <f>AND('GA55 Entry'!#REF!,"AAAAADvPY5Y=")</f>
        <v>#REF!</v>
      </c>
      <c r="EV82" t="e">
        <f>AND('GA55 Entry'!#REF!,"AAAAADvPY5c=")</f>
        <v>#REF!</v>
      </c>
      <c r="EW82" t="e">
        <f>AND('GA55 Entry'!#REF!,"AAAAADvPY5g=")</f>
        <v>#REF!</v>
      </c>
      <c r="EX82" t="e">
        <f>AND('GA55 Entry'!#REF!,"AAAAADvPY5k=")</f>
        <v>#REF!</v>
      </c>
      <c r="EY82" t="e">
        <f>AND('GA55 Entry'!Z180,"AAAAADvPY5o=")</f>
        <v>#VALUE!</v>
      </c>
      <c r="EZ82" t="e">
        <f>AND('GA55 Entry'!AA180,"AAAAADvPY5s=")</f>
        <v>#VALUE!</v>
      </c>
      <c r="FA82" t="e">
        <f>AND('GA55 Entry'!#REF!,"AAAAADvPY5w=")</f>
        <v>#REF!</v>
      </c>
      <c r="FB82" t="e">
        <f>AND('GA55 Entry'!#REF!,"AAAAADvPY50=")</f>
        <v>#REF!</v>
      </c>
      <c r="FC82" t="e">
        <f>AND('GA55 Entry'!#REF!,"AAAAADvPY54=")</f>
        <v>#REF!</v>
      </c>
      <c r="FD82" t="e">
        <f>AND('GA55 Entry'!AB180,"AAAAADvPY58=")</f>
        <v>#VALUE!</v>
      </c>
      <c r="FE82" t="e">
        <f>AND('GA55 Entry'!AC180,"AAAAADvPY6A=")</f>
        <v>#VALUE!</v>
      </c>
      <c r="FF82" t="e">
        <f>AND('GA55 Entry'!#REF!,"AAAAADvPY6E=")</f>
        <v>#REF!</v>
      </c>
      <c r="FG82">
        <f>IF('GA55 Entry'!181:181,"AAAAADvPY6I=",0)</f>
        <v>0</v>
      </c>
      <c r="FH82" t="e">
        <f>AND('GA55 Entry'!B181,"AAAAADvPY6M=")</f>
        <v>#VALUE!</v>
      </c>
      <c r="FI82" t="e">
        <f>AND('GA55 Entry'!#REF!,"AAAAADvPY6Q=")</f>
        <v>#REF!</v>
      </c>
      <c r="FJ82" t="e">
        <f>AND('GA55 Entry'!C181,"AAAAADvPY6U=")</f>
        <v>#VALUE!</v>
      </c>
      <c r="FK82" t="e">
        <f>AND('GA55 Entry'!#REF!,"AAAAADvPY6Y=")</f>
        <v>#REF!</v>
      </c>
      <c r="FL82" t="e">
        <f>AND('GA55 Entry'!#REF!,"AAAAADvPY6c=")</f>
        <v>#REF!</v>
      </c>
      <c r="FM82" t="e">
        <f>AND('GA55 Entry'!#REF!,"AAAAADvPY6g=")</f>
        <v>#REF!</v>
      </c>
      <c r="FN82" t="e">
        <f>AND('GA55 Entry'!#REF!,"AAAAADvPY6k=")</f>
        <v>#REF!</v>
      </c>
      <c r="FO82" t="e">
        <f>AND('GA55 Entry'!#REF!,"AAAAADvPY6o=")</f>
        <v>#REF!</v>
      </c>
      <c r="FP82" t="e">
        <f>AND('GA55 Entry'!D181,"AAAAADvPY6s=")</f>
        <v>#VALUE!</v>
      </c>
      <c r="FQ82" t="e">
        <f>AND('GA55 Entry'!#REF!,"AAAAADvPY6w=")</f>
        <v>#REF!</v>
      </c>
      <c r="FR82" t="e">
        <f>AND('GA55 Entry'!E181,"AAAAADvPY60=")</f>
        <v>#VALUE!</v>
      </c>
      <c r="FS82" t="e">
        <f>AND('GA55 Entry'!F181,"AAAAADvPY64=")</f>
        <v>#VALUE!</v>
      </c>
      <c r="FT82" t="e">
        <f>AND('GA55 Entry'!G181,"AAAAADvPY68=")</f>
        <v>#VALUE!</v>
      </c>
      <c r="FU82" t="e">
        <f>AND('GA55 Entry'!H181,"AAAAADvPY7A=")</f>
        <v>#VALUE!</v>
      </c>
      <c r="FV82" t="e">
        <f>AND('GA55 Entry'!I181,"AAAAADvPY7E=")</f>
        <v>#VALUE!</v>
      </c>
      <c r="FW82" t="e">
        <f>AND('GA55 Entry'!J181,"AAAAADvPY7I=")</f>
        <v>#VALUE!</v>
      </c>
      <c r="FX82" t="e">
        <f>AND('GA55 Entry'!#REF!,"AAAAADvPY7M=")</f>
        <v>#REF!</v>
      </c>
      <c r="FY82" t="e">
        <f>AND('GA55 Entry'!K181,"AAAAADvPY7Q=")</f>
        <v>#VALUE!</v>
      </c>
      <c r="FZ82" t="e">
        <f>AND('GA55 Entry'!L181,"AAAAADvPY7U=")</f>
        <v>#VALUE!</v>
      </c>
      <c r="GA82" t="e">
        <f>AND('GA55 Entry'!M181,"AAAAADvPY7Y=")</f>
        <v>#VALUE!</v>
      </c>
      <c r="GB82" t="e">
        <f>AND('GA55 Entry'!N181,"AAAAADvPY7c=")</f>
        <v>#VALUE!</v>
      </c>
      <c r="GC82" t="e">
        <f>AND('GA55 Entry'!O181,"AAAAADvPY7g=")</f>
        <v>#VALUE!</v>
      </c>
      <c r="GD82" t="e">
        <f>AND('GA55 Entry'!P181,"AAAAADvPY7k=")</f>
        <v>#VALUE!</v>
      </c>
      <c r="GE82" t="e">
        <f>AND('GA55 Entry'!Q181,"AAAAADvPY7o=")</f>
        <v>#VALUE!</v>
      </c>
      <c r="GF82" t="e">
        <f>AND('GA55 Entry'!S181,"AAAAADvPY7s=")</f>
        <v>#VALUE!</v>
      </c>
      <c r="GG82" t="e">
        <f>AND('GA55 Entry'!#REF!,"AAAAADvPY7w=")</f>
        <v>#REF!</v>
      </c>
      <c r="GH82" t="e">
        <f>AND('GA55 Entry'!T181,"AAAAADvPY70=")</f>
        <v>#VALUE!</v>
      </c>
      <c r="GI82" t="e">
        <f>AND('GA55 Entry'!U181,"AAAAADvPY74=")</f>
        <v>#VALUE!</v>
      </c>
      <c r="GJ82" t="e">
        <f>AND('GA55 Entry'!V181,"AAAAADvPY78=")</f>
        <v>#VALUE!</v>
      </c>
      <c r="GK82" t="e">
        <f>AND('GA55 Entry'!#REF!,"AAAAADvPY8A=")</f>
        <v>#REF!</v>
      </c>
      <c r="GL82" t="e">
        <f>AND('GA55 Entry'!#REF!,"AAAAADvPY8E=")</f>
        <v>#REF!</v>
      </c>
      <c r="GM82" t="e">
        <f>AND('GA55 Entry'!X181,"AAAAADvPY8I=")</f>
        <v>#VALUE!</v>
      </c>
      <c r="GN82" t="e">
        <f>AND('GA55 Entry'!Y181,"AAAAADvPY8M=")</f>
        <v>#VALUE!</v>
      </c>
      <c r="GO82" t="e">
        <f>AND('GA55 Entry'!#REF!,"AAAAADvPY8Q=")</f>
        <v>#REF!</v>
      </c>
      <c r="GP82" t="e">
        <f>AND('GA55 Entry'!#REF!,"AAAAADvPY8U=")</f>
        <v>#REF!</v>
      </c>
      <c r="GQ82" t="e">
        <f>AND('GA55 Entry'!#REF!,"AAAAADvPY8Y=")</f>
        <v>#REF!</v>
      </c>
      <c r="GR82" t="e">
        <f>AND('GA55 Entry'!#REF!,"AAAAADvPY8c=")</f>
        <v>#REF!</v>
      </c>
      <c r="GS82" t="e">
        <f>AND('GA55 Entry'!#REF!,"AAAAADvPY8g=")</f>
        <v>#REF!</v>
      </c>
      <c r="GT82" t="e">
        <f>AND('GA55 Entry'!#REF!,"AAAAADvPY8k=")</f>
        <v>#REF!</v>
      </c>
      <c r="GU82" t="e">
        <f>AND('GA55 Entry'!#REF!,"AAAAADvPY8o=")</f>
        <v>#REF!</v>
      </c>
      <c r="GV82" t="e">
        <f>AND('GA55 Entry'!#REF!,"AAAAADvPY8s=")</f>
        <v>#REF!</v>
      </c>
      <c r="GW82" t="e">
        <f>AND('GA55 Entry'!#REF!,"AAAAADvPY8w=")</f>
        <v>#REF!</v>
      </c>
      <c r="GX82" t="e">
        <f>AND('GA55 Entry'!Z181,"AAAAADvPY80=")</f>
        <v>#VALUE!</v>
      </c>
      <c r="GY82" t="e">
        <f>AND('GA55 Entry'!AA181,"AAAAADvPY84=")</f>
        <v>#VALUE!</v>
      </c>
      <c r="GZ82" t="e">
        <f>AND('GA55 Entry'!#REF!,"AAAAADvPY88=")</f>
        <v>#REF!</v>
      </c>
      <c r="HA82" t="e">
        <f>AND('GA55 Entry'!#REF!,"AAAAADvPY9A=")</f>
        <v>#REF!</v>
      </c>
      <c r="HB82" t="e">
        <f>AND('GA55 Entry'!#REF!,"AAAAADvPY9E=")</f>
        <v>#REF!</v>
      </c>
      <c r="HC82" t="e">
        <f>AND('GA55 Entry'!AB181,"AAAAADvPY9I=")</f>
        <v>#VALUE!</v>
      </c>
      <c r="HD82" t="e">
        <f>AND('GA55 Entry'!AC181,"AAAAADvPY9M=")</f>
        <v>#VALUE!</v>
      </c>
      <c r="HE82" t="e">
        <f>AND('GA55 Entry'!#REF!,"AAAAADvPY9Q=")</f>
        <v>#REF!</v>
      </c>
      <c r="HF82">
        <f>IF('GA55 Entry'!182:182,"AAAAADvPY9U=",0)</f>
        <v>0</v>
      </c>
      <c r="HG82" t="e">
        <f>AND('GA55 Entry'!B182,"AAAAADvPY9Y=")</f>
        <v>#VALUE!</v>
      </c>
      <c r="HH82" t="e">
        <f>AND('GA55 Entry'!#REF!,"AAAAADvPY9c=")</f>
        <v>#REF!</v>
      </c>
      <c r="HI82" t="e">
        <f>AND('GA55 Entry'!C182,"AAAAADvPY9g=")</f>
        <v>#VALUE!</v>
      </c>
      <c r="HJ82" t="e">
        <f>AND('GA55 Entry'!#REF!,"AAAAADvPY9k=")</f>
        <v>#REF!</v>
      </c>
      <c r="HK82" t="e">
        <f>AND('GA55 Entry'!#REF!,"AAAAADvPY9o=")</f>
        <v>#REF!</v>
      </c>
      <c r="HL82" t="e">
        <f>AND('GA55 Entry'!#REF!,"AAAAADvPY9s=")</f>
        <v>#REF!</v>
      </c>
      <c r="HM82" t="e">
        <f>AND('GA55 Entry'!#REF!,"AAAAADvPY9w=")</f>
        <v>#REF!</v>
      </c>
      <c r="HN82" t="e">
        <f>AND('GA55 Entry'!#REF!,"AAAAADvPY90=")</f>
        <v>#REF!</v>
      </c>
      <c r="HO82" t="e">
        <f>AND('GA55 Entry'!D182,"AAAAADvPY94=")</f>
        <v>#VALUE!</v>
      </c>
      <c r="HP82" t="e">
        <f>AND('GA55 Entry'!#REF!,"AAAAADvPY98=")</f>
        <v>#REF!</v>
      </c>
      <c r="HQ82" t="e">
        <f>AND('GA55 Entry'!E182,"AAAAADvPY+A=")</f>
        <v>#VALUE!</v>
      </c>
      <c r="HR82" t="e">
        <f>AND('GA55 Entry'!F182,"AAAAADvPY+E=")</f>
        <v>#VALUE!</v>
      </c>
      <c r="HS82" t="e">
        <f>AND('GA55 Entry'!G182,"AAAAADvPY+I=")</f>
        <v>#VALUE!</v>
      </c>
      <c r="HT82" t="e">
        <f>AND('GA55 Entry'!H182,"AAAAADvPY+M=")</f>
        <v>#VALUE!</v>
      </c>
      <c r="HU82" t="e">
        <f>AND('GA55 Entry'!I182,"AAAAADvPY+Q=")</f>
        <v>#VALUE!</v>
      </c>
      <c r="HV82" t="e">
        <f>AND('GA55 Entry'!J182,"AAAAADvPY+U=")</f>
        <v>#VALUE!</v>
      </c>
      <c r="HW82" t="e">
        <f>AND('GA55 Entry'!#REF!,"AAAAADvPY+Y=")</f>
        <v>#REF!</v>
      </c>
      <c r="HX82" t="e">
        <f>AND('GA55 Entry'!K182,"AAAAADvPY+c=")</f>
        <v>#VALUE!</v>
      </c>
      <c r="HY82" t="e">
        <f>AND('GA55 Entry'!L182,"AAAAADvPY+g=")</f>
        <v>#VALUE!</v>
      </c>
      <c r="HZ82" t="e">
        <f>AND('GA55 Entry'!M182,"AAAAADvPY+k=")</f>
        <v>#VALUE!</v>
      </c>
      <c r="IA82" t="e">
        <f>AND('GA55 Entry'!N182,"AAAAADvPY+o=")</f>
        <v>#VALUE!</v>
      </c>
      <c r="IB82" t="e">
        <f>AND('GA55 Entry'!O182,"AAAAADvPY+s=")</f>
        <v>#VALUE!</v>
      </c>
      <c r="IC82" t="e">
        <f>AND('GA55 Entry'!P182,"AAAAADvPY+w=")</f>
        <v>#VALUE!</v>
      </c>
      <c r="ID82" t="e">
        <f>AND('GA55 Entry'!Q182,"AAAAADvPY+0=")</f>
        <v>#VALUE!</v>
      </c>
      <c r="IE82" t="e">
        <f>AND('GA55 Entry'!S182,"AAAAADvPY+4=")</f>
        <v>#VALUE!</v>
      </c>
      <c r="IF82" t="e">
        <f>AND('GA55 Entry'!#REF!,"AAAAADvPY+8=")</f>
        <v>#REF!</v>
      </c>
      <c r="IG82" t="e">
        <f>AND('GA55 Entry'!T182,"AAAAADvPY/A=")</f>
        <v>#VALUE!</v>
      </c>
      <c r="IH82" t="e">
        <f>AND('GA55 Entry'!U182,"AAAAADvPY/E=")</f>
        <v>#VALUE!</v>
      </c>
      <c r="II82" t="e">
        <f>AND('GA55 Entry'!V182,"AAAAADvPY/I=")</f>
        <v>#VALUE!</v>
      </c>
      <c r="IJ82" t="e">
        <f>AND('GA55 Entry'!#REF!,"AAAAADvPY/M=")</f>
        <v>#REF!</v>
      </c>
      <c r="IK82" t="e">
        <f>AND('GA55 Entry'!#REF!,"AAAAADvPY/Q=")</f>
        <v>#REF!</v>
      </c>
      <c r="IL82" t="e">
        <f>AND('GA55 Entry'!X182,"AAAAADvPY/U=")</f>
        <v>#VALUE!</v>
      </c>
      <c r="IM82" t="e">
        <f>AND('GA55 Entry'!Y182,"AAAAADvPY/Y=")</f>
        <v>#VALUE!</v>
      </c>
      <c r="IN82" t="e">
        <f>AND('GA55 Entry'!#REF!,"AAAAADvPY/c=")</f>
        <v>#REF!</v>
      </c>
      <c r="IO82" t="e">
        <f>AND('GA55 Entry'!#REF!,"AAAAADvPY/g=")</f>
        <v>#REF!</v>
      </c>
      <c r="IP82" t="e">
        <f>AND('GA55 Entry'!#REF!,"AAAAADvPY/k=")</f>
        <v>#REF!</v>
      </c>
      <c r="IQ82" t="e">
        <f>AND('GA55 Entry'!#REF!,"AAAAADvPY/o=")</f>
        <v>#REF!</v>
      </c>
      <c r="IR82" t="e">
        <f>AND('GA55 Entry'!#REF!,"AAAAADvPY/s=")</f>
        <v>#REF!</v>
      </c>
      <c r="IS82" t="e">
        <f>AND('GA55 Entry'!#REF!,"AAAAADvPY/w=")</f>
        <v>#REF!</v>
      </c>
      <c r="IT82" t="e">
        <f>AND('GA55 Entry'!#REF!,"AAAAADvPY/0=")</f>
        <v>#REF!</v>
      </c>
      <c r="IU82" t="e">
        <f>AND('GA55 Entry'!#REF!,"AAAAADvPY/4=")</f>
        <v>#REF!</v>
      </c>
      <c r="IV82" t="e">
        <f>AND('GA55 Entry'!#REF!,"AAAAADvPY/8=")</f>
        <v>#REF!</v>
      </c>
    </row>
    <row r="83" spans="1:256">
      <c r="A83" t="e">
        <f>AND('GA55 Entry'!Z182,"AAAAAD+8twA=")</f>
        <v>#VALUE!</v>
      </c>
      <c r="B83" t="e">
        <f>AND('GA55 Entry'!AA182,"AAAAAD+8twE=")</f>
        <v>#VALUE!</v>
      </c>
      <c r="C83" t="e">
        <f>AND('GA55 Entry'!#REF!,"AAAAAD+8twI=")</f>
        <v>#REF!</v>
      </c>
      <c r="D83" t="e">
        <f>AND('GA55 Entry'!#REF!,"AAAAAD+8twM=")</f>
        <v>#REF!</v>
      </c>
      <c r="E83" t="e">
        <f>AND('GA55 Entry'!#REF!,"AAAAAD+8twQ=")</f>
        <v>#REF!</v>
      </c>
      <c r="F83" t="e">
        <f>AND('GA55 Entry'!AB182,"AAAAAD+8twU=")</f>
        <v>#VALUE!</v>
      </c>
      <c r="G83" t="e">
        <f>AND('GA55 Entry'!AC182,"AAAAAD+8twY=")</f>
        <v>#VALUE!</v>
      </c>
      <c r="H83" t="e">
        <f>AND('GA55 Entry'!#REF!,"AAAAAD+8twc=")</f>
        <v>#REF!</v>
      </c>
      <c r="I83">
        <f>IF('GA55 Entry'!183:183,"AAAAAD+8twg=",0)</f>
        <v>0</v>
      </c>
      <c r="J83" t="e">
        <f>AND('GA55 Entry'!B183,"AAAAAD+8twk=")</f>
        <v>#VALUE!</v>
      </c>
      <c r="K83" t="e">
        <f>AND('GA55 Entry'!#REF!,"AAAAAD+8two=")</f>
        <v>#REF!</v>
      </c>
      <c r="L83" t="e">
        <f>AND('GA55 Entry'!C183,"AAAAAD+8tws=")</f>
        <v>#VALUE!</v>
      </c>
      <c r="M83" t="e">
        <f>AND('GA55 Entry'!#REF!,"AAAAAD+8tww=")</f>
        <v>#REF!</v>
      </c>
      <c r="N83" t="e">
        <f>AND('GA55 Entry'!#REF!,"AAAAAD+8tw0=")</f>
        <v>#REF!</v>
      </c>
      <c r="O83" t="e">
        <f>AND('GA55 Entry'!#REF!,"AAAAAD+8tw4=")</f>
        <v>#REF!</v>
      </c>
      <c r="P83" t="e">
        <f>AND('GA55 Entry'!#REF!,"AAAAAD+8tw8=")</f>
        <v>#REF!</v>
      </c>
      <c r="Q83" t="e">
        <f>AND('GA55 Entry'!#REF!,"AAAAAD+8txA=")</f>
        <v>#REF!</v>
      </c>
      <c r="R83" t="e">
        <f>AND('GA55 Entry'!D183,"AAAAAD+8txE=")</f>
        <v>#VALUE!</v>
      </c>
      <c r="S83" t="e">
        <f>AND('GA55 Entry'!#REF!,"AAAAAD+8txI=")</f>
        <v>#REF!</v>
      </c>
      <c r="T83" t="e">
        <f>AND('GA55 Entry'!E183,"AAAAAD+8txM=")</f>
        <v>#VALUE!</v>
      </c>
      <c r="U83" t="e">
        <f>AND('GA55 Entry'!F183,"AAAAAD+8txQ=")</f>
        <v>#VALUE!</v>
      </c>
      <c r="V83" t="e">
        <f>AND('GA55 Entry'!G183,"AAAAAD+8txU=")</f>
        <v>#VALUE!</v>
      </c>
      <c r="W83" t="e">
        <f>AND('GA55 Entry'!H183,"AAAAAD+8txY=")</f>
        <v>#VALUE!</v>
      </c>
      <c r="X83" t="e">
        <f>AND('GA55 Entry'!I183,"AAAAAD+8txc=")</f>
        <v>#VALUE!</v>
      </c>
      <c r="Y83" t="e">
        <f>AND('GA55 Entry'!J183,"AAAAAD+8txg=")</f>
        <v>#VALUE!</v>
      </c>
      <c r="Z83" t="e">
        <f>AND('GA55 Entry'!#REF!,"AAAAAD+8txk=")</f>
        <v>#REF!</v>
      </c>
      <c r="AA83" t="e">
        <f>AND('GA55 Entry'!K183,"AAAAAD+8txo=")</f>
        <v>#VALUE!</v>
      </c>
      <c r="AB83" t="e">
        <f>AND('GA55 Entry'!L183,"AAAAAD+8txs=")</f>
        <v>#VALUE!</v>
      </c>
      <c r="AC83" t="e">
        <f>AND('GA55 Entry'!M183,"AAAAAD+8txw=")</f>
        <v>#VALUE!</v>
      </c>
      <c r="AD83" t="e">
        <f>AND('GA55 Entry'!N183,"AAAAAD+8tx0=")</f>
        <v>#VALUE!</v>
      </c>
      <c r="AE83" t="e">
        <f>AND('GA55 Entry'!O183,"AAAAAD+8tx4=")</f>
        <v>#VALUE!</v>
      </c>
      <c r="AF83" t="e">
        <f>AND('GA55 Entry'!P183,"AAAAAD+8tx8=")</f>
        <v>#VALUE!</v>
      </c>
      <c r="AG83" t="e">
        <f>AND('GA55 Entry'!Q183,"AAAAAD+8tyA=")</f>
        <v>#VALUE!</v>
      </c>
      <c r="AH83" t="e">
        <f>AND('GA55 Entry'!S183,"AAAAAD+8tyE=")</f>
        <v>#VALUE!</v>
      </c>
      <c r="AI83" t="e">
        <f>AND('GA55 Entry'!#REF!,"AAAAAD+8tyI=")</f>
        <v>#REF!</v>
      </c>
      <c r="AJ83" t="e">
        <f>AND('GA55 Entry'!T183,"AAAAAD+8tyM=")</f>
        <v>#VALUE!</v>
      </c>
      <c r="AK83" t="e">
        <f>AND('GA55 Entry'!U183,"AAAAAD+8tyQ=")</f>
        <v>#VALUE!</v>
      </c>
      <c r="AL83" t="e">
        <f>AND('GA55 Entry'!V183,"AAAAAD+8tyU=")</f>
        <v>#VALUE!</v>
      </c>
      <c r="AM83" t="e">
        <f>AND('GA55 Entry'!#REF!,"AAAAAD+8tyY=")</f>
        <v>#REF!</v>
      </c>
      <c r="AN83" t="e">
        <f>AND('GA55 Entry'!#REF!,"AAAAAD+8tyc=")</f>
        <v>#REF!</v>
      </c>
      <c r="AO83" t="e">
        <f>AND('GA55 Entry'!X183,"AAAAAD+8tyg=")</f>
        <v>#VALUE!</v>
      </c>
      <c r="AP83" t="e">
        <f>AND('GA55 Entry'!Y183,"AAAAAD+8tyk=")</f>
        <v>#VALUE!</v>
      </c>
      <c r="AQ83" t="e">
        <f>AND('GA55 Entry'!#REF!,"AAAAAD+8tyo=")</f>
        <v>#REF!</v>
      </c>
      <c r="AR83" t="e">
        <f>AND('GA55 Entry'!#REF!,"AAAAAD+8tys=")</f>
        <v>#REF!</v>
      </c>
      <c r="AS83" t="e">
        <f>AND('GA55 Entry'!#REF!,"AAAAAD+8tyw=")</f>
        <v>#REF!</v>
      </c>
      <c r="AT83" t="e">
        <f>AND('GA55 Entry'!#REF!,"AAAAAD+8ty0=")</f>
        <v>#REF!</v>
      </c>
      <c r="AU83" t="e">
        <f>AND('GA55 Entry'!#REF!,"AAAAAD+8ty4=")</f>
        <v>#REF!</v>
      </c>
      <c r="AV83" t="e">
        <f>AND('GA55 Entry'!#REF!,"AAAAAD+8ty8=")</f>
        <v>#REF!</v>
      </c>
      <c r="AW83" t="e">
        <f>AND('GA55 Entry'!#REF!,"AAAAAD+8tzA=")</f>
        <v>#REF!</v>
      </c>
      <c r="AX83" t="e">
        <f>AND('GA55 Entry'!#REF!,"AAAAAD+8tzE=")</f>
        <v>#REF!</v>
      </c>
      <c r="AY83" t="e">
        <f>AND('GA55 Entry'!#REF!,"AAAAAD+8tzI=")</f>
        <v>#REF!</v>
      </c>
      <c r="AZ83" t="e">
        <f>AND('GA55 Entry'!Z183,"AAAAAD+8tzM=")</f>
        <v>#VALUE!</v>
      </c>
      <c r="BA83" t="e">
        <f>AND('GA55 Entry'!AA183,"AAAAAD+8tzQ=")</f>
        <v>#VALUE!</v>
      </c>
      <c r="BB83" t="e">
        <f>AND('GA55 Entry'!#REF!,"AAAAAD+8tzU=")</f>
        <v>#REF!</v>
      </c>
      <c r="BC83" t="e">
        <f>AND('GA55 Entry'!#REF!,"AAAAAD+8tzY=")</f>
        <v>#REF!</v>
      </c>
      <c r="BD83" t="e">
        <f>AND('GA55 Entry'!#REF!,"AAAAAD+8tzc=")</f>
        <v>#REF!</v>
      </c>
      <c r="BE83" t="e">
        <f>AND('GA55 Entry'!AB183,"AAAAAD+8tzg=")</f>
        <v>#VALUE!</v>
      </c>
      <c r="BF83" t="e">
        <f>AND('GA55 Entry'!AC183,"AAAAAD+8tzk=")</f>
        <v>#VALUE!</v>
      </c>
      <c r="BG83" t="e">
        <f>AND('GA55 Entry'!#REF!,"AAAAAD+8tzo=")</f>
        <v>#REF!</v>
      </c>
      <c r="BH83">
        <f>IF('GA55 Entry'!184:184,"AAAAAD+8tzs=",0)</f>
        <v>0</v>
      </c>
      <c r="BI83" t="e">
        <f>AND('GA55 Entry'!B184,"AAAAAD+8tzw=")</f>
        <v>#VALUE!</v>
      </c>
      <c r="BJ83" t="e">
        <f>AND('GA55 Entry'!#REF!,"AAAAAD+8tz0=")</f>
        <v>#REF!</v>
      </c>
      <c r="BK83" t="e">
        <f>AND('GA55 Entry'!C184,"AAAAAD+8tz4=")</f>
        <v>#VALUE!</v>
      </c>
      <c r="BL83" t="e">
        <f>AND('GA55 Entry'!#REF!,"AAAAAD+8tz8=")</f>
        <v>#REF!</v>
      </c>
      <c r="BM83" t="e">
        <f>AND('GA55 Entry'!#REF!,"AAAAAD+8t0A=")</f>
        <v>#REF!</v>
      </c>
      <c r="BN83" t="e">
        <f>AND('GA55 Entry'!#REF!,"AAAAAD+8t0E=")</f>
        <v>#REF!</v>
      </c>
      <c r="BO83" t="e">
        <f>AND('GA55 Entry'!#REF!,"AAAAAD+8t0I=")</f>
        <v>#REF!</v>
      </c>
      <c r="BP83" t="e">
        <f>AND('GA55 Entry'!#REF!,"AAAAAD+8t0M=")</f>
        <v>#REF!</v>
      </c>
      <c r="BQ83" t="e">
        <f>AND('GA55 Entry'!D184,"AAAAAD+8t0Q=")</f>
        <v>#VALUE!</v>
      </c>
      <c r="BR83" t="e">
        <f>AND('GA55 Entry'!#REF!,"AAAAAD+8t0U=")</f>
        <v>#REF!</v>
      </c>
      <c r="BS83" t="e">
        <f>AND('GA55 Entry'!E184,"AAAAAD+8t0Y=")</f>
        <v>#VALUE!</v>
      </c>
      <c r="BT83" t="e">
        <f>AND('GA55 Entry'!F184,"AAAAAD+8t0c=")</f>
        <v>#VALUE!</v>
      </c>
      <c r="BU83" t="e">
        <f>AND('GA55 Entry'!G184,"AAAAAD+8t0g=")</f>
        <v>#VALUE!</v>
      </c>
      <c r="BV83" t="e">
        <f>AND('GA55 Entry'!H184,"AAAAAD+8t0k=")</f>
        <v>#VALUE!</v>
      </c>
      <c r="BW83" t="e">
        <f>AND('GA55 Entry'!I184,"AAAAAD+8t0o=")</f>
        <v>#VALUE!</v>
      </c>
      <c r="BX83" t="e">
        <f>AND('GA55 Entry'!J184,"AAAAAD+8t0s=")</f>
        <v>#VALUE!</v>
      </c>
      <c r="BY83" t="e">
        <f>AND('GA55 Entry'!#REF!,"AAAAAD+8t0w=")</f>
        <v>#REF!</v>
      </c>
      <c r="BZ83" t="e">
        <f>AND('GA55 Entry'!K184,"AAAAAD+8t00=")</f>
        <v>#VALUE!</v>
      </c>
      <c r="CA83" t="e">
        <f>AND('GA55 Entry'!L184,"AAAAAD+8t04=")</f>
        <v>#VALUE!</v>
      </c>
      <c r="CB83" t="e">
        <f>AND('GA55 Entry'!M184,"AAAAAD+8t08=")</f>
        <v>#VALUE!</v>
      </c>
      <c r="CC83" t="e">
        <f>AND('GA55 Entry'!N184,"AAAAAD+8t1A=")</f>
        <v>#VALUE!</v>
      </c>
      <c r="CD83" t="e">
        <f>AND('GA55 Entry'!O184,"AAAAAD+8t1E=")</f>
        <v>#VALUE!</v>
      </c>
      <c r="CE83" t="e">
        <f>AND('GA55 Entry'!P184,"AAAAAD+8t1I=")</f>
        <v>#VALUE!</v>
      </c>
      <c r="CF83" t="e">
        <f>AND('GA55 Entry'!Q184,"AAAAAD+8t1M=")</f>
        <v>#VALUE!</v>
      </c>
      <c r="CG83" t="e">
        <f>AND('GA55 Entry'!S184,"AAAAAD+8t1Q=")</f>
        <v>#VALUE!</v>
      </c>
      <c r="CH83" t="e">
        <f>AND('GA55 Entry'!#REF!,"AAAAAD+8t1U=")</f>
        <v>#REF!</v>
      </c>
      <c r="CI83" t="e">
        <f>AND('GA55 Entry'!T184,"AAAAAD+8t1Y=")</f>
        <v>#VALUE!</v>
      </c>
      <c r="CJ83" t="e">
        <f>AND('GA55 Entry'!U184,"AAAAAD+8t1c=")</f>
        <v>#VALUE!</v>
      </c>
      <c r="CK83" t="e">
        <f>AND('GA55 Entry'!V184,"AAAAAD+8t1g=")</f>
        <v>#VALUE!</v>
      </c>
      <c r="CL83" t="e">
        <f>AND('GA55 Entry'!#REF!,"AAAAAD+8t1k=")</f>
        <v>#REF!</v>
      </c>
      <c r="CM83" t="e">
        <f>AND('GA55 Entry'!#REF!,"AAAAAD+8t1o=")</f>
        <v>#REF!</v>
      </c>
      <c r="CN83" t="e">
        <f>AND('GA55 Entry'!X184,"AAAAAD+8t1s=")</f>
        <v>#VALUE!</v>
      </c>
      <c r="CO83" t="e">
        <f>AND('GA55 Entry'!Y184,"AAAAAD+8t1w=")</f>
        <v>#VALUE!</v>
      </c>
      <c r="CP83" t="e">
        <f>AND('GA55 Entry'!#REF!,"AAAAAD+8t10=")</f>
        <v>#REF!</v>
      </c>
      <c r="CQ83" t="e">
        <f>AND('GA55 Entry'!#REF!,"AAAAAD+8t14=")</f>
        <v>#REF!</v>
      </c>
      <c r="CR83" t="e">
        <f>AND('GA55 Entry'!#REF!,"AAAAAD+8t18=")</f>
        <v>#REF!</v>
      </c>
      <c r="CS83" t="e">
        <f>AND('GA55 Entry'!#REF!,"AAAAAD+8t2A=")</f>
        <v>#REF!</v>
      </c>
      <c r="CT83" t="e">
        <f>AND('GA55 Entry'!#REF!,"AAAAAD+8t2E=")</f>
        <v>#REF!</v>
      </c>
      <c r="CU83" t="e">
        <f>AND('GA55 Entry'!#REF!,"AAAAAD+8t2I=")</f>
        <v>#REF!</v>
      </c>
      <c r="CV83" t="e">
        <f>AND('GA55 Entry'!#REF!,"AAAAAD+8t2M=")</f>
        <v>#REF!</v>
      </c>
      <c r="CW83" t="e">
        <f>AND('GA55 Entry'!#REF!,"AAAAAD+8t2Q=")</f>
        <v>#REF!</v>
      </c>
      <c r="CX83" t="e">
        <f>AND('GA55 Entry'!#REF!,"AAAAAD+8t2U=")</f>
        <v>#REF!</v>
      </c>
      <c r="CY83" t="e">
        <f>AND('GA55 Entry'!Z184,"AAAAAD+8t2Y=")</f>
        <v>#VALUE!</v>
      </c>
      <c r="CZ83" t="e">
        <f>AND('GA55 Entry'!AA184,"AAAAAD+8t2c=")</f>
        <v>#VALUE!</v>
      </c>
      <c r="DA83" t="e">
        <f>AND('GA55 Entry'!#REF!,"AAAAAD+8t2g=")</f>
        <v>#REF!</v>
      </c>
      <c r="DB83" t="e">
        <f>AND('GA55 Entry'!#REF!,"AAAAAD+8t2k=")</f>
        <v>#REF!</v>
      </c>
      <c r="DC83" t="e">
        <f>AND('GA55 Entry'!#REF!,"AAAAAD+8t2o=")</f>
        <v>#REF!</v>
      </c>
      <c r="DD83" t="e">
        <f>AND('GA55 Entry'!AB184,"AAAAAD+8t2s=")</f>
        <v>#VALUE!</v>
      </c>
      <c r="DE83" t="e">
        <f>AND('GA55 Entry'!AC184,"AAAAAD+8t2w=")</f>
        <v>#VALUE!</v>
      </c>
      <c r="DF83" t="e">
        <f>AND('GA55 Entry'!#REF!,"AAAAAD+8t20=")</f>
        <v>#REF!</v>
      </c>
      <c r="DG83">
        <f>IF('GA55 Entry'!185:185,"AAAAAD+8t24=",0)</f>
        <v>0</v>
      </c>
      <c r="DH83" t="e">
        <f>AND('GA55 Entry'!B185,"AAAAAD+8t28=")</f>
        <v>#VALUE!</v>
      </c>
      <c r="DI83" t="e">
        <f>AND('GA55 Entry'!#REF!,"AAAAAD+8t3A=")</f>
        <v>#REF!</v>
      </c>
      <c r="DJ83" t="e">
        <f>AND('GA55 Entry'!C185,"AAAAAD+8t3E=")</f>
        <v>#VALUE!</v>
      </c>
      <c r="DK83" t="e">
        <f>AND('GA55 Entry'!#REF!,"AAAAAD+8t3I=")</f>
        <v>#REF!</v>
      </c>
      <c r="DL83" t="e">
        <f>AND('GA55 Entry'!#REF!,"AAAAAD+8t3M=")</f>
        <v>#REF!</v>
      </c>
      <c r="DM83" t="e">
        <f>AND('GA55 Entry'!#REF!,"AAAAAD+8t3Q=")</f>
        <v>#REF!</v>
      </c>
      <c r="DN83" t="e">
        <f>AND('GA55 Entry'!#REF!,"AAAAAD+8t3U=")</f>
        <v>#REF!</v>
      </c>
      <c r="DO83" t="e">
        <f>AND('GA55 Entry'!#REF!,"AAAAAD+8t3Y=")</f>
        <v>#REF!</v>
      </c>
      <c r="DP83" t="e">
        <f>AND('GA55 Entry'!D185,"AAAAAD+8t3c=")</f>
        <v>#VALUE!</v>
      </c>
      <c r="DQ83" t="e">
        <f>AND('GA55 Entry'!#REF!,"AAAAAD+8t3g=")</f>
        <v>#REF!</v>
      </c>
      <c r="DR83" t="e">
        <f>AND('GA55 Entry'!E185,"AAAAAD+8t3k=")</f>
        <v>#VALUE!</v>
      </c>
      <c r="DS83" t="e">
        <f>AND('GA55 Entry'!F185,"AAAAAD+8t3o=")</f>
        <v>#VALUE!</v>
      </c>
      <c r="DT83" t="e">
        <f>AND('GA55 Entry'!G185,"AAAAAD+8t3s=")</f>
        <v>#VALUE!</v>
      </c>
      <c r="DU83" t="e">
        <f>AND('GA55 Entry'!H185,"AAAAAD+8t3w=")</f>
        <v>#VALUE!</v>
      </c>
      <c r="DV83" t="e">
        <f>AND('GA55 Entry'!I185,"AAAAAD+8t30=")</f>
        <v>#VALUE!</v>
      </c>
      <c r="DW83" t="e">
        <f>AND('GA55 Entry'!J185,"AAAAAD+8t34=")</f>
        <v>#VALUE!</v>
      </c>
      <c r="DX83" t="e">
        <f>AND('GA55 Entry'!#REF!,"AAAAAD+8t38=")</f>
        <v>#REF!</v>
      </c>
      <c r="DY83" t="e">
        <f>AND('GA55 Entry'!K185,"AAAAAD+8t4A=")</f>
        <v>#VALUE!</v>
      </c>
      <c r="DZ83" t="e">
        <f>AND('GA55 Entry'!L185,"AAAAAD+8t4E=")</f>
        <v>#VALUE!</v>
      </c>
      <c r="EA83" t="e">
        <f>AND('GA55 Entry'!M185,"AAAAAD+8t4I=")</f>
        <v>#VALUE!</v>
      </c>
      <c r="EB83" t="e">
        <f>AND('GA55 Entry'!N185,"AAAAAD+8t4M=")</f>
        <v>#VALUE!</v>
      </c>
      <c r="EC83" t="e">
        <f>AND('GA55 Entry'!O185,"AAAAAD+8t4Q=")</f>
        <v>#VALUE!</v>
      </c>
      <c r="ED83" t="e">
        <f>AND('GA55 Entry'!P185,"AAAAAD+8t4U=")</f>
        <v>#VALUE!</v>
      </c>
      <c r="EE83" t="e">
        <f>AND('GA55 Entry'!Q185,"AAAAAD+8t4Y=")</f>
        <v>#VALUE!</v>
      </c>
      <c r="EF83" t="e">
        <f>AND('GA55 Entry'!S185,"AAAAAD+8t4c=")</f>
        <v>#VALUE!</v>
      </c>
      <c r="EG83" t="e">
        <f>AND('GA55 Entry'!#REF!,"AAAAAD+8t4g=")</f>
        <v>#REF!</v>
      </c>
      <c r="EH83" t="e">
        <f>AND('GA55 Entry'!T185,"AAAAAD+8t4k=")</f>
        <v>#VALUE!</v>
      </c>
      <c r="EI83" t="e">
        <f>AND('GA55 Entry'!U185,"AAAAAD+8t4o=")</f>
        <v>#VALUE!</v>
      </c>
      <c r="EJ83" t="e">
        <f>AND('GA55 Entry'!V185,"AAAAAD+8t4s=")</f>
        <v>#VALUE!</v>
      </c>
      <c r="EK83" t="e">
        <f>AND('GA55 Entry'!#REF!,"AAAAAD+8t4w=")</f>
        <v>#REF!</v>
      </c>
      <c r="EL83" t="e">
        <f>AND('GA55 Entry'!#REF!,"AAAAAD+8t40=")</f>
        <v>#REF!</v>
      </c>
      <c r="EM83" t="e">
        <f>AND('GA55 Entry'!X185,"AAAAAD+8t44=")</f>
        <v>#VALUE!</v>
      </c>
      <c r="EN83" t="e">
        <f>AND('GA55 Entry'!Y185,"AAAAAD+8t48=")</f>
        <v>#VALUE!</v>
      </c>
      <c r="EO83" t="e">
        <f>AND('GA55 Entry'!#REF!,"AAAAAD+8t5A=")</f>
        <v>#REF!</v>
      </c>
      <c r="EP83" t="e">
        <f>AND('GA55 Entry'!#REF!,"AAAAAD+8t5E=")</f>
        <v>#REF!</v>
      </c>
      <c r="EQ83" t="e">
        <f>AND('GA55 Entry'!#REF!,"AAAAAD+8t5I=")</f>
        <v>#REF!</v>
      </c>
      <c r="ER83" t="e">
        <f>AND('GA55 Entry'!#REF!,"AAAAAD+8t5M=")</f>
        <v>#REF!</v>
      </c>
      <c r="ES83" t="e">
        <f>AND('GA55 Entry'!#REF!,"AAAAAD+8t5Q=")</f>
        <v>#REF!</v>
      </c>
      <c r="ET83" t="e">
        <f>AND('GA55 Entry'!#REF!,"AAAAAD+8t5U=")</f>
        <v>#REF!</v>
      </c>
      <c r="EU83" t="e">
        <f>AND('GA55 Entry'!#REF!,"AAAAAD+8t5Y=")</f>
        <v>#REF!</v>
      </c>
      <c r="EV83" t="e">
        <f>AND('GA55 Entry'!#REF!,"AAAAAD+8t5c=")</f>
        <v>#REF!</v>
      </c>
      <c r="EW83" t="e">
        <f>AND('GA55 Entry'!#REF!,"AAAAAD+8t5g=")</f>
        <v>#REF!</v>
      </c>
      <c r="EX83" t="e">
        <f>AND('GA55 Entry'!Z185,"AAAAAD+8t5k=")</f>
        <v>#VALUE!</v>
      </c>
      <c r="EY83" t="e">
        <f>AND('GA55 Entry'!AA185,"AAAAAD+8t5o=")</f>
        <v>#VALUE!</v>
      </c>
      <c r="EZ83" t="e">
        <f>AND('GA55 Entry'!#REF!,"AAAAAD+8t5s=")</f>
        <v>#REF!</v>
      </c>
      <c r="FA83" t="e">
        <f>AND('GA55 Entry'!#REF!,"AAAAAD+8t5w=")</f>
        <v>#REF!</v>
      </c>
      <c r="FB83" t="e">
        <f>AND('GA55 Entry'!#REF!,"AAAAAD+8t50=")</f>
        <v>#REF!</v>
      </c>
      <c r="FC83" t="e">
        <f>AND('GA55 Entry'!AB185,"AAAAAD+8t54=")</f>
        <v>#VALUE!</v>
      </c>
      <c r="FD83" t="e">
        <f>AND('GA55 Entry'!AC185,"AAAAAD+8t58=")</f>
        <v>#VALUE!</v>
      </c>
      <c r="FE83" t="e">
        <f>AND('GA55 Entry'!#REF!,"AAAAAD+8t6A=")</f>
        <v>#REF!</v>
      </c>
      <c r="FF83">
        <f>IF('GA55 Entry'!186:186,"AAAAAD+8t6E=",0)</f>
        <v>0</v>
      </c>
      <c r="FG83" t="e">
        <f>AND('GA55 Entry'!B186,"AAAAAD+8t6I=")</f>
        <v>#VALUE!</v>
      </c>
      <c r="FH83" t="e">
        <f>AND('GA55 Entry'!#REF!,"AAAAAD+8t6M=")</f>
        <v>#REF!</v>
      </c>
      <c r="FI83" t="e">
        <f>AND('GA55 Entry'!C186,"AAAAAD+8t6Q=")</f>
        <v>#VALUE!</v>
      </c>
      <c r="FJ83" t="e">
        <f>AND('GA55 Entry'!#REF!,"AAAAAD+8t6U=")</f>
        <v>#REF!</v>
      </c>
      <c r="FK83" t="e">
        <f>AND('GA55 Entry'!#REF!,"AAAAAD+8t6Y=")</f>
        <v>#REF!</v>
      </c>
      <c r="FL83" t="e">
        <f>AND('GA55 Entry'!#REF!,"AAAAAD+8t6c=")</f>
        <v>#REF!</v>
      </c>
      <c r="FM83" t="e">
        <f>AND('GA55 Entry'!#REF!,"AAAAAD+8t6g=")</f>
        <v>#REF!</v>
      </c>
      <c r="FN83" t="e">
        <f>AND('GA55 Entry'!#REF!,"AAAAAD+8t6k=")</f>
        <v>#REF!</v>
      </c>
      <c r="FO83" t="e">
        <f>AND('GA55 Entry'!D186,"AAAAAD+8t6o=")</f>
        <v>#VALUE!</v>
      </c>
      <c r="FP83" t="e">
        <f>AND('GA55 Entry'!#REF!,"AAAAAD+8t6s=")</f>
        <v>#REF!</v>
      </c>
      <c r="FQ83" t="e">
        <f>AND('GA55 Entry'!E186,"AAAAAD+8t6w=")</f>
        <v>#VALUE!</v>
      </c>
      <c r="FR83" t="e">
        <f>AND('GA55 Entry'!F186,"AAAAAD+8t60=")</f>
        <v>#VALUE!</v>
      </c>
      <c r="FS83" t="e">
        <f>AND('GA55 Entry'!G186,"AAAAAD+8t64=")</f>
        <v>#VALUE!</v>
      </c>
      <c r="FT83" t="e">
        <f>AND('GA55 Entry'!H186,"AAAAAD+8t68=")</f>
        <v>#VALUE!</v>
      </c>
      <c r="FU83" t="e">
        <f>AND('GA55 Entry'!I186,"AAAAAD+8t7A=")</f>
        <v>#VALUE!</v>
      </c>
      <c r="FV83" t="e">
        <f>AND('GA55 Entry'!J186,"AAAAAD+8t7E=")</f>
        <v>#VALUE!</v>
      </c>
      <c r="FW83" t="e">
        <f>AND('GA55 Entry'!#REF!,"AAAAAD+8t7I=")</f>
        <v>#REF!</v>
      </c>
      <c r="FX83" t="e">
        <f>AND('GA55 Entry'!K186,"AAAAAD+8t7M=")</f>
        <v>#VALUE!</v>
      </c>
      <c r="FY83" t="e">
        <f>AND('GA55 Entry'!L186,"AAAAAD+8t7Q=")</f>
        <v>#VALUE!</v>
      </c>
      <c r="FZ83" t="e">
        <f>AND('GA55 Entry'!M186,"AAAAAD+8t7U=")</f>
        <v>#VALUE!</v>
      </c>
      <c r="GA83" t="e">
        <f>AND('GA55 Entry'!N186,"AAAAAD+8t7Y=")</f>
        <v>#VALUE!</v>
      </c>
      <c r="GB83" t="e">
        <f>AND('GA55 Entry'!O186,"AAAAAD+8t7c=")</f>
        <v>#VALUE!</v>
      </c>
      <c r="GC83" t="e">
        <f>AND('GA55 Entry'!P186,"AAAAAD+8t7g=")</f>
        <v>#VALUE!</v>
      </c>
      <c r="GD83" t="e">
        <f>AND('GA55 Entry'!Q186,"AAAAAD+8t7k=")</f>
        <v>#VALUE!</v>
      </c>
      <c r="GE83" t="e">
        <f>AND('GA55 Entry'!S186,"AAAAAD+8t7o=")</f>
        <v>#VALUE!</v>
      </c>
      <c r="GF83" t="e">
        <f>AND('GA55 Entry'!#REF!,"AAAAAD+8t7s=")</f>
        <v>#REF!</v>
      </c>
      <c r="GG83" t="e">
        <f>AND('GA55 Entry'!T186,"AAAAAD+8t7w=")</f>
        <v>#VALUE!</v>
      </c>
      <c r="GH83" t="e">
        <f>AND('GA55 Entry'!U186,"AAAAAD+8t70=")</f>
        <v>#VALUE!</v>
      </c>
      <c r="GI83" t="e">
        <f>AND('GA55 Entry'!V186,"AAAAAD+8t74=")</f>
        <v>#VALUE!</v>
      </c>
      <c r="GJ83" t="e">
        <f>AND('GA55 Entry'!#REF!,"AAAAAD+8t78=")</f>
        <v>#REF!</v>
      </c>
      <c r="GK83" t="e">
        <f>AND('GA55 Entry'!#REF!,"AAAAAD+8t8A=")</f>
        <v>#REF!</v>
      </c>
      <c r="GL83" t="e">
        <f>AND('GA55 Entry'!X186,"AAAAAD+8t8E=")</f>
        <v>#VALUE!</v>
      </c>
      <c r="GM83" t="e">
        <f>AND('GA55 Entry'!Y186,"AAAAAD+8t8I=")</f>
        <v>#VALUE!</v>
      </c>
      <c r="GN83" t="e">
        <f>AND('GA55 Entry'!#REF!,"AAAAAD+8t8M=")</f>
        <v>#REF!</v>
      </c>
      <c r="GO83" t="e">
        <f>AND('GA55 Entry'!#REF!,"AAAAAD+8t8Q=")</f>
        <v>#REF!</v>
      </c>
      <c r="GP83" t="e">
        <f>AND('GA55 Entry'!#REF!,"AAAAAD+8t8U=")</f>
        <v>#REF!</v>
      </c>
      <c r="GQ83" t="e">
        <f>AND('GA55 Entry'!#REF!,"AAAAAD+8t8Y=")</f>
        <v>#REF!</v>
      </c>
      <c r="GR83" t="e">
        <f>AND('GA55 Entry'!#REF!,"AAAAAD+8t8c=")</f>
        <v>#REF!</v>
      </c>
      <c r="GS83" t="e">
        <f>AND('GA55 Entry'!#REF!,"AAAAAD+8t8g=")</f>
        <v>#REF!</v>
      </c>
      <c r="GT83" t="e">
        <f>AND('GA55 Entry'!#REF!,"AAAAAD+8t8k=")</f>
        <v>#REF!</v>
      </c>
      <c r="GU83" t="e">
        <f>AND('GA55 Entry'!#REF!,"AAAAAD+8t8o=")</f>
        <v>#REF!</v>
      </c>
      <c r="GV83" t="e">
        <f>AND('GA55 Entry'!#REF!,"AAAAAD+8t8s=")</f>
        <v>#REF!</v>
      </c>
      <c r="GW83" t="e">
        <f>AND('GA55 Entry'!Z186,"AAAAAD+8t8w=")</f>
        <v>#VALUE!</v>
      </c>
      <c r="GX83" t="e">
        <f>AND('GA55 Entry'!AA186,"AAAAAD+8t80=")</f>
        <v>#VALUE!</v>
      </c>
      <c r="GY83" t="e">
        <f>AND('GA55 Entry'!#REF!,"AAAAAD+8t84=")</f>
        <v>#REF!</v>
      </c>
      <c r="GZ83" t="e">
        <f>AND('GA55 Entry'!#REF!,"AAAAAD+8t88=")</f>
        <v>#REF!</v>
      </c>
      <c r="HA83" t="e">
        <f>AND('GA55 Entry'!#REF!,"AAAAAD+8t9A=")</f>
        <v>#REF!</v>
      </c>
      <c r="HB83" t="e">
        <f>AND('GA55 Entry'!AB186,"AAAAAD+8t9E=")</f>
        <v>#VALUE!</v>
      </c>
      <c r="HC83" t="e">
        <f>AND('GA55 Entry'!AC186,"AAAAAD+8t9I=")</f>
        <v>#VALUE!</v>
      </c>
      <c r="HD83" t="e">
        <f>AND('GA55 Entry'!#REF!,"AAAAAD+8t9M=")</f>
        <v>#REF!</v>
      </c>
      <c r="HE83">
        <f>IF('GA55 Entry'!187:187,"AAAAAD+8t9Q=",0)</f>
        <v>0</v>
      </c>
      <c r="HF83" t="e">
        <f>AND('GA55 Entry'!B187,"AAAAAD+8t9U=")</f>
        <v>#VALUE!</v>
      </c>
      <c r="HG83" t="e">
        <f>AND('GA55 Entry'!#REF!,"AAAAAD+8t9Y=")</f>
        <v>#REF!</v>
      </c>
      <c r="HH83" t="e">
        <f>AND('GA55 Entry'!C187,"AAAAAD+8t9c=")</f>
        <v>#VALUE!</v>
      </c>
      <c r="HI83" t="e">
        <f>AND('GA55 Entry'!#REF!,"AAAAAD+8t9g=")</f>
        <v>#REF!</v>
      </c>
      <c r="HJ83" t="e">
        <f>AND('GA55 Entry'!#REF!,"AAAAAD+8t9k=")</f>
        <v>#REF!</v>
      </c>
      <c r="HK83" t="e">
        <f>AND('GA55 Entry'!#REF!,"AAAAAD+8t9o=")</f>
        <v>#REF!</v>
      </c>
      <c r="HL83" t="e">
        <f>AND('GA55 Entry'!#REF!,"AAAAAD+8t9s=")</f>
        <v>#REF!</v>
      </c>
      <c r="HM83" t="e">
        <f>AND('GA55 Entry'!#REF!,"AAAAAD+8t9w=")</f>
        <v>#REF!</v>
      </c>
      <c r="HN83" t="e">
        <f>AND('GA55 Entry'!D187,"AAAAAD+8t90=")</f>
        <v>#VALUE!</v>
      </c>
      <c r="HO83" t="e">
        <f>AND('GA55 Entry'!#REF!,"AAAAAD+8t94=")</f>
        <v>#REF!</v>
      </c>
      <c r="HP83" t="e">
        <f>AND('GA55 Entry'!E187,"AAAAAD+8t98=")</f>
        <v>#VALUE!</v>
      </c>
      <c r="HQ83" t="e">
        <f>AND('GA55 Entry'!F187,"AAAAAD+8t+A=")</f>
        <v>#VALUE!</v>
      </c>
      <c r="HR83" t="e">
        <f>AND('GA55 Entry'!G187,"AAAAAD+8t+E=")</f>
        <v>#VALUE!</v>
      </c>
      <c r="HS83" t="e">
        <f>AND('GA55 Entry'!H187,"AAAAAD+8t+I=")</f>
        <v>#VALUE!</v>
      </c>
      <c r="HT83" t="e">
        <f>AND('GA55 Entry'!I187,"AAAAAD+8t+M=")</f>
        <v>#VALUE!</v>
      </c>
      <c r="HU83" t="e">
        <f>AND('GA55 Entry'!J187,"AAAAAD+8t+Q=")</f>
        <v>#VALUE!</v>
      </c>
      <c r="HV83" t="e">
        <f>AND('GA55 Entry'!#REF!,"AAAAAD+8t+U=")</f>
        <v>#REF!</v>
      </c>
      <c r="HW83" t="e">
        <f>AND('GA55 Entry'!K187,"AAAAAD+8t+Y=")</f>
        <v>#VALUE!</v>
      </c>
      <c r="HX83" t="e">
        <f>AND('GA55 Entry'!L187,"AAAAAD+8t+c=")</f>
        <v>#VALUE!</v>
      </c>
      <c r="HY83" t="e">
        <f>AND('GA55 Entry'!M187,"AAAAAD+8t+g=")</f>
        <v>#VALUE!</v>
      </c>
      <c r="HZ83" t="e">
        <f>AND('GA55 Entry'!N187,"AAAAAD+8t+k=")</f>
        <v>#VALUE!</v>
      </c>
      <c r="IA83" t="e">
        <f>AND('GA55 Entry'!O187,"AAAAAD+8t+o=")</f>
        <v>#VALUE!</v>
      </c>
      <c r="IB83" t="e">
        <f>AND('GA55 Entry'!P187,"AAAAAD+8t+s=")</f>
        <v>#VALUE!</v>
      </c>
      <c r="IC83" t="e">
        <f>AND('GA55 Entry'!Q187,"AAAAAD+8t+w=")</f>
        <v>#VALUE!</v>
      </c>
      <c r="ID83" t="e">
        <f>AND('GA55 Entry'!S187,"AAAAAD+8t+0=")</f>
        <v>#VALUE!</v>
      </c>
      <c r="IE83" t="e">
        <f>AND('GA55 Entry'!#REF!,"AAAAAD+8t+4=")</f>
        <v>#REF!</v>
      </c>
      <c r="IF83" t="e">
        <f>AND('GA55 Entry'!T187,"AAAAAD+8t+8=")</f>
        <v>#VALUE!</v>
      </c>
      <c r="IG83" t="e">
        <f>AND('GA55 Entry'!U187,"AAAAAD+8t/A=")</f>
        <v>#VALUE!</v>
      </c>
      <c r="IH83" t="e">
        <f>AND('GA55 Entry'!V187,"AAAAAD+8t/E=")</f>
        <v>#VALUE!</v>
      </c>
      <c r="II83" t="e">
        <f>AND('GA55 Entry'!#REF!,"AAAAAD+8t/I=")</f>
        <v>#REF!</v>
      </c>
      <c r="IJ83" t="e">
        <f>AND('GA55 Entry'!#REF!,"AAAAAD+8t/M=")</f>
        <v>#REF!</v>
      </c>
      <c r="IK83" t="e">
        <f>AND('GA55 Entry'!X187,"AAAAAD+8t/Q=")</f>
        <v>#VALUE!</v>
      </c>
      <c r="IL83" t="e">
        <f>AND('GA55 Entry'!Y187,"AAAAAD+8t/U=")</f>
        <v>#VALUE!</v>
      </c>
      <c r="IM83" t="e">
        <f>AND('GA55 Entry'!#REF!,"AAAAAD+8t/Y=")</f>
        <v>#REF!</v>
      </c>
      <c r="IN83" t="e">
        <f>AND('GA55 Entry'!#REF!,"AAAAAD+8t/c=")</f>
        <v>#REF!</v>
      </c>
      <c r="IO83" t="e">
        <f>AND('GA55 Entry'!#REF!,"AAAAAD+8t/g=")</f>
        <v>#REF!</v>
      </c>
      <c r="IP83" t="e">
        <f>AND('GA55 Entry'!#REF!,"AAAAAD+8t/k=")</f>
        <v>#REF!</v>
      </c>
      <c r="IQ83" t="e">
        <f>AND('GA55 Entry'!#REF!,"AAAAAD+8t/o=")</f>
        <v>#REF!</v>
      </c>
      <c r="IR83" t="e">
        <f>AND('GA55 Entry'!#REF!,"AAAAAD+8t/s=")</f>
        <v>#REF!</v>
      </c>
      <c r="IS83" t="e">
        <f>AND('GA55 Entry'!#REF!,"AAAAAD+8t/w=")</f>
        <v>#REF!</v>
      </c>
      <c r="IT83" t="e">
        <f>AND('GA55 Entry'!#REF!,"AAAAAD+8t/0=")</f>
        <v>#REF!</v>
      </c>
      <c r="IU83" t="e">
        <f>AND('GA55 Entry'!#REF!,"AAAAAD+8t/4=")</f>
        <v>#REF!</v>
      </c>
      <c r="IV83" t="e">
        <f>AND('GA55 Entry'!Z187,"AAAAAD+8t/8=")</f>
        <v>#VALUE!</v>
      </c>
    </row>
    <row r="84" spans="1:256">
      <c r="A84" t="e">
        <f>AND('GA55 Entry'!AA187,"AAAAAHn5zQA=")</f>
        <v>#VALUE!</v>
      </c>
      <c r="B84" t="e">
        <f>AND('GA55 Entry'!#REF!,"AAAAAHn5zQE=")</f>
        <v>#REF!</v>
      </c>
      <c r="C84" t="e">
        <f>AND('GA55 Entry'!#REF!,"AAAAAHn5zQI=")</f>
        <v>#REF!</v>
      </c>
      <c r="D84" t="e">
        <f>AND('GA55 Entry'!#REF!,"AAAAAHn5zQM=")</f>
        <v>#REF!</v>
      </c>
      <c r="E84" t="e">
        <f>AND('GA55 Entry'!AB187,"AAAAAHn5zQQ=")</f>
        <v>#VALUE!</v>
      </c>
      <c r="F84" t="e">
        <f>AND('GA55 Entry'!AC187,"AAAAAHn5zQU=")</f>
        <v>#VALUE!</v>
      </c>
      <c r="G84" t="e">
        <f>AND('GA55 Entry'!#REF!,"AAAAAHn5zQY=")</f>
        <v>#REF!</v>
      </c>
      <c r="H84">
        <f>IF('GA55 Entry'!188:188,"AAAAAHn5zQc=",0)</f>
        <v>0</v>
      </c>
      <c r="I84" t="e">
        <f>AND('GA55 Entry'!B188,"AAAAAHn5zQg=")</f>
        <v>#VALUE!</v>
      </c>
      <c r="J84" t="e">
        <f>AND('GA55 Entry'!#REF!,"AAAAAHn5zQk=")</f>
        <v>#REF!</v>
      </c>
      <c r="K84" t="e">
        <f>AND('GA55 Entry'!C188,"AAAAAHn5zQo=")</f>
        <v>#VALUE!</v>
      </c>
      <c r="L84" t="e">
        <f>AND('GA55 Entry'!#REF!,"AAAAAHn5zQs=")</f>
        <v>#REF!</v>
      </c>
      <c r="M84" t="e">
        <f>AND('GA55 Entry'!#REF!,"AAAAAHn5zQw=")</f>
        <v>#REF!</v>
      </c>
      <c r="N84" t="e">
        <f>AND('GA55 Entry'!#REF!,"AAAAAHn5zQ0=")</f>
        <v>#REF!</v>
      </c>
      <c r="O84" t="e">
        <f>AND('GA55 Entry'!#REF!,"AAAAAHn5zQ4=")</f>
        <v>#REF!</v>
      </c>
      <c r="P84" t="e">
        <f>AND('GA55 Entry'!#REF!,"AAAAAHn5zQ8=")</f>
        <v>#REF!</v>
      </c>
      <c r="Q84" t="e">
        <f>AND('GA55 Entry'!D188,"AAAAAHn5zRA=")</f>
        <v>#VALUE!</v>
      </c>
      <c r="R84" t="e">
        <f>AND('GA55 Entry'!#REF!,"AAAAAHn5zRE=")</f>
        <v>#REF!</v>
      </c>
      <c r="S84" t="e">
        <f>AND('GA55 Entry'!E188,"AAAAAHn5zRI=")</f>
        <v>#VALUE!</v>
      </c>
      <c r="T84" t="e">
        <f>AND('GA55 Entry'!F188,"AAAAAHn5zRM=")</f>
        <v>#VALUE!</v>
      </c>
      <c r="U84" t="e">
        <f>AND('GA55 Entry'!G188,"AAAAAHn5zRQ=")</f>
        <v>#VALUE!</v>
      </c>
      <c r="V84" t="e">
        <f>AND('GA55 Entry'!H188,"AAAAAHn5zRU=")</f>
        <v>#VALUE!</v>
      </c>
      <c r="W84" t="e">
        <f>AND('GA55 Entry'!I188,"AAAAAHn5zRY=")</f>
        <v>#VALUE!</v>
      </c>
      <c r="X84" t="e">
        <f>AND('GA55 Entry'!J188,"AAAAAHn5zRc=")</f>
        <v>#VALUE!</v>
      </c>
      <c r="Y84" t="e">
        <f>AND('GA55 Entry'!#REF!,"AAAAAHn5zRg=")</f>
        <v>#REF!</v>
      </c>
      <c r="Z84" t="e">
        <f>AND('GA55 Entry'!K188,"AAAAAHn5zRk=")</f>
        <v>#VALUE!</v>
      </c>
      <c r="AA84" t="e">
        <f>AND('GA55 Entry'!L188,"AAAAAHn5zRo=")</f>
        <v>#VALUE!</v>
      </c>
      <c r="AB84" t="e">
        <f>AND('GA55 Entry'!M188,"AAAAAHn5zRs=")</f>
        <v>#VALUE!</v>
      </c>
      <c r="AC84" t="e">
        <f>AND('GA55 Entry'!N188,"AAAAAHn5zRw=")</f>
        <v>#VALUE!</v>
      </c>
      <c r="AD84" t="e">
        <f>AND('GA55 Entry'!O188,"AAAAAHn5zR0=")</f>
        <v>#VALUE!</v>
      </c>
      <c r="AE84" t="e">
        <f>AND('GA55 Entry'!P188,"AAAAAHn5zR4=")</f>
        <v>#VALUE!</v>
      </c>
      <c r="AF84" t="e">
        <f>AND('GA55 Entry'!Q188,"AAAAAHn5zR8=")</f>
        <v>#VALUE!</v>
      </c>
      <c r="AG84" t="e">
        <f>AND('GA55 Entry'!S188,"AAAAAHn5zSA=")</f>
        <v>#VALUE!</v>
      </c>
      <c r="AH84" t="e">
        <f>AND('GA55 Entry'!#REF!,"AAAAAHn5zSE=")</f>
        <v>#REF!</v>
      </c>
      <c r="AI84" t="e">
        <f>AND('GA55 Entry'!T188,"AAAAAHn5zSI=")</f>
        <v>#VALUE!</v>
      </c>
      <c r="AJ84" t="e">
        <f>AND('GA55 Entry'!U188,"AAAAAHn5zSM=")</f>
        <v>#VALUE!</v>
      </c>
      <c r="AK84" t="e">
        <f>AND('GA55 Entry'!V188,"AAAAAHn5zSQ=")</f>
        <v>#VALUE!</v>
      </c>
      <c r="AL84" t="e">
        <f>AND('GA55 Entry'!#REF!,"AAAAAHn5zSU=")</f>
        <v>#REF!</v>
      </c>
      <c r="AM84" t="e">
        <f>AND('GA55 Entry'!#REF!,"AAAAAHn5zSY=")</f>
        <v>#REF!</v>
      </c>
      <c r="AN84" t="e">
        <f>AND('GA55 Entry'!X188,"AAAAAHn5zSc=")</f>
        <v>#VALUE!</v>
      </c>
      <c r="AO84" t="e">
        <f>AND('GA55 Entry'!Y188,"AAAAAHn5zSg=")</f>
        <v>#VALUE!</v>
      </c>
      <c r="AP84" t="e">
        <f>AND('GA55 Entry'!#REF!,"AAAAAHn5zSk=")</f>
        <v>#REF!</v>
      </c>
      <c r="AQ84" t="e">
        <f>AND('GA55 Entry'!#REF!,"AAAAAHn5zSo=")</f>
        <v>#REF!</v>
      </c>
      <c r="AR84" t="e">
        <f>AND('GA55 Entry'!#REF!,"AAAAAHn5zSs=")</f>
        <v>#REF!</v>
      </c>
      <c r="AS84" t="e">
        <f>AND('GA55 Entry'!#REF!,"AAAAAHn5zSw=")</f>
        <v>#REF!</v>
      </c>
      <c r="AT84" t="e">
        <f>AND('GA55 Entry'!#REF!,"AAAAAHn5zS0=")</f>
        <v>#REF!</v>
      </c>
      <c r="AU84" t="e">
        <f>AND('GA55 Entry'!#REF!,"AAAAAHn5zS4=")</f>
        <v>#REF!</v>
      </c>
      <c r="AV84" t="e">
        <f>AND('GA55 Entry'!#REF!,"AAAAAHn5zS8=")</f>
        <v>#REF!</v>
      </c>
      <c r="AW84" t="e">
        <f>AND('GA55 Entry'!#REF!,"AAAAAHn5zTA=")</f>
        <v>#REF!</v>
      </c>
      <c r="AX84" t="e">
        <f>AND('GA55 Entry'!#REF!,"AAAAAHn5zTE=")</f>
        <v>#REF!</v>
      </c>
      <c r="AY84" t="e">
        <f>AND('GA55 Entry'!Z188,"AAAAAHn5zTI=")</f>
        <v>#VALUE!</v>
      </c>
      <c r="AZ84" t="e">
        <f>AND('GA55 Entry'!AA188,"AAAAAHn5zTM=")</f>
        <v>#VALUE!</v>
      </c>
      <c r="BA84" t="e">
        <f>AND('GA55 Entry'!#REF!,"AAAAAHn5zTQ=")</f>
        <v>#REF!</v>
      </c>
      <c r="BB84" t="e">
        <f>AND('GA55 Entry'!#REF!,"AAAAAHn5zTU=")</f>
        <v>#REF!</v>
      </c>
      <c r="BC84" t="e">
        <f>AND('GA55 Entry'!#REF!,"AAAAAHn5zTY=")</f>
        <v>#REF!</v>
      </c>
      <c r="BD84" t="e">
        <f>AND('GA55 Entry'!AB188,"AAAAAHn5zTc=")</f>
        <v>#VALUE!</v>
      </c>
      <c r="BE84" t="e">
        <f>AND('GA55 Entry'!AC188,"AAAAAHn5zTg=")</f>
        <v>#VALUE!</v>
      </c>
      <c r="BF84" t="e">
        <f>AND('GA55 Entry'!#REF!,"AAAAAHn5zTk=")</f>
        <v>#REF!</v>
      </c>
      <c r="BG84">
        <f>IF('GA55 Entry'!189:189,"AAAAAHn5zTo=",0)</f>
        <v>0</v>
      </c>
      <c r="BH84" t="e">
        <f>AND('GA55 Entry'!B189,"AAAAAHn5zTs=")</f>
        <v>#VALUE!</v>
      </c>
      <c r="BI84" t="e">
        <f>AND('GA55 Entry'!#REF!,"AAAAAHn5zTw=")</f>
        <v>#REF!</v>
      </c>
      <c r="BJ84" t="e">
        <f>AND('GA55 Entry'!C189,"AAAAAHn5zT0=")</f>
        <v>#VALUE!</v>
      </c>
      <c r="BK84" t="e">
        <f>AND('GA55 Entry'!#REF!,"AAAAAHn5zT4=")</f>
        <v>#REF!</v>
      </c>
      <c r="BL84" t="e">
        <f>AND('GA55 Entry'!#REF!,"AAAAAHn5zT8=")</f>
        <v>#REF!</v>
      </c>
      <c r="BM84" t="e">
        <f>AND('GA55 Entry'!#REF!,"AAAAAHn5zUA=")</f>
        <v>#REF!</v>
      </c>
      <c r="BN84" t="e">
        <f>AND('GA55 Entry'!#REF!,"AAAAAHn5zUE=")</f>
        <v>#REF!</v>
      </c>
      <c r="BO84" t="e">
        <f>AND('GA55 Entry'!#REF!,"AAAAAHn5zUI=")</f>
        <v>#REF!</v>
      </c>
      <c r="BP84" t="e">
        <f>AND('GA55 Entry'!D189,"AAAAAHn5zUM=")</f>
        <v>#VALUE!</v>
      </c>
      <c r="BQ84" t="e">
        <f>AND('GA55 Entry'!#REF!,"AAAAAHn5zUQ=")</f>
        <v>#REF!</v>
      </c>
      <c r="BR84" t="e">
        <f>AND('GA55 Entry'!E189,"AAAAAHn5zUU=")</f>
        <v>#VALUE!</v>
      </c>
      <c r="BS84" t="e">
        <f>AND('GA55 Entry'!F189,"AAAAAHn5zUY=")</f>
        <v>#VALUE!</v>
      </c>
      <c r="BT84" t="e">
        <f>AND('GA55 Entry'!G189,"AAAAAHn5zUc=")</f>
        <v>#VALUE!</v>
      </c>
      <c r="BU84" t="e">
        <f>AND('GA55 Entry'!H189,"AAAAAHn5zUg=")</f>
        <v>#VALUE!</v>
      </c>
      <c r="BV84" t="e">
        <f>AND('GA55 Entry'!I189,"AAAAAHn5zUk=")</f>
        <v>#VALUE!</v>
      </c>
      <c r="BW84" t="e">
        <f>AND('GA55 Entry'!J189,"AAAAAHn5zUo=")</f>
        <v>#VALUE!</v>
      </c>
      <c r="BX84" t="e">
        <f>AND('GA55 Entry'!#REF!,"AAAAAHn5zUs=")</f>
        <v>#REF!</v>
      </c>
      <c r="BY84" t="e">
        <f>AND('GA55 Entry'!K189,"AAAAAHn5zUw=")</f>
        <v>#VALUE!</v>
      </c>
      <c r="BZ84" t="e">
        <f>AND('GA55 Entry'!L189,"AAAAAHn5zU0=")</f>
        <v>#VALUE!</v>
      </c>
      <c r="CA84" t="e">
        <f>AND('GA55 Entry'!M189,"AAAAAHn5zU4=")</f>
        <v>#VALUE!</v>
      </c>
      <c r="CB84" t="e">
        <f>AND('GA55 Entry'!N189,"AAAAAHn5zU8=")</f>
        <v>#VALUE!</v>
      </c>
      <c r="CC84" t="e">
        <f>AND('GA55 Entry'!O189,"AAAAAHn5zVA=")</f>
        <v>#VALUE!</v>
      </c>
      <c r="CD84" t="e">
        <f>AND('GA55 Entry'!P189,"AAAAAHn5zVE=")</f>
        <v>#VALUE!</v>
      </c>
      <c r="CE84" t="e">
        <f>AND('GA55 Entry'!Q189,"AAAAAHn5zVI=")</f>
        <v>#VALUE!</v>
      </c>
      <c r="CF84" t="e">
        <f>AND('GA55 Entry'!S189,"AAAAAHn5zVM=")</f>
        <v>#VALUE!</v>
      </c>
      <c r="CG84" t="e">
        <f>AND('GA55 Entry'!#REF!,"AAAAAHn5zVQ=")</f>
        <v>#REF!</v>
      </c>
      <c r="CH84" t="e">
        <f>AND('GA55 Entry'!T189,"AAAAAHn5zVU=")</f>
        <v>#VALUE!</v>
      </c>
      <c r="CI84" t="e">
        <f>AND('GA55 Entry'!U189,"AAAAAHn5zVY=")</f>
        <v>#VALUE!</v>
      </c>
      <c r="CJ84" t="e">
        <f>AND('GA55 Entry'!V189,"AAAAAHn5zVc=")</f>
        <v>#VALUE!</v>
      </c>
      <c r="CK84" t="e">
        <f>AND('GA55 Entry'!#REF!,"AAAAAHn5zVg=")</f>
        <v>#REF!</v>
      </c>
      <c r="CL84" t="e">
        <f>AND('GA55 Entry'!#REF!,"AAAAAHn5zVk=")</f>
        <v>#REF!</v>
      </c>
      <c r="CM84" t="e">
        <f>AND('GA55 Entry'!X189,"AAAAAHn5zVo=")</f>
        <v>#VALUE!</v>
      </c>
      <c r="CN84" t="e">
        <f>AND('GA55 Entry'!Y189,"AAAAAHn5zVs=")</f>
        <v>#VALUE!</v>
      </c>
      <c r="CO84" t="e">
        <f>AND('GA55 Entry'!#REF!,"AAAAAHn5zVw=")</f>
        <v>#REF!</v>
      </c>
      <c r="CP84" t="e">
        <f>AND('GA55 Entry'!#REF!,"AAAAAHn5zV0=")</f>
        <v>#REF!</v>
      </c>
      <c r="CQ84" t="e">
        <f>AND('GA55 Entry'!#REF!,"AAAAAHn5zV4=")</f>
        <v>#REF!</v>
      </c>
      <c r="CR84" t="e">
        <f>AND('GA55 Entry'!#REF!,"AAAAAHn5zV8=")</f>
        <v>#REF!</v>
      </c>
      <c r="CS84" t="e">
        <f>AND('GA55 Entry'!#REF!,"AAAAAHn5zWA=")</f>
        <v>#REF!</v>
      </c>
      <c r="CT84" t="e">
        <f>AND('GA55 Entry'!#REF!,"AAAAAHn5zWE=")</f>
        <v>#REF!</v>
      </c>
      <c r="CU84" t="e">
        <f>AND('GA55 Entry'!#REF!,"AAAAAHn5zWI=")</f>
        <v>#REF!</v>
      </c>
      <c r="CV84" t="e">
        <f>AND('GA55 Entry'!#REF!,"AAAAAHn5zWM=")</f>
        <v>#REF!</v>
      </c>
      <c r="CW84" t="e">
        <f>AND('GA55 Entry'!#REF!,"AAAAAHn5zWQ=")</f>
        <v>#REF!</v>
      </c>
      <c r="CX84" t="e">
        <f>AND('GA55 Entry'!Z189,"AAAAAHn5zWU=")</f>
        <v>#VALUE!</v>
      </c>
      <c r="CY84" t="e">
        <f>AND('GA55 Entry'!AA189,"AAAAAHn5zWY=")</f>
        <v>#VALUE!</v>
      </c>
      <c r="CZ84" t="e">
        <f>AND('GA55 Entry'!#REF!,"AAAAAHn5zWc=")</f>
        <v>#REF!</v>
      </c>
      <c r="DA84" t="e">
        <f>AND('GA55 Entry'!#REF!,"AAAAAHn5zWg=")</f>
        <v>#REF!</v>
      </c>
      <c r="DB84" t="e">
        <f>AND('GA55 Entry'!#REF!,"AAAAAHn5zWk=")</f>
        <v>#REF!</v>
      </c>
      <c r="DC84" t="e">
        <f>AND('GA55 Entry'!AB189,"AAAAAHn5zWo=")</f>
        <v>#VALUE!</v>
      </c>
      <c r="DD84" t="e">
        <f>AND('GA55 Entry'!AC189,"AAAAAHn5zWs=")</f>
        <v>#VALUE!</v>
      </c>
      <c r="DE84" t="e">
        <f>AND('GA55 Entry'!#REF!,"AAAAAHn5zWw=")</f>
        <v>#REF!</v>
      </c>
      <c r="DF84">
        <f>IF('GA55 Entry'!190:190,"AAAAAHn5zW0=",0)</f>
        <v>0</v>
      </c>
      <c r="DG84" t="e">
        <f>AND('GA55 Entry'!B190,"AAAAAHn5zW4=")</f>
        <v>#VALUE!</v>
      </c>
      <c r="DH84" t="e">
        <f>AND('GA55 Entry'!#REF!,"AAAAAHn5zW8=")</f>
        <v>#REF!</v>
      </c>
      <c r="DI84" t="e">
        <f>AND('GA55 Entry'!C190,"AAAAAHn5zXA=")</f>
        <v>#VALUE!</v>
      </c>
      <c r="DJ84" t="e">
        <f>AND('GA55 Entry'!#REF!,"AAAAAHn5zXE=")</f>
        <v>#REF!</v>
      </c>
      <c r="DK84" t="e">
        <f>AND('GA55 Entry'!#REF!,"AAAAAHn5zXI=")</f>
        <v>#REF!</v>
      </c>
      <c r="DL84" t="e">
        <f>AND('GA55 Entry'!#REF!,"AAAAAHn5zXM=")</f>
        <v>#REF!</v>
      </c>
      <c r="DM84" t="e">
        <f>AND('GA55 Entry'!#REF!,"AAAAAHn5zXQ=")</f>
        <v>#REF!</v>
      </c>
      <c r="DN84" t="e">
        <f>AND('GA55 Entry'!#REF!,"AAAAAHn5zXU=")</f>
        <v>#REF!</v>
      </c>
      <c r="DO84" t="e">
        <f>AND('GA55 Entry'!D190,"AAAAAHn5zXY=")</f>
        <v>#VALUE!</v>
      </c>
      <c r="DP84" t="e">
        <f>AND('GA55 Entry'!#REF!,"AAAAAHn5zXc=")</f>
        <v>#REF!</v>
      </c>
      <c r="DQ84" t="e">
        <f>AND('GA55 Entry'!E190,"AAAAAHn5zXg=")</f>
        <v>#VALUE!</v>
      </c>
      <c r="DR84" t="e">
        <f>AND('GA55 Entry'!F190,"AAAAAHn5zXk=")</f>
        <v>#VALUE!</v>
      </c>
      <c r="DS84" t="e">
        <f>AND('GA55 Entry'!G190,"AAAAAHn5zXo=")</f>
        <v>#VALUE!</v>
      </c>
      <c r="DT84" t="e">
        <f>AND('GA55 Entry'!H190,"AAAAAHn5zXs=")</f>
        <v>#VALUE!</v>
      </c>
      <c r="DU84" t="e">
        <f>AND('GA55 Entry'!I190,"AAAAAHn5zXw=")</f>
        <v>#VALUE!</v>
      </c>
      <c r="DV84" t="e">
        <f>AND('GA55 Entry'!J190,"AAAAAHn5zX0=")</f>
        <v>#VALUE!</v>
      </c>
      <c r="DW84" t="e">
        <f>AND('GA55 Entry'!#REF!,"AAAAAHn5zX4=")</f>
        <v>#REF!</v>
      </c>
      <c r="DX84" t="e">
        <f>AND('GA55 Entry'!K190,"AAAAAHn5zX8=")</f>
        <v>#VALUE!</v>
      </c>
      <c r="DY84" t="e">
        <f>AND('GA55 Entry'!L190,"AAAAAHn5zYA=")</f>
        <v>#VALUE!</v>
      </c>
      <c r="DZ84" t="e">
        <f>AND('GA55 Entry'!M190,"AAAAAHn5zYE=")</f>
        <v>#VALUE!</v>
      </c>
      <c r="EA84" t="e">
        <f>AND('GA55 Entry'!N190,"AAAAAHn5zYI=")</f>
        <v>#VALUE!</v>
      </c>
      <c r="EB84" t="e">
        <f>AND('GA55 Entry'!O190,"AAAAAHn5zYM=")</f>
        <v>#VALUE!</v>
      </c>
      <c r="EC84" t="e">
        <f>AND('GA55 Entry'!P190,"AAAAAHn5zYQ=")</f>
        <v>#VALUE!</v>
      </c>
      <c r="ED84" t="e">
        <f>AND('GA55 Entry'!Q190,"AAAAAHn5zYU=")</f>
        <v>#VALUE!</v>
      </c>
      <c r="EE84" t="e">
        <f>AND('GA55 Entry'!S190,"AAAAAHn5zYY=")</f>
        <v>#VALUE!</v>
      </c>
      <c r="EF84" t="e">
        <f>AND('GA55 Entry'!#REF!,"AAAAAHn5zYc=")</f>
        <v>#REF!</v>
      </c>
      <c r="EG84" t="e">
        <f>AND('GA55 Entry'!T190,"AAAAAHn5zYg=")</f>
        <v>#VALUE!</v>
      </c>
      <c r="EH84" t="e">
        <f>AND('GA55 Entry'!U190,"AAAAAHn5zYk=")</f>
        <v>#VALUE!</v>
      </c>
      <c r="EI84" t="e">
        <f>AND('GA55 Entry'!V190,"AAAAAHn5zYo=")</f>
        <v>#VALUE!</v>
      </c>
      <c r="EJ84" t="e">
        <f>AND('GA55 Entry'!#REF!,"AAAAAHn5zYs=")</f>
        <v>#REF!</v>
      </c>
      <c r="EK84" t="e">
        <f>AND('GA55 Entry'!#REF!,"AAAAAHn5zYw=")</f>
        <v>#REF!</v>
      </c>
      <c r="EL84" t="e">
        <f>AND('GA55 Entry'!X190,"AAAAAHn5zY0=")</f>
        <v>#VALUE!</v>
      </c>
      <c r="EM84" t="e">
        <f>AND('GA55 Entry'!Y190,"AAAAAHn5zY4=")</f>
        <v>#VALUE!</v>
      </c>
      <c r="EN84" t="e">
        <f>AND('GA55 Entry'!#REF!,"AAAAAHn5zY8=")</f>
        <v>#REF!</v>
      </c>
      <c r="EO84" t="e">
        <f>AND('GA55 Entry'!#REF!,"AAAAAHn5zZA=")</f>
        <v>#REF!</v>
      </c>
      <c r="EP84" t="e">
        <f>AND('GA55 Entry'!#REF!,"AAAAAHn5zZE=")</f>
        <v>#REF!</v>
      </c>
      <c r="EQ84" t="e">
        <f>AND('GA55 Entry'!#REF!,"AAAAAHn5zZI=")</f>
        <v>#REF!</v>
      </c>
      <c r="ER84" t="e">
        <f>AND('GA55 Entry'!#REF!,"AAAAAHn5zZM=")</f>
        <v>#REF!</v>
      </c>
      <c r="ES84" t="e">
        <f>AND('GA55 Entry'!#REF!,"AAAAAHn5zZQ=")</f>
        <v>#REF!</v>
      </c>
      <c r="ET84" t="e">
        <f>AND('GA55 Entry'!#REF!,"AAAAAHn5zZU=")</f>
        <v>#REF!</v>
      </c>
      <c r="EU84" t="e">
        <f>AND('GA55 Entry'!#REF!,"AAAAAHn5zZY=")</f>
        <v>#REF!</v>
      </c>
      <c r="EV84" t="e">
        <f>AND('GA55 Entry'!#REF!,"AAAAAHn5zZc=")</f>
        <v>#REF!</v>
      </c>
      <c r="EW84" t="e">
        <f>AND('GA55 Entry'!Z190,"AAAAAHn5zZg=")</f>
        <v>#VALUE!</v>
      </c>
      <c r="EX84" t="e">
        <f>AND('GA55 Entry'!AA190,"AAAAAHn5zZk=")</f>
        <v>#VALUE!</v>
      </c>
      <c r="EY84" t="e">
        <f>AND('GA55 Entry'!#REF!,"AAAAAHn5zZo=")</f>
        <v>#REF!</v>
      </c>
      <c r="EZ84" t="e">
        <f>AND('GA55 Entry'!#REF!,"AAAAAHn5zZs=")</f>
        <v>#REF!</v>
      </c>
      <c r="FA84" t="e">
        <f>AND('GA55 Entry'!#REF!,"AAAAAHn5zZw=")</f>
        <v>#REF!</v>
      </c>
      <c r="FB84" t="e">
        <f>AND('GA55 Entry'!AB190,"AAAAAHn5zZ0=")</f>
        <v>#VALUE!</v>
      </c>
      <c r="FC84" t="e">
        <f>AND('GA55 Entry'!AC190,"AAAAAHn5zZ4=")</f>
        <v>#VALUE!</v>
      </c>
      <c r="FD84" t="e">
        <f>AND('GA55 Entry'!#REF!,"AAAAAHn5zZ8=")</f>
        <v>#REF!</v>
      </c>
      <c r="FE84">
        <f>IF('GA55 Entry'!191:191,"AAAAAHn5zaA=",0)</f>
        <v>0</v>
      </c>
      <c r="FF84" t="e">
        <f>AND('GA55 Entry'!B191,"AAAAAHn5zaE=")</f>
        <v>#VALUE!</v>
      </c>
      <c r="FG84" t="e">
        <f>AND('GA55 Entry'!#REF!,"AAAAAHn5zaI=")</f>
        <v>#REF!</v>
      </c>
      <c r="FH84" t="e">
        <f>AND('GA55 Entry'!C191,"AAAAAHn5zaM=")</f>
        <v>#VALUE!</v>
      </c>
      <c r="FI84" t="e">
        <f>AND('GA55 Entry'!#REF!,"AAAAAHn5zaQ=")</f>
        <v>#REF!</v>
      </c>
      <c r="FJ84" t="e">
        <f>AND('GA55 Entry'!#REF!,"AAAAAHn5zaU=")</f>
        <v>#REF!</v>
      </c>
      <c r="FK84" t="e">
        <f>AND('GA55 Entry'!#REF!,"AAAAAHn5zaY=")</f>
        <v>#REF!</v>
      </c>
      <c r="FL84" t="e">
        <f>AND('GA55 Entry'!#REF!,"AAAAAHn5zac=")</f>
        <v>#REF!</v>
      </c>
      <c r="FM84" t="e">
        <f>AND('GA55 Entry'!#REF!,"AAAAAHn5zag=")</f>
        <v>#REF!</v>
      </c>
      <c r="FN84" t="e">
        <f>AND('GA55 Entry'!D191,"AAAAAHn5zak=")</f>
        <v>#VALUE!</v>
      </c>
      <c r="FO84" t="e">
        <f>AND('GA55 Entry'!#REF!,"AAAAAHn5zao=")</f>
        <v>#REF!</v>
      </c>
      <c r="FP84" t="e">
        <f>AND('GA55 Entry'!E191,"AAAAAHn5zas=")</f>
        <v>#VALUE!</v>
      </c>
      <c r="FQ84" t="e">
        <f>AND('GA55 Entry'!F191,"AAAAAHn5zaw=")</f>
        <v>#VALUE!</v>
      </c>
      <c r="FR84" t="e">
        <f>AND('GA55 Entry'!G191,"AAAAAHn5za0=")</f>
        <v>#VALUE!</v>
      </c>
      <c r="FS84" t="e">
        <f>AND('GA55 Entry'!H191,"AAAAAHn5za4=")</f>
        <v>#VALUE!</v>
      </c>
      <c r="FT84" t="e">
        <f>AND('GA55 Entry'!I191,"AAAAAHn5za8=")</f>
        <v>#VALUE!</v>
      </c>
      <c r="FU84" t="e">
        <f>AND('GA55 Entry'!J191,"AAAAAHn5zbA=")</f>
        <v>#VALUE!</v>
      </c>
      <c r="FV84" t="e">
        <f>AND('GA55 Entry'!#REF!,"AAAAAHn5zbE=")</f>
        <v>#REF!</v>
      </c>
      <c r="FW84" t="e">
        <f>AND('GA55 Entry'!K191,"AAAAAHn5zbI=")</f>
        <v>#VALUE!</v>
      </c>
      <c r="FX84" t="e">
        <f>AND('GA55 Entry'!L191,"AAAAAHn5zbM=")</f>
        <v>#VALUE!</v>
      </c>
      <c r="FY84" t="e">
        <f>AND('GA55 Entry'!M191,"AAAAAHn5zbQ=")</f>
        <v>#VALUE!</v>
      </c>
      <c r="FZ84" t="e">
        <f>AND('GA55 Entry'!N191,"AAAAAHn5zbU=")</f>
        <v>#VALUE!</v>
      </c>
      <c r="GA84" t="e">
        <f>AND('GA55 Entry'!O191,"AAAAAHn5zbY=")</f>
        <v>#VALUE!</v>
      </c>
      <c r="GB84" t="e">
        <f>AND('GA55 Entry'!P191,"AAAAAHn5zbc=")</f>
        <v>#VALUE!</v>
      </c>
      <c r="GC84" t="e">
        <f>AND('GA55 Entry'!Q191,"AAAAAHn5zbg=")</f>
        <v>#VALUE!</v>
      </c>
      <c r="GD84" t="e">
        <f>AND('GA55 Entry'!S191,"AAAAAHn5zbk=")</f>
        <v>#VALUE!</v>
      </c>
      <c r="GE84" t="e">
        <f>AND('GA55 Entry'!#REF!,"AAAAAHn5zbo=")</f>
        <v>#REF!</v>
      </c>
      <c r="GF84" t="e">
        <f>AND('GA55 Entry'!T191,"AAAAAHn5zbs=")</f>
        <v>#VALUE!</v>
      </c>
      <c r="GG84" t="e">
        <f>AND('GA55 Entry'!U191,"AAAAAHn5zbw=")</f>
        <v>#VALUE!</v>
      </c>
      <c r="GH84" t="e">
        <f>AND('GA55 Entry'!V191,"AAAAAHn5zb0=")</f>
        <v>#VALUE!</v>
      </c>
      <c r="GI84" t="e">
        <f>AND('GA55 Entry'!#REF!,"AAAAAHn5zb4=")</f>
        <v>#REF!</v>
      </c>
      <c r="GJ84" t="e">
        <f>AND('GA55 Entry'!#REF!,"AAAAAHn5zb8=")</f>
        <v>#REF!</v>
      </c>
      <c r="GK84" t="e">
        <f>AND('GA55 Entry'!X191,"AAAAAHn5zcA=")</f>
        <v>#VALUE!</v>
      </c>
      <c r="GL84" t="e">
        <f>AND('GA55 Entry'!Y191,"AAAAAHn5zcE=")</f>
        <v>#VALUE!</v>
      </c>
      <c r="GM84" t="e">
        <f>AND('GA55 Entry'!#REF!,"AAAAAHn5zcI=")</f>
        <v>#REF!</v>
      </c>
      <c r="GN84" t="e">
        <f>AND('GA55 Entry'!#REF!,"AAAAAHn5zcM=")</f>
        <v>#REF!</v>
      </c>
      <c r="GO84" t="e">
        <f>AND('GA55 Entry'!#REF!,"AAAAAHn5zcQ=")</f>
        <v>#REF!</v>
      </c>
      <c r="GP84" t="e">
        <f>AND('GA55 Entry'!#REF!,"AAAAAHn5zcU=")</f>
        <v>#REF!</v>
      </c>
      <c r="GQ84" t="e">
        <f>AND('GA55 Entry'!#REF!,"AAAAAHn5zcY=")</f>
        <v>#REF!</v>
      </c>
      <c r="GR84" t="e">
        <f>AND('GA55 Entry'!#REF!,"AAAAAHn5zcc=")</f>
        <v>#REF!</v>
      </c>
      <c r="GS84" t="e">
        <f>AND('GA55 Entry'!#REF!,"AAAAAHn5zcg=")</f>
        <v>#REF!</v>
      </c>
      <c r="GT84" t="e">
        <f>AND('GA55 Entry'!#REF!,"AAAAAHn5zck=")</f>
        <v>#REF!</v>
      </c>
      <c r="GU84" t="e">
        <f>AND('GA55 Entry'!#REF!,"AAAAAHn5zco=")</f>
        <v>#REF!</v>
      </c>
      <c r="GV84" t="e">
        <f>AND('GA55 Entry'!Z191,"AAAAAHn5zcs=")</f>
        <v>#VALUE!</v>
      </c>
      <c r="GW84" t="e">
        <f>AND('GA55 Entry'!AA191,"AAAAAHn5zcw=")</f>
        <v>#VALUE!</v>
      </c>
      <c r="GX84" t="e">
        <f>AND('GA55 Entry'!#REF!,"AAAAAHn5zc0=")</f>
        <v>#REF!</v>
      </c>
      <c r="GY84" t="e">
        <f>AND('GA55 Entry'!#REF!,"AAAAAHn5zc4=")</f>
        <v>#REF!</v>
      </c>
      <c r="GZ84" t="e">
        <f>AND('GA55 Entry'!#REF!,"AAAAAHn5zc8=")</f>
        <v>#REF!</v>
      </c>
      <c r="HA84" t="e">
        <f>AND('GA55 Entry'!AB191,"AAAAAHn5zdA=")</f>
        <v>#VALUE!</v>
      </c>
      <c r="HB84" t="e">
        <f>AND('GA55 Entry'!AC191,"AAAAAHn5zdE=")</f>
        <v>#VALUE!</v>
      </c>
      <c r="HC84" t="e">
        <f>AND('GA55 Entry'!#REF!,"AAAAAHn5zdI=")</f>
        <v>#REF!</v>
      </c>
      <c r="HD84">
        <f>IF('GA55 Entry'!192:192,"AAAAAHn5zdM=",0)</f>
        <v>0</v>
      </c>
      <c r="HE84" t="e">
        <f>AND('GA55 Entry'!B192,"AAAAAHn5zdQ=")</f>
        <v>#VALUE!</v>
      </c>
      <c r="HF84" t="e">
        <f>AND('GA55 Entry'!#REF!,"AAAAAHn5zdU=")</f>
        <v>#REF!</v>
      </c>
      <c r="HG84" t="e">
        <f>AND('GA55 Entry'!C192,"AAAAAHn5zdY=")</f>
        <v>#VALUE!</v>
      </c>
      <c r="HH84" t="e">
        <f>AND('GA55 Entry'!#REF!,"AAAAAHn5zdc=")</f>
        <v>#REF!</v>
      </c>
      <c r="HI84" t="e">
        <f>AND('GA55 Entry'!#REF!,"AAAAAHn5zdg=")</f>
        <v>#REF!</v>
      </c>
      <c r="HJ84" t="e">
        <f>AND('GA55 Entry'!#REF!,"AAAAAHn5zdk=")</f>
        <v>#REF!</v>
      </c>
      <c r="HK84" t="e">
        <f>AND('GA55 Entry'!#REF!,"AAAAAHn5zdo=")</f>
        <v>#REF!</v>
      </c>
      <c r="HL84" t="e">
        <f>AND('GA55 Entry'!#REF!,"AAAAAHn5zds=")</f>
        <v>#REF!</v>
      </c>
      <c r="HM84" t="e">
        <f>AND('GA55 Entry'!D192,"AAAAAHn5zdw=")</f>
        <v>#VALUE!</v>
      </c>
      <c r="HN84" t="e">
        <f>AND('GA55 Entry'!#REF!,"AAAAAHn5zd0=")</f>
        <v>#REF!</v>
      </c>
      <c r="HO84" t="e">
        <f>AND('GA55 Entry'!E192,"AAAAAHn5zd4=")</f>
        <v>#VALUE!</v>
      </c>
      <c r="HP84" t="e">
        <f>AND('GA55 Entry'!F192,"AAAAAHn5zd8=")</f>
        <v>#VALUE!</v>
      </c>
      <c r="HQ84" t="e">
        <f>AND('GA55 Entry'!G192,"AAAAAHn5zeA=")</f>
        <v>#VALUE!</v>
      </c>
      <c r="HR84" t="e">
        <f>AND('GA55 Entry'!H192,"AAAAAHn5zeE=")</f>
        <v>#VALUE!</v>
      </c>
      <c r="HS84" t="e">
        <f>AND('GA55 Entry'!I192,"AAAAAHn5zeI=")</f>
        <v>#VALUE!</v>
      </c>
      <c r="HT84" t="e">
        <f>AND('GA55 Entry'!J192,"AAAAAHn5zeM=")</f>
        <v>#VALUE!</v>
      </c>
      <c r="HU84" t="e">
        <f>AND('GA55 Entry'!#REF!,"AAAAAHn5zeQ=")</f>
        <v>#REF!</v>
      </c>
      <c r="HV84" t="e">
        <f>AND('GA55 Entry'!K192,"AAAAAHn5zeU=")</f>
        <v>#VALUE!</v>
      </c>
      <c r="HW84" t="e">
        <f>AND('GA55 Entry'!L192,"AAAAAHn5zeY=")</f>
        <v>#VALUE!</v>
      </c>
      <c r="HX84" t="e">
        <f>AND('GA55 Entry'!M192,"AAAAAHn5zec=")</f>
        <v>#VALUE!</v>
      </c>
      <c r="HY84" t="e">
        <f>AND('GA55 Entry'!N192,"AAAAAHn5zeg=")</f>
        <v>#VALUE!</v>
      </c>
      <c r="HZ84" t="e">
        <f>AND('GA55 Entry'!O192,"AAAAAHn5zek=")</f>
        <v>#VALUE!</v>
      </c>
      <c r="IA84" t="e">
        <f>AND('GA55 Entry'!P192,"AAAAAHn5zeo=")</f>
        <v>#VALUE!</v>
      </c>
      <c r="IB84" t="e">
        <f>AND('GA55 Entry'!Q192,"AAAAAHn5zes=")</f>
        <v>#VALUE!</v>
      </c>
      <c r="IC84" t="e">
        <f>AND('GA55 Entry'!S192,"AAAAAHn5zew=")</f>
        <v>#VALUE!</v>
      </c>
      <c r="ID84" t="e">
        <f>AND('GA55 Entry'!#REF!,"AAAAAHn5ze0=")</f>
        <v>#REF!</v>
      </c>
      <c r="IE84" t="e">
        <f>AND('GA55 Entry'!T192,"AAAAAHn5ze4=")</f>
        <v>#VALUE!</v>
      </c>
      <c r="IF84" t="e">
        <f>AND('GA55 Entry'!U192,"AAAAAHn5ze8=")</f>
        <v>#VALUE!</v>
      </c>
      <c r="IG84" t="e">
        <f>AND('GA55 Entry'!V192,"AAAAAHn5zfA=")</f>
        <v>#VALUE!</v>
      </c>
      <c r="IH84" t="e">
        <f>AND('GA55 Entry'!#REF!,"AAAAAHn5zfE=")</f>
        <v>#REF!</v>
      </c>
      <c r="II84" t="e">
        <f>AND('GA55 Entry'!#REF!,"AAAAAHn5zfI=")</f>
        <v>#REF!</v>
      </c>
      <c r="IJ84" t="e">
        <f>AND('GA55 Entry'!X192,"AAAAAHn5zfM=")</f>
        <v>#VALUE!</v>
      </c>
      <c r="IK84" t="e">
        <f>AND('GA55 Entry'!Y192,"AAAAAHn5zfQ=")</f>
        <v>#VALUE!</v>
      </c>
      <c r="IL84" t="e">
        <f>AND('GA55 Entry'!#REF!,"AAAAAHn5zfU=")</f>
        <v>#REF!</v>
      </c>
      <c r="IM84" t="e">
        <f>AND('GA55 Entry'!#REF!,"AAAAAHn5zfY=")</f>
        <v>#REF!</v>
      </c>
      <c r="IN84" t="e">
        <f>AND('GA55 Entry'!#REF!,"AAAAAHn5zfc=")</f>
        <v>#REF!</v>
      </c>
      <c r="IO84" t="e">
        <f>AND('GA55 Entry'!#REF!,"AAAAAHn5zfg=")</f>
        <v>#REF!</v>
      </c>
      <c r="IP84" t="e">
        <f>AND('GA55 Entry'!#REF!,"AAAAAHn5zfk=")</f>
        <v>#REF!</v>
      </c>
      <c r="IQ84" t="e">
        <f>AND('GA55 Entry'!#REF!,"AAAAAHn5zfo=")</f>
        <v>#REF!</v>
      </c>
      <c r="IR84" t="e">
        <f>AND('GA55 Entry'!#REF!,"AAAAAHn5zfs=")</f>
        <v>#REF!</v>
      </c>
      <c r="IS84" t="e">
        <f>AND('GA55 Entry'!#REF!,"AAAAAHn5zfw=")</f>
        <v>#REF!</v>
      </c>
      <c r="IT84" t="e">
        <f>AND('GA55 Entry'!#REF!,"AAAAAHn5zf0=")</f>
        <v>#REF!</v>
      </c>
      <c r="IU84" t="e">
        <f>AND('GA55 Entry'!Z192,"AAAAAHn5zf4=")</f>
        <v>#VALUE!</v>
      </c>
      <c r="IV84" t="e">
        <f>AND('GA55 Entry'!AA192,"AAAAAHn5zf8=")</f>
        <v>#VALUE!</v>
      </c>
    </row>
    <row r="85" spans="1:256">
      <c r="A85" t="e">
        <f>AND('GA55 Entry'!#REF!,"AAAAAHZvcwA=")</f>
        <v>#REF!</v>
      </c>
      <c r="B85" t="e">
        <f>AND('GA55 Entry'!#REF!,"AAAAAHZvcwE=")</f>
        <v>#REF!</v>
      </c>
      <c r="C85" t="e">
        <f>AND('GA55 Entry'!#REF!,"AAAAAHZvcwI=")</f>
        <v>#REF!</v>
      </c>
      <c r="D85" t="e">
        <f>AND('GA55 Entry'!AB192,"AAAAAHZvcwM=")</f>
        <v>#VALUE!</v>
      </c>
      <c r="E85" t="e">
        <f>AND('GA55 Entry'!AC192,"AAAAAHZvcwQ=")</f>
        <v>#VALUE!</v>
      </c>
      <c r="F85" t="e">
        <f>AND('GA55 Entry'!#REF!,"AAAAAHZvcwU=")</f>
        <v>#REF!</v>
      </c>
      <c r="G85">
        <f>IF('GA55 Entry'!193:193,"AAAAAHZvcwY=",0)</f>
        <v>0</v>
      </c>
      <c r="H85" t="e">
        <f>AND('GA55 Entry'!B193,"AAAAAHZvcwc=")</f>
        <v>#VALUE!</v>
      </c>
      <c r="I85" t="e">
        <f>AND('GA55 Entry'!#REF!,"AAAAAHZvcwg=")</f>
        <v>#REF!</v>
      </c>
      <c r="J85" t="e">
        <f>AND('GA55 Entry'!C193,"AAAAAHZvcwk=")</f>
        <v>#VALUE!</v>
      </c>
      <c r="K85" t="e">
        <f>AND('GA55 Entry'!#REF!,"AAAAAHZvcwo=")</f>
        <v>#REF!</v>
      </c>
      <c r="L85" t="e">
        <f>AND('GA55 Entry'!#REF!,"AAAAAHZvcws=")</f>
        <v>#REF!</v>
      </c>
      <c r="M85" t="e">
        <f>AND('GA55 Entry'!#REF!,"AAAAAHZvcww=")</f>
        <v>#REF!</v>
      </c>
      <c r="N85" t="e">
        <f>AND('GA55 Entry'!#REF!,"AAAAAHZvcw0=")</f>
        <v>#REF!</v>
      </c>
      <c r="O85" t="e">
        <f>AND('GA55 Entry'!#REF!,"AAAAAHZvcw4=")</f>
        <v>#REF!</v>
      </c>
      <c r="P85" t="e">
        <f>AND('GA55 Entry'!D193,"AAAAAHZvcw8=")</f>
        <v>#VALUE!</v>
      </c>
      <c r="Q85" t="e">
        <f>AND('GA55 Entry'!#REF!,"AAAAAHZvcxA=")</f>
        <v>#REF!</v>
      </c>
      <c r="R85" t="e">
        <f>AND('GA55 Entry'!E193,"AAAAAHZvcxE=")</f>
        <v>#VALUE!</v>
      </c>
      <c r="S85" t="e">
        <f>AND('GA55 Entry'!F193,"AAAAAHZvcxI=")</f>
        <v>#VALUE!</v>
      </c>
      <c r="T85" t="e">
        <f>AND('GA55 Entry'!G193,"AAAAAHZvcxM=")</f>
        <v>#VALUE!</v>
      </c>
      <c r="U85" t="e">
        <f>AND('GA55 Entry'!H193,"AAAAAHZvcxQ=")</f>
        <v>#VALUE!</v>
      </c>
      <c r="V85" t="e">
        <f>AND('GA55 Entry'!I193,"AAAAAHZvcxU=")</f>
        <v>#VALUE!</v>
      </c>
      <c r="W85" t="e">
        <f>AND('GA55 Entry'!J193,"AAAAAHZvcxY=")</f>
        <v>#VALUE!</v>
      </c>
      <c r="X85" t="e">
        <f>AND('GA55 Entry'!#REF!,"AAAAAHZvcxc=")</f>
        <v>#REF!</v>
      </c>
      <c r="Y85" t="e">
        <f>AND('GA55 Entry'!K193,"AAAAAHZvcxg=")</f>
        <v>#VALUE!</v>
      </c>
      <c r="Z85" t="e">
        <f>AND('GA55 Entry'!L193,"AAAAAHZvcxk=")</f>
        <v>#VALUE!</v>
      </c>
      <c r="AA85" t="e">
        <f>AND('GA55 Entry'!M193,"AAAAAHZvcxo=")</f>
        <v>#VALUE!</v>
      </c>
      <c r="AB85" t="e">
        <f>AND('GA55 Entry'!N193,"AAAAAHZvcxs=")</f>
        <v>#VALUE!</v>
      </c>
      <c r="AC85" t="e">
        <f>AND('GA55 Entry'!O193,"AAAAAHZvcxw=")</f>
        <v>#VALUE!</v>
      </c>
      <c r="AD85" t="e">
        <f>AND('GA55 Entry'!P193,"AAAAAHZvcx0=")</f>
        <v>#VALUE!</v>
      </c>
      <c r="AE85" t="e">
        <f>AND('GA55 Entry'!Q193,"AAAAAHZvcx4=")</f>
        <v>#VALUE!</v>
      </c>
      <c r="AF85" t="e">
        <f>AND('GA55 Entry'!S193,"AAAAAHZvcx8=")</f>
        <v>#VALUE!</v>
      </c>
      <c r="AG85" t="e">
        <f>AND('GA55 Entry'!#REF!,"AAAAAHZvcyA=")</f>
        <v>#REF!</v>
      </c>
      <c r="AH85" t="e">
        <f>AND('GA55 Entry'!T193,"AAAAAHZvcyE=")</f>
        <v>#VALUE!</v>
      </c>
      <c r="AI85" t="e">
        <f>AND('GA55 Entry'!U193,"AAAAAHZvcyI=")</f>
        <v>#VALUE!</v>
      </c>
      <c r="AJ85" t="e">
        <f>AND('GA55 Entry'!V193,"AAAAAHZvcyM=")</f>
        <v>#VALUE!</v>
      </c>
      <c r="AK85" t="e">
        <f>AND('GA55 Entry'!#REF!,"AAAAAHZvcyQ=")</f>
        <v>#REF!</v>
      </c>
      <c r="AL85" t="e">
        <f>AND('GA55 Entry'!#REF!,"AAAAAHZvcyU=")</f>
        <v>#REF!</v>
      </c>
      <c r="AM85" t="e">
        <f>AND('GA55 Entry'!X193,"AAAAAHZvcyY=")</f>
        <v>#VALUE!</v>
      </c>
      <c r="AN85" t="e">
        <f>AND('GA55 Entry'!Y193,"AAAAAHZvcyc=")</f>
        <v>#VALUE!</v>
      </c>
      <c r="AO85" t="e">
        <f>AND('GA55 Entry'!#REF!,"AAAAAHZvcyg=")</f>
        <v>#REF!</v>
      </c>
      <c r="AP85" t="e">
        <f>AND('GA55 Entry'!#REF!,"AAAAAHZvcyk=")</f>
        <v>#REF!</v>
      </c>
      <c r="AQ85" t="e">
        <f>AND('GA55 Entry'!#REF!,"AAAAAHZvcyo=")</f>
        <v>#REF!</v>
      </c>
      <c r="AR85" t="e">
        <f>AND('GA55 Entry'!#REF!,"AAAAAHZvcys=")</f>
        <v>#REF!</v>
      </c>
      <c r="AS85" t="e">
        <f>AND('GA55 Entry'!#REF!,"AAAAAHZvcyw=")</f>
        <v>#REF!</v>
      </c>
      <c r="AT85" t="e">
        <f>AND('GA55 Entry'!#REF!,"AAAAAHZvcy0=")</f>
        <v>#REF!</v>
      </c>
      <c r="AU85" t="e">
        <f>AND('GA55 Entry'!#REF!,"AAAAAHZvcy4=")</f>
        <v>#REF!</v>
      </c>
      <c r="AV85" t="e">
        <f>AND('GA55 Entry'!#REF!,"AAAAAHZvcy8=")</f>
        <v>#REF!</v>
      </c>
      <c r="AW85" t="e">
        <f>AND('GA55 Entry'!#REF!,"AAAAAHZvczA=")</f>
        <v>#REF!</v>
      </c>
      <c r="AX85" t="e">
        <f>AND('GA55 Entry'!Z193,"AAAAAHZvczE=")</f>
        <v>#VALUE!</v>
      </c>
      <c r="AY85" t="e">
        <f>AND('GA55 Entry'!AA193,"AAAAAHZvczI=")</f>
        <v>#VALUE!</v>
      </c>
      <c r="AZ85" t="e">
        <f>AND('GA55 Entry'!#REF!,"AAAAAHZvczM=")</f>
        <v>#REF!</v>
      </c>
      <c r="BA85" t="e">
        <f>AND('GA55 Entry'!#REF!,"AAAAAHZvczQ=")</f>
        <v>#REF!</v>
      </c>
      <c r="BB85" t="e">
        <f>AND('GA55 Entry'!#REF!,"AAAAAHZvczU=")</f>
        <v>#REF!</v>
      </c>
      <c r="BC85" t="e">
        <f>AND('GA55 Entry'!AB193,"AAAAAHZvczY=")</f>
        <v>#VALUE!</v>
      </c>
      <c r="BD85" t="e">
        <f>AND('GA55 Entry'!AC193,"AAAAAHZvczc=")</f>
        <v>#VALUE!</v>
      </c>
      <c r="BE85" t="e">
        <f>AND('GA55 Entry'!#REF!,"AAAAAHZvczg=")</f>
        <v>#REF!</v>
      </c>
      <c r="BF85">
        <f>IF('GA55 Entry'!194:194,"AAAAAHZvczk=",0)</f>
        <v>0</v>
      </c>
      <c r="BG85" t="e">
        <f>AND('GA55 Entry'!B194,"AAAAAHZvczo=")</f>
        <v>#VALUE!</v>
      </c>
      <c r="BH85" t="e">
        <f>AND('GA55 Entry'!#REF!,"AAAAAHZvczs=")</f>
        <v>#REF!</v>
      </c>
      <c r="BI85" t="e">
        <f>AND('GA55 Entry'!C194,"AAAAAHZvczw=")</f>
        <v>#VALUE!</v>
      </c>
      <c r="BJ85" t="e">
        <f>AND('GA55 Entry'!#REF!,"AAAAAHZvcz0=")</f>
        <v>#REF!</v>
      </c>
      <c r="BK85" t="e">
        <f>AND('GA55 Entry'!#REF!,"AAAAAHZvcz4=")</f>
        <v>#REF!</v>
      </c>
      <c r="BL85" t="e">
        <f>AND('GA55 Entry'!#REF!,"AAAAAHZvcz8=")</f>
        <v>#REF!</v>
      </c>
      <c r="BM85" t="e">
        <f>AND('GA55 Entry'!#REF!,"AAAAAHZvc0A=")</f>
        <v>#REF!</v>
      </c>
      <c r="BN85" t="e">
        <f>AND('GA55 Entry'!#REF!,"AAAAAHZvc0E=")</f>
        <v>#REF!</v>
      </c>
      <c r="BO85" t="e">
        <f>AND('GA55 Entry'!D194,"AAAAAHZvc0I=")</f>
        <v>#VALUE!</v>
      </c>
      <c r="BP85" t="e">
        <f>AND('GA55 Entry'!#REF!,"AAAAAHZvc0M=")</f>
        <v>#REF!</v>
      </c>
      <c r="BQ85" t="e">
        <f>AND('GA55 Entry'!E194,"AAAAAHZvc0Q=")</f>
        <v>#VALUE!</v>
      </c>
      <c r="BR85" t="e">
        <f>AND('GA55 Entry'!F194,"AAAAAHZvc0U=")</f>
        <v>#VALUE!</v>
      </c>
      <c r="BS85" t="e">
        <f>AND('GA55 Entry'!G194,"AAAAAHZvc0Y=")</f>
        <v>#VALUE!</v>
      </c>
      <c r="BT85" t="e">
        <f>AND('GA55 Entry'!H194,"AAAAAHZvc0c=")</f>
        <v>#VALUE!</v>
      </c>
      <c r="BU85" t="e">
        <f>AND('GA55 Entry'!I194,"AAAAAHZvc0g=")</f>
        <v>#VALUE!</v>
      </c>
      <c r="BV85" t="e">
        <f>AND('GA55 Entry'!J194,"AAAAAHZvc0k=")</f>
        <v>#VALUE!</v>
      </c>
      <c r="BW85" t="e">
        <f>AND('GA55 Entry'!#REF!,"AAAAAHZvc0o=")</f>
        <v>#REF!</v>
      </c>
      <c r="BX85" t="e">
        <f>AND('GA55 Entry'!K194,"AAAAAHZvc0s=")</f>
        <v>#VALUE!</v>
      </c>
      <c r="BY85" t="e">
        <f>AND('GA55 Entry'!L194,"AAAAAHZvc0w=")</f>
        <v>#VALUE!</v>
      </c>
      <c r="BZ85" t="e">
        <f>AND('GA55 Entry'!M194,"AAAAAHZvc00=")</f>
        <v>#VALUE!</v>
      </c>
      <c r="CA85" t="e">
        <f>AND('GA55 Entry'!N194,"AAAAAHZvc04=")</f>
        <v>#VALUE!</v>
      </c>
      <c r="CB85" t="e">
        <f>AND('GA55 Entry'!O194,"AAAAAHZvc08=")</f>
        <v>#VALUE!</v>
      </c>
      <c r="CC85" t="e">
        <f>AND('GA55 Entry'!P194,"AAAAAHZvc1A=")</f>
        <v>#VALUE!</v>
      </c>
      <c r="CD85" t="e">
        <f>AND('GA55 Entry'!Q194,"AAAAAHZvc1E=")</f>
        <v>#VALUE!</v>
      </c>
      <c r="CE85" t="e">
        <f>AND('GA55 Entry'!S194,"AAAAAHZvc1I=")</f>
        <v>#VALUE!</v>
      </c>
      <c r="CF85" t="e">
        <f>AND('GA55 Entry'!#REF!,"AAAAAHZvc1M=")</f>
        <v>#REF!</v>
      </c>
      <c r="CG85" t="e">
        <f>AND('GA55 Entry'!T194,"AAAAAHZvc1Q=")</f>
        <v>#VALUE!</v>
      </c>
      <c r="CH85" t="e">
        <f>AND('GA55 Entry'!U194,"AAAAAHZvc1U=")</f>
        <v>#VALUE!</v>
      </c>
      <c r="CI85" t="e">
        <f>AND('GA55 Entry'!V194,"AAAAAHZvc1Y=")</f>
        <v>#VALUE!</v>
      </c>
      <c r="CJ85" t="e">
        <f>AND('GA55 Entry'!#REF!,"AAAAAHZvc1c=")</f>
        <v>#REF!</v>
      </c>
      <c r="CK85" t="e">
        <f>AND('GA55 Entry'!#REF!,"AAAAAHZvc1g=")</f>
        <v>#REF!</v>
      </c>
      <c r="CL85" t="e">
        <f>AND('GA55 Entry'!X194,"AAAAAHZvc1k=")</f>
        <v>#VALUE!</v>
      </c>
      <c r="CM85" t="e">
        <f>AND('GA55 Entry'!Y194,"AAAAAHZvc1o=")</f>
        <v>#VALUE!</v>
      </c>
      <c r="CN85" t="e">
        <f>AND('GA55 Entry'!#REF!,"AAAAAHZvc1s=")</f>
        <v>#REF!</v>
      </c>
      <c r="CO85" t="e">
        <f>AND('GA55 Entry'!#REF!,"AAAAAHZvc1w=")</f>
        <v>#REF!</v>
      </c>
      <c r="CP85" t="e">
        <f>AND('GA55 Entry'!#REF!,"AAAAAHZvc10=")</f>
        <v>#REF!</v>
      </c>
      <c r="CQ85" t="e">
        <f>AND('GA55 Entry'!#REF!,"AAAAAHZvc14=")</f>
        <v>#REF!</v>
      </c>
      <c r="CR85" t="e">
        <f>AND('GA55 Entry'!#REF!,"AAAAAHZvc18=")</f>
        <v>#REF!</v>
      </c>
      <c r="CS85" t="e">
        <f>AND('GA55 Entry'!#REF!,"AAAAAHZvc2A=")</f>
        <v>#REF!</v>
      </c>
      <c r="CT85" t="e">
        <f>AND('GA55 Entry'!#REF!,"AAAAAHZvc2E=")</f>
        <v>#REF!</v>
      </c>
      <c r="CU85" t="e">
        <f>AND('GA55 Entry'!#REF!,"AAAAAHZvc2I=")</f>
        <v>#REF!</v>
      </c>
      <c r="CV85" t="e">
        <f>AND('GA55 Entry'!#REF!,"AAAAAHZvc2M=")</f>
        <v>#REF!</v>
      </c>
      <c r="CW85" t="e">
        <f>AND('GA55 Entry'!Z194,"AAAAAHZvc2Q=")</f>
        <v>#VALUE!</v>
      </c>
      <c r="CX85" t="e">
        <f>AND('GA55 Entry'!AA194,"AAAAAHZvc2U=")</f>
        <v>#VALUE!</v>
      </c>
      <c r="CY85" t="e">
        <f>AND('GA55 Entry'!#REF!,"AAAAAHZvc2Y=")</f>
        <v>#REF!</v>
      </c>
      <c r="CZ85" t="e">
        <f>AND('GA55 Entry'!#REF!,"AAAAAHZvc2c=")</f>
        <v>#REF!</v>
      </c>
      <c r="DA85" t="e">
        <f>AND('GA55 Entry'!#REF!,"AAAAAHZvc2g=")</f>
        <v>#REF!</v>
      </c>
      <c r="DB85" t="e">
        <f>AND('GA55 Entry'!AB194,"AAAAAHZvc2k=")</f>
        <v>#VALUE!</v>
      </c>
      <c r="DC85" t="e">
        <f>AND('GA55 Entry'!AC194,"AAAAAHZvc2o=")</f>
        <v>#VALUE!</v>
      </c>
      <c r="DD85" t="e">
        <f>AND('GA55 Entry'!#REF!,"AAAAAHZvc2s=")</f>
        <v>#REF!</v>
      </c>
      <c r="DE85">
        <f>IF('GA55 Entry'!195:195,"AAAAAHZvc2w=",0)</f>
        <v>0</v>
      </c>
      <c r="DF85" t="e">
        <f>AND('GA55 Entry'!B195,"AAAAAHZvc20=")</f>
        <v>#VALUE!</v>
      </c>
      <c r="DG85" t="e">
        <f>AND('GA55 Entry'!#REF!,"AAAAAHZvc24=")</f>
        <v>#REF!</v>
      </c>
      <c r="DH85" t="e">
        <f>AND('GA55 Entry'!C195,"AAAAAHZvc28=")</f>
        <v>#VALUE!</v>
      </c>
      <c r="DI85" t="e">
        <f>AND('GA55 Entry'!#REF!,"AAAAAHZvc3A=")</f>
        <v>#REF!</v>
      </c>
      <c r="DJ85" t="e">
        <f>AND('GA55 Entry'!#REF!,"AAAAAHZvc3E=")</f>
        <v>#REF!</v>
      </c>
      <c r="DK85" t="e">
        <f>AND('GA55 Entry'!#REF!,"AAAAAHZvc3I=")</f>
        <v>#REF!</v>
      </c>
      <c r="DL85" t="e">
        <f>AND('GA55 Entry'!#REF!,"AAAAAHZvc3M=")</f>
        <v>#REF!</v>
      </c>
      <c r="DM85" t="e">
        <f>AND('GA55 Entry'!#REF!,"AAAAAHZvc3Q=")</f>
        <v>#REF!</v>
      </c>
      <c r="DN85" t="e">
        <f>AND('GA55 Entry'!D195,"AAAAAHZvc3U=")</f>
        <v>#VALUE!</v>
      </c>
      <c r="DO85" t="e">
        <f>AND('GA55 Entry'!#REF!,"AAAAAHZvc3Y=")</f>
        <v>#REF!</v>
      </c>
      <c r="DP85" t="e">
        <f>AND('GA55 Entry'!E195,"AAAAAHZvc3c=")</f>
        <v>#VALUE!</v>
      </c>
      <c r="DQ85" t="e">
        <f>AND('GA55 Entry'!F195,"AAAAAHZvc3g=")</f>
        <v>#VALUE!</v>
      </c>
      <c r="DR85" t="e">
        <f>AND('GA55 Entry'!G195,"AAAAAHZvc3k=")</f>
        <v>#VALUE!</v>
      </c>
      <c r="DS85" t="e">
        <f>AND('GA55 Entry'!H195,"AAAAAHZvc3o=")</f>
        <v>#VALUE!</v>
      </c>
      <c r="DT85" t="e">
        <f>AND('GA55 Entry'!I195,"AAAAAHZvc3s=")</f>
        <v>#VALUE!</v>
      </c>
      <c r="DU85" t="e">
        <f>AND('GA55 Entry'!J195,"AAAAAHZvc3w=")</f>
        <v>#VALUE!</v>
      </c>
      <c r="DV85" t="e">
        <f>AND('GA55 Entry'!#REF!,"AAAAAHZvc30=")</f>
        <v>#REF!</v>
      </c>
      <c r="DW85" t="e">
        <f>AND('GA55 Entry'!K195,"AAAAAHZvc34=")</f>
        <v>#VALUE!</v>
      </c>
      <c r="DX85" t="e">
        <f>AND('GA55 Entry'!L195,"AAAAAHZvc38=")</f>
        <v>#VALUE!</v>
      </c>
      <c r="DY85" t="e">
        <f>AND('GA55 Entry'!M195,"AAAAAHZvc4A=")</f>
        <v>#VALUE!</v>
      </c>
      <c r="DZ85" t="e">
        <f>AND('GA55 Entry'!N195,"AAAAAHZvc4E=")</f>
        <v>#VALUE!</v>
      </c>
      <c r="EA85" t="e">
        <f>AND('GA55 Entry'!O195,"AAAAAHZvc4I=")</f>
        <v>#VALUE!</v>
      </c>
      <c r="EB85" t="e">
        <f>AND('GA55 Entry'!P195,"AAAAAHZvc4M=")</f>
        <v>#VALUE!</v>
      </c>
      <c r="EC85" t="e">
        <f>AND('GA55 Entry'!Q195,"AAAAAHZvc4Q=")</f>
        <v>#VALUE!</v>
      </c>
      <c r="ED85" t="e">
        <f>AND('GA55 Entry'!S195,"AAAAAHZvc4U=")</f>
        <v>#VALUE!</v>
      </c>
      <c r="EE85" t="e">
        <f>AND('GA55 Entry'!#REF!,"AAAAAHZvc4Y=")</f>
        <v>#REF!</v>
      </c>
      <c r="EF85" t="e">
        <f>AND('GA55 Entry'!T195,"AAAAAHZvc4c=")</f>
        <v>#VALUE!</v>
      </c>
      <c r="EG85" t="e">
        <f>AND('GA55 Entry'!U195,"AAAAAHZvc4g=")</f>
        <v>#VALUE!</v>
      </c>
      <c r="EH85" t="e">
        <f>AND('GA55 Entry'!V195,"AAAAAHZvc4k=")</f>
        <v>#VALUE!</v>
      </c>
      <c r="EI85" t="e">
        <f>AND('GA55 Entry'!#REF!,"AAAAAHZvc4o=")</f>
        <v>#REF!</v>
      </c>
      <c r="EJ85" t="e">
        <f>AND('GA55 Entry'!#REF!,"AAAAAHZvc4s=")</f>
        <v>#REF!</v>
      </c>
      <c r="EK85" t="e">
        <f>AND('GA55 Entry'!X195,"AAAAAHZvc4w=")</f>
        <v>#VALUE!</v>
      </c>
      <c r="EL85" t="e">
        <f>AND('GA55 Entry'!Y195,"AAAAAHZvc40=")</f>
        <v>#VALUE!</v>
      </c>
      <c r="EM85" t="e">
        <f>AND('GA55 Entry'!#REF!,"AAAAAHZvc44=")</f>
        <v>#REF!</v>
      </c>
      <c r="EN85" t="e">
        <f>AND('GA55 Entry'!#REF!,"AAAAAHZvc48=")</f>
        <v>#REF!</v>
      </c>
      <c r="EO85" t="e">
        <f>AND('GA55 Entry'!#REF!,"AAAAAHZvc5A=")</f>
        <v>#REF!</v>
      </c>
      <c r="EP85" t="e">
        <f>AND('GA55 Entry'!#REF!,"AAAAAHZvc5E=")</f>
        <v>#REF!</v>
      </c>
      <c r="EQ85" t="e">
        <f>AND('GA55 Entry'!#REF!,"AAAAAHZvc5I=")</f>
        <v>#REF!</v>
      </c>
      <c r="ER85" t="e">
        <f>AND('GA55 Entry'!#REF!,"AAAAAHZvc5M=")</f>
        <v>#REF!</v>
      </c>
      <c r="ES85" t="e">
        <f>AND('GA55 Entry'!#REF!,"AAAAAHZvc5Q=")</f>
        <v>#REF!</v>
      </c>
      <c r="ET85" t="e">
        <f>AND('GA55 Entry'!#REF!,"AAAAAHZvc5U=")</f>
        <v>#REF!</v>
      </c>
      <c r="EU85" t="e">
        <f>AND('GA55 Entry'!#REF!,"AAAAAHZvc5Y=")</f>
        <v>#REF!</v>
      </c>
      <c r="EV85" t="e">
        <f>AND('GA55 Entry'!Z195,"AAAAAHZvc5c=")</f>
        <v>#VALUE!</v>
      </c>
      <c r="EW85" t="e">
        <f>AND('GA55 Entry'!AA195,"AAAAAHZvc5g=")</f>
        <v>#VALUE!</v>
      </c>
      <c r="EX85" t="e">
        <f>AND('GA55 Entry'!#REF!,"AAAAAHZvc5k=")</f>
        <v>#REF!</v>
      </c>
      <c r="EY85" t="e">
        <f>AND('GA55 Entry'!#REF!,"AAAAAHZvc5o=")</f>
        <v>#REF!</v>
      </c>
      <c r="EZ85" t="e">
        <f>AND('GA55 Entry'!#REF!,"AAAAAHZvc5s=")</f>
        <v>#REF!</v>
      </c>
      <c r="FA85" t="e">
        <f>AND('GA55 Entry'!AB195,"AAAAAHZvc5w=")</f>
        <v>#VALUE!</v>
      </c>
      <c r="FB85" t="e">
        <f>AND('GA55 Entry'!AC195,"AAAAAHZvc50=")</f>
        <v>#VALUE!</v>
      </c>
      <c r="FC85" t="e">
        <f>AND('GA55 Entry'!#REF!,"AAAAAHZvc54=")</f>
        <v>#REF!</v>
      </c>
      <c r="FD85">
        <f>IF('GA55 Entry'!196:196,"AAAAAHZvc58=",0)</f>
        <v>0</v>
      </c>
      <c r="FE85" t="e">
        <f>AND('GA55 Entry'!B196,"AAAAAHZvc6A=")</f>
        <v>#VALUE!</v>
      </c>
      <c r="FF85" t="e">
        <f>AND('GA55 Entry'!#REF!,"AAAAAHZvc6E=")</f>
        <v>#REF!</v>
      </c>
      <c r="FG85" t="e">
        <f>AND('GA55 Entry'!C196,"AAAAAHZvc6I=")</f>
        <v>#VALUE!</v>
      </c>
      <c r="FH85" t="e">
        <f>AND('GA55 Entry'!#REF!,"AAAAAHZvc6M=")</f>
        <v>#REF!</v>
      </c>
      <c r="FI85" t="e">
        <f>AND('GA55 Entry'!#REF!,"AAAAAHZvc6Q=")</f>
        <v>#REF!</v>
      </c>
      <c r="FJ85" t="e">
        <f>AND('GA55 Entry'!#REF!,"AAAAAHZvc6U=")</f>
        <v>#REF!</v>
      </c>
      <c r="FK85" t="e">
        <f>AND('GA55 Entry'!#REF!,"AAAAAHZvc6Y=")</f>
        <v>#REF!</v>
      </c>
      <c r="FL85" t="e">
        <f>AND('GA55 Entry'!#REF!,"AAAAAHZvc6c=")</f>
        <v>#REF!</v>
      </c>
      <c r="FM85" t="e">
        <f>AND('GA55 Entry'!D196,"AAAAAHZvc6g=")</f>
        <v>#VALUE!</v>
      </c>
      <c r="FN85" t="e">
        <f>AND('GA55 Entry'!#REF!,"AAAAAHZvc6k=")</f>
        <v>#REF!</v>
      </c>
      <c r="FO85" t="e">
        <f>AND('GA55 Entry'!E196,"AAAAAHZvc6o=")</f>
        <v>#VALUE!</v>
      </c>
      <c r="FP85" t="e">
        <f>AND('GA55 Entry'!F196,"AAAAAHZvc6s=")</f>
        <v>#VALUE!</v>
      </c>
      <c r="FQ85" t="e">
        <f>AND('GA55 Entry'!G196,"AAAAAHZvc6w=")</f>
        <v>#VALUE!</v>
      </c>
      <c r="FR85" t="e">
        <f>AND('GA55 Entry'!H196,"AAAAAHZvc60=")</f>
        <v>#VALUE!</v>
      </c>
      <c r="FS85" t="e">
        <f>AND('GA55 Entry'!I196,"AAAAAHZvc64=")</f>
        <v>#VALUE!</v>
      </c>
      <c r="FT85" t="e">
        <f>AND('GA55 Entry'!J196,"AAAAAHZvc68=")</f>
        <v>#VALUE!</v>
      </c>
      <c r="FU85" t="e">
        <f>AND('GA55 Entry'!#REF!,"AAAAAHZvc7A=")</f>
        <v>#REF!</v>
      </c>
      <c r="FV85" t="e">
        <f>AND('GA55 Entry'!K196,"AAAAAHZvc7E=")</f>
        <v>#VALUE!</v>
      </c>
      <c r="FW85" t="e">
        <f>AND('GA55 Entry'!L196,"AAAAAHZvc7I=")</f>
        <v>#VALUE!</v>
      </c>
      <c r="FX85" t="e">
        <f>AND('GA55 Entry'!M196,"AAAAAHZvc7M=")</f>
        <v>#VALUE!</v>
      </c>
      <c r="FY85" t="e">
        <f>AND('GA55 Entry'!N196,"AAAAAHZvc7Q=")</f>
        <v>#VALUE!</v>
      </c>
      <c r="FZ85" t="e">
        <f>AND('GA55 Entry'!O196,"AAAAAHZvc7U=")</f>
        <v>#VALUE!</v>
      </c>
      <c r="GA85" t="e">
        <f>AND('GA55 Entry'!P196,"AAAAAHZvc7Y=")</f>
        <v>#VALUE!</v>
      </c>
      <c r="GB85" t="e">
        <f>AND('GA55 Entry'!Q196,"AAAAAHZvc7c=")</f>
        <v>#VALUE!</v>
      </c>
      <c r="GC85" t="e">
        <f>AND('GA55 Entry'!S196,"AAAAAHZvc7g=")</f>
        <v>#VALUE!</v>
      </c>
      <c r="GD85" t="e">
        <f>AND('GA55 Entry'!#REF!,"AAAAAHZvc7k=")</f>
        <v>#REF!</v>
      </c>
      <c r="GE85" t="e">
        <f>AND('GA55 Entry'!T196,"AAAAAHZvc7o=")</f>
        <v>#VALUE!</v>
      </c>
      <c r="GF85" t="e">
        <f>AND('GA55 Entry'!U196,"AAAAAHZvc7s=")</f>
        <v>#VALUE!</v>
      </c>
      <c r="GG85" t="e">
        <f>AND('GA55 Entry'!V196,"AAAAAHZvc7w=")</f>
        <v>#VALUE!</v>
      </c>
      <c r="GH85" t="e">
        <f>AND('GA55 Entry'!#REF!,"AAAAAHZvc70=")</f>
        <v>#REF!</v>
      </c>
      <c r="GI85" t="e">
        <f>AND('GA55 Entry'!#REF!,"AAAAAHZvc74=")</f>
        <v>#REF!</v>
      </c>
      <c r="GJ85" t="e">
        <f>AND('GA55 Entry'!X196,"AAAAAHZvc78=")</f>
        <v>#VALUE!</v>
      </c>
      <c r="GK85" t="e">
        <f>AND('GA55 Entry'!Y196,"AAAAAHZvc8A=")</f>
        <v>#VALUE!</v>
      </c>
      <c r="GL85" t="e">
        <f>AND('GA55 Entry'!#REF!,"AAAAAHZvc8E=")</f>
        <v>#REF!</v>
      </c>
      <c r="GM85" t="e">
        <f>AND('GA55 Entry'!#REF!,"AAAAAHZvc8I=")</f>
        <v>#REF!</v>
      </c>
      <c r="GN85" t="e">
        <f>AND('GA55 Entry'!#REF!,"AAAAAHZvc8M=")</f>
        <v>#REF!</v>
      </c>
      <c r="GO85" t="e">
        <f>AND('GA55 Entry'!#REF!,"AAAAAHZvc8Q=")</f>
        <v>#REF!</v>
      </c>
      <c r="GP85" t="e">
        <f>AND('GA55 Entry'!#REF!,"AAAAAHZvc8U=")</f>
        <v>#REF!</v>
      </c>
      <c r="GQ85" t="e">
        <f>AND('GA55 Entry'!#REF!,"AAAAAHZvc8Y=")</f>
        <v>#REF!</v>
      </c>
      <c r="GR85" t="e">
        <f>AND('GA55 Entry'!#REF!,"AAAAAHZvc8c=")</f>
        <v>#REF!</v>
      </c>
      <c r="GS85" t="e">
        <f>AND('GA55 Entry'!#REF!,"AAAAAHZvc8g=")</f>
        <v>#REF!</v>
      </c>
      <c r="GT85" t="e">
        <f>AND('GA55 Entry'!#REF!,"AAAAAHZvc8k=")</f>
        <v>#REF!</v>
      </c>
      <c r="GU85" t="e">
        <f>AND('GA55 Entry'!Z196,"AAAAAHZvc8o=")</f>
        <v>#VALUE!</v>
      </c>
      <c r="GV85" t="e">
        <f>AND('GA55 Entry'!AA196,"AAAAAHZvc8s=")</f>
        <v>#VALUE!</v>
      </c>
      <c r="GW85" t="e">
        <f>AND('GA55 Entry'!#REF!,"AAAAAHZvc8w=")</f>
        <v>#REF!</v>
      </c>
      <c r="GX85" t="e">
        <f>AND('GA55 Entry'!#REF!,"AAAAAHZvc80=")</f>
        <v>#REF!</v>
      </c>
      <c r="GY85" t="e">
        <f>AND('GA55 Entry'!#REF!,"AAAAAHZvc84=")</f>
        <v>#REF!</v>
      </c>
      <c r="GZ85" t="e">
        <f>AND('GA55 Entry'!AB196,"AAAAAHZvc88=")</f>
        <v>#VALUE!</v>
      </c>
      <c r="HA85" t="e">
        <f>AND('GA55 Entry'!AC196,"AAAAAHZvc9A=")</f>
        <v>#VALUE!</v>
      </c>
      <c r="HB85" t="e">
        <f>AND('GA55 Entry'!#REF!,"AAAAAHZvc9E=")</f>
        <v>#REF!</v>
      </c>
      <c r="HC85">
        <f>IF('GA55 Entry'!197:197,"AAAAAHZvc9I=",0)</f>
        <v>0</v>
      </c>
      <c r="HD85" t="e">
        <f>AND('GA55 Entry'!B197,"AAAAAHZvc9M=")</f>
        <v>#VALUE!</v>
      </c>
      <c r="HE85" t="e">
        <f>AND('GA55 Entry'!#REF!,"AAAAAHZvc9Q=")</f>
        <v>#REF!</v>
      </c>
      <c r="HF85" t="e">
        <f>AND('GA55 Entry'!C197,"AAAAAHZvc9U=")</f>
        <v>#VALUE!</v>
      </c>
      <c r="HG85" t="e">
        <f>AND('GA55 Entry'!#REF!,"AAAAAHZvc9Y=")</f>
        <v>#REF!</v>
      </c>
      <c r="HH85" t="e">
        <f>AND('GA55 Entry'!#REF!,"AAAAAHZvc9c=")</f>
        <v>#REF!</v>
      </c>
      <c r="HI85" t="e">
        <f>AND('GA55 Entry'!#REF!,"AAAAAHZvc9g=")</f>
        <v>#REF!</v>
      </c>
      <c r="HJ85" t="e">
        <f>AND('GA55 Entry'!#REF!,"AAAAAHZvc9k=")</f>
        <v>#REF!</v>
      </c>
      <c r="HK85" t="e">
        <f>AND('GA55 Entry'!#REF!,"AAAAAHZvc9o=")</f>
        <v>#REF!</v>
      </c>
      <c r="HL85" t="e">
        <f>AND('GA55 Entry'!D197,"AAAAAHZvc9s=")</f>
        <v>#VALUE!</v>
      </c>
      <c r="HM85" t="e">
        <f>AND('GA55 Entry'!#REF!,"AAAAAHZvc9w=")</f>
        <v>#REF!</v>
      </c>
      <c r="HN85" t="e">
        <f>AND('GA55 Entry'!E197,"AAAAAHZvc90=")</f>
        <v>#VALUE!</v>
      </c>
      <c r="HO85" t="e">
        <f>AND('GA55 Entry'!F197,"AAAAAHZvc94=")</f>
        <v>#VALUE!</v>
      </c>
      <c r="HP85" t="e">
        <f>AND('GA55 Entry'!G197,"AAAAAHZvc98=")</f>
        <v>#VALUE!</v>
      </c>
      <c r="HQ85" t="e">
        <f>AND('GA55 Entry'!H197,"AAAAAHZvc+A=")</f>
        <v>#VALUE!</v>
      </c>
      <c r="HR85" t="e">
        <f>AND('GA55 Entry'!I197,"AAAAAHZvc+E=")</f>
        <v>#VALUE!</v>
      </c>
      <c r="HS85" t="e">
        <f>AND('GA55 Entry'!J197,"AAAAAHZvc+I=")</f>
        <v>#VALUE!</v>
      </c>
      <c r="HT85" t="e">
        <f>AND('GA55 Entry'!#REF!,"AAAAAHZvc+M=")</f>
        <v>#REF!</v>
      </c>
      <c r="HU85" t="e">
        <f>AND('GA55 Entry'!K197,"AAAAAHZvc+Q=")</f>
        <v>#VALUE!</v>
      </c>
      <c r="HV85" t="e">
        <f>AND('GA55 Entry'!L197,"AAAAAHZvc+U=")</f>
        <v>#VALUE!</v>
      </c>
      <c r="HW85" t="e">
        <f>AND('GA55 Entry'!M197,"AAAAAHZvc+Y=")</f>
        <v>#VALUE!</v>
      </c>
      <c r="HX85" t="e">
        <f>AND('GA55 Entry'!N197,"AAAAAHZvc+c=")</f>
        <v>#VALUE!</v>
      </c>
      <c r="HY85" t="e">
        <f>AND('GA55 Entry'!O197,"AAAAAHZvc+g=")</f>
        <v>#VALUE!</v>
      </c>
      <c r="HZ85" t="e">
        <f>AND('GA55 Entry'!P197,"AAAAAHZvc+k=")</f>
        <v>#VALUE!</v>
      </c>
      <c r="IA85" t="e">
        <f>AND('GA55 Entry'!Q197,"AAAAAHZvc+o=")</f>
        <v>#VALUE!</v>
      </c>
      <c r="IB85" t="e">
        <f>AND('GA55 Entry'!S197,"AAAAAHZvc+s=")</f>
        <v>#VALUE!</v>
      </c>
      <c r="IC85" t="e">
        <f>AND('GA55 Entry'!#REF!,"AAAAAHZvc+w=")</f>
        <v>#REF!</v>
      </c>
      <c r="ID85" t="e">
        <f>AND('GA55 Entry'!T197,"AAAAAHZvc+0=")</f>
        <v>#VALUE!</v>
      </c>
      <c r="IE85" t="e">
        <f>AND('GA55 Entry'!U197,"AAAAAHZvc+4=")</f>
        <v>#VALUE!</v>
      </c>
      <c r="IF85" t="e">
        <f>AND('GA55 Entry'!V197,"AAAAAHZvc+8=")</f>
        <v>#VALUE!</v>
      </c>
      <c r="IG85" t="e">
        <f>AND('GA55 Entry'!#REF!,"AAAAAHZvc/A=")</f>
        <v>#REF!</v>
      </c>
      <c r="IH85" t="e">
        <f>AND('GA55 Entry'!#REF!,"AAAAAHZvc/E=")</f>
        <v>#REF!</v>
      </c>
      <c r="II85" t="e">
        <f>AND('GA55 Entry'!X197,"AAAAAHZvc/I=")</f>
        <v>#VALUE!</v>
      </c>
      <c r="IJ85" t="e">
        <f>AND('GA55 Entry'!Y197,"AAAAAHZvc/M=")</f>
        <v>#VALUE!</v>
      </c>
      <c r="IK85" t="e">
        <f>AND('GA55 Entry'!#REF!,"AAAAAHZvc/Q=")</f>
        <v>#REF!</v>
      </c>
      <c r="IL85" t="e">
        <f>AND('GA55 Entry'!#REF!,"AAAAAHZvc/U=")</f>
        <v>#REF!</v>
      </c>
      <c r="IM85" t="e">
        <f>AND('GA55 Entry'!#REF!,"AAAAAHZvc/Y=")</f>
        <v>#REF!</v>
      </c>
      <c r="IN85" t="e">
        <f>AND('GA55 Entry'!#REF!,"AAAAAHZvc/c=")</f>
        <v>#REF!</v>
      </c>
      <c r="IO85" t="e">
        <f>AND('GA55 Entry'!#REF!,"AAAAAHZvc/g=")</f>
        <v>#REF!</v>
      </c>
      <c r="IP85" t="e">
        <f>AND('GA55 Entry'!#REF!,"AAAAAHZvc/k=")</f>
        <v>#REF!</v>
      </c>
      <c r="IQ85" t="e">
        <f>AND('GA55 Entry'!#REF!,"AAAAAHZvc/o=")</f>
        <v>#REF!</v>
      </c>
      <c r="IR85" t="e">
        <f>AND('GA55 Entry'!#REF!,"AAAAAHZvc/s=")</f>
        <v>#REF!</v>
      </c>
      <c r="IS85" t="e">
        <f>AND('GA55 Entry'!#REF!,"AAAAAHZvc/w=")</f>
        <v>#REF!</v>
      </c>
      <c r="IT85" t="e">
        <f>AND('GA55 Entry'!Z197,"AAAAAHZvc/0=")</f>
        <v>#VALUE!</v>
      </c>
      <c r="IU85" t="e">
        <f>AND('GA55 Entry'!AA197,"AAAAAHZvc/4=")</f>
        <v>#VALUE!</v>
      </c>
      <c r="IV85" t="e">
        <f>AND('GA55 Entry'!#REF!,"AAAAAHZvc/8=")</f>
        <v>#REF!</v>
      </c>
    </row>
    <row r="86" spans="1:256">
      <c r="A86" t="e">
        <f>AND('GA55 Entry'!#REF!,"AAAAAHba+wA=")</f>
        <v>#REF!</v>
      </c>
      <c r="B86" t="e">
        <f>AND('GA55 Entry'!#REF!,"AAAAAHba+wE=")</f>
        <v>#REF!</v>
      </c>
      <c r="C86" t="e">
        <f>AND('GA55 Entry'!AB197,"AAAAAHba+wI=")</f>
        <v>#VALUE!</v>
      </c>
      <c r="D86" t="e">
        <f>AND('GA55 Entry'!AC197,"AAAAAHba+wM=")</f>
        <v>#VALUE!</v>
      </c>
      <c r="E86" t="e">
        <f>AND('GA55 Entry'!#REF!,"AAAAAHba+wQ=")</f>
        <v>#REF!</v>
      </c>
      <c r="F86">
        <f>IF('GA55 Entry'!198:198,"AAAAAHba+wU=",0)</f>
        <v>0</v>
      </c>
      <c r="G86" t="e">
        <f>AND('GA55 Entry'!B198,"AAAAAHba+wY=")</f>
        <v>#VALUE!</v>
      </c>
      <c r="H86" t="e">
        <f>AND('GA55 Entry'!#REF!,"AAAAAHba+wc=")</f>
        <v>#REF!</v>
      </c>
      <c r="I86" t="e">
        <f>AND('GA55 Entry'!C198,"AAAAAHba+wg=")</f>
        <v>#VALUE!</v>
      </c>
      <c r="J86" t="e">
        <f>AND('GA55 Entry'!#REF!,"AAAAAHba+wk=")</f>
        <v>#REF!</v>
      </c>
      <c r="K86" t="e">
        <f>AND('GA55 Entry'!#REF!,"AAAAAHba+wo=")</f>
        <v>#REF!</v>
      </c>
      <c r="L86" t="e">
        <f>AND('GA55 Entry'!#REF!,"AAAAAHba+ws=")</f>
        <v>#REF!</v>
      </c>
      <c r="M86" t="e">
        <f>AND('GA55 Entry'!#REF!,"AAAAAHba+ww=")</f>
        <v>#REF!</v>
      </c>
      <c r="N86" t="e">
        <f>AND('GA55 Entry'!#REF!,"AAAAAHba+w0=")</f>
        <v>#REF!</v>
      </c>
      <c r="O86" t="e">
        <f>AND('GA55 Entry'!D198,"AAAAAHba+w4=")</f>
        <v>#VALUE!</v>
      </c>
      <c r="P86" t="e">
        <f>AND('GA55 Entry'!#REF!,"AAAAAHba+w8=")</f>
        <v>#REF!</v>
      </c>
      <c r="Q86" t="e">
        <f>AND('GA55 Entry'!E198,"AAAAAHba+xA=")</f>
        <v>#VALUE!</v>
      </c>
      <c r="R86" t="e">
        <f>AND('GA55 Entry'!F198,"AAAAAHba+xE=")</f>
        <v>#VALUE!</v>
      </c>
      <c r="S86" t="e">
        <f>AND('GA55 Entry'!G198,"AAAAAHba+xI=")</f>
        <v>#VALUE!</v>
      </c>
      <c r="T86" t="e">
        <f>AND('GA55 Entry'!H198,"AAAAAHba+xM=")</f>
        <v>#VALUE!</v>
      </c>
      <c r="U86" t="e">
        <f>AND('GA55 Entry'!I198,"AAAAAHba+xQ=")</f>
        <v>#VALUE!</v>
      </c>
      <c r="V86" t="e">
        <f>AND('GA55 Entry'!J198,"AAAAAHba+xU=")</f>
        <v>#VALUE!</v>
      </c>
      <c r="W86" t="e">
        <f>AND('GA55 Entry'!#REF!,"AAAAAHba+xY=")</f>
        <v>#REF!</v>
      </c>
      <c r="X86" t="e">
        <f>AND('GA55 Entry'!K198,"AAAAAHba+xc=")</f>
        <v>#VALUE!</v>
      </c>
      <c r="Y86" t="e">
        <f>AND('GA55 Entry'!L198,"AAAAAHba+xg=")</f>
        <v>#VALUE!</v>
      </c>
      <c r="Z86" t="e">
        <f>AND('GA55 Entry'!M198,"AAAAAHba+xk=")</f>
        <v>#VALUE!</v>
      </c>
      <c r="AA86" t="e">
        <f>AND('GA55 Entry'!N198,"AAAAAHba+xo=")</f>
        <v>#VALUE!</v>
      </c>
      <c r="AB86" t="e">
        <f>AND('GA55 Entry'!O198,"AAAAAHba+xs=")</f>
        <v>#VALUE!</v>
      </c>
      <c r="AC86" t="e">
        <f>AND('GA55 Entry'!P198,"AAAAAHba+xw=")</f>
        <v>#VALUE!</v>
      </c>
      <c r="AD86" t="e">
        <f>AND('GA55 Entry'!Q198,"AAAAAHba+x0=")</f>
        <v>#VALUE!</v>
      </c>
      <c r="AE86" t="e">
        <f>AND('GA55 Entry'!S198,"AAAAAHba+x4=")</f>
        <v>#VALUE!</v>
      </c>
      <c r="AF86" t="e">
        <f>AND('GA55 Entry'!#REF!,"AAAAAHba+x8=")</f>
        <v>#REF!</v>
      </c>
      <c r="AG86" t="e">
        <f>AND('GA55 Entry'!T198,"AAAAAHba+yA=")</f>
        <v>#VALUE!</v>
      </c>
      <c r="AH86" t="e">
        <f>AND('GA55 Entry'!U198,"AAAAAHba+yE=")</f>
        <v>#VALUE!</v>
      </c>
      <c r="AI86" t="e">
        <f>AND('GA55 Entry'!V198,"AAAAAHba+yI=")</f>
        <v>#VALUE!</v>
      </c>
      <c r="AJ86" t="e">
        <f>AND('GA55 Entry'!#REF!,"AAAAAHba+yM=")</f>
        <v>#REF!</v>
      </c>
      <c r="AK86" t="e">
        <f>AND('GA55 Entry'!#REF!,"AAAAAHba+yQ=")</f>
        <v>#REF!</v>
      </c>
      <c r="AL86" t="e">
        <f>AND('GA55 Entry'!X198,"AAAAAHba+yU=")</f>
        <v>#VALUE!</v>
      </c>
      <c r="AM86" t="e">
        <f>AND('GA55 Entry'!Y198,"AAAAAHba+yY=")</f>
        <v>#VALUE!</v>
      </c>
      <c r="AN86" t="e">
        <f>AND('GA55 Entry'!#REF!,"AAAAAHba+yc=")</f>
        <v>#REF!</v>
      </c>
      <c r="AO86" t="e">
        <f>AND('GA55 Entry'!#REF!,"AAAAAHba+yg=")</f>
        <v>#REF!</v>
      </c>
      <c r="AP86" t="e">
        <f>AND('GA55 Entry'!#REF!,"AAAAAHba+yk=")</f>
        <v>#REF!</v>
      </c>
      <c r="AQ86" t="e">
        <f>AND('GA55 Entry'!#REF!,"AAAAAHba+yo=")</f>
        <v>#REF!</v>
      </c>
      <c r="AR86" t="e">
        <f>AND('GA55 Entry'!#REF!,"AAAAAHba+ys=")</f>
        <v>#REF!</v>
      </c>
      <c r="AS86" t="e">
        <f>AND('GA55 Entry'!#REF!,"AAAAAHba+yw=")</f>
        <v>#REF!</v>
      </c>
      <c r="AT86" t="e">
        <f>AND('GA55 Entry'!#REF!,"AAAAAHba+y0=")</f>
        <v>#REF!</v>
      </c>
      <c r="AU86" t="e">
        <f>AND('GA55 Entry'!#REF!,"AAAAAHba+y4=")</f>
        <v>#REF!</v>
      </c>
      <c r="AV86" t="e">
        <f>AND('GA55 Entry'!#REF!,"AAAAAHba+y8=")</f>
        <v>#REF!</v>
      </c>
      <c r="AW86" t="e">
        <f>AND('GA55 Entry'!Z198,"AAAAAHba+zA=")</f>
        <v>#VALUE!</v>
      </c>
      <c r="AX86" t="e">
        <f>AND('GA55 Entry'!AA198,"AAAAAHba+zE=")</f>
        <v>#VALUE!</v>
      </c>
      <c r="AY86" t="e">
        <f>AND('GA55 Entry'!#REF!,"AAAAAHba+zI=")</f>
        <v>#REF!</v>
      </c>
      <c r="AZ86" t="e">
        <f>AND('GA55 Entry'!#REF!,"AAAAAHba+zM=")</f>
        <v>#REF!</v>
      </c>
      <c r="BA86" t="e">
        <f>AND('GA55 Entry'!#REF!,"AAAAAHba+zQ=")</f>
        <v>#REF!</v>
      </c>
      <c r="BB86" t="e">
        <f>AND('GA55 Entry'!AB198,"AAAAAHba+zU=")</f>
        <v>#VALUE!</v>
      </c>
      <c r="BC86" t="e">
        <f>AND('GA55 Entry'!AC198,"AAAAAHba+zY=")</f>
        <v>#VALUE!</v>
      </c>
      <c r="BD86" t="e">
        <f>AND('GA55 Entry'!#REF!,"AAAAAHba+zc=")</f>
        <v>#REF!</v>
      </c>
      <c r="BE86">
        <f>IF('GA55 Entry'!199:199,"AAAAAHba+zg=",0)</f>
        <v>0</v>
      </c>
      <c r="BF86" t="e">
        <f>AND('GA55 Entry'!B199,"AAAAAHba+zk=")</f>
        <v>#VALUE!</v>
      </c>
      <c r="BG86" t="e">
        <f>AND('GA55 Entry'!#REF!,"AAAAAHba+zo=")</f>
        <v>#REF!</v>
      </c>
      <c r="BH86" t="e">
        <f>AND('GA55 Entry'!C199,"AAAAAHba+zs=")</f>
        <v>#VALUE!</v>
      </c>
      <c r="BI86" t="e">
        <f>AND('GA55 Entry'!#REF!,"AAAAAHba+zw=")</f>
        <v>#REF!</v>
      </c>
      <c r="BJ86" t="e">
        <f>AND('GA55 Entry'!#REF!,"AAAAAHba+z0=")</f>
        <v>#REF!</v>
      </c>
      <c r="BK86" t="e">
        <f>AND('GA55 Entry'!#REF!,"AAAAAHba+z4=")</f>
        <v>#REF!</v>
      </c>
      <c r="BL86" t="e">
        <f>AND('GA55 Entry'!#REF!,"AAAAAHba+z8=")</f>
        <v>#REF!</v>
      </c>
      <c r="BM86" t="e">
        <f>AND('GA55 Entry'!#REF!,"AAAAAHba+0A=")</f>
        <v>#REF!</v>
      </c>
      <c r="BN86" t="e">
        <f>AND('GA55 Entry'!D199,"AAAAAHba+0E=")</f>
        <v>#VALUE!</v>
      </c>
      <c r="BO86" t="e">
        <f>AND('GA55 Entry'!#REF!,"AAAAAHba+0I=")</f>
        <v>#REF!</v>
      </c>
      <c r="BP86" t="e">
        <f>AND('GA55 Entry'!E199,"AAAAAHba+0M=")</f>
        <v>#VALUE!</v>
      </c>
      <c r="BQ86" t="e">
        <f>AND('GA55 Entry'!F199,"AAAAAHba+0Q=")</f>
        <v>#VALUE!</v>
      </c>
      <c r="BR86" t="e">
        <f>AND('GA55 Entry'!G199,"AAAAAHba+0U=")</f>
        <v>#VALUE!</v>
      </c>
      <c r="BS86" t="e">
        <f>AND('GA55 Entry'!H199,"AAAAAHba+0Y=")</f>
        <v>#VALUE!</v>
      </c>
      <c r="BT86" t="e">
        <f>AND('GA55 Entry'!I199,"AAAAAHba+0c=")</f>
        <v>#VALUE!</v>
      </c>
      <c r="BU86" t="e">
        <f>AND('GA55 Entry'!J199,"AAAAAHba+0g=")</f>
        <v>#VALUE!</v>
      </c>
      <c r="BV86" t="e">
        <f>AND('GA55 Entry'!#REF!,"AAAAAHba+0k=")</f>
        <v>#REF!</v>
      </c>
      <c r="BW86" t="e">
        <f>AND('GA55 Entry'!K199,"AAAAAHba+0o=")</f>
        <v>#VALUE!</v>
      </c>
      <c r="BX86" t="e">
        <f>AND('GA55 Entry'!L199,"AAAAAHba+0s=")</f>
        <v>#VALUE!</v>
      </c>
      <c r="BY86" t="e">
        <f>AND('GA55 Entry'!M199,"AAAAAHba+0w=")</f>
        <v>#VALUE!</v>
      </c>
      <c r="BZ86" t="e">
        <f>AND('GA55 Entry'!N199,"AAAAAHba+00=")</f>
        <v>#VALUE!</v>
      </c>
      <c r="CA86" t="e">
        <f>AND('GA55 Entry'!O199,"AAAAAHba+04=")</f>
        <v>#VALUE!</v>
      </c>
      <c r="CB86" t="e">
        <f>AND('GA55 Entry'!P199,"AAAAAHba+08=")</f>
        <v>#VALUE!</v>
      </c>
      <c r="CC86" t="e">
        <f>AND('GA55 Entry'!Q199,"AAAAAHba+1A=")</f>
        <v>#VALUE!</v>
      </c>
      <c r="CD86" t="e">
        <f>AND('GA55 Entry'!S199,"AAAAAHba+1E=")</f>
        <v>#VALUE!</v>
      </c>
      <c r="CE86" t="e">
        <f>AND('GA55 Entry'!#REF!,"AAAAAHba+1I=")</f>
        <v>#REF!</v>
      </c>
      <c r="CF86" t="e">
        <f>AND('GA55 Entry'!T199,"AAAAAHba+1M=")</f>
        <v>#VALUE!</v>
      </c>
      <c r="CG86" t="e">
        <f>AND('GA55 Entry'!U199,"AAAAAHba+1Q=")</f>
        <v>#VALUE!</v>
      </c>
      <c r="CH86" t="e">
        <f>AND('GA55 Entry'!V199,"AAAAAHba+1U=")</f>
        <v>#VALUE!</v>
      </c>
      <c r="CI86" t="e">
        <f>AND('GA55 Entry'!#REF!,"AAAAAHba+1Y=")</f>
        <v>#REF!</v>
      </c>
      <c r="CJ86" t="e">
        <f>AND('GA55 Entry'!#REF!,"AAAAAHba+1c=")</f>
        <v>#REF!</v>
      </c>
      <c r="CK86" t="e">
        <f>AND('GA55 Entry'!X199,"AAAAAHba+1g=")</f>
        <v>#VALUE!</v>
      </c>
      <c r="CL86" t="e">
        <f>AND('GA55 Entry'!Y199,"AAAAAHba+1k=")</f>
        <v>#VALUE!</v>
      </c>
      <c r="CM86" t="e">
        <f>AND('GA55 Entry'!#REF!,"AAAAAHba+1o=")</f>
        <v>#REF!</v>
      </c>
      <c r="CN86" t="e">
        <f>AND('GA55 Entry'!#REF!,"AAAAAHba+1s=")</f>
        <v>#REF!</v>
      </c>
      <c r="CO86" t="e">
        <f>AND('GA55 Entry'!#REF!,"AAAAAHba+1w=")</f>
        <v>#REF!</v>
      </c>
      <c r="CP86" t="e">
        <f>AND('GA55 Entry'!#REF!,"AAAAAHba+10=")</f>
        <v>#REF!</v>
      </c>
      <c r="CQ86" t="e">
        <f>AND('GA55 Entry'!#REF!,"AAAAAHba+14=")</f>
        <v>#REF!</v>
      </c>
      <c r="CR86" t="e">
        <f>AND('GA55 Entry'!#REF!,"AAAAAHba+18=")</f>
        <v>#REF!</v>
      </c>
      <c r="CS86" t="e">
        <f>AND('GA55 Entry'!#REF!,"AAAAAHba+2A=")</f>
        <v>#REF!</v>
      </c>
      <c r="CT86" t="e">
        <f>AND('GA55 Entry'!#REF!,"AAAAAHba+2E=")</f>
        <v>#REF!</v>
      </c>
      <c r="CU86" t="e">
        <f>AND('GA55 Entry'!#REF!,"AAAAAHba+2I=")</f>
        <v>#REF!</v>
      </c>
      <c r="CV86" t="e">
        <f>AND('GA55 Entry'!Z199,"AAAAAHba+2M=")</f>
        <v>#VALUE!</v>
      </c>
      <c r="CW86" t="e">
        <f>AND('GA55 Entry'!AA199,"AAAAAHba+2Q=")</f>
        <v>#VALUE!</v>
      </c>
      <c r="CX86" t="e">
        <f>AND('GA55 Entry'!#REF!,"AAAAAHba+2U=")</f>
        <v>#REF!</v>
      </c>
      <c r="CY86" t="e">
        <f>AND('GA55 Entry'!#REF!,"AAAAAHba+2Y=")</f>
        <v>#REF!</v>
      </c>
      <c r="CZ86" t="e">
        <f>AND('GA55 Entry'!#REF!,"AAAAAHba+2c=")</f>
        <v>#REF!</v>
      </c>
      <c r="DA86" t="e">
        <f>AND('GA55 Entry'!AB199,"AAAAAHba+2g=")</f>
        <v>#VALUE!</v>
      </c>
      <c r="DB86" t="e">
        <f>AND('GA55 Entry'!AC199,"AAAAAHba+2k=")</f>
        <v>#VALUE!</v>
      </c>
      <c r="DC86" t="e">
        <f>AND('GA55 Entry'!#REF!,"AAAAAHba+2o=")</f>
        <v>#REF!</v>
      </c>
      <c r="DD86">
        <f>IF('GA55 Entry'!200:200,"AAAAAHba+2s=",0)</f>
        <v>0</v>
      </c>
      <c r="DE86" t="e">
        <f>AND('GA55 Entry'!B200,"AAAAAHba+2w=")</f>
        <v>#VALUE!</v>
      </c>
      <c r="DF86" t="e">
        <f>AND('GA55 Entry'!#REF!,"AAAAAHba+20=")</f>
        <v>#REF!</v>
      </c>
      <c r="DG86" t="e">
        <f>AND('GA55 Entry'!C200,"AAAAAHba+24=")</f>
        <v>#VALUE!</v>
      </c>
      <c r="DH86" t="e">
        <f>AND('GA55 Entry'!#REF!,"AAAAAHba+28=")</f>
        <v>#REF!</v>
      </c>
      <c r="DI86" t="e">
        <f>AND('GA55 Entry'!#REF!,"AAAAAHba+3A=")</f>
        <v>#REF!</v>
      </c>
      <c r="DJ86" t="e">
        <f>AND('GA55 Entry'!#REF!,"AAAAAHba+3E=")</f>
        <v>#REF!</v>
      </c>
      <c r="DK86" t="e">
        <f>AND('GA55 Entry'!#REF!,"AAAAAHba+3I=")</f>
        <v>#REF!</v>
      </c>
      <c r="DL86" t="e">
        <f>AND('GA55 Entry'!#REF!,"AAAAAHba+3M=")</f>
        <v>#REF!</v>
      </c>
      <c r="DM86" t="e">
        <f>AND('GA55 Entry'!D200,"AAAAAHba+3Q=")</f>
        <v>#VALUE!</v>
      </c>
      <c r="DN86" t="e">
        <f>AND('GA55 Entry'!#REF!,"AAAAAHba+3U=")</f>
        <v>#REF!</v>
      </c>
      <c r="DO86" t="e">
        <f>AND('GA55 Entry'!E200,"AAAAAHba+3Y=")</f>
        <v>#VALUE!</v>
      </c>
      <c r="DP86" t="e">
        <f>AND('GA55 Entry'!F200,"AAAAAHba+3c=")</f>
        <v>#VALUE!</v>
      </c>
      <c r="DQ86" t="e">
        <f>AND('GA55 Entry'!G200,"AAAAAHba+3g=")</f>
        <v>#VALUE!</v>
      </c>
      <c r="DR86" t="e">
        <f>AND('GA55 Entry'!H200,"AAAAAHba+3k=")</f>
        <v>#VALUE!</v>
      </c>
      <c r="DS86" t="e">
        <f>AND('GA55 Entry'!I200,"AAAAAHba+3o=")</f>
        <v>#VALUE!</v>
      </c>
      <c r="DT86" t="e">
        <f>AND('GA55 Entry'!J200,"AAAAAHba+3s=")</f>
        <v>#VALUE!</v>
      </c>
      <c r="DU86" t="e">
        <f>AND('GA55 Entry'!#REF!,"AAAAAHba+3w=")</f>
        <v>#REF!</v>
      </c>
      <c r="DV86" t="e">
        <f>AND('GA55 Entry'!K200,"AAAAAHba+30=")</f>
        <v>#VALUE!</v>
      </c>
      <c r="DW86" t="e">
        <f>AND('GA55 Entry'!L200,"AAAAAHba+34=")</f>
        <v>#VALUE!</v>
      </c>
      <c r="DX86" t="e">
        <f>AND('GA55 Entry'!M200,"AAAAAHba+38=")</f>
        <v>#VALUE!</v>
      </c>
      <c r="DY86" t="e">
        <f>AND('GA55 Entry'!N200,"AAAAAHba+4A=")</f>
        <v>#VALUE!</v>
      </c>
      <c r="DZ86" t="e">
        <f>AND('GA55 Entry'!O200,"AAAAAHba+4E=")</f>
        <v>#VALUE!</v>
      </c>
      <c r="EA86" t="e">
        <f>AND('GA55 Entry'!P200,"AAAAAHba+4I=")</f>
        <v>#VALUE!</v>
      </c>
      <c r="EB86" t="e">
        <f>AND('GA55 Entry'!Q200,"AAAAAHba+4M=")</f>
        <v>#VALUE!</v>
      </c>
      <c r="EC86" t="e">
        <f>AND('GA55 Entry'!S200,"AAAAAHba+4Q=")</f>
        <v>#VALUE!</v>
      </c>
      <c r="ED86" t="e">
        <f>AND('GA55 Entry'!#REF!,"AAAAAHba+4U=")</f>
        <v>#REF!</v>
      </c>
      <c r="EE86" t="e">
        <f>AND('GA55 Entry'!T200,"AAAAAHba+4Y=")</f>
        <v>#VALUE!</v>
      </c>
      <c r="EF86" t="e">
        <f>AND('GA55 Entry'!U200,"AAAAAHba+4c=")</f>
        <v>#VALUE!</v>
      </c>
      <c r="EG86" t="e">
        <f>AND('GA55 Entry'!V200,"AAAAAHba+4g=")</f>
        <v>#VALUE!</v>
      </c>
      <c r="EH86" t="e">
        <f>AND('GA55 Entry'!#REF!,"AAAAAHba+4k=")</f>
        <v>#REF!</v>
      </c>
      <c r="EI86" t="e">
        <f>AND('GA55 Entry'!#REF!,"AAAAAHba+4o=")</f>
        <v>#REF!</v>
      </c>
      <c r="EJ86" t="e">
        <f>AND('GA55 Entry'!X200,"AAAAAHba+4s=")</f>
        <v>#VALUE!</v>
      </c>
      <c r="EK86" t="e">
        <f>AND('GA55 Entry'!Y200,"AAAAAHba+4w=")</f>
        <v>#VALUE!</v>
      </c>
      <c r="EL86" t="e">
        <f>AND('GA55 Entry'!#REF!,"AAAAAHba+40=")</f>
        <v>#REF!</v>
      </c>
      <c r="EM86" t="e">
        <f>AND('GA55 Entry'!#REF!,"AAAAAHba+44=")</f>
        <v>#REF!</v>
      </c>
      <c r="EN86" t="e">
        <f>AND('GA55 Entry'!#REF!,"AAAAAHba+48=")</f>
        <v>#REF!</v>
      </c>
      <c r="EO86" t="e">
        <f>AND('GA55 Entry'!#REF!,"AAAAAHba+5A=")</f>
        <v>#REF!</v>
      </c>
      <c r="EP86" t="e">
        <f>AND('GA55 Entry'!#REF!,"AAAAAHba+5E=")</f>
        <v>#REF!</v>
      </c>
      <c r="EQ86" t="e">
        <f>AND('GA55 Entry'!#REF!,"AAAAAHba+5I=")</f>
        <v>#REF!</v>
      </c>
      <c r="ER86" t="e">
        <f>AND('GA55 Entry'!#REF!,"AAAAAHba+5M=")</f>
        <v>#REF!</v>
      </c>
      <c r="ES86" t="e">
        <f>AND('GA55 Entry'!#REF!,"AAAAAHba+5Q=")</f>
        <v>#REF!</v>
      </c>
      <c r="ET86" t="e">
        <f>AND('GA55 Entry'!#REF!,"AAAAAHba+5U=")</f>
        <v>#REF!</v>
      </c>
      <c r="EU86" t="e">
        <f>AND('GA55 Entry'!Z200,"AAAAAHba+5Y=")</f>
        <v>#VALUE!</v>
      </c>
      <c r="EV86" t="e">
        <f>AND('GA55 Entry'!AA200,"AAAAAHba+5c=")</f>
        <v>#VALUE!</v>
      </c>
      <c r="EW86" t="e">
        <f>AND('GA55 Entry'!#REF!,"AAAAAHba+5g=")</f>
        <v>#REF!</v>
      </c>
      <c r="EX86" t="e">
        <f>AND('GA55 Entry'!#REF!,"AAAAAHba+5k=")</f>
        <v>#REF!</v>
      </c>
      <c r="EY86" t="e">
        <f>AND('GA55 Entry'!#REF!,"AAAAAHba+5o=")</f>
        <v>#REF!</v>
      </c>
      <c r="EZ86" t="e">
        <f>AND('GA55 Entry'!AB200,"AAAAAHba+5s=")</f>
        <v>#VALUE!</v>
      </c>
      <c r="FA86" t="e">
        <f>AND('GA55 Entry'!AC200,"AAAAAHba+5w=")</f>
        <v>#VALUE!</v>
      </c>
      <c r="FB86" t="e">
        <f>AND('GA55 Entry'!#REF!,"AAAAAHba+50=")</f>
        <v>#REF!</v>
      </c>
      <c r="FC86">
        <f>IF('GA55 Entry'!201:201,"AAAAAHba+54=",0)</f>
        <v>0</v>
      </c>
      <c r="FD86" t="e">
        <f>AND('GA55 Entry'!B201,"AAAAAHba+58=")</f>
        <v>#VALUE!</v>
      </c>
      <c r="FE86" t="e">
        <f>AND('GA55 Entry'!#REF!,"AAAAAHba+6A=")</f>
        <v>#REF!</v>
      </c>
      <c r="FF86" t="e">
        <f>AND('GA55 Entry'!C201,"AAAAAHba+6E=")</f>
        <v>#VALUE!</v>
      </c>
      <c r="FG86" t="e">
        <f>AND('GA55 Entry'!#REF!,"AAAAAHba+6I=")</f>
        <v>#REF!</v>
      </c>
      <c r="FH86" t="e">
        <f>AND('GA55 Entry'!#REF!,"AAAAAHba+6M=")</f>
        <v>#REF!</v>
      </c>
      <c r="FI86" t="e">
        <f>AND('GA55 Entry'!#REF!,"AAAAAHba+6Q=")</f>
        <v>#REF!</v>
      </c>
      <c r="FJ86" t="e">
        <f>AND('GA55 Entry'!#REF!,"AAAAAHba+6U=")</f>
        <v>#REF!</v>
      </c>
      <c r="FK86" t="e">
        <f>AND('GA55 Entry'!#REF!,"AAAAAHba+6Y=")</f>
        <v>#REF!</v>
      </c>
      <c r="FL86" t="e">
        <f>AND('GA55 Entry'!D201,"AAAAAHba+6c=")</f>
        <v>#VALUE!</v>
      </c>
      <c r="FM86" t="e">
        <f>AND('GA55 Entry'!#REF!,"AAAAAHba+6g=")</f>
        <v>#REF!</v>
      </c>
      <c r="FN86" t="e">
        <f>AND('GA55 Entry'!E201,"AAAAAHba+6k=")</f>
        <v>#VALUE!</v>
      </c>
      <c r="FO86" t="e">
        <f>AND('GA55 Entry'!F201,"AAAAAHba+6o=")</f>
        <v>#VALUE!</v>
      </c>
      <c r="FP86" t="e">
        <f>AND('GA55 Entry'!G201,"AAAAAHba+6s=")</f>
        <v>#VALUE!</v>
      </c>
      <c r="FQ86" t="e">
        <f>AND('GA55 Entry'!H201,"AAAAAHba+6w=")</f>
        <v>#VALUE!</v>
      </c>
      <c r="FR86" t="e">
        <f>AND('GA55 Entry'!I201,"AAAAAHba+60=")</f>
        <v>#VALUE!</v>
      </c>
      <c r="FS86" t="e">
        <f>AND('GA55 Entry'!J201,"AAAAAHba+64=")</f>
        <v>#VALUE!</v>
      </c>
      <c r="FT86" t="e">
        <f>AND('GA55 Entry'!#REF!,"AAAAAHba+68=")</f>
        <v>#REF!</v>
      </c>
      <c r="FU86" t="e">
        <f>AND('GA55 Entry'!K201,"AAAAAHba+7A=")</f>
        <v>#VALUE!</v>
      </c>
      <c r="FV86" t="e">
        <f>AND('GA55 Entry'!L201,"AAAAAHba+7E=")</f>
        <v>#VALUE!</v>
      </c>
      <c r="FW86" t="e">
        <f>AND('GA55 Entry'!M201,"AAAAAHba+7I=")</f>
        <v>#VALUE!</v>
      </c>
      <c r="FX86" t="e">
        <f>AND('GA55 Entry'!N201,"AAAAAHba+7M=")</f>
        <v>#VALUE!</v>
      </c>
      <c r="FY86" t="e">
        <f>AND('GA55 Entry'!O201,"AAAAAHba+7Q=")</f>
        <v>#VALUE!</v>
      </c>
      <c r="FZ86" t="e">
        <f>AND('GA55 Entry'!P201,"AAAAAHba+7U=")</f>
        <v>#VALUE!</v>
      </c>
      <c r="GA86" t="e">
        <f>AND('GA55 Entry'!Q201,"AAAAAHba+7Y=")</f>
        <v>#VALUE!</v>
      </c>
      <c r="GB86" t="e">
        <f>AND('GA55 Entry'!S201,"AAAAAHba+7c=")</f>
        <v>#VALUE!</v>
      </c>
      <c r="GC86" t="e">
        <f>AND('GA55 Entry'!#REF!,"AAAAAHba+7g=")</f>
        <v>#REF!</v>
      </c>
      <c r="GD86" t="e">
        <f>AND('GA55 Entry'!T201,"AAAAAHba+7k=")</f>
        <v>#VALUE!</v>
      </c>
      <c r="GE86" t="e">
        <f>AND('GA55 Entry'!U201,"AAAAAHba+7o=")</f>
        <v>#VALUE!</v>
      </c>
      <c r="GF86" t="e">
        <f>AND('GA55 Entry'!V201,"AAAAAHba+7s=")</f>
        <v>#VALUE!</v>
      </c>
      <c r="GG86" t="e">
        <f>AND('GA55 Entry'!#REF!,"AAAAAHba+7w=")</f>
        <v>#REF!</v>
      </c>
      <c r="GH86" t="e">
        <f>AND('GA55 Entry'!#REF!,"AAAAAHba+70=")</f>
        <v>#REF!</v>
      </c>
      <c r="GI86" t="e">
        <f>AND('GA55 Entry'!X201,"AAAAAHba+74=")</f>
        <v>#VALUE!</v>
      </c>
      <c r="GJ86" t="e">
        <f>AND('GA55 Entry'!Y201,"AAAAAHba+78=")</f>
        <v>#VALUE!</v>
      </c>
      <c r="GK86" t="e">
        <f>AND('GA55 Entry'!#REF!,"AAAAAHba+8A=")</f>
        <v>#REF!</v>
      </c>
      <c r="GL86" t="e">
        <f>AND('GA55 Entry'!#REF!,"AAAAAHba+8E=")</f>
        <v>#REF!</v>
      </c>
      <c r="GM86" t="e">
        <f>AND('GA55 Entry'!#REF!,"AAAAAHba+8I=")</f>
        <v>#REF!</v>
      </c>
      <c r="GN86" t="e">
        <f>AND('GA55 Entry'!#REF!,"AAAAAHba+8M=")</f>
        <v>#REF!</v>
      </c>
      <c r="GO86" t="e">
        <f>AND('GA55 Entry'!#REF!,"AAAAAHba+8Q=")</f>
        <v>#REF!</v>
      </c>
      <c r="GP86" t="e">
        <f>AND('GA55 Entry'!#REF!,"AAAAAHba+8U=")</f>
        <v>#REF!</v>
      </c>
      <c r="GQ86" t="e">
        <f>AND('GA55 Entry'!#REF!,"AAAAAHba+8Y=")</f>
        <v>#REF!</v>
      </c>
      <c r="GR86" t="e">
        <f>AND('GA55 Entry'!#REF!,"AAAAAHba+8c=")</f>
        <v>#REF!</v>
      </c>
      <c r="GS86" t="e">
        <f>AND('GA55 Entry'!#REF!,"AAAAAHba+8g=")</f>
        <v>#REF!</v>
      </c>
      <c r="GT86" t="e">
        <f>AND('GA55 Entry'!Z201,"AAAAAHba+8k=")</f>
        <v>#VALUE!</v>
      </c>
      <c r="GU86" t="e">
        <f>AND('GA55 Entry'!AA201,"AAAAAHba+8o=")</f>
        <v>#VALUE!</v>
      </c>
      <c r="GV86" t="e">
        <f>AND('GA55 Entry'!#REF!,"AAAAAHba+8s=")</f>
        <v>#REF!</v>
      </c>
      <c r="GW86" t="e">
        <f>AND('GA55 Entry'!#REF!,"AAAAAHba+8w=")</f>
        <v>#REF!</v>
      </c>
      <c r="GX86" t="e">
        <f>AND('GA55 Entry'!#REF!,"AAAAAHba+80=")</f>
        <v>#REF!</v>
      </c>
      <c r="GY86" t="e">
        <f>AND('GA55 Entry'!AB201,"AAAAAHba+84=")</f>
        <v>#VALUE!</v>
      </c>
      <c r="GZ86" t="e">
        <f>AND('GA55 Entry'!AC201,"AAAAAHba+88=")</f>
        <v>#VALUE!</v>
      </c>
      <c r="HA86" t="e">
        <f>AND('GA55 Entry'!#REF!,"AAAAAHba+9A=")</f>
        <v>#REF!</v>
      </c>
      <c r="HB86">
        <f>IF('GA55 Entry'!202:202,"AAAAAHba+9E=",0)</f>
        <v>0</v>
      </c>
      <c r="HC86" t="e">
        <f>AND('GA55 Entry'!B202,"AAAAAHba+9I=")</f>
        <v>#VALUE!</v>
      </c>
      <c r="HD86" t="e">
        <f>AND('GA55 Entry'!#REF!,"AAAAAHba+9M=")</f>
        <v>#REF!</v>
      </c>
      <c r="HE86" t="e">
        <f>AND('GA55 Entry'!C202,"AAAAAHba+9Q=")</f>
        <v>#VALUE!</v>
      </c>
      <c r="HF86" t="e">
        <f>AND('GA55 Entry'!#REF!,"AAAAAHba+9U=")</f>
        <v>#REF!</v>
      </c>
      <c r="HG86" t="e">
        <f>AND('GA55 Entry'!#REF!,"AAAAAHba+9Y=")</f>
        <v>#REF!</v>
      </c>
      <c r="HH86" t="e">
        <f>AND('GA55 Entry'!#REF!,"AAAAAHba+9c=")</f>
        <v>#REF!</v>
      </c>
      <c r="HI86" t="e">
        <f>AND('GA55 Entry'!#REF!,"AAAAAHba+9g=")</f>
        <v>#REF!</v>
      </c>
      <c r="HJ86" t="e">
        <f>AND('GA55 Entry'!#REF!,"AAAAAHba+9k=")</f>
        <v>#REF!</v>
      </c>
      <c r="HK86" t="e">
        <f>AND('GA55 Entry'!D202,"AAAAAHba+9o=")</f>
        <v>#VALUE!</v>
      </c>
      <c r="HL86" t="e">
        <f>AND('GA55 Entry'!#REF!,"AAAAAHba+9s=")</f>
        <v>#REF!</v>
      </c>
      <c r="HM86" t="e">
        <f>AND('GA55 Entry'!E202,"AAAAAHba+9w=")</f>
        <v>#VALUE!</v>
      </c>
      <c r="HN86" t="e">
        <f>AND('GA55 Entry'!F202,"AAAAAHba+90=")</f>
        <v>#VALUE!</v>
      </c>
      <c r="HO86" t="e">
        <f>AND('GA55 Entry'!G202,"AAAAAHba+94=")</f>
        <v>#VALUE!</v>
      </c>
      <c r="HP86" t="e">
        <f>AND('GA55 Entry'!H202,"AAAAAHba+98=")</f>
        <v>#VALUE!</v>
      </c>
      <c r="HQ86" t="e">
        <f>AND('GA55 Entry'!I202,"AAAAAHba++A=")</f>
        <v>#VALUE!</v>
      </c>
      <c r="HR86" t="e">
        <f>AND('GA55 Entry'!J202,"AAAAAHba++E=")</f>
        <v>#VALUE!</v>
      </c>
      <c r="HS86" t="e">
        <f>AND('GA55 Entry'!#REF!,"AAAAAHba++I=")</f>
        <v>#REF!</v>
      </c>
      <c r="HT86" t="e">
        <f>AND('GA55 Entry'!K202,"AAAAAHba++M=")</f>
        <v>#VALUE!</v>
      </c>
      <c r="HU86" t="e">
        <f>AND('GA55 Entry'!L202,"AAAAAHba++Q=")</f>
        <v>#VALUE!</v>
      </c>
      <c r="HV86" t="e">
        <f>AND('GA55 Entry'!M202,"AAAAAHba++U=")</f>
        <v>#VALUE!</v>
      </c>
      <c r="HW86" t="e">
        <f>AND('GA55 Entry'!N202,"AAAAAHba++Y=")</f>
        <v>#VALUE!</v>
      </c>
      <c r="HX86" t="e">
        <f>AND('GA55 Entry'!O202,"AAAAAHba++c=")</f>
        <v>#VALUE!</v>
      </c>
      <c r="HY86" t="e">
        <f>AND('GA55 Entry'!P202,"AAAAAHba++g=")</f>
        <v>#VALUE!</v>
      </c>
      <c r="HZ86" t="e">
        <f>AND('GA55 Entry'!Q202,"AAAAAHba++k=")</f>
        <v>#VALUE!</v>
      </c>
      <c r="IA86" t="e">
        <f>AND('GA55 Entry'!S202,"AAAAAHba++o=")</f>
        <v>#VALUE!</v>
      </c>
      <c r="IB86" t="e">
        <f>AND('GA55 Entry'!#REF!,"AAAAAHba++s=")</f>
        <v>#REF!</v>
      </c>
      <c r="IC86" t="e">
        <f>AND('GA55 Entry'!T202,"AAAAAHba++w=")</f>
        <v>#VALUE!</v>
      </c>
      <c r="ID86" t="e">
        <f>AND('GA55 Entry'!U202,"AAAAAHba++0=")</f>
        <v>#VALUE!</v>
      </c>
      <c r="IE86" t="e">
        <f>AND('GA55 Entry'!V202,"AAAAAHba++4=")</f>
        <v>#VALUE!</v>
      </c>
      <c r="IF86" t="e">
        <f>AND('GA55 Entry'!#REF!,"AAAAAHba++8=")</f>
        <v>#REF!</v>
      </c>
      <c r="IG86" t="e">
        <f>AND('GA55 Entry'!#REF!,"AAAAAHba+/A=")</f>
        <v>#REF!</v>
      </c>
      <c r="IH86" t="e">
        <f>AND('GA55 Entry'!X202,"AAAAAHba+/E=")</f>
        <v>#VALUE!</v>
      </c>
      <c r="II86" t="e">
        <f>AND('GA55 Entry'!Y202,"AAAAAHba+/I=")</f>
        <v>#VALUE!</v>
      </c>
      <c r="IJ86" t="e">
        <f>AND('GA55 Entry'!#REF!,"AAAAAHba+/M=")</f>
        <v>#REF!</v>
      </c>
      <c r="IK86" t="e">
        <f>AND('GA55 Entry'!#REF!,"AAAAAHba+/Q=")</f>
        <v>#REF!</v>
      </c>
      <c r="IL86" t="e">
        <f>AND('GA55 Entry'!#REF!,"AAAAAHba+/U=")</f>
        <v>#REF!</v>
      </c>
      <c r="IM86" t="e">
        <f>AND('GA55 Entry'!#REF!,"AAAAAHba+/Y=")</f>
        <v>#REF!</v>
      </c>
      <c r="IN86" t="e">
        <f>AND('GA55 Entry'!#REF!,"AAAAAHba+/c=")</f>
        <v>#REF!</v>
      </c>
      <c r="IO86" t="e">
        <f>AND('GA55 Entry'!#REF!,"AAAAAHba+/g=")</f>
        <v>#REF!</v>
      </c>
      <c r="IP86" t="e">
        <f>AND('GA55 Entry'!#REF!,"AAAAAHba+/k=")</f>
        <v>#REF!</v>
      </c>
      <c r="IQ86" t="e">
        <f>AND('GA55 Entry'!#REF!,"AAAAAHba+/o=")</f>
        <v>#REF!</v>
      </c>
      <c r="IR86" t="e">
        <f>AND('GA55 Entry'!#REF!,"AAAAAHba+/s=")</f>
        <v>#REF!</v>
      </c>
      <c r="IS86" t="e">
        <f>AND('GA55 Entry'!Z202,"AAAAAHba+/w=")</f>
        <v>#VALUE!</v>
      </c>
      <c r="IT86" t="e">
        <f>AND('GA55 Entry'!AA202,"AAAAAHba+/0=")</f>
        <v>#VALUE!</v>
      </c>
      <c r="IU86" t="e">
        <f>AND('GA55 Entry'!#REF!,"AAAAAHba+/4=")</f>
        <v>#REF!</v>
      </c>
      <c r="IV86" t="e">
        <f>AND('GA55 Entry'!#REF!,"AAAAAHba+/8=")</f>
        <v>#REF!</v>
      </c>
    </row>
    <row r="87" spans="1:256">
      <c r="A87" t="e">
        <f>AND('GA55 Entry'!#REF!,"AAAAAH/9/gA=")</f>
        <v>#REF!</v>
      </c>
      <c r="B87" t="e">
        <f>AND('GA55 Entry'!AB202,"AAAAAH/9/gE=")</f>
        <v>#VALUE!</v>
      </c>
      <c r="C87" t="e">
        <f>AND('GA55 Entry'!AC202,"AAAAAH/9/gI=")</f>
        <v>#VALUE!</v>
      </c>
      <c r="D87" t="e">
        <f>AND('GA55 Entry'!#REF!,"AAAAAH/9/gM=")</f>
        <v>#REF!</v>
      </c>
      <c r="E87">
        <f>IF('GA55 Entry'!203:203,"AAAAAH/9/gQ=",0)</f>
        <v>0</v>
      </c>
      <c r="F87" t="e">
        <f>AND('GA55 Entry'!B203,"AAAAAH/9/gU=")</f>
        <v>#VALUE!</v>
      </c>
      <c r="G87" t="e">
        <f>AND('GA55 Entry'!#REF!,"AAAAAH/9/gY=")</f>
        <v>#REF!</v>
      </c>
      <c r="H87" t="e">
        <f>AND('GA55 Entry'!C203,"AAAAAH/9/gc=")</f>
        <v>#VALUE!</v>
      </c>
      <c r="I87" t="e">
        <f>AND('GA55 Entry'!#REF!,"AAAAAH/9/gg=")</f>
        <v>#REF!</v>
      </c>
      <c r="J87" t="e">
        <f>AND('GA55 Entry'!#REF!,"AAAAAH/9/gk=")</f>
        <v>#REF!</v>
      </c>
      <c r="K87" t="e">
        <f>AND('GA55 Entry'!#REF!,"AAAAAH/9/go=")</f>
        <v>#REF!</v>
      </c>
      <c r="L87" t="e">
        <f>AND('GA55 Entry'!#REF!,"AAAAAH/9/gs=")</f>
        <v>#REF!</v>
      </c>
      <c r="M87" t="e">
        <f>AND('GA55 Entry'!#REF!,"AAAAAH/9/gw=")</f>
        <v>#REF!</v>
      </c>
      <c r="N87" t="e">
        <f>AND('GA55 Entry'!D203,"AAAAAH/9/g0=")</f>
        <v>#VALUE!</v>
      </c>
      <c r="O87" t="e">
        <f>AND('GA55 Entry'!#REF!,"AAAAAH/9/g4=")</f>
        <v>#REF!</v>
      </c>
      <c r="P87" t="e">
        <f>AND('GA55 Entry'!E203,"AAAAAH/9/g8=")</f>
        <v>#VALUE!</v>
      </c>
      <c r="Q87" t="e">
        <f>AND('GA55 Entry'!F203,"AAAAAH/9/hA=")</f>
        <v>#VALUE!</v>
      </c>
      <c r="R87" t="e">
        <f>AND('GA55 Entry'!G203,"AAAAAH/9/hE=")</f>
        <v>#VALUE!</v>
      </c>
      <c r="S87" t="e">
        <f>AND('GA55 Entry'!H203,"AAAAAH/9/hI=")</f>
        <v>#VALUE!</v>
      </c>
      <c r="T87" t="e">
        <f>AND('GA55 Entry'!I203,"AAAAAH/9/hM=")</f>
        <v>#VALUE!</v>
      </c>
      <c r="U87" t="e">
        <f>AND('GA55 Entry'!J203,"AAAAAH/9/hQ=")</f>
        <v>#VALUE!</v>
      </c>
      <c r="V87" t="e">
        <f>AND('GA55 Entry'!#REF!,"AAAAAH/9/hU=")</f>
        <v>#REF!</v>
      </c>
      <c r="W87" t="e">
        <f>AND('GA55 Entry'!K203,"AAAAAH/9/hY=")</f>
        <v>#VALUE!</v>
      </c>
      <c r="X87" t="e">
        <f>AND('GA55 Entry'!L203,"AAAAAH/9/hc=")</f>
        <v>#VALUE!</v>
      </c>
      <c r="Y87" t="e">
        <f>AND('GA55 Entry'!M203,"AAAAAH/9/hg=")</f>
        <v>#VALUE!</v>
      </c>
      <c r="Z87" t="e">
        <f>AND('GA55 Entry'!N203,"AAAAAH/9/hk=")</f>
        <v>#VALUE!</v>
      </c>
      <c r="AA87" t="e">
        <f>AND('GA55 Entry'!O203,"AAAAAH/9/ho=")</f>
        <v>#VALUE!</v>
      </c>
      <c r="AB87" t="e">
        <f>AND('GA55 Entry'!P203,"AAAAAH/9/hs=")</f>
        <v>#VALUE!</v>
      </c>
      <c r="AC87" t="e">
        <f>AND('GA55 Entry'!Q203,"AAAAAH/9/hw=")</f>
        <v>#VALUE!</v>
      </c>
      <c r="AD87" t="e">
        <f>AND('GA55 Entry'!S203,"AAAAAH/9/h0=")</f>
        <v>#VALUE!</v>
      </c>
      <c r="AE87" t="e">
        <f>AND('GA55 Entry'!#REF!,"AAAAAH/9/h4=")</f>
        <v>#REF!</v>
      </c>
      <c r="AF87" t="e">
        <f>AND('GA55 Entry'!T203,"AAAAAH/9/h8=")</f>
        <v>#VALUE!</v>
      </c>
      <c r="AG87" t="e">
        <f>AND('GA55 Entry'!U203,"AAAAAH/9/iA=")</f>
        <v>#VALUE!</v>
      </c>
      <c r="AH87" t="e">
        <f>AND('GA55 Entry'!V203,"AAAAAH/9/iE=")</f>
        <v>#VALUE!</v>
      </c>
      <c r="AI87" t="e">
        <f>AND('GA55 Entry'!#REF!,"AAAAAH/9/iI=")</f>
        <v>#REF!</v>
      </c>
      <c r="AJ87" t="e">
        <f>AND('GA55 Entry'!#REF!,"AAAAAH/9/iM=")</f>
        <v>#REF!</v>
      </c>
      <c r="AK87" t="e">
        <f>AND('GA55 Entry'!X203,"AAAAAH/9/iQ=")</f>
        <v>#VALUE!</v>
      </c>
      <c r="AL87" t="e">
        <f>AND('GA55 Entry'!Y203,"AAAAAH/9/iU=")</f>
        <v>#VALUE!</v>
      </c>
      <c r="AM87" t="e">
        <f>AND('GA55 Entry'!#REF!,"AAAAAH/9/iY=")</f>
        <v>#REF!</v>
      </c>
      <c r="AN87" t="e">
        <f>AND('GA55 Entry'!#REF!,"AAAAAH/9/ic=")</f>
        <v>#REF!</v>
      </c>
      <c r="AO87" t="e">
        <f>AND('GA55 Entry'!#REF!,"AAAAAH/9/ig=")</f>
        <v>#REF!</v>
      </c>
      <c r="AP87" t="e">
        <f>AND('GA55 Entry'!#REF!,"AAAAAH/9/ik=")</f>
        <v>#REF!</v>
      </c>
      <c r="AQ87" t="e">
        <f>AND('GA55 Entry'!#REF!,"AAAAAH/9/io=")</f>
        <v>#REF!</v>
      </c>
      <c r="AR87" t="e">
        <f>AND('GA55 Entry'!#REF!,"AAAAAH/9/is=")</f>
        <v>#REF!</v>
      </c>
      <c r="AS87" t="e">
        <f>AND('GA55 Entry'!#REF!,"AAAAAH/9/iw=")</f>
        <v>#REF!</v>
      </c>
      <c r="AT87" t="e">
        <f>AND('GA55 Entry'!#REF!,"AAAAAH/9/i0=")</f>
        <v>#REF!</v>
      </c>
      <c r="AU87" t="e">
        <f>AND('GA55 Entry'!#REF!,"AAAAAH/9/i4=")</f>
        <v>#REF!</v>
      </c>
      <c r="AV87" t="e">
        <f>AND('GA55 Entry'!Z203,"AAAAAH/9/i8=")</f>
        <v>#VALUE!</v>
      </c>
      <c r="AW87" t="e">
        <f>AND('GA55 Entry'!AA203,"AAAAAH/9/jA=")</f>
        <v>#VALUE!</v>
      </c>
      <c r="AX87" t="e">
        <f>AND('GA55 Entry'!#REF!,"AAAAAH/9/jE=")</f>
        <v>#REF!</v>
      </c>
      <c r="AY87" t="e">
        <f>AND('GA55 Entry'!#REF!,"AAAAAH/9/jI=")</f>
        <v>#REF!</v>
      </c>
      <c r="AZ87" t="e">
        <f>AND('GA55 Entry'!#REF!,"AAAAAH/9/jM=")</f>
        <v>#REF!</v>
      </c>
      <c r="BA87" t="e">
        <f>AND('GA55 Entry'!AB203,"AAAAAH/9/jQ=")</f>
        <v>#VALUE!</v>
      </c>
      <c r="BB87" t="e">
        <f>AND('GA55 Entry'!AC203,"AAAAAH/9/jU=")</f>
        <v>#VALUE!</v>
      </c>
      <c r="BC87" t="e">
        <f>AND('GA55 Entry'!#REF!,"AAAAAH/9/jY=")</f>
        <v>#REF!</v>
      </c>
      <c r="BD87">
        <f>IF('GA55 Entry'!204:204,"AAAAAH/9/jc=",0)</f>
        <v>0</v>
      </c>
      <c r="BE87" t="e">
        <f>AND('GA55 Entry'!B204,"AAAAAH/9/jg=")</f>
        <v>#VALUE!</v>
      </c>
      <c r="BF87" t="e">
        <f>AND('GA55 Entry'!#REF!,"AAAAAH/9/jk=")</f>
        <v>#REF!</v>
      </c>
      <c r="BG87" t="e">
        <f>AND('GA55 Entry'!C204,"AAAAAH/9/jo=")</f>
        <v>#VALUE!</v>
      </c>
      <c r="BH87" t="e">
        <f>AND('GA55 Entry'!#REF!,"AAAAAH/9/js=")</f>
        <v>#REF!</v>
      </c>
      <c r="BI87" t="e">
        <f>AND('GA55 Entry'!#REF!,"AAAAAH/9/jw=")</f>
        <v>#REF!</v>
      </c>
      <c r="BJ87" t="e">
        <f>AND('GA55 Entry'!#REF!,"AAAAAH/9/j0=")</f>
        <v>#REF!</v>
      </c>
      <c r="BK87" t="e">
        <f>AND('GA55 Entry'!#REF!,"AAAAAH/9/j4=")</f>
        <v>#REF!</v>
      </c>
      <c r="BL87" t="e">
        <f>AND('GA55 Entry'!#REF!,"AAAAAH/9/j8=")</f>
        <v>#REF!</v>
      </c>
      <c r="BM87" t="e">
        <f>AND('GA55 Entry'!D204,"AAAAAH/9/kA=")</f>
        <v>#VALUE!</v>
      </c>
      <c r="BN87" t="e">
        <f>AND('GA55 Entry'!#REF!,"AAAAAH/9/kE=")</f>
        <v>#REF!</v>
      </c>
      <c r="BO87" t="e">
        <f>AND('GA55 Entry'!E204,"AAAAAH/9/kI=")</f>
        <v>#VALUE!</v>
      </c>
      <c r="BP87" t="e">
        <f>AND('GA55 Entry'!F204,"AAAAAH/9/kM=")</f>
        <v>#VALUE!</v>
      </c>
      <c r="BQ87" t="e">
        <f>AND('GA55 Entry'!G204,"AAAAAH/9/kQ=")</f>
        <v>#VALUE!</v>
      </c>
      <c r="BR87" t="e">
        <f>AND('GA55 Entry'!H204,"AAAAAH/9/kU=")</f>
        <v>#VALUE!</v>
      </c>
      <c r="BS87" t="e">
        <f>AND('GA55 Entry'!I204,"AAAAAH/9/kY=")</f>
        <v>#VALUE!</v>
      </c>
      <c r="BT87" t="e">
        <f>AND('GA55 Entry'!J204,"AAAAAH/9/kc=")</f>
        <v>#VALUE!</v>
      </c>
      <c r="BU87" t="e">
        <f>AND('GA55 Entry'!#REF!,"AAAAAH/9/kg=")</f>
        <v>#REF!</v>
      </c>
      <c r="BV87" t="e">
        <f>AND('GA55 Entry'!K204,"AAAAAH/9/kk=")</f>
        <v>#VALUE!</v>
      </c>
      <c r="BW87" t="e">
        <f>AND('GA55 Entry'!L204,"AAAAAH/9/ko=")</f>
        <v>#VALUE!</v>
      </c>
      <c r="BX87" t="e">
        <f>AND('GA55 Entry'!M204,"AAAAAH/9/ks=")</f>
        <v>#VALUE!</v>
      </c>
      <c r="BY87" t="e">
        <f>AND('GA55 Entry'!N204,"AAAAAH/9/kw=")</f>
        <v>#VALUE!</v>
      </c>
      <c r="BZ87" t="e">
        <f>AND('GA55 Entry'!O204,"AAAAAH/9/k0=")</f>
        <v>#VALUE!</v>
      </c>
      <c r="CA87" t="e">
        <f>AND('GA55 Entry'!P204,"AAAAAH/9/k4=")</f>
        <v>#VALUE!</v>
      </c>
      <c r="CB87" t="e">
        <f>AND('GA55 Entry'!Q204,"AAAAAH/9/k8=")</f>
        <v>#VALUE!</v>
      </c>
      <c r="CC87" t="e">
        <f>AND('GA55 Entry'!S204,"AAAAAH/9/lA=")</f>
        <v>#VALUE!</v>
      </c>
      <c r="CD87" t="e">
        <f>AND('GA55 Entry'!#REF!,"AAAAAH/9/lE=")</f>
        <v>#REF!</v>
      </c>
      <c r="CE87" t="e">
        <f>AND('GA55 Entry'!T204,"AAAAAH/9/lI=")</f>
        <v>#VALUE!</v>
      </c>
      <c r="CF87" t="e">
        <f>AND('GA55 Entry'!U204,"AAAAAH/9/lM=")</f>
        <v>#VALUE!</v>
      </c>
      <c r="CG87" t="e">
        <f>AND('GA55 Entry'!V204,"AAAAAH/9/lQ=")</f>
        <v>#VALUE!</v>
      </c>
      <c r="CH87" t="e">
        <f>AND('GA55 Entry'!#REF!,"AAAAAH/9/lU=")</f>
        <v>#REF!</v>
      </c>
      <c r="CI87" t="e">
        <f>AND('GA55 Entry'!#REF!,"AAAAAH/9/lY=")</f>
        <v>#REF!</v>
      </c>
      <c r="CJ87" t="e">
        <f>AND('GA55 Entry'!X204,"AAAAAH/9/lc=")</f>
        <v>#VALUE!</v>
      </c>
      <c r="CK87" t="e">
        <f>AND('GA55 Entry'!Y204,"AAAAAH/9/lg=")</f>
        <v>#VALUE!</v>
      </c>
      <c r="CL87" t="e">
        <f>AND('GA55 Entry'!#REF!,"AAAAAH/9/lk=")</f>
        <v>#REF!</v>
      </c>
      <c r="CM87" t="e">
        <f>AND('GA55 Entry'!#REF!,"AAAAAH/9/lo=")</f>
        <v>#REF!</v>
      </c>
      <c r="CN87" t="e">
        <f>AND('GA55 Entry'!#REF!,"AAAAAH/9/ls=")</f>
        <v>#REF!</v>
      </c>
      <c r="CO87" t="e">
        <f>AND('GA55 Entry'!#REF!,"AAAAAH/9/lw=")</f>
        <v>#REF!</v>
      </c>
      <c r="CP87" t="e">
        <f>AND('GA55 Entry'!#REF!,"AAAAAH/9/l0=")</f>
        <v>#REF!</v>
      </c>
      <c r="CQ87" t="e">
        <f>AND('GA55 Entry'!#REF!,"AAAAAH/9/l4=")</f>
        <v>#REF!</v>
      </c>
      <c r="CR87" t="e">
        <f>AND('GA55 Entry'!#REF!,"AAAAAH/9/l8=")</f>
        <v>#REF!</v>
      </c>
      <c r="CS87" t="e">
        <f>AND('GA55 Entry'!#REF!,"AAAAAH/9/mA=")</f>
        <v>#REF!</v>
      </c>
      <c r="CT87" t="e">
        <f>AND('GA55 Entry'!#REF!,"AAAAAH/9/mE=")</f>
        <v>#REF!</v>
      </c>
      <c r="CU87" t="e">
        <f>AND('GA55 Entry'!Z204,"AAAAAH/9/mI=")</f>
        <v>#VALUE!</v>
      </c>
      <c r="CV87" t="e">
        <f>AND('GA55 Entry'!AA204,"AAAAAH/9/mM=")</f>
        <v>#VALUE!</v>
      </c>
      <c r="CW87" t="e">
        <f>AND('GA55 Entry'!#REF!,"AAAAAH/9/mQ=")</f>
        <v>#REF!</v>
      </c>
      <c r="CX87" t="e">
        <f>AND('GA55 Entry'!#REF!,"AAAAAH/9/mU=")</f>
        <v>#REF!</v>
      </c>
      <c r="CY87" t="e">
        <f>AND('GA55 Entry'!#REF!,"AAAAAH/9/mY=")</f>
        <v>#REF!</v>
      </c>
      <c r="CZ87" t="e">
        <f>AND('GA55 Entry'!AB204,"AAAAAH/9/mc=")</f>
        <v>#VALUE!</v>
      </c>
      <c r="DA87" t="e">
        <f>AND('GA55 Entry'!AC204,"AAAAAH/9/mg=")</f>
        <v>#VALUE!</v>
      </c>
      <c r="DB87" t="e">
        <f>AND('GA55 Entry'!#REF!,"AAAAAH/9/mk=")</f>
        <v>#REF!</v>
      </c>
      <c r="DC87">
        <f>IF('GA55 Entry'!205:205,"AAAAAH/9/mo=",0)</f>
        <v>0</v>
      </c>
      <c r="DD87" t="e">
        <f>AND('GA55 Entry'!B205,"AAAAAH/9/ms=")</f>
        <v>#VALUE!</v>
      </c>
      <c r="DE87" t="e">
        <f>AND('GA55 Entry'!#REF!,"AAAAAH/9/mw=")</f>
        <v>#REF!</v>
      </c>
      <c r="DF87" t="e">
        <f>AND('GA55 Entry'!C205,"AAAAAH/9/m0=")</f>
        <v>#VALUE!</v>
      </c>
      <c r="DG87" t="e">
        <f>AND('GA55 Entry'!#REF!,"AAAAAH/9/m4=")</f>
        <v>#REF!</v>
      </c>
      <c r="DH87" t="e">
        <f>AND('GA55 Entry'!#REF!,"AAAAAH/9/m8=")</f>
        <v>#REF!</v>
      </c>
      <c r="DI87" t="e">
        <f>AND('GA55 Entry'!#REF!,"AAAAAH/9/nA=")</f>
        <v>#REF!</v>
      </c>
      <c r="DJ87" t="e">
        <f>AND('GA55 Entry'!#REF!,"AAAAAH/9/nE=")</f>
        <v>#REF!</v>
      </c>
      <c r="DK87" t="e">
        <f>AND('GA55 Entry'!#REF!,"AAAAAH/9/nI=")</f>
        <v>#REF!</v>
      </c>
      <c r="DL87" t="e">
        <f>AND('GA55 Entry'!D205,"AAAAAH/9/nM=")</f>
        <v>#VALUE!</v>
      </c>
      <c r="DM87" t="e">
        <f>AND('GA55 Entry'!#REF!,"AAAAAH/9/nQ=")</f>
        <v>#REF!</v>
      </c>
      <c r="DN87" t="e">
        <f>AND('GA55 Entry'!E205,"AAAAAH/9/nU=")</f>
        <v>#VALUE!</v>
      </c>
      <c r="DO87" t="e">
        <f>AND('GA55 Entry'!F205,"AAAAAH/9/nY=")</f>
        <v>#VALUE!</v>
      </c>
      <c r="DP87" t="e">
        <f>AND('GA55 Entry'!G205,"AAAAAH/9/nc=")</f>
        <v>#VALUE!</v>
      </c>
      <c r="DQ87" t="e">
        <f>AND('GA55 Entry'!H205,"AAAAAH/9/ng=")</f>
        <v>#VALUE!</v>
      </c>
      <c r="DR87" t="e">
        <f>AND('GA55 Entry'!I205,"AAAAAH/9/nk=")</f>
        <v>#VALUE!</v>
      </c>
      <c r="DS87" t="e">
        <f>AND('GA55 Entry'!J205,"AAAAAH/9/no=")</f>
        <v>#VALUE!</v>
      </c>
      <c r="DT87" t="e">
        <f>AND('GA55 Entry'!#REF!,"AAAAAH/9/ns=")</f>
        <v>#REF!</v>
      </c>
      <c r="DU87" t="e">
        <f>AND('GA55 Entry'!K205,"AAAAAH/9/nw=")</f>
        <v>#VALUE!</v>
      </c>
      <c r="DV87" t="e">
        <f>AND('GA55 Entry'!L205,"AAAAAH/9/n0=")</f>
        <v>#VALUE!</v>
      </c>
      <c r="DW87" t="e">
        <f>AND('GA55 Entry'!M205,"AAAAAH/9/n4=")</f>
        <v>#VALUE!</v>
      </c>
      <c r="DX87" t="e">
        <f>AND('GA55 Entry'!N205,"AAAAAH/9/n8=")</f>
        <v>#VALUE!</v>
      </c>
      <c r="DY87" t="e">
        <f>AND('GA55 Entry'!O205,"AAAAAH/9/oA=")</f>
        <v>#VALUE!</v>
      </c>
      <c r="DZ87" t="e">
        <f>AND('GA55 Entry'!P205,"AAAAAH/9/oE=")</f>
        <v>#VALUE!</v>
      </c>
      <c r="EA87" t="e">
        <f>AND('GA55 Entry'!Q205,"AAAAAH/9/oI=")</f>
        <v>#VALUE!</v>
      </c>
      <c r="EB87" t="e">
        <f>AND('GA55 Entry'!S205,"AAAAAH/9/oM=")</f>
        <v>#VALUE!</v>
      </c>
      <c r="EC87" t="e">
        <f>AND('GA55 Entry'!#REF!,"AAAAAH/9/oQ=")</f>
        <v>#REF!</v>
      </c>
      <c r="ED87" t="e">
        <f>AND('GA55 Entry'!T205,"AAAAAH/9/oU=")</f>
        <v>#VALUE!</v>
      </c>
      <c r="EE87" t="e">
        <f>AND('GA55 Entry'!U205,"AAAAAH/9/oY=")</f>
        <v>#VALUE!</v>
      </c>
      <c r="EF87" t="e">
        <f>AND('GA55 Entry'!V205,"AAAAAH/9/oc=")</f>
        <v>#VALUE!</v>
      </c>
      <c r="EG87" t="e">
        <f>AND('GA55 Entry'!#REF!,"AAAAAH/9/og=")</f>
        <v>#REF!</v>
      </c>
      <c r="EH87" t="e">
        <f>AND('GA55 Entry'!#REF!,"AAAAAH/9/ok=")</f>
        <v>#REF!</v>
      </c>
      <c r="EI87" t="e">
        <f>AND('GA55 Entry'!X205,"AAAAAH/9/oo=")</f>
        <v>#VALUE!</v>
      </c>
      <c r="EJ87" t="e">
        <f>AND('GA55 Entry'!Y205,"AAAAAH/9/os=")</f>
        <v>#VALUE!</v>
      </c>
      <c r="EK87" t="e">
        <f>AND('GA55 Entry'!#REF!,"AAAAAH/9/ow=")</f>
        <v>#REF!</v>
      </c>
      <c r="EL87" t="e">
        <f>AND('GA55 Entry'!#REF!,"AAAAAH/9/o0=")</f>
        <v>#REF!</v>
      </c>
      <c r="EM87" t="e">
        <f>AND('GA55 Entry'!#REF!,"AAAAAH/9/o4=")</f>
        <v>#REF!</v>
      </c>
      <c r="EN87" t="e">
        <f>AND('GA55 Entry'!#REF!,"AAAAAH/9/o8=")</f>
        <v>#REF!</v>
      </c>
      <c r="EO87" t="e">
        <f>AND('GA55 Entry'!#REF!,"AAAAAH/9/pA=")</f>
        <v>#REF!</v>
      </c>
      <c r="EP87" t="e">
        <f>AND('GA55 Entry'!#REF!,"AAAAAH/9/pE=")</f>
        <v>#REF!</v>
      </c>
      <c r="EQ87" t="e">
        <f>AND('GA55 Entry'!#REF!,"AAAAAH/9/pI=")</f>
        <v>#REF!</v>
      </c>
      <c r="ER87" t="e">
        <f>AND('GA55 Entry'!#REF!,"AAAAAH/9/pM=")</f>
        <v>#REF!</v>
      </c>
      <c r="ES87" t="e">
        <f>AND('GA55 Entry'!#REF!,"AAAAAH/9/pQ=")</f>
        <v>#REF!</v>
      </c>
      <c r="ET87" t="e">
        <f>AND('GA55 Entry'!Z205,"AAAAAH/9/pU=")</f>
        <v>#VALUE!</v>
      </c>
      <c r="EU87" t="e">
        <f>AND('GA55 Entry'!AA205,"AAAAAH/9/pY=")</f>
        <v>#VALUE!</v>
      </c>
      <c r="EV87" t="e">
        <f>AND('GA55 Entry'!#REF!,"AAAAAH/9/pc=")</f>
        <v>#REF!</v>
      </c>
      <c r="EW87" t="e">
        <f>AND('GA55 Entry'!#REF!,"AAAAAH/9/pg=")</f>
        <v>#REF!</v>
      </c>
      <c r="EX87" t="e">
        <f>AND('GA55 Entry'!#REF!,"AAAAAH/9/pk=")</f>
        <v>#REF!</v>
      </c>
      <c r="EY87" t="e">
        <f>AND('GA55 Entry'!AB205,"AAAAAH/9/po=")</f>
        <v>#VALUE!</v>
      </c>
      <c r="EZ87" t="e">
        <f>AND('GA55 Entry'!AC205,"AAAAAH/9/ps=")</f>
        <v>#VALUE!</v>
      </c>
      <c r="FA87" t="e">
        <f>AND('GA55 Entry'!#REF!,"AAAAAH/9/pw=")</f>
        <v>#REF!</v>
      </c>
      <c r="FB87">
        <f>IF('GA55 Entry'!206:206,"AAAAAH/9/p0=",0)</f>
        <v>0</v>
      </c>
      <c r="FC87" t="e">
        <f>AND('GA55 Entry'!B206,"AAAAAH/9/p4=")</f>
        <v>#VALUE!</v>
      </c>
      <c r="FD87" t="e">
        <f>AND('GA55 Entry'!#REF!,"AAAAAH/9/p8=")</f>
        <v>#REF!</v>
      </c>
      <c r="FE87" t="e">
        <f>AND('GA55 Entry'!C206,"AAAAAH/9/qA=")</f>
        <v>#VALUE!</v>
      </c>
      <c r="FF87" t="e">
        <f>AND('GA55 Entry'!#REF!,"AAAAAH/9/qE=")</f>
        <v>#REF!</v>
      </c>
      <c r="FG87" t="e">
        <f>AND('GA55 Entry'!#REF!,"AAAAAH/9/qI=")</f>
        <v>#REF!</v>
      </c>
      <c r="FH87" t="e">
        <f>AND('GA55 Entry'!#REF!,"AAAAAH/9/qM=")</f>
        <v>#REF!</v>
      </c>
      <c r="FI87" t="e">
        <f>AND('GA55 Entry'!#REF!,"AAAAAH/9/qQ=")</f>
        <v>#REF!</v>
      </c>
      <c r="FJ87" t="e">
        <f>AND('GA55 Entry'!#REF!,"AAAAAH/9/qU=")</f>
        <v>#REF!</v>
      </c>
      <c r="FK87" t="e">
        <f>AND('GA55 Entry'!D206,"AAAAAH/9/qY=")</f>
        <v>#VALUE!</v>
      </c>
      <c r="FL87" t="e">
        <f>AND('GA55 Entry'!#REF!,"AAAAAH/9/qc=")</f>
        <v>#REF!</v>
      </c>
      <c r="FM87" t="e">
        <f>AND('GA55 Entry'!E206,"AAAAAH/9/qg=")</f>
        <v>#VALUE!</v>
      </c>
      <c r="FN87" t="e">
        <f>AND('GA55 Entry'!F206,"AAAAAH/9/qk=")</f>
        <v>#VALUE!</v>
      </c>
      <c r="FO87" t="e">
        <f>AND('GA55 Entry'!G206,"AAAAAH/9/qo=")</f>
        <v>#VALUE!</v>
      </c>
      <c r="FP87" t="e">
        <f>AND('GA55 Entry'!H206,"AAAAAH/9/qs=")</f>
        <v>#VALUE!</v>
      </c>
      <c r="FQ87" t="e">
        <f>AND('GA55 Entry'!I206,"AAAAAH/9/qw=")</f>
        <v>#VALUE!</v>
      </c>
      <c r="FR87" t="e">
        <f>AND('GA55 Entry'!J206,"AAAAAH/9/q0=")</f>
        <v>#VALUE!</v>
      </c>
      <c r="FS87" t="e">
        <f>AND('GA55 Entry'!#REF!,"AAAAAH/9/q4=")</f>
        <v>#REF!</v>
      </c>
      <c r="FT87" t="e">
        <f>AND('GA55 Entry'!K206,"AAAAAH/9/q8=")</f>
        <v>#VALUE!</v>
      </c>
      <c r="FU87" t="e">
        <f>AND('GA55 Entry'!L206,"AAAAAH/9/rA=")</f>
        <v>#VALUE!</v>
      </c>
      <c r="FV87" t="e">
        <f>AND('GA55 Entry'!M206,"AAAAAH/9/rE=")</f>
        <v>#VALUE!</v>
      </c>
      <c r="FW87" t="e">
        <f>AND('GA55 Entry'!N206,"AAAAAH/9/rI=")</f>
        <v>#VALUE!</v>
      </c>
      <c r="FX87" t="e">
        <f>AND('GA55 Entry'!O206,"AAAAAH/9/rM=")</f>
        <v>#VALUE!</v>
      </c>
      <c r="FY87" t="e">
        <f>AND('GA55 Entry'!P206,"AAAAAH/9/rQ=")</f>
        <v>#VALUE!</v>
      </c>
      <c r="FZ87" t="e">
        <f>AND('GA55 Entry'!Q206,"AAAAAH/9/rU=")</f>
        <v>#VALUE!</v>
      </c>
      <c r="GA87" t="e">
        <f>AND('GA55 Entry'!S206,"AAAAAH/9/rY=")</f>
        <v>#VALUE!</v>
      </c>
      <c r="GB87" t="e">
        <f>AND('GA55 Entry'!#REF!,"AAAAAH/9/rc=")</f>
        <v>#REF!</v>
      </c>
      <c r="GC87" t="e">
        <f>AND('GA55 Entry'!T206,"AAAAAH/9/rg=")</f>
        <v>#VALUE!</v>
      </c>
      <c r="GD87" t="e">
        <f>AND('GA55 Entry'!U206,"AAAAAH/9/rk=")</f>
        <v>#VALUE!</v>
      </c>
      <c r="GE87" t="e">
        <f>AND('GA55 Entry'!V206,"AAAAAH/9/ro=")</f>
        <v>#VALUE!</v>
      </c>
      <c r="GF87" t="e">
        <f>AND('GA55 Entry'!#REF!,"AAAAAH/9/rs=")</f>
        <v>#REF!</v>
      </c>
      <c r="GG87" t="e">
        <f>AND('GA55 Entry'!#REF!,"AAAAAH/9/rw=")</f>
        <v>#REF!</v>
      </c>
      <c r="GH87" t="e">
        <f>AND('GA55 Entry'!X206,"AAAAAH/9/r0=")</f>
        <v>#VALUE!</v>
      </c>
      <c r="GI87" t="e">
        <f>AND('GA55 Entry'!Y206,"AAAAAH/9/r4=")</f>
        <v>#VALUE!</v>
      </c>
      <c r="GJ87" t="e">
        <f>AND('GA55 Entry'!#REF!,"AAAAAH/9/r8=")</f>
        <v>#REF!</v>
      </c>
      <c r="GK87" t="e">
        <f>AND('GA55 Entry'!#REF!,"AAAAAH/9/sA=")</f>
        <v>#REF!</v>
      </c>
      <c r="GL87" t="e">
        <f>AND('GA55 Entry'!#REF!,"AAAAAH/9/sE=")</f>
        <v>#REF!</v>
      </c>
      <c r="GM87" t="e">
        <f>AND('GA55 Entry'!#REF!,"AAAAAH/9/sI=")</f>
        <v>#REF!</v>
      </c>
      <c r="GN87" t="e">
        <f>AND('GA55 Entry'!#REF!,"AAAAAH/9/sM=")</f>
        <v>#REF!</v>
      </c>
      <c r="GO87" t="e">
        <f>AND('GA55 Entry'!#REF!,"AAAAAH/9/sQ=")</f>
        <v>#REF!</v>
      </c>
      <c r="GP87" t="e">
        <f>AND('GA55 Entry'!#REF!,"AAAAAH/9/sU=")</f>
        <v>#REF!</v>
      </c>
      <c r="GQ87" t="e">
        <f>AND('GA55 Entry'!#REF!,"AAAAAH/9/sY=")</f>
        <v>#REF!</v>
      </c>
      <c r="GR87" t="e">
        <f>AND('GA55 Entry'!#REF!,"AAAAAH/9/sc=")</f>
        <v>#REF!</v>
      </c>
      <c r="GS87" t="e">
        <f>AND('GA55 Entry'!Z206,"AAAAAH/9/sg=")</f>
        <v>#VALUE!</v>
      </c>
      <c r="GT87" t="e">
        <f>AND('GA55 Entry'!AA206,"AAAAAH/9/sk=")</f>
        <v>#VALUE!</v>
      </c>
      <c r="GU87" t="e">
        <f>AND('GA55 Entry'!#REF!,"AAAAAH/9/so=")</f>
        <v>#REF!</v>
      </c>
      <c r="GV87" t="e">
        <f>AND('GA55 Entry'!#REF!,"AAAAAH/9/ss=")</f>
        <v>#REF!</v>
      </c>
      <c r="GW87" t="e">
        <f>AND('GA55 Entry'!#REF!,"AAAAAH/9/sw=")</f>
        <v>#REF!</v>
      </c>
      <c r="GX87" t="e">
        <f>AND('GA55 Entry'!AB206,"AAAAAH/9/s0=")</f>
        <v>#VALUE!</v>
      </c>
      <c r="GY87" t="e">
        <f>AND('GA55 Entry'!AC206,"AAAAAH/9/s4=")</f>
        <v>#VALUE!</v>
      </c>
      <c r="GZ87" t="e">
        <f>AND('GA55 Entry'!#REF!,"AAAAAH/9/s8=")</f>
        <v>#REF!</v>
      </c>
      <c r="HA87">
        <f>IF('GA55 Entry'!207:207,"AAAAAH/9/tA=",0)</f>
        <v>0</v>
      </c>
      <c r="HB87" t="e">
        <f>AND('GA55 Entry'!B207,"AAAAAH/9/tE=")</f>
        <v>#VALUE!</v>
      </c>
      <c r="HC87" t="e">
        <f>AND('GA55 Entry'!#REF!,"AAAAAH/9/tI=")</f>
        <v>#REF!</v>
      </c>
      <c r="HD87" t="e">
        <f>AND('GA55 Entry'!C207,"AAAAAH/9/tM=")</f>
        <v>#VALUE!</v>
      </c>
      <c r="HE87" t="e">
        <f>AND('GA55 Entry'!#REF!,"AAAAAH/9/tQ=")</f>
        <v>#REF!</v>
      </c>
      <c r="HF87" t="e">
        <f>AND('GA55 Entry'!#REF!,"AAAAAH/9/tU=")</f>
        <v>#REF!</v>
      </c>
      <c r="HG87" t="e">
        <f>AND('GA55 Entry'!#REF!,"AAAAAH/9/tY=")</f>
        <v>#REF!</v>
      </c>
      <c r="HH87" t="e">
        <f>AND('GA55 Entry'!#REF!,"AAAAAH/9/tc=")</f>
        <v>#REF!</v>
      </c>
      <c r="HI87" t="e">
        <f>AND('GA55 Entry'!#REF!,"AAAAAH/9/tg=")</f>
        <v>#REF!</v>
      </c>
      <c r="HJ87" t="e">
        <f>AND('GA55 Entry'!D207,"AAAAAH/9/tk=")</f>
        <v>#VALUE!</v>
      </c>
      <c r="HK87" t="e">
        <f>AND('GA55 Entry'!#REF!,"AAAAAH/9/to=")</f>
        <v>#REF!</v>
      </c>
      <c r="HL87" t="e">
        <f>AND('GA55 Entry'!E207,"AAAAAH/9/ts=")</f>
        <v>#VALUE!</v>
      </c>
      <c r="HM87" t="e">
        <f>AND('GA55 Entry'!F207,"AAAAAH/9/tw=")</f>
        <v>#VALUE!</v>
      </c>
      <c r="HN87" t="e">
        <f>AND('GA55 Entry'!G207,"AAAAAH/9/t0=")</f>
        <v>#VALUE!</v>
      </c>
      <c r="HO87" t="e">
        <f>AND('GA55 Entry'!H207,"AAAAAH/9/t4=")</f>
        <v>#VALUE!</v>
      </c>
      <c r="HP87" t="e">
        <f>AND('GA55 Entry'!I207,"AAAAAH/9/t8=")</f>
        <v>#VALUE!</v>
      </c>
      <c r="HQ87" t="e">
        <f>AND('GA55 Entry'!J207,"AAAAAH/9/uA=")</f>
        <v>#VALUE!</v>
      </c>
      <c r="HR87" t="e">
        <f>AND('GA55 Entry'!#REF!,"AAAAAH/9/uE=")</f>
        <v>#REF!</v>
      </c>
      <c r="HS87" t="e">
        <f>AND('GA55 Entry'!K207,"AAAAAH/9/uI=")</f>
        <v>#VALUE!</v>
      </c>
      <c r="HT87" t="e">
        <f>AND('GA55 Entry'!L207,"AAAAAH/9/uM=")</f>
        <v>#VALUE!</v>
      </c>
      <c r="HU87" t="e">
        <f>AND('GA55 Entry'!M207,"AAAAAH/9/uQ=")</f>
        <v>#VALUE!</v>
      </c>
      <c r="HV87" t="e">
        <f>AND('GA55 Entry'!N207,"AAAAAH/9/uU=")</f>
        <v>#VALUE!</v>
      </c>
      <c r="HW87" t="e">
        <f>AND('GA55 Entry'!O207,"AAAAAH/9/uY=")</f>
        <v>#VALUE!</v>
      </c>
      <c r="HX87" t="e">
        <f>AND('GA55 Entry'!P207,"AAAAAH/9/uc=")</f>
        <v>#VALUE!</v>
      </c>
      <c r="HY87" t="e">
        <f>AND('GA55 Entry'!Q207,"AAAAAH/9/ug=")</f>
        <v>#VALUE!</v>
      </c>
      <c r="HZ87" t="e">
        <f>AND('GA55 Entry'!S207,"AAAAAH/9/uk=")</f>
        <v>#VALUE!</v>
      </c>
      <c r="IA87" t="e">
        <f>AND('GA55 Entry'!#REF!,"AAAAAH/9/uo=")</f>
        <v>#REF!</v>
      </c>
      <c r="IB87" t="e">
        <f>AND('GA55 Entry'!T207,"AAAAAH/9/us=")</f>
        <v>#VALUE!</v>
      </c>
      <c r="IC87" t="e">
        <f>AND('GA55 Entry'!U207,"AAAAAH/9/uw=")</f>
        <v>#VALUE!</v>
      </c>
      <c r="ID87" t="e">
        <f>AND('GA55 Entry'!V207,"AAAAAH/9/u0=")</f>
        <v>#VALUE!</v>
      </c>
      <c r="IE87" t="e">
        <f>AND('GA55 Entry'!#REF!,"AAAAAH/9/u4=")</f>
        <v>#REF!</v>
      </c>
      <c r="IF87" t="e">
        <f>AND('GA55 Entry'!#REF!,"AAAAAH/9/u8=")</f>
        <v>#REF!</v>
      </c>
      <c r="IG87" t="e">
        <f>AND('GA55 Entry'!X207,"AAAAAH/9/vA=")</f>
        <v>#VALUE!</v>
      </c>
      <c r="IH87" t="e">
        <f>AND('GA55 Entry'!Y207,"AAAAAH/9/vE=")</f>
        <v>#VALUE!</v>
      </c>
      <c r="II87" t="e">
        <f>AND('GA55 Entry'!#REF!,"AAAAAH/9/vI=")</f>
        <v>#REF!</v>
      </c>
      <c r="IJ87" t="e">
        <f>AND('GA55 Entry'!#REF!,"AAAAAH/9/vM=")</f>
        <v>#REF!</v>
      </c>
      <c r="IK87" t="e">
        <f>AND('GA55 Entry'!#REF!,"AAAAAH/9/vQ=")</f>
        <v>#REF!</v>
      </c>
      <c r="IL87" t="e">
        <f>AND('GA55 Entry'!#REF!,"AAAAAH/9/vU=")</f>
        <v>#REF!</v>
      </c>
      <c r="IM87" t="e">
        <f>AND('GA55 Entry'!#REF!,"AAAAAH/9/vY=")</f>
        <v>#REF!</v>
      </c>
      <c r="IN87" t="e">
        <f>AND('GA55 Entry'!#REF!,"AAAAAH/9/vc=")</f>
        <v>#REF!</v>
      </c>
      <c r="IO87" t="e">
        <f>AND('GA55 Entry'!#REF!,"AAAAAH/9/vg=")</f>
        <v>#REF!</v>
      </c>
      <c r="IP87" t="e">
        <f>AND('GA55 Entry'!#REF!,"AAAAAH/9/vk=")</f>
        <v>#REF!</v>
      </c>
      <c r="IQ87" t="e">
        <f>AND('GA55 Entry'!#REF!,"AAAAAH/9/vo=")</f>
        <v>#REF!</v>
      </c>
      <c r="IR87" t="e">
        <f>AND('GA55 Entry'!Z207,"AAAAAH/9/vs=")</f>
        <v>#VALUE!</v>
      </c>
      <c r="IS87" t="e">
        <f>AND('GA55 Entry'!AA207,"AAAAAH/9/vw=")</f>
        <v>#VALUE!</v>
      </c>
      <c r="IT87" t="e">
        <f>AND('GA55 Entry'!#REF!,"AAAAAH/9/v0=")</f>
        <v>#REF!</v>
      </c>
      <c r="IU87" t="e">
        <f>AND('GA55 Entry'!#REF!,"AAAAAH/9/v4=")</f>
        <v>#REF!</v>
      </c>
      <c r="IV87" t="e">
        <f>AND('GA55 Entry'!#REF!,"AAAAAH/9/v8=")</f>
        <v>#REF!</v>
      </c>
    </row>
    <row r="88" spans="1:256">
      <c r="A88" t="e">
        <f>AND('GA55 Entry'!AB207,"AAAAADtWuwA=")</f>
        <v>#VALUE!</v>
      </c>
      <c r="B88" t="e">
        <f>AND('GA55 Entry'!AC207,"AAAAADtWuwE=")</f>
        <v>#VALUE!</v>
      </c>
      <c r="C88" t="e">
        <f>AND('GA55 Entry'!#REF!,"AAAAADtWuwI=")</f>
        <v>#REF!</v>
      </c>
      <c r="D88">
        <f>IF('GA55 Entry'!208:208,"AAAAADtWuwM=",0)</f>
        <v>0</v>
      </c>
      <c r="E88" t="e">
        <f>AND('GA55 Entry'!B208,"AAAAADtWuwQ=")</f>
        <v>#VALUE!</v>
      </c>
      <c r="F88" t="e">
        <f>AND('GA55 Entry'!#REF!,"AAAAADtWuwU=")</f>
        <v>#REF!</v>
      </c>
      <c r="G88" t="e">
        <f>AND('GA55 Entry'!C208,"AAAAADtWuwY=")</f>
        <v>#VALUE!</v>
      </c>
      <c r="H88" t="e">
        <f>AND('GA55 Entry'!#REF!,"AAAAADtWuwc=")</f>
        <v>#REF!</v>
      </c>
      <c r="I88" t="e">
        <f>AND('GA55 Entry'!#REF!,"AAAAADtWuwg=")</f>
        <v>#REF!</v>
      </c>
      <c r="J88" t="e">
        <f>AND('GA55 Entry'!#REF!,"AAAAADtWuwk=")</f>
        <v>#REF!</v>
      </c>
      <c r="K88" t="e">
        <f>AND('GA55 Entry'!#REF!,"AAAAADtWuwo=")</f>
        <v>#REF!</v>
      </c>
      <c r="L88" t="e">
        <f>AND('GA55 Entry'!#REF!,"AAAAADtWuws=")</f>
        <v>#REF!</v>
      </c>
      <c r="M88" t="e">
        <f>AND('GA55 Entry'!D208,"AAAAADtWuww=")</f>
        <v>#VALUE!</v>
      </c>
      <c r="N88" t="e">
        <f>AND('GA55 Entry'!#REF!,"AAAAADtWuw0=")</f>
        <v>#REF!</v>
      </c>
      <c r="O88" t="e">
        <f>AND('GA55 Entry'!E208,"AAAAADtWuw4=")</f>
        <v>#VALUE!</v>
      </c>
      <c r="P88" t="e">
        <f>AND('GA55 Entry'!F208,"AAAAADtWuw8=")</f>
        <v>#VALUE!</v>
      </c>
      <c r="Q88" t="e">
        <f>AND('GA55 Entry'!G208,"AAAAADtWuxA=")</f>
        <v>#VALUE!</v>
      </c>
      <c r="R88" t="e">
        <f>AND('GA55 Entry'!H208,"AAAAADtWuxE=")</f>
        <v>#VALUE!</v>
      </c>
      <c r="S88" t="e">
        <f>AND('GA55 Entry'!I208,"AAAAADtWuxI=")</f>
        <v>#VALUE!</v>
      </c>
      <c r="T88" t="e">
        <f>AND('GA55 Entry'!J208,"AAAAADtWuxM=")</f>
        <v>#VALUE!</v>
      </c>
      <c r="U88" t="e">
        <f>AND('GA55 Entry'!#REF!,"AAAAADtWuxQ=")</f>
        <v>#REF!</v>
      </c>
      <c r="V88" t="e">
        <f>AND('GA55 Entry'!K208,"AAAAADtWuxU=")</f>
        <v>#VALUE!</v>
      </c>
      <c r="W88" t="e">
        <f>AND('GA55 Entry'!L208,"AAAAADtWuxY=")</f>
        <v>#VALUE!</v>
      </c>
      <c r="X88" t="e">
        <f>AND('GA55 Entry'!M208,"AAAAADtWuxc=")</f>
        <v>#VALUE!</v>
      </c>
      <c r="Y88" t="e">
        <f>AND('GA55 Entry'!N208,"AAAAADtWuxg=")</f>
        <v>#VALUE!</v>
      </c>
      <c r="Z88" t="e">
        <f>AND('GA55 Entry'!O208,"AAAAADtWuxk=")</f>
        <v>#VALUE!</v>
      </c>
      <c r="AA88" t="e">
        <f>AND('GA55 Entry'!P208,"AAAAADtWuxo=")</f>
        <v>#VALUE!</v>
      </c>
      <c r="AB88" t="e">
        <f>AND('GA55 Entry'!Q208,"AAAAADtWuxs=")</f>
        <v>#VALUE!</v>
      </c>
      <c r="AC88" t="e">
        <f>AND('GA55 Entry'!S208,"AAAAADtWuxw=")</f>
        <v>#VALUE!</v>
      </c>
      <c r="AD88" t="e">
        <f>AND('GA55 Entry'!#REF!,"AAAAADtWux0=")</f>
        <v>#REF!</v>
      </c>
      <c r="AE88" t="e">
        <f>AND('GA55 Entry'!T208,"AAAAADtWux4=")</f>
        <v>#VALUE!</v>
      </c>
      <c r="AF88" t="e">
        <f>AND('GA55 Entry'!U208,"AAAAADtWux8=")</f>
        <v>#VALUE!</v>
      </c>
      <c r="AG88" t="e">
        <f>AND('GA55 Entry'!V208,"AAAAADtWuyA=")</f>
        <v>#VALUE!</v>
      </c>
      <c r="AH88" t="e">
        <f>AND('GA55 Entry'!#REF!,"AAAAADtWuyE=")</f>
        <v>#REF!</v>
      </c>
      <c r="AI88" t="e">
        <f>AND('GA55 Entry'!#REF!,"AAAAADtWuyI=")</f>
        <v>#REF!</v>
      </c>
      <c r="AJ88" t="e">
        <f>AND('GA55 Entry'!X208,"AAAAADtWuyM=")</f>
        <v>#VALUE!</v>
      </c>
      <c r="AK88" t="e">
        <f>AND('GA55 Entry'!Y208,"AAAAADtWuyQ=")</f>
        <v>#VALUE!</v>
      </c>
      <c r="AL88" t="e">
        <f>AND('GA55 Entry'!#REF!,"AAAAADtWuyU=")</f>
        <v>#REF!</v>
      </c>
      <c r="AM88" t="e">
        <f>AND('GA55 Entry'!#REF!,"AAAAADtWuyY=")</f>
        <v>#REF!</v>
      </c>
      <c r="AN88" t="e">
        <f>AND('GA55 Entry'!#REF!,"AAAAADtWuyc=")</f>
        <v>#REF!</v>
      </c>
      <c r="AO88" t="e">
        <f>AND('GA55 Entry'!#REF!,"AAAAADtWuyg=")</f>
        <v>#REF!</v>
      </c>
      <c r="AP88" t="e">
        <f>AND('GA55 Entry'!#REF!,"AAAAADtWuyk=")</f>
        <v>#REF!</v>
      </c>
      <c r="AQ88" t="e">
        <f>AND('GA55 Entry'!#REF!,"AAAAADtWuyo=")</f>
        <v>#REF!</v>
      </c>
      <c r="AR88" t="e">
        <f>AND('GA55 Entry'!#REF!,"AAAAADtWuys=")</f>
        <v>#REF!</v>
      </c>
      <c r="AS88" t="e">
        <f>AND('GA55 Entry'!#REF!,"AAAAADtWuyw=")</f>
        <v>#REF!</v>
      </c>
      <c r="AT88" t="e">
        <f>AND('GA55 Entry'!#REF!,"AAAAADtWuy0=")</f>
        <v>#REF!</v>
      </c>
      <c r="AU88" t="e">
        <f>AND('GA55 Entry'!Z208,"AAAAADtWuy4=")</f>
        <v>#VALUE!</v>
      </c>
      <c r="AV88" t="e">
        <f>AND('GA55 Entry'!AA208,"AAAAADtWuy8=")</f>
        <v>#VALUE!</v>
      </c>
      <c r="AW88" t="e">
        <f>AND('GA55 Entry'!#REF!,"AAAAADtWuzA=")</f>
        <v>#REF!</v>
      </c>
      <c r="AX88" t="e">
        <f>AND('GA55 Entry'!#REF!,"AAAAADtWuzE=")</f>
        <v>#REF!</v>
      </c>
      <c r="AY88" t="e">
        <f>AND('GA55 Entry'!#REF!,"AAAAADtWuzI=")</f>
        <v>#REF!</v>
      </c>
      <c r="AZ88" t="e">
        <f>AND('GA55 Entry'!AB208,"AAAAADtWuzM=")</f>
        <v>#VALUE!</v>
      </c>
      <c r="BA88" t="e">
        <f>AND('GA55 Entry'!AC208,"AAAAADtWuzQ=")</f>
        <v>#VALUE!</v>
      </c>
      <c r="BB88" t="e">
        <f>AND('GA55 Entry'!#REF!,"AAAAADtWuzU=")</f>
        <v>#REF!</v>
      </c>
      <c r="BC88">
        <f>IF('GA55 Entry'!209:209,"AAAAADtWuzY=",0)</f>
        <v>0</v>
      </c>
      <c r="BD88" t="e">
        <f>AND('GA55 Entry'!B209,"AAAAADtWuzc=")</f>
        <v>#VALUE!</v>
      </c>
      <c r="BE88" t="e">
        <f>AND('GA55 Entry'!#REF!,"AAAAADtWuzg=")</f>
        <v>#REF!</v>
      </c>
      <c r="BF88" t="e">
        <f>AND('GA55 Entry'!C209,"AAAAADtWuzk=")</f>
        <v>#VALUE!</v>
      </c>
      <c r="BG88" t="e">
        <f>AND('GA55 Entry'!#REF!,"AAAAADtWuzo=")</f>
        <v>#REF!</v>
      </c>
      <c r="BH88" t="e">
        <f>AND('GA55 Entry'!#REF!,"AAAAADtWuzs=")</f>
        <v>#REF!</v>
      </c>
      <c r="BI88" t="e">
        <f>AND('GA55 Entry'!#REF!,"AAAAADtWuzw=")</f>
        <v>#REF!</v>
      </c>
      <c r="BJ88" t="e">
        <f>AND('GA55 Entry'!#REF!,"AAAAADtWuz0=")</f>
        <v>#REF!</v>
      </c>
      <c r="BK88" t="e">
        <f>AND('GA55 Entry'!#REF!,"AAAAADtWuz4=")</f>
        <v>#REF!</v>
      </c>
      <c r="BL88" t="e">
        <f>AND('GA55 Entry'!D209,"AAAAADtWuz8=")</f>
        <v>#VALUE!</v>
      </c>
      <c r="BM88" t="e">
        <f>AND('GA55 Entry'!#REF!,"AAAAADtWu0A=")</f>
        <v>#REF!</v>
      </c>
      <c r="BN88" t="e">
        <f>AND('GA55 Entry'!E209,"AAAAADtWu0E=")</f>
        <v>#VALUE!</v>
      </c>
      <c r="BO88" t="e">
        <f>AND('GA55 Entry'!F209,"AAAAADtWu0I=")</f>
        <v>#VALUE!</v>
      </c>
      <c r="BP88" t="e">
        <f>AND('GA55 Entry'!G209,"AAAAADtWu0M=")</f>
        <v>#VALUE!</v>
      </c>
      <c r="BQ88" t="e">
        <f>AND('GA55 Entry'!H209,"AAAAADtWu0Q=")</f>
        <v>#VALUE!</v>
      </c>
      <c r="BR88" t="e">
        <f>AND('GA55 Entry'!I209,"AAAAADtWu0U=")</f>
        <v>#VALUE!</v>
      </c>
      <c r="BS88" t="e">
        <f>AND('GA55 Entry'!J209,"AAAAADtWu0Y=")</f>
        <v>#VALUE!</v>
      </c>
      <c r="BT88" t="e">
        <f>AND('GA55 Entry'!#REF!,"AAAAADtWu0c=")</f>
        <v>#REF!</v>
      </c>
      <c r="BU88" t="e">
        <f>AND('GA55 Entry'!K209,"AAAAADtWu0g=")</f>
        <v>#VALUE!</v>
      </c>
      <c r="BV88" t="e">
        <f>AND('GA55 Entry'!L209,"AAAAADtWu0k=")</f>
        <v>#VALUE!</v>
      </c>
      <c r="BW88" t="e">
        <f>AND('GA55 Entry'!M209,"AAAAADtWu0o=")</f>
        <v>#VALUE!</v>
      </c>
      <c r="BX88" t="e">
        <f>AND('GA55 Entry'!N209,"AAAAADtWu0s=")</f>
        <v>#VALUE!</v>
      </c>
      <c r="BY88" t="e">
        <f>AND('GA55 Entry'!O209,"AAAAADtWu0w=")</f>
        <v>#VALUE!</v>
      </c>
      <c r="BZ88" t="e">
        <f>AND('GA55 Entry'!P209,"AAAAADtWu00=")</f>
        <v>#VALUE!</v>
      </c>
      <c r="CA88" t="e">
        <f>AND('GA55 Entry'!Q209,"AAAAADtWu04=")</f>
        <v>#VALUE!</v>
      </c>
      <c r="CB88" t="e">
        <f>AND('GA55 Entry'!S209,"AAAAADtWu08=")</f>
        <v>#VALUE!</v>
      </c>
      <c r="CC88" t="e">
        <f>AND('GA55 Entry'!#REF!,"AAAAADtWu1A=")</f>
        <v>#REF!</v>
      </c>
      <c r="CD88" t="e">
        <f>AND('GA55 Entry'!T209,"AAAAADtWu1E=")</f>
        <v>#VALUE!</v>
      </c>
      <c r="CE88" t="e">
        <f>AND('GA55 Entry'!U209,"AAAAADtWu1I=")</f>
        <v>#VALUE!</v>
      </c>
      <c r="CF88" t="e">
        <f>AND('GA55 Entry'!V209,"AAAAADtWu1M=")</f>
        <v>#VALUE!</v>
      </c>
      <c r="CG88" t="e">
        <f>AND('GA55 Entry'!#REF!,"AAAAADtWu1Q=")</f>
        <v>#REF!</v>
      </c>
      <c r="CH88" t="e">
        <f>AND('GA55 Entry'!#REF!,"AAAAADtWu1U=")</f>
        <v>#REF!</v>
      </c>
      <c r="CI88" t="e">
        <f>AND('GA55 Entry'!X209,"AAAAADtWu1Y=")</f>
        <v>#VALUE!</v>
      </c>
      <c r="CJ88" t="e">
        <f>AND('GA55 Entry'!Y209,"AAAAADtWu1c=")</f>
        <v>#VALUE!</v>
      </c>
      <c r="CK88" t="e">
        <f>AND('GA55 Entry'!#REF!,"AAAAADtWu1g=")</f>
        <v>#REF!</v>
      </c>
      <c r="CL88" t="e">
        <f>AND('GA55 Entry'!#REF!,"AAAAADtWu1k=")</f>
        <v>#REF!</v>
      </c>
      <c r="CM88" t="e">
        <f>AND('GA55 Entry'!#REF!,"AAAAADtWu1o=")</f>
        <v>#REF!</v>
      </c>
      <c r="CN88" t="e">
        <f>AND('GA55 Entry'!#REF!,"AAAAADtWu1s=")</f>
        <v>#REF!</v>
      </c>
      <c r="CO88" t="e">
        <f>AND('GA55 Entry'!#REF!,"AAAAADtWu1w=")</f>
        <v>#REF!</v>
      </c>
      <c r="CP88" t="e">
        <f>AND('GA55 Entry'!#REF!,"AAAAADtWu10=")</f>
        <v>#REF!</v>
      </c>
      <c r="CQ88" t="e">
        <f>AND('GA55 Entry'!#REF!,"AAAAADtWu14=")</f>
        <v>#REF!</v>
      </c>
      <c r="CR88" t="e">
        <f>AND('GA55 Entry'!#REF!,"AAAAADtWu18=")</f>
        <v>#REF!</v>
      </c>
      <c r="CS88" t="e">
        <f>AND('GA55 Entry'!#REF!,"AAAAADtWu2A=")</f>
        <v>#REF!</v>
      </c>
      <c r="CT88" t="e">
        <f>AND('GA55 Entry'!Z209,"AAAAADtWu2E=")</f>
        <v>#VALUE!</v>
      </c>
      <c r="CU88" t="e">
        <f>AND('GA55 Entry'!AA209,"AAAAADtWu2I=")</f>
        <v>#VALUE!</v>
      </c>
      <c r="CV88" t="e">
        <f>AND('GA55 Entry'!#REF!,"AAAAADtWu2M=")</f>
        <v>#REF!</v>
      </c>
      <c r="CW88" t="e">
        <f>AND('GA55 Entry'!#REF!,"AAAAADtWu2Q=")</f>
        <v>#REF!</v>
      </c>
      <c r="CX88" t="e">
        <f>AND('GA55 Entry'!#REF!,"AAAAADtWu2U=")</f>
        <v>#REF!</v>
      </c>
      <c r="CY88" t="e">
        <f>AND('GA55 Entry'!AB209,"AAAAADtWu2Y=")</f>
        <v>#VALUE!</v>
      </c>
      <c r="CZ88" t="e">
        <f>AND('GA55 Entry'!AC209,"AAAAADtWu2c=")</f>
        <v>#VALUE!</v>
      </c>
      <c r="DA88" t="e">
        <f>AND('GA55 Entry'!#REF!,"AAAAADtWu2g=")</f>
        <v>#REF!</v>
      </c>
      <c r="DB88">
        <f>IF('GA55 Entry'!210:210,"AAAAADtWu2k=",0)</f>
        <v>0</v>
      </c>
      <c r="DC88" t="e">
        <f>AND('GA55 Entry'!B210,"AAAAADtWu2o=")</f>
        <v>#VALUE!</v>
      </c>
      <c r="DD88" t="e">
        <f>AND('GA55 Entry'!#REF!,"AAAAADtWu2s=")</f>
        <v>#REF!</v>
      </c>
      <c r="DE88" t="e">
        <f>AND('GA55 Entry'!C210,"AAAAADtWu2w=")</f>
        <v>#VALUE!</v>
      </c>
      <c r="DF88" t="e">
        <f>AND('GA55 Entry'!#REF!,"AAAAADtWu20=")</f>
        <v>#REF!</v>
      </c>
      <c r="DG88" t="e">
        <f>AND('GA55 Entry'!#REF!,"AAAAADtWu24=")</f>
        <v>#REF!</v>
      </c>
      <c r="DH88" t="e">
        <f>AND('GA55 Entry'!#REF!,"AAAAADtWu28=")</f>
        <v>#REF!</v>
      </c>
      <c r="DI88" t="e">
        <f>AND('GA55 Entry'!#REF!,"AAAAADtWu3A=")</f>
        <v>#REF!</v>
      </c>
      <c r="DJ88" t="e">
        <f>AND('GA55 Entry'!#REF!,"AAAAADtWu3E=")</f>
        <v>#REF!</v>
      </c>
      <c r="DK88" t="e">
        <f>AND('GA55 Entry'!D210,"AAAAADtWu3I=")</f>
        <v>#VALUE!</v>
      </c>
      <c r="DL88" t="e">
        <f>AND('GA55 Entry'!#REF!,"AAAAADtWu3M=")</f>
        <v>#REF!</v>
      </c>
      <c r="DM88" t="e">
        <f>AND('GA55 Entry'!E210,"AAAAADtWu3Q=")</f>
        <v>#VALUE!</v>
      </c>
      <c r="DN88" t="e">
        <f>AND('GA55 Entry'!F210,"AAAAADtWu3U=")</f>
        <v>#VALUE!</v>
      </c>
      <c r="DO88" t="e">
        <f>AND('GA55 Entry'!G210,"AAAAADtWu3Y=")</f>
        <v>#VALUE!</v>
      </c>
      <c r="DP88" t="e">
        <f>AND('GA55 Entry'!H210,"AAAAADtWu3c=")</f>
        <v>#VALUE!</v>
      </c>
      <c r="DQ88" t="e">
        <f>AND('GA55 Entry'!I210,"AAAAADtWu3g=")</f>
        <v>#VALUE!</v>
      </c>
      <c r="DR88" t="e">
        <f>AND('GA55 Entry'!J210,"AAAAADtWu3k=")</f>
        <v>#VALUE!</v>
      </c>
      <c r="DS88" t="e">
        <f>AND('GA55 Entry'!#REF!,"AAAAADtWu3o=")</f>
        <v>#REF!</v>
      </c>
      <c r="DT88" t="e">
        <f>AND('GA55 Entry'!K210,"AAAAADtWu3s=")</f>
        <v>#VALUE!</v>
      </c>
      <c r="DU88" t="e">
        <f>AND('GA55 Entry'!L210,"AAAAADtWu3w=")</f>
        <v>#VALUE!</v>
      </c>
      <c r="DV88" t="e">
        <f>AND('GA55 Entry'!M210,"AAAAADtWu30=")</f>
        <v>#VALUE!</v>
      </c>
      <c r="DW88" t="e">
        <f>AND('GA55 Entry'!N210,"AAAAADtWu34=")</f>
        <v>#VALUE!</v>
      </c>
      <c r="DX88" t="e">
        <f>AND('GA55 Entry'!O210,"AAAAADtWu38=")</f>
        <v>#VALUE!</v>
      </c>
      <c r="DY88" t="e">
        <f>AND('GA55 Entry'!P210,"AAAAADtWu4A=")</f>
        <v>#VALUE!</v>
      </c>
      <c r="DZ88" t="e">
        <f>AND('GA55 Entry'!Q210,"AAAAADtWu4E=")</f>
        <v>#VALUE!</v>
      </c>
      <c r="EA88" t="e">
        <f>AND('GA55 Entry'!S210,"AAAAADtWu4I=")</f>
        <v>#VALUE!</v>
      </c>
      <c r="EB88" t="e">
        <f>AND('GA55 Entry'!#REF!,"AAAAADtWu4M=")</f>
        <v>#REF!</v>
      </c>
      <c r="EC88" t="e">
        <f>AND('GA55 Entry'!T210,"AAAAADtWu4Q=")</f>
        <v>#VALUE!</v>
      </c>
      <c r="ED88" t="e">
        <f>AND('GA55 Entry'!U210,"AAAAADtWu4U=")</f>
        <v>#VALUE!</v>
      </c>
      <c r="EE88" t="e">
        <f>AND('GA55 Entry'!V210,"AAAAADtWu4Y=")</f>
        <v>#VALUE!</v>
      </c>
      <c r="EF88" t="e">
        <f>AND('GA55 Entry'!#REF!,"AAAAADtWu4c=")</f>
        <v>#REF!</v>
      </c>
      <c r="EG88" t="e">
        <f>AND('GA55 Entry'!#REF!,"AAAAADtWu4g=")</f>
        <v>#REF!</v>
      </c>
      <c r="EH88" t="e">
        <f>AND('GA55 Entry'!X210,"AAAAADtWu4k=")</f>
        <v>#VALUE!</v>
      </c>
      <c r="EI88" t="e">
        <f>AND('GA55 Entry'!Y210,"AAAAADtWu4o=")</f>
        <v>#VALUE!</v>
      </c>
      <c r="EJ88" t="e">
        <f>AND('GA55 Entry'!#REF!,"AAAAADtWu4s=")</f>
        <v>#REF!</v>
      </c>
      <c r="EK88" t="e">
        <f>AND('GA55 Entry'!#REF!,"AAAAADtWu4w=")</f>
        <v>#REF!</v>
      </c>
      <c r="EL88" t="e">
        <f>AND('GA55 Entry'!#REF!,"AAAAADtWu40=")</f>
        <v>#REF!</v>
      </c>
      <c r="EM88" t="e">
        <f>AND('GA55 Entry'!#REF!,"AAAAADtWu44=")</f>
        <v>#REF!</v>
      </c>
      <c r="EN88" t="e">
        <f>AND('GA55 Entry'!#REF!,"AAAAADtWu48=")</f>
        <v>#REF!</v>
      </c>
      <c r="EO88" t="e">
        <f>AND('GA55 Entry'!#REF!,"AAAAADtWu5A=")</f>
        <v>#REF!</v>
      </c>
      <c r="EP88" t="e">
        <f>AND('GA55 Entry'!#REF!,"AAAAADtWu5E=")</f>
        <v>#REF!</v>
      </c>
      <c r="EQ88" t="e">
        <f>AND('GA55 Entry'!#REF!,"AAAAADtWu5I=")</f>
        <v>#REF!</v>
      </c>
      <c r="ER88" t="e">
        <f>AND('GA55 Entry'!#REF!,"AAAAADtWu5M=")</f>
        <v>#REF!</v>
      </c>
      <c r="ES88" t="e">
        <f>AND('GA55 Entry'!Z210,"AAAAADtWu5Q=")</f>
        <v>#VALUE!</v>
      </c>
      <c r="ET88" t="e">
        <f>AND('GA55 Entry'!AA210,"AAAAADtWu5U=")</f>
        <v>#VALUE!</v>
      </c>
      <c r="EU88" t="e">
        <f>AND('GA55 Entry'!#REF!,"AAAAADtWu5Y=")</f>
        <v>#REF!</v>
      </c>
      <c r="EV88" t="e">
        <f>AND('GA55 Entry'!#REF!,"AAAAADtWu5c=")</f>
        <v>#REF!</v>
      </c>
      <c r="EW88" t="e">
        <f>AND('GA55 Entry'!#REF!,"AAAAADtWu5g=")</f>
        <v>#REF!</v>
      </c>
      <c r="EX88" t="e">
        <f>AND('GA55 Entry'!AB210,"AAAAADtWu5k=")</f>
        <v>#VALUE!</v>
      </c>
      <c r="EY88" t="e">
        <f>AND('GA55 Entry'!AC210,"AAAAADtWu5o=")</f>
        <v>#VALUE!</v>
      </c>
      <c r="EZ88" t="e">
        <f>AND('GA55 Entry'!#REF!,"AAAAADtWu5s=")</f>
        <v>#REF!</v>
      </c>
      <c r="FA88">
        <f>IF('GA55 Entry'!211:211,"AAAAADtWu5w=",0)</f>
        <v>0</v>
      </c>
      <c r="FB88" t="e">
        <f>AND('GA55 Entry'!B211,"AAAAADtWu50=")</f>
        <v>#VALUE!</v>
      </c>
      <c r="FC88" t="e">
        <f>AND('GA55 Entry'!#REF!,"AAAAADtWu54=")</f>
        <v>#REF!</v>
      </c>
      <c r="FD88" t="e">
        <f>AND('GA55 Entry'!C211,"AAAAADtWu58=")</f>
        <v>#VALUE!</v>
      </c>
      <c r="FE88" t="e">
        <f>AND('GA55 Entry'!#REF!,"AAAAADtWu6A=")</f>
        <v>#REF!</v>
      </c>
      <c r="FF88" t="e">
        <f>AND('GA55 Entry'!#REF!,"AAAAADtWu6E=")</f>
        <v>#REF!</v>
      </c>
      <c r="FG88" t="e">
        <f>AND('GA55 Entry'!#REF!,"AAAAADtWu6I=")</f>
        <v>#REF!</v>
      </c>
      <c r="FH88" t="e">
        <f>AND('GA55 Entry'!#REF!,"AAAAADtWu6M=")</f>
        <v>#REF!</v>
      </c>
      <c r="FI88" t="e">
        <f>AND('GA55 Entry'!#REF!,"AAAAADtWu6Q=")</f>
        <v>#REF!</v>
      </c>
      <c r="FJ88" t="e">
        <f>AND('GA55 Entry'!D211,"AAAAADtWu6U=")</f>
        <v>#VALUE!</v>
      </c>
      <c r="FK88" t="e">
        <f>AND('GA55 Entry'!#REF!,"AAAAADtWu6Y=")</f>
        <v>#REF!</v>
      </c>
      <c r="FL88" t="e">
        <f>AND('GA55 Entry'!E211,"AAAAADtWu6c=")</f>
        <v>#VALUE!</v>
      </c>
      <c r="FM88" t="e">
        <f>AND('GA55 Entry'!F211,"AAAAADtWu6g=")</f>
        <v>#VALUE!</v>
      </c>
      <c r="FN88" t="e">
        <f>AND('GA55 Entry'!G211,"AAAAADtWu6k=")</f>
        <v>#VALUE!</v>
      </c>
      <c r="FO88" t="e">
        <f>AND('GA55 Entry'!H211,"AAAAADtWu6o=")</f>
        <v>#VALUE!</v>
      </c>
      <c r="FP88" t="e">
        <f>AND('GA55 Entry'!I211,"AAAAADtWu6s=")</f>
        <v>#VALUE!</v>
      </c>
      <c r="FQ88" t="e">
        <f>AND('GA55 Entry'!J211,"AAAAADtWu6w=")</f>
        <v>#VALUE!</v>
      </c>
      <c r="FR88" t="e">
        <f>AND('GA55 Entry'!#REF!,"AAAAADtWu60=")</f>
        <v>#REF!</v>
      </c>
      <c r="FS88" t="e">
        <f>AND('GA55 Entry'!K211,"AAAAADtWu64=")</f>
        <v>#VALUE!</v>
      </c>
      <c r="FT88" t="e">
        <f>AND('GA55 Entry'!L211,"AAAAADtWu68=")</f>
        <v>#VALUE!</v>
      </c>
      <c r="FU88" t="e">
        <f>AND('GA55 Entry'!M211,"AAAAADtWu7A=")</f>
        <v>#VALUE!</v>
      </c>
      <c r="FV88" t="e">
        <f>AND('GA55 Entry'!N211,"AAAAADtWu7E=")</f>
        <v>#VALUE!</v>
      </c>
      <c r="FW88" t="e">
        <f>AND('GA55 Entry'!O211,"AAAAADtWu7I=")</f>
        <v>#VALUE!</v>
      </c>
      <c r="FX88" t="e">
        <f>AND('GA55 Entry'!P211,"AAAAADtWu7M=")</f>
        <v>#VALUE!</v>
      </c>
      <c r="FY88" t="e">
        <f>AND('GA55 Entry'!Q211,"AAAAADtWu7Q=")</f>
        <v>#VALUE!</v>
      </c>
      <c r="FZ88" t="e">
        <f>AND('GA55 Entry'!S211,"AAAAADtWu7U=")</f>
        <v>#VALUE!</v>
      </c>
      <c r="GA88" t="e">
        <f>AND('GA55 Entry'!#REF!,"AAAAADtWu7Y=")</f>
        <v>#REF!</v>
      </c>
      <c r="GB88" t="e">
        <f>AND('GA55 Entry'!T211,"AAAAADtWu7c=")</f>
        <v>#VALUE!</v>
      </c>
      <c r="GC88" t="e">
        <f>AND('GA55 Entry'!U211,"AAAAADtWu7g=")</f>
        <v>#VALUE!</v>
      </c>
      <c r="GD88" t="e">
        <f>AND('GA55 Entry'!V211,"AAAAADtWu7k=")</f>
        <v>#VALUE!</v>
      </c>
      <c r="GE88" t="e">
        <f>AND('GA55 Entry'!#REF!,"AAAAADtWu7o=")</f>
        <v>#REF!</v>
      </c>
      <c r="GF88" t="e">
        <f>AND('GA55 Entry'!#REF!,"AAAAADtWu7s=")</f>
        <v>#REF!</v>
      </c>
      <c r="GG88" t="e">
        <f>AND('GA55 Entry'!X211,"AAAAADtWu7w=")</f>
        <v>#VALUE!</v>
      </c>
      <c r="GH88" t="e">
        <f>AND('GA55 Entry'!Y211,"AAAAADtWu70=")</f>
        <v>#VALUE!</v>
      </c>
      <c r="GI88" t="e">
        <f>AND('GA55 Entry'!#REF!,"AAAAADtWu74=")</f>
        <v>#REF!</v>
      </c>
      <c r="GJ88" t="e">
        <f>AND('GA55 Entry'!#REF!,"AAAAADtWu78=")</f>
        <v>#REF!</v>
      </c>
      <c r="GK88" t="e">
        <f>AND('GA55 Entry'!#REF!,"AAAAADtWu8A=")</f>
        <v>#REF!</v>
      </c>
      <c r="GL88" t="e">
        <f>AND('GA55 Entry'!#REF!,"AAAAADtWu8E=")</f>
        <v>#REF!</v>
      </c>
      <c r="GM88" t="e">
        <f>AND('GA55 Entry'!#REF!,"AAAAADtWu8I=")</f>
        <v>#REF!</v>
      </c>
      <c r="GN88" t="e">
        <f>AND('GA55 Entry'!#REF!,"AAAAADtWu8M=")</f>
        <v>#REF!</v>
      </c>
      <c r="GO88" t="e">
        <f>AND('GA55 Entry'!#REF!,"AAAAADtWu8Q=")</f>
        <v>#REF!</v>
      </c>
      <c r="GP88" t="e">
        <f>AND('GA55 Entry'!#REF!,"AAAAADtWu8U=")</f>
        <v>#REF!</v>
      </c>
      <c r="GQ88" t="e">
        <f>AND('GA55 Entry'!#REF!,"AAAAADtWu8Y=")</f>
        <v>#REF!</v>
      </c>
      <c r="GR88" t="e">
        <f>AND('GA55 Entry'!Z211,"AAAAADtWu8c=")</f>
        <v>#VALUE!</v>
      </c>
      <c r="GS88" t="e">
        <f>AND('GA55 Entry'!AA211,"AAAAADtWu8g=")</f>
        <v>#VALUE!</v>
      </c>
      <c r="GT88" t="e">
        <f>AND('GA55 Entry'!#REF!,"AAAAADtWu8k=")</f>
        <v>#REF!</v>
      </c>
      <c r="GU88" t="e">
        <f>AND('GA55 Entry'!#REF!,"AAAAADtWu8o=")</f>
        <v>#REF!</v>
      </c>
      <c r="GV88" t="e">
        <f>AND('GA55 Entry'!#REF!,"AAAAADtWu8s=")</f>
        <v>#REF!</v>
      </c>
      <c r="GW88" t="e">
        <f>AND('GA55 Entry'!AB211,"AAAAADtWu8w=")</f>
        <v>#VALUE!</v>
      </c>
      <c r="GX88" t="e">
        <f>AND('GA55 Entry'!AC211,"AAAAADtWu80=")</f>
        <v>#VALUE!</v>
      </c>
      <c r="GY88" t="e">
        <f>AND('GA55 Entry'!#REF!,"AAAAADtWu84=")</f>
        <v>#REF!</v>
      </c>
      <c r="GZ88">
        <f>IF('GA55 Entry'!212:212,"AAAAADtWu88=",0)</f>
        <v>0</v>
      </c>
      <c r="HA88" t="e">
        <f>AND('GA55 Entry'!B212,"AAAAADtWu9A=")</f>
        <v>#VALUE!</v>
      </c>
      <c r="HB88" t="e">
        <f>AND('GA55 Entry'!#REF!,"AAAAADtWu9E=")</f>
        <v>#REF!</v>
      </c>
      <c r="HC88" t="e">
        <f>AND('GA55 Entry'!C212,"AAAAADtWu9I=")</f>
        <v>#VALUE!</v>
      </c>
      <c r="HD88" t="e">
        <f>AND('GA55 Entry'!#REF!,"AAAAADtWu9M=")</f>
        <v>#REF!</v>
      </c>
      <c r="HE88" t="e">
        <f>AND('GA55 Entry'!#REF!,"AAAAADtWu9Q=")</f>
        <v>#REF!</v>
      </c>
      <c r="HF88" t="e">
        <f>AND('GA55 Entry'!#REF!,"AAAAADtWu9U=")</f>
        <v>#REF!</v>
      </c>
      <c r="HG88" t="e">
        <f>AND('GA55 Entry'!#REF!,"AAAAADtWu9Y=")</f>
        <v>#REF!</v>
      </c>
      <c r="HH88" t="e">
        <f>AND('GA55 Entry'!#REF!,"AAAAADtWu9c=")</f>
        <v>#REF!</v>
      </c>
      <c r="HI88" t="e">
        <f>AND('GA55 Entry'!D212,"AAAAADtWu9g=")</f>
        <v>#VALUE!</v>
      </c>
      <c r="HJ88" t="e">
        <f>AND('GA55 Entry'!#REF!,"AAAAADtWu9k=")</f>
        <v>#REF!</v>
      </c>
      <c r="HK88" t="e">
        <f>AND('GA55 Entry'!E212,"AAAAADtWu9o=")</f>
        <v>#VALUE!</v>
      </c>
      <c r="HL88" t="e">
        <f>AND('GA55 Entry'!F212,"AAAAADtWu9s=")</f>
        <v>#VALUE!</v>
      </c>
      <c r="HM88" t="e">
        <f>AND('GA55 Entry'!G212,"AAAAADtWu9w=")</f>
        <v>#VALUE!</v>
      </c>
      <c r="HN88" t="e">
        <f>AND('GA55 Entry'!H212,"AAAAADtWu90=")</f>
        <v>#VALUE!</v>
      </c>
      <c r="HO88" t="e">
        <f>AND('GA55 Entry'!I212,"AAAAADtWu94=")</f>
        <v>#VALUE!</v>
      </c>
      <c r="HP88" t="e">
        <f>AND('GA55 Entry'!J212,"AAAAADtWu98=")</f>
        <v>#VALUE!</v>
      </c>
      <c r="HQ88" t="e">
        <f>AND('GA55 Entry'!#REF!,"AAAAADtWu+A=")</f>
        <v>#REF!</v>
      </c>
      <c r="HR88" t="e">
        <f>AND('GA55 Entry'!K212,"AAAAADtWu+E=")</f>
        <v>#VALUE!</v>
      </c>
      <c r="HS88" t="e">
        <f>AND('GA55 Entry'!L212,"AAAAADtWu+I=")</f>
        <v>#VALUE!</v>
      </c>
      <c r="HT88" t="e">
        <f>AND('GA55 Entry'!M212,"AAAAADtWu+M=")</f>
        <v>#VALUE!</v>
      </c>
      <c r="HU88" t="e">
        <f>AND('GA55 Entry'!N212,"AAAAADtWu+Q=")</f>
        <v>#VALUE!</v>
      </c>
      <c r="HV88" t="e">
        <f>AND('GA55 Entry'!O212,"AAAAADtWu+U=")</f>
        <v>#VALUE!</v>
      </c>
      <c r="HW88" t="e">
        <f>AND('GA55 Entry'!P212,"AAAAADtWu+Y=")</f>
        <v>#VALUE!</v>
      </c>
      <c r="HX88" t="e">
        <f>AND('GA55 Entry'!Q212,"AAAAADtWu+c=")</f>
        <v>#VALUE!</v>
      </c>
      <c r="HY88" t="e">
        <f>AND('GA55 Entry'!S212,"AAAAADtWu+g=")</f>
        <v>#VALUE!</v>
      </c>
      <c r="HZ88" t="e">
        <f>AND('GA55 Entry'!#REF!,"AAAAADtWu+k=")</f>
        <v>#REF!</v>
      </c>
      <c r="IA88" t="e">
        <f>AND('GA55 Entry'!T212,"AAAAADtWu+o=")</f>
        <v>#VALUE!</v>
      </c>
      <c r="IB88" t="e">
        <f>AND('GA55 Entry'!U212,"AAAAADtWu+s=")</f>
        <v>#VALUE!</v>
      </c>
      <c r="IC88" t="e">
        <f>AND('GA55 Entry'!V212,"AAAAADtWu+w=")</f>
        <v>#VALUE!</v>
      </c>
      <c r="ID88" t="e">
        <f>AND('GA55 Entry'!#REF!,"AAAAADtWu+0=")</f>
        <v>#REF!</v>
      </c>
      <c r="IE88" t="e">
        <f>AND('GA55 Entry'!#REF!,"AAAAADtWu+4=")</f>
        <v>#REF!</v>
      </c>
      <c r="IF88" t="e">
        <f>AND('GA55 Entry'!X212,"AAAAADtWu+8=")</f>
        <v>#VALUE!</v>
      </c>
      <c r="IG88" t="e">
        <f>AND('GA55 Entry'!Y212,"AAAAADtWu/A=")</f>
        <v>#VALUE!</v>
      </c>
      <c r="IH88" t="e">
        <f>AND('GA55 Entry'!#REF!,"AAAAADtWu/E=")</f>
        <v>#REF!</v>
      </c>
      <c r="II88" t="e">
        <f>AND('GA55 Entry'!#REF!,"AAAAADtWu/I=")</f>
        <v>#REF!</v>
      </c>
      <c r="IJ88" t="e">
        <f>AND('GA55 Entry'!#REF!,"AAAAADtWu/M=")</f>
        <v>#REF!</v>
      </c>
      <c r="IK88" t="e">
        <f>AND('GA55 Entry'!#REF!,"AAAAADtWu/Q=")</f>
        <v>#REF!</v>
      </c>
      <c r="IL88" t="e">
        <f>AND('GA55 Entry'!#REF!,"AAAAADtWu/U=")</f>
        <v>#REF!</v>
      </c>
      <c r="IM88" t="e">
        <f>AND('GA55 Entry'!#REF!,"AAAAADtWu/Y=")</f>
        <v>#REF!</v>
      </c>
      <c r="IN88" t="e">
        <f>AND('GA55 Entry'!#REF!,"AAAAADtWu/c=")</f>
        <v>#REF!</v>
      </c>
      <c r="IO88" t="e">
        <f>AND('GA55 Entry'!#REF!,"AAAAADtWu/g=")</f>
        <v>#REF!</v>
      </c>
      <c r="IP88" t="e">
        <f>AND('GA55 Entry'!#REF!,"AAAAADtWu/k=")</f>
        <v>#REF!</v>
      </c>
      <c r="IQ88" t="e">
        <f>AND('GA55 Entry'!Z212,"AAAAADtWu/o=")</f>
        <v>#VALUE!</v>
      </c>
      <c r="IR88" t="e">
        <f>AND('GA55 Entry'!AA212,"AAAAADtWu/s=")</f>
        <v>#VALUE!</v>
      </c>
      <c r="IS88" t="e">
        <f>AND('GA55 Entry'!#REF!,"AAAAADtWu/w=")</f>
        <v>#REF!</v>
      </c>
      <c r="IT88" t="e">
        <f>AND('GA55 Entry'!#REF!,"AAAAADtWu/0=")</f>
        <v>#REF!</v>
      </c>
      <c r="IU88" t="e">
        <f>AND('GA55 Entry'!#REF!,"AAAAADtWu/4=")</f>
        <v>#REF!</v>
      </c>
      <c r="IV88" t="e">
        <f>AND('GA55 Entry'!AB212,"AAAAADtWu/8=")</f>
        <v>#VALUE!</v>
      </c>
    </row>
    <row r="89" spans="1:256">
      <c r="A89" t="e">
        <f>AND('GA55 Entry'!AC212,"AAAAABdX3wA=")</f>
        <v>#VALUE!</v>
      </c>
      <c r="B89" t="e">
        <f>AND('GA55 Entry'!#REF!,"AAAAABdX3wE=")</f>
        <v>#REF!</v>
      </c>
      <c r="C89">
        <f>IF('GA55 Entry'!213:213,"AAAAABdX3wI=",0)</f>
        <v>0</v>
      </c>
      <c r="D89" t="e">
        <f>AND('GA55 Entry'!B213,"AAAAABdX3wM=")</f>
        <v>#VALUE!</v>
      </c>
      <c r="E89" t="e">
        <f>AND('GA55 Entry'!#REF!,"AAAAABdX3wQ=")</f>
        <v>#REF!</v>
      </c>
      <c r="F89" t="e">
        <f>AND('GA55 Entry'!C213,"AAAAABdX3wU=")</f>
        <v>#VALUE!</v>
      </c>
      <c r="G89" t="e">
        <f>AND('GA55 Entry'!#REF!,"AAAAABdX3wY=")</f>
        <v>#REF!</v>
      </c>
      <c r="H89" t="e">
        <f>AND('GA55 Entry'!#REF!,"AAAAABdX3wc=")</f>
        <v>#REF!</v>
      </c>
      <c r="I89" t="e">
        <f>AND('GA55 Entry'!#REF!,"AAAAABdX3wg=")</f>
        <v>#REF!</v>
      </c>
      <c r="J89" t="e">
        <f>AND('GA55 Entry'!#REF!,"AAAAABdX3wk=")</f>
        <v>#REF!</v>
      </c>
      <c r="K89" t="e">
        <f>AND('GA55 Entry'!#REF!,"AAAAABdX3wo=")</f>
        <v>#REF!</v>
      </c>
      <c r="L89" t="e">
        <f>AND('GA55 Entry'!D213,"AAAAABdX3ws=")</f>
        <v>#VALUE!</v>
      </c>
      <c r="M89" t="e">
        <f>AND('GA55 Entry'!#REF!,"AAAAABdX3ww=")</f>
        <v>#REF!</v>
      </c>
      <c r="N89" t="e">
        <f>AND('GA55 Entry'!E213,"AAAAABdX3w0=")</f>
        <v>#VALUE!</v>
      </c>
      <c r="O89" t="e">
        <f>AND('GA55 Entry'!F213,"AAAAABdX3w4=")</f>
        <v>#VALUE!</v>
      </c>
      <c r="P89" t="e">
        <f>AND('GA55 Entry'!G213,"AAAAABdX3w8=")</f>
        <v>#VALUE!</v>
      </c>
      <c r="Q89" t="e">
        <f>AND('GA55 Entry'!H213,"AAAAABdX3xA=")</f>
        <v>#VALUE!</v>
      </c>
      <c r="R89" t="e">
        <f>AND('GA55 Entry'!I213,"AAAAABdX3xE=")</f>
        <v>#VALUE!</v>
      </c>
      <c r="S89" t="e">
        <f>AND('GA55 Entry'!J213,"AAAAABdX3xI=")</f>
        <v>#VALUE!</v>
      </c>
      <c r="T89" t="e">
        <f>AND('GA55 Entry'!#REF!,"AAAAABdX3xM=")</f>
        <v>#REF!</v>
      </c>
      <c r="U89" t="e">
        <f>AND('GA55 Entry'!K213,"AAAAABdX3xQ=")</f>
        <v>#VALUE!</v>
      </c>
      <c r="V89" t="e">
        <f>AND('GA55 Entry'!L213,"AAAAABdX3xU=")</f>
        <v>#VALUE!</v>
      </c>
      <c r="W89" t="e">
        <f>AND('GA55 Entry'!M213,"AAAAABdX3xY=")</f>
        <v>#VALUE!</v>
      </c>
      <c r="X89" t="e">
        <f>AND('GA55 Entry'!N213,"AAAAABdX3xc=")</f>
        <v>#VALUE!</v>
      </c>
      <c r="Y89" t="e">
        <f>AND('GA55 Entry'!O213,"AAAAABdX3xg=")</f>
        <v>#VALUE!</v>
      </c>
      <c r="Z89" t="e">
        <f>AND('GA55 Entry'!P213,"AAAAABdX3xk=")</f>
        <v>#VALUE!</v>
      </c>
      <c r="AA89" t="e">
        <f>AND('GA55 Entry'!Q213,"AAAAABdX3xo=")</f>
        <v>#VALUE!</v>
      </c>
      <c r="AB89" t="e">
        <f>AND('GA55 Entry'!S213,"AAAAABdX3xs=")</f>
        <v>#VALUE!</v>
      </c>
      <c r="AC89" t="e">
        <f>AND('GA55 Entry'!#REF!,"AAAAABdX3xw=")</f>
        <v>#REF!</v>
      </c>
      <c r="AD89" t="e">
        <f>AND('GA55 Entry'!T213,"AAAAABdX3x0=")</f>
        <v>#VALUE!</v>
      </c>
      <c r="AE89" t="e">
        <f>AND('GA55 Entry'!U213,"AAAAABdX3x4=")</f>
        <v>#VALUE!</v>
      </c>
      <c r="AF89" t="e">
        <f>AND('GA55 Entry'!V213,"AAAAABdX3x8=")</f>
        <v>#VALUE!</v>
      </c>
      <c r="AG89" t="e">
        <f>AND('GA55 Entry'!#REF!,"AAAAABdX3yA=")</f>
        <v>#REF!</v>
      </c>
      <c r="AH89" t="e">
        <f>AND('GA55 Entry'!#REF!,"AAAAABdX3yE=")</f>
        <v>#REF!</v>
      </c>
      <c r="AI89" t="e">
        <f>AND('GA55 Entry'!X213,"AAAAABdX3yI=")</f>
        <v>#VALUE!</v>
      </c>
      <c r="AJ89" t="e">
        <f>AND('GA55 Entry'!Y213,"AAAAABdX3yM=")</f>
        <v>#VALUE!</v>
      </c>
      <c r="AK89" t="e">
        <f>AND('GA55 Entry'!#REF!,"AAAAABdX3yQ=")</f>
        <v>#REF!</v>
      </c>
      <c r="AL89" t="e">
        <f>AND('GA55 Entry'!#REF!,"AAAAABdX3yU=")</f>
        <v>#REF!</v>
      </c>
      <c r="AM89" t="e">
        <f>AND('GA55 Entry'!#REF!,"AAAAABdX3yY=")</f>
        <v>#REF!</v>
      </c>
      <c r="AN89" t="e">
        <f>AND('GA55 Entry'!#REF!,"AAAAABdX3yc=")</f>
        <v>#REF!</v>
      </c>
      <c r="AO89" t="e">
        <f>AND('GA55 Entry'!#REF!,"AAAAABdX3yg=")</f>
        <v>#REF!</v>
      </c>
      <c r="AP89" t="e">
        <f>AND('GA55 Entry'!#REF!,"AAAAABdX3yk=")</f>
        <v>#REF!</v>
      </c>
      <c r="AQ89" t="e">
        <f>AND('GA55 Entry'!#REF!,"AAAAABdX3yo=")</f>
        <v>#REF!</v>
      </c>
      <c r="AR89" t="e">
        <f>AND('GA55 Entry'!#REF!,"AAAAABdX3ys=")</f>
        <v>#REF!</v>
      </c>
      <c r="AS89" t="e">
        <f>AND('GA55 Entry'!#REF!,"AAAAABdX3yw=")</f>
        <v>#REF!</v>
      </c>
      <c r="AT89" t="e">
        <f>AND('GA55 Entry'!Z213,"AAAAABdX3y0=")</f>
        <v>#VALUE!</v>
      </c>
      <c r="AU89" t="e">
        <f>AND('GA55 Entry'!AA213,"AAAAABdX3y4=")</f>
        <v>#VALUE!</v>
      </c>
      <c r="AV89" t="e">
        <f>AND('GA55 Entry'!#REF!,"AAAAABdX3y8=")</f>
        <v>#REF!</v>
      </c>
      <c r="AW89" t="e">
        <f>AND('GA55 Entry'!#REF!,"AAAAABdX3zA=")</f>
        <v>#REF!</v>
      </c>
      <c r="AX89" t="e">
        <f>AND('GA55 Entry'!#REF!,"AAAAABdX3zE=")</f>
        <v>#REF!</v>
      </c>
      <c r="AY89" t="e">
        <f>AND('GA55 Entry'!AB213,"AAAAABdX3zI=")</f>
        <v>#VALUE!</v>
      </c>
      <c r="AZ89" t="e">
        <f>AND('GA55 Entry'!AC213,"AAAAABdX3zM=")</f>
        <v>#VALUE!</v>
      </c>
      <c r="BA89" t="e">
        <f>AND('GA55 Entry'!#REF!,"AAAAABdX3zQ=")</f>
        <v>#REF!</v>
      </c>
      <c r="BB89">
        <f>IF('GA55 Entry'!214:214,"AAAAABdX3zU=",0)</f>
        <v>0</v>
      </c>
      <c r="BC89" t="e">
        <f>AND('GA55 Entry'!B214,"AAAAABdX3zY=")</f>
        <v>#VALUE!</v>
      </c>
      <c r="BD89" t="e">
        <f>AND('GA55 Entry'!#REF!,"AAAAABdX3zc=")</f>
        <v>#REF!</v>
      </c>
      <c r="BE89" t="e">
        <f>AND('GA55 Entry'!C214,"AAAAABdX3zg=")</f>
        <v>#VALUE!</v>
      </c>
      <c r="BF89" t="e">
        <f>AND('GA55 Entry'!#REF!,"AAAAABdX3zk=")</f>
        <v>#REF!</v>
      </c>
      <c r="BG89" t="e">
        <f>AND('GA55 Entry'!#REF!,"AAAAABdX3zo=")</f>
        <v>#REF!</v>
      </c>
      <c r="BH89" t="e">
        <f>AND('GA55 Entry'!#REF!,"AAAAABdX3zs=")</f>
        <v>#REF!</v>
      </c>
      <c r="BI89" t="e">
        <f>AND('GA55 Entry'!#REF!,"AAAAABdX3zw=")</f>
        <v>#REF!</v>
      </c>
      <c r="BJ89" t="e">
        <f>AND('GA55 Entry'!#REF!,"AAAAABdX3z0=")</f>
        <v>#REF!</v>
      </c>
      <c r="BK89" t="e">
        <f>AND('GA55 Entry'!D214,"AAAAABdX3z4=")</f>
        <v>#VALUE!</v>
      </c>
      <c r="BL89" t="e">
        <f>AND('GA55 Entry'!#REF!,"AAAAABdX3z8=")</f>
        <v>#REF!</v>
      </c>
      <c r="BM89" t="e">
        <f>AND('GA55 Entry'!E214,"AAAAABdX30A=")</f>
        <v>#VALUE!</v>
      </c>
      <c r="BN89" t="e">
        <f>AND('GA55 Entry'!F214,"AAAAABdX30E=")</f>
        <v>#VALUE!</v>
      </c>
      <c r="BO89" t="e">
        <f>AND('GA55 Entry'!G214,"AAAAABdX30I=")</f>
        <v>#VALUE!</v>
      </c>
      <c r="BP89" t="e">
        <f>AND('GA55 Entry'!H214,"AAAAABdX30M=")</f>
        <v>#VALUE!</v>
      </c>
      <c r="BQ89" t="e">
        <f>AND('GA55 Entry'!I214,"AAAAABdX30Q=")</f>
        <v>#VALUE!</v>
      </c>
      <c r="BR89" t="e">
        <f>AND('GA55 Entry'!J214,"AAAAABdX30U=")</f>
        <v>#VALUE!</v>
      </c>
      <c r="BS89" t="e">
        <f>AND('GA55 Entry'!#REF!,"AAAAABdX30Y=")</f>
        <v>#REF!</v>
      </c>
      <c r="BT89" t="e">
        <f>AND('GA55 Entry'!K214,"AAAAABdX30c=")</f>
        <v>#VALUE!</v>
      </c>
      <c r="BU89" t="e">
        <f>AND('GA55 Entry'!L214,"AAAAABdX30g=")</f>
        <v>#VALUE!</v>
      </c>
      <c r="BV89" t="e">
        <f>AND('GA55 Entry'!M214,"AAAAABdX30k=")</f>
        <v>#VALUE!</v>
      </c>
      <c r="BW89" t="e">
        <f>AND('GA55 Entry'!N214,"AAAAABdX30o=")</f>
        <v>#VALUE!</v>
      </c>
      <c r="BX89" t="e">
        <f>AND('GA55 Entry'!O214,"AAAAABdX30s=")</f>
        <v>#VALUE!</v>
      </c>
      <c r="BY89" t="e">
        <f>AND('GA55 Entry'!P214,"AAAAABdX30w=")</f>
        <v>#VALUE!</v>
      </c>
      <c r="BZ89" t="e">
        <f>AND('GA55 Entry'!Q214,"AAAAABdX300=")</f>
        <v>#VALUE!</v>
      </c>
      <c r="CA89" t="e">
        <f>AND('GA55 Entry'!S214,"AAAAABdX304=")</f>
        <v>#VALUE!</v>
      </c>
      <c r="CB89" t="e">
        <f>AND('GA55 Entry'!#REF!,"AAAAABdX308=")</f>
        <v>#REF!</v>
      </c>
      <c r="CC89" t="e">
        <f>AND('GA55 Entry'!T214,"AAAAABdX31A=")</f>
        <v>#VALUE!</v>
      </c>
      <c r="CD89" t="e">
        <f>AND('GA55 Entry'!U214,"AAAAABdX31E=")</f>
        <v>#VALUE!</v>
      </c>
      <c r="CE89" t="e">
        <f>AND('GA55 Entry'!V214,"AAAAABdX31I=")</f>
        <v>#VALUE!</v>
      </c>
      <c r="CF89" t="e">
        <f>AND('GA55 Entry'!#REF!,"AAAAABdX31M=")</f>
        <v>#REF!</v>
      </c>
      <c r="CG89" t="e">
        <f>AND('GA55 Entry'!#REF!,"AAAAABdX31Q=")</f>
        <v>#REF!</v>
      </c>
      <c r="CH89" t="e">
        <f>AND('GA55 Entry'!X214,"AAAAABdX31U=")</f>
        <v>#VALUE!</v>
      </c>
      <c r="CI89" t="e">
        <f>AND('GA55 Entry'!Y214,"AAAAABdX31Y=")</f>
        <v>#VALUE!</v>
      </c>
      <c r="CJ89" t="e">
        <f>AND('GA55 Entry'!#REF!,"AAAAABdX31c=")</f>
        <v>#REF!</v>
      </c>
      <c r="CK89" t="e">
        <f>AND('GA55 Entry'!#REF!,"AAAAABdX31g=")</f>
        <v>#REF!</v>
      </c>
      <c r="CL89" t="e">
        <f>AND('GA55 Entry'!#REF!,"AAAAABdX31k=")</f>
        <v>#REF!</v>
      </c>
      <c r="CM89" t="e">
        <f>AND('GA55 Entry'!#REF!,"AAAAABdX31o=")</f>
        <v>#REF!</v>
      </c>
      <c r="CN89" t="e">
        <f>AND('GA55 Entry'!#REF!,"AAAAABdX31s=")</f>
        <v>#REF!</v>
      </c>
      <c r="CO89" t="e">
        <f>AND('GA55 Entry'!#REF!,"AAAAABdX31w=")</f>
        <v>#REF!</v>
      </c>
      <c r="CP89" t="e">
        <f>AND('GA55 Entry'!#REF!,"AAAAABdX310=")</f>
        <v>#REF!</v>
      </c>
      <c r="CQ89" t="e">
        <f>AND('GA55 Entry'!#REF!,"AAAAABdX314=")</f>
        <v>#REF!</v>
      </c>
      <c r="CR89" t="e">
        <f>AND('GA55 Entry'!#REF!,"AAAAABdX318=")</f>
        <v>#REF!</v>
      </c>
      <c r="CS89" t="e">
        <f>AND('GA55 Entry'!Z214,"AAAAABdX32A=")</f>
        <v>#VALUE!</v>
      </c>
      <c r="CT89" t="e">
        <f>AND('GA55 Entry'!AA214,"AAAAABdX32E=")</f>
        <v>#VALUE!</v>
      </c>
      <c r="CU89" t="e">
        <f>AND('GA55 Entry'!#REF!,"AAAAABdX32I=")</f>
        <v>#REF!</v>
      </c>
      <c r="CV89" t="e">
        <f>AND('GA55 Entry'!#REF!,"AAAAABdX32M=")</f>
        <v>#REF!</v>
      </c>
      <c r="CW89" t="e">
        <f>AND('GA55 Entry'!#REF!,"AAAAABdX32Q=")</f>
        <v>#REF!</v>
      </c>
      <c r="CX89" t="e">
        <f>AND('GA55 Entry'!AB214,"AAAAABdX32U=")</f>
        <v>#VALUE!</v>
      </c>
      <c r="CY89" t="e">
        <f>AND('GA55 Entry'!AC214,"AAAAABdX32Y=")</f>
        <v>#VALUE!</v>
      </c>
      <c r="CZ89" t="e">
        <f>AND('GA55 Entry'!#REF!,"AAAAABdX32c=")</f>
        <v>#REF!</v>
      </c>
      <c r="DA89">
        <f>IF('GA55 Entry'!215:215,"AAAAABdX32g=",0)</f>
        <v>0</v>
      </c>
      <c r="DB89" t="e">
        <f>AND('GA55 Entry'!B215,"AAAAABdX32k=")</f>
        <v>#VALUE!</v>
      </c>
      <c r="DC89" t="e">
        <f>AND('GA55 Entry'!#REF!,"AAAAABdX32o=")</f>
        <v>#REF!</v>
      </c>
      <c r="DD89" t="e">
        <f>AND('GA55 Entry'!C215,"AAAAABdX32s=")</f>
        <v>#VALUE!</v>
      </c>
      <c r="DE89" t="e">
        <f>AND('GA55 Entry'!#REF!,"AAAAABdX32w=")</f>
        <v>#REF!</v>
      </c>
      <c r="DF89" t="e">
        <f>AND('GA55 Entry'!#REF!,"AAAAABdX320=")</f>
        <v>#REF!</v>
      </c>
      <c r="DG89" t="e">
        <f>AND('GA55 Entry'!#REF!,"AAAAABdX324=")</f>
        <v>#REF!</v>
      </c>
      <c r="DH89" t="e">
        <f>AND('GA55 Entry'!#REF!,"AAAAABdX328=")</f>
        <v>#REF!</v>
      </c>
      <c r="DI89" t="e">
        <f>AND('GA55 Entry'!#REF!,"AAAAABdX33A=")</f>
        <v>#REF!</v>
      </c>
      <c r="DJ89" t="e">
        <f>AND('GA55 Entry'!D215,"AAAAABdX33E=")</f>
        <v>#VALUE!</v>
      </c>
      <c r="DK89" t="e">
        <f>AND('GA55 Entry'!#REF!,"AAAAABdX33I=")</f>
        <v>#REF!</v>
      </c>
      <c r="DL89" t="e">
        <f>AND('GA55 Entry'!E215,"AAAAABdX33M=")</f>
        <v>#VALUE!</v>
      </c>
      <c r="DM89" t="e">
        <f>AND('GA55 Entry'!F215,"AAAAABdX33Q=")</f>
        <v>#VALUE!</v>
      </c>
      <c r="DN89" t="e">
        <f>AND('GA55 Entry'!G215,"AAAAABdX33U=")</f>
        <v>#VALUE!</v>
      </c>
      <c r="DO89" t="e">
        <f>AND('GA55 Entry'!H215,"AAAAABdX33Y=")</f>
        <v>#VALUE!</v>
      </c>
      <c r="DP89" t="e">
        <f>AND('GA55 Entry'!I215,"AAAAABdX33c=")</f>
        <v>#VALUE!</v>
      </c>
      <c r="DQ89" t="e">
        <f>AND('GA55 Entry'!J215,"AAAAABdX33g=")</f>
        <v>#VALUE!</v>
      </c>
      <c r="DR89" t="e">
        <f>AND('GA55 Entry'!#REF!,"AAAAABdX33k=")</f>
        <v>#REF!</v>
      </c>
      <c r="DS89" t="e">
        <f>AND('GA55 Entry'!K215,"AAAAABdX33o=")</f>
        <v>#VALUE!</v>
      </c>
      <c r="DT89" t="e">
        <f>AND('GA55 Entry'!L215,"AAAAABdX33s=")</f>
        <v>#VALUE!</v>
      </c>
      <c r="DU89" t="e">
        <f>AND('GA55 Entry'!M215,"AAAAABdX33w=")</f>
        <v>#VALUE!</v>
      </c>
      <c r="DV89" t="e">
        <f>AND('GA55 Entry'!N215,"AAAAABdX330=")</f>
        <v>#VALUE!</v>
      </c>
      <c r="DW89" t="e">
        <f>AND('GA55 Entry'!O215,"AAAAABdX334=")</f>
        <v>#VALUE!</v>
      </c>
      <c r="DX89" t="e">
        <f>AND('GA55 Entry'!P215,"AAAAABdX338=")</f>
        <v>#VALUE!</v>
      </c>
      <c r="DY89" t="e">
        <f>AND('GA55 Entry'!Q215,"AAAAABdX34A=")</f>
        <v>#VALUE!</v>
      </c>
      <c r="DZ89" t="e">
        <f>AND('GA55 Entry'!S215,"AAAAABdX34E=")</f>
        <v>#VALUE!</v>
      </c>
      <c r="EA89" t="e">
        <f>AND('GA55 Entry'!#REF!,"AAAAABdX34I=")</f>
        <v>#REF!</v>
      </c>
      <c r="EB89" t="e">
        <f>AND('GA55 Entry'!T215,"AAAAABdX34M=")</f>
        <v>#VALUE!</v>
      </c>
      <c r="EC89" t="e">
        <f>AND('GA55 Entry'!U215,"AAAAABdX34Q=")</f>
        <v>#VALUE!</v>
      </c>
      <c r="ED89" t="e">
        <f>AND('GA55 Entry'!V215,"AAAAABdX34U=")</f>
        <v>#VALUE!</v>
      </c>
      <c r="EE89" t="e">
        <f>AND('GA55 Entry'!#REF!,"AAAAABdX34Y=")</f>
        <v>#REF!</v>
      </c>
      <c r="EF89" t="e">
        <f>AND('GA55 Entry'!#REF!,"AAAAABdX34c=")</f>
        <v>#REF!</v>
      </c>
      <c r="EG89" t="e">
        <f>AND('GA55 Entry'!X215,"AAAAABdX34g=")</f>
        <v>#VALUE!</v>
      </c>
      <c r="EH89" t="e">
        <f>AND('GA55 Entry'!Y215,"AAAAABdX34k=")</f>
        <v>#VALUE!</v>
      </c>
      <c r="EI89" t="e">
        <f>AND('GA55 Entry'!#REF!,"AAAAABdX34o=")</f>
        <v>#REF!</v>
      </c>
      <c r="EJ89" t="e">
        <f>AND('GA55 Entry'!#REF!,"AAAAABdX34s=")</f>
        <v>#REF!</v>
      </c>
      <c r="EK89" t="e">
        <f>AND('GA55 Entry'!#REF!,"AAAAABdX34w=")</f>
        <v>#REF!</v>
      </c>
      <c r="EL89" t="e">
        <f>AND('GA55 Entry'!#REF!,"AAAAABdX340=")</f>
        <v>#REF!</v>
      </c>
      <c r="EM89" t="e">
        <f>AND('GA55 Entry'!#REF!,"AAAAABdX344=")</f>
        <v>#REF!</v>
      </c>
      <c r="EN89" t="e">
        <f>AND('GA55 Entry'!#REF!,"AAAAABdX348=")</f>
        <v>#REF!</v>
      </c>
      <c r="EO89" t="e">
        <f>AND('GA55 Entry'!#REF!,"AAAAABdX35A=")</f>
        <v>#REF!</v>
      </c>
      <c r="EP89" t="e">
        <f>AND('GA55 Entry'!#REF!,"AAAAABdX35E=")</f>
        <v>#REF!</v>
      </c>
      <c r="EQ89" t="e">
        <f>AND('GA55 Entry'!#REF!,"AAAAABdX35I=")</f>
        <v>#REF!</v>
      </c>
      <c r="ER89" t="e">
        <f>AND('GA55 Entry'!Z215,"AAAAABdX35M=")</f>
        <v>#VALUE!</v>
      </c>
      <c r="ES89" t="e">
        <f>AND('GA55 Entry'!AA215,"AAAAABdX35Q=")</f>
        <v>#VALUE!</v>
      </c>
      <c r="ET89" t="e">
        <f>AND('GA55 Entry'!#REF!,"AAAAABdX35U=")</f>
        <v>#REF!</v>
      </c>
      <c r="EU89" t="e">
        <f>AND('GA55 Entry'!#REF!,"AAAAABdX35Y=")</f>
        <v>#REF!</v>
      </c>
      <c r="EV89" t="e">
        <f>AND('GA55 Entry'!#REF!,"AAAAABdX35c=")</f>
        <v>#REF!</v>
      </c>
      <c r="EW89" t="e">
        <f>AND('GA55 Entry'!AB215,"AAAAABdX35g=")</f>
        <v>#VALUE!</v>
      </c>
      <c r="EX89" t="e">
        <f>AND('GA55 Entry'!AC215,"AAAAABdX35k=")</f>
        <v>#VALUE!</v>
      </c>
      <c r="EY89" t="e">
        <f>AND('GA55 Entry'!#REF!,"AAAAABdX35o=")</f>
        <v>#REF!</v>
      </c>
      <c r="EZ89">
        <f>IF('GA55 Entry'!216:216,"AAAAABdX35s=",0)</f>
        <v>0</v>
      </c>
      <c r="FA89" t="e">
        <f>AND('GA55 Entry'!B216,"AAAAABdX35w=")</f>
        <v>#VALUE!</v>
      </c>
      <c r="FB89" t="e">
        <f>AND('GA55 Entry'!#REF!,"AAAAABdX350=")</f>
        <v>#REF!</v>
      </c>
      <c r="FC89" t="e">
        <f>AND('GA55 Entry'!C216,"AAAAABdX354=")</f>
        <v>#VALUE!</v>
      </c>
      <c r="FD89" t="e">
        <f>AND('GA55 Entry'!#REF!,"AAAAABdX358=")</f>
        <v>#REF!</v>
      </c>
      <c r="FE89" t="e">
        <f>AND('GA55 Entry'!#REF!,"AAAAABdX36A=")</f>
        <v>#REF!</v>
      </c>
      <c r="FF89" t="e">
        <f>AND('GA55 Entry'!#REF!,"AAAAABdX36E=")</f>
        <v>#REF!</v>
      </c>
      <c r="FG89" t="e">
        <f>AND('GA55 Entry'!#REF!,"AAAAABdX36I=")</f>
        <v>#REF!</v>
      </c>
      <c r="FH89" t="e">
        <f>AND('GA55 Entry'!#REF!,"AAAAABdX36M=")</f>
        <v>#REF!</v>
      </c>
      <c r="FI89" t="e">
        <f>AND('GA55 Entry'!D216,"AAAAABdX36Q=")</f>
        <v>#VALUE!</v>
      </c>
      <c r="FJ89" t="e">
        <f>AND('GA55 Entry'!#REF!,"AAAAABdX36U=")</f>
        <v>#REF!</v>
      </c>
      <c r="FK89" t="e">
        <f>AND('GA55 Entry'!E216,"AAAAABdX36Y=")</f>
        <v>#VALUE!</v>
      </c>
      <c r="FL89" t="e">
        <f>AND('GA55 Entry'!F216,"AAAAABdX36c=")</f>
        <v>#VALUE!</v>
      </c>
      <c r="FM89" t="e">
        <f>AND('GA55 Entry'!G216,"AAAAABdX36g=")</f>
        <v>#VALUE!</v>
      </c>
      <c r="FN89" t="e">
        <f>AND('GA55 Entry'!H216,"AAAAABdX36k=")</f>
        <v>#VALUE!</v>
      </c>
      <c r="FO89" t="e">
        <f>AND('GA55 Entry'!I216,"AAAAABdX36o=")</f>
        <v>#VALUE!</v>
      </c>
      <c r="FP89" t="e">
        <f>AND('GA55 Entry'!J216,"AAAAABdX36s=")</f>
        <v>#VALUE!</v>
      </c>
      <c r="FQ89" t="e">
        <f>AND('GA55 Entry'!#REF!,"AAAAABdX36w=")</f>
        <v>#REF!</v>
      </c>
      <c r="FR89" t="e">
        <f>AND('GA55 Entry'!K216,"AAAAABdX360=")</f>
        <v>#VALUE!</v>
      </c>
      <c r="FS89" t="e">
        <f>AND('GA55 Entry'!L216,"AAAAABdX364=")</f>
        <v>#VALUE!</v>
      </c>
      <c r="FT89" t="e">
        <f>AND('GA55 Entry'!M216,"AAAAABdX368=")</f>
        <v>#VALUE!</v>
      </c>
      <c r="FU89" t="e">
        <f>AND('GA55 Entry'!N216,"AAAAABdX37A=")</f>
        <v>#VALUE!</v>
      </c>
      <c r="FV89" t="e">
        <f>AND('GA55 Entry'!O216,"AAAAABdX37E=")</f>
        <v>#VALUE!</v>
      </c>
      <c r="FW89" t="e">
        <f>AND('GA55 Entry'!P216,"AAAAABdX37I=")</f>
        <v>#VALUE!</v>
      </c>
      <c r="FX89" t="e">
        <f>AND('GA55 Entry'!Q216,"AAAAABdX37M=")</f>
        <v>#VALUE!</v>
      </c>
      <c r="FY89" t="e">
        <f>AND('GA55 Entry'!S216,"AAAAABdX37Q=")</f>
        <v>#VALUE!</v>
      </c>
      <c r="FZ89" t="e">
        <f>AND('GA55 Entry'!#REF!,"AAAAABdX37U=")</f>
        <v>#REF!</v>
      </c>
      <c r="GA89" t="e">
        <f>AND('GA55 Entry'!T216,"AAAAABdX37Y=")</f>
        <v>#VALUE!</v>
      </c>
      <c r="GB89" t="e">
        <f>AND('GA55 Entry'!U216,"AAAAABdX37c=")</f>
        <v>#VALUE!</v>
      </c>
      <c r="GC89" t="e">
        <f>AND('GA55 Entry'!V216,"AAAAABdX37g=")</f>
        <v>#VALUE!</v>
      </c>
      <c r="GD89" t="e">
        <f>AND('GA55 Entry'!#REF!,"AAAAABdX37k=")</f>
        <v>#REF!</v>
      </c>
      <c r="GE89" t="e">
        <f>AND('GA55 Entry'!#REF!,"AAAAABdX37o=")</f>
        <v>#REF!</v>
      </c>
      <c r="GF89" t="e">
        <f>AND('GA55 Entry'!X216,"AAAAABdX37s=")</f>
        <v>#VALUE!</v>
      </c>
      <c r="GG89" t="e">
        <f>AND('GA55 Entry'!Y216,"AAAAABdX37w=")</f>
        <v>#VALUE!</v>
      </c>
      <c r="GH89" t="e">
        <f>AND('GA55 Entry'!#REF!,"AAAAABdX370=")</f>
        <v>#REF!</v>
      </c>
      <c r="GI89" t="e">
        <f>AND('GA55 Entry'!#REF!,"AAAAABdX374=")</f>
        <v>#REF!</v>
      </c>
      <c r="GJ89" t="e">
        <f>AND('GA55 Entry'!#REF!,"AAAAABdX378=")</f>
        <v>#REF!</v>
      </c>
      <c r="GK89" t="e">
        <f>AND('GA55 Entry'!#REF!,"AAAAABdX38A=")</f>
        <v>#REF!</v>
      </c>
      <c r="GL89" t="e">
        <f>AND('GA55 Entry'!#REF!,"AAAAABdX38E=")</f>
        <v>#REF!</v>
      </c>
      <c r="GM89" t="e">
        <f>AND('GA55 Entry'!#REF!,"AAAAABdX38I=")</f>
        <v>#REF!</v>
      </c>
      <c r="GN89" t="e">
        <f>AND('GA55 Entry'!#REF!,"AAAAABdX38M=")</f>
        <v>#REF!</v>
      </c>
      <c r="GO89" t="e">
        <f>AND('GA55 Entry'!#REF!,"AAAAABdX38Q=")</f>
        <v>#REF!</v>
      </c>
      <c r="GP89" t="e">
        <f>AND('GA55 Entry'!#REF!,"AAAAABdX38U=")</f>
        <v>#REF!</v>
      </c>
      <c r="GQ89" t="e">
        <f>AND('GA55 Entry'!Z216,"AAAAABdX38Y=")</f>
        <v>#VALUE!</v>
      </c>
      <c r="GR89" t="e">
        <f>AND('GA55 Entry'!AA216,"AAAAABdX38c=")</f>
        <v>#VALUE!</v>
      </c>
      <c r="GS89" t="e">
        <f>AND('GA55 Entry'!#REF!,"AAAAABdX38g=")</f>
        <v>#REF!</v>
      </c>
      <c r="GT89" t="e">
        <f>AND('GA55 Entry'!#REF!,"AAAAABdX38k=")</f>
        <v>#REF!</v>
      </c>
      <c r="GU89" t="e">
        <f>AND('GA55 Entry'!#REF!,"AAAAABdX38o=")</f>
        <v>#REF!</v>
      </c>
      <c r="GV89" t="e">
        <f>AND('GA55 Entry'!AB216,"AAAAABdX38s=")</f>
        <v>#VALUE!</v>
      </c>
      <c r="GW89" t="e">
        <f>AND('GA55 Entry'!AC216,"AAAAABdX38w=")</f>
        <v>#VALUE!</v>
      </c>
      <c r="GX89" t="e">
        <f>AND('GA55 Entry'!#REF!,"AAAAABdX380=")</f>
        <v>#REF!</v>
      </c>
      <c r="GY89">
        <f>IF('GA55 Entry'!217:217,"AAAAABdX384=",0)</f>
        <v>0</v>
      </c>
      <c r="GZ89" t="e">
        <f>AND('GA55 Entry'!B217,"AAAAABdX388=")</f>
        <v>#VALUE!</v>
      </c>
      <c r="HA89" t="e">
        <f>AND('GA55 Entry'!#REF!,"AAAAABdX39A=")</f>
        <v>#REF!</v>
      </c>
      <c r="HB89" t="e">
        <f>AND('GA55 Entry'!C217,"AAAAABdX39E=")</f>
        <v>#VALUE!</v>
      </c>
      <c r="HC89" t="e">
        <f>AND('GA55 Entry'!#REF!,"AAAAABdX39I=")</f>
        <v>#REF!</v>
      </c>
      <c r="HD89" t="e">
        <f>AND('GA55 Entry'!#REF!,"AAAAABdX39M=")</f>
        <v>#REF!</v>
      </c>
      <c r="HE89" t="e">
        <f>AND('GA55 Entry'!#REF!,"AAAAABdX39Q=")</f>
        <v>#REF!</v>
      </c>
      <c r="HF89" t="e">
        <f>AND('GA55 Entry'!#REF!,"AAAAABdX39U=")</f>
        <v>#REF!</v>
      </c>
      <c r="HG89" t="e">
        <f>AND('GA55 Entry'!#REF!,"AAAAABdX39Y=")</f>
        <v>#REF!</v>
      </c>
      <c r="HH89" t="e">
        <f>AND('GA55 Entry'!D217,"AAAAABdX39c=")</f>
        <v>#VALUE!</v>
      </c>
      <c r="HI89" t="e">
        <f>AND('GA55 Entry'!#REF!,"AAAAABdX39g=")</f>
        <v>#REF!</v>
      </c>
      <c r="HJ89" t="e">
        <f>AND('GA55 Entry'!E217,"AAAAABdX39k=")</f>
        <v>#VALUE!</v>
      </c>
      <c r="HK89" t="e">
        <f>AND('GA55 Entry'!F217,"AAAAABdX39o=")</f>
        <v>#VALUE!</v>
      </c>
      <c r="HL89" t="e">
        <f>AND('GA55 Entry'!G217,"AAAAABdX39s=")</f>
        <v>#VALUE!</v>
      </c>
      <c r="HM89" t="e">
        <f>AND('GA55 Entry'!H217,"AAAAABdX39w=")</f>
        <v>#VALUE!</v>
      </c>
      <c r="HN89" t="e">
        <f>AND('GA55 Entry'!I217,"AAAAABdX390=")</f>
        <v>#VALUE!</v>
      </c>
      <c r="HO89" t="e">
        <f>AND('GA55 Entry'!J217,"AAAAABdX394=")</f>
        <v>#VALUE!</v>
      </c>
      <c r="HP89" t="e">
        <f>AND('GA55 Entry'!#REF!,"AAAAABdX398=")</f>
        <v>#REF!</v>
      </c>
      <c r="HQ89" t="e">
        <f>AND('GA55 Entry'!K217,"AAAAABdX3+A=")</f>
        <v>#VALUE!</v>
      </c>
      <c r="HR89" t="e">
        <f>AND('GA55 Entry'!L217,"AAAAABdX3+E=")</f>
        <v>#VALUE!</v>
      </c>
      <c r="HS89" t="e">
        <f>AND('GA55 Entry'!M217,"AAAAABdX3+I=")</f>
        <v>#VALUE!</v>
      </c>
      <c r="HT89" t="e">
        <f>AND('GA55 Entry'!N217,"AAAAABdX3+M=")</f>
        <v>#VALUE!</v>
      </c>
      <c r="HU89" t="e">
        <f>AND('GA55 Entry'!O217,"AAAAABdX3+Q=")</f>
        <v>#VALUE!</v>
      </c>
      <c r="HV89" t="e">
        <f>AND('GA55 Entry'!P217,"AAAAABdX3+U=")</f>
        <v>#VALUE!</v>
      </c>
      <c r="HW89" t="e">
        <f>AND('GA55 Entry'!Q217,"AAAAABdX3+Y=")</f>
        <v>#VALUE!</v>
      </c>
      <c r="HX89" t="e">
        <f>AND('GA55 Entry'!S217,"AAAAABdX3+c=")</f>
        <v>#VALUE!</v>
      </c>
      <c r="HY89" t="e">
        <f>AND('GA55 Entry'!#REF!,"AAAAABdX3+g=")</f>
        <v>#REF!</v>
      </c>
      <c r="HZ89" t="e">
        <f>AND('GA55 Entry'!T217,"AAAAABdX3+k=")</f>
        <v>#VALUE!</v>
      </c>
      <c r="IA89" t="e">
        <f>AND('GA55 Entry'!U217,"AAAAABdX3+o=")</f>
        <v>#VALUE!</v>
      </c>
      <c r="IB89" t="e">
        <f>AND('GA55 Entry'!V217,"AAAAABdX3+s=")</f>
        <v>#VALUE!</v>
      </c>
      <c r="IC89" t="e">
        <f>AND('GA55 Entry'!#REF!,"AAAAABdX3+w=")</f>
        <v>#REF!</v>
      </c>
      <c r="ID89" t="e">
        <f>AND('GA55 Entry'!#REF!,"AAAAABdX3+0=")</f>
        <v>#REF!</v>
      </c>
      <c r="IE89" t="e">
        <f>AND('GA55 Entry'!X217,"AAAAABdX3+4=")</f>
        <v>#VALUE!</v>
      </c>
      <c r="IF89" t="e">
        <f>AND('GA55 Entry'!Y217,"AAAAABdX3+8=")</f>
        <v>#VALUE!</v>
      </c>
      <c r="IG89" t="e">
        <f>AND('GA55 Entry'!#REF!,"AAAAABdX3/A=")</f>
        <v>#REF!</v>
      </c>
      <c r="IH89" t="e">
        <f>AND('GA55 Entry'!#REF!,"AAAAABdX3/E=")</f>
        <v>#REF!</v>
      </c>
      <c r="II89" t="e">
        <f>AND('GA55 Entry'!#REF!,"AAAAABdX3/I=")</f>
        <v>#REF!</v>
      </c>
      <c r="IJ89" t="e">
        <f>AND('GA55 Entry'!#REF!,"AAAAABdX3/M=")</f>
        <v>#REF!</v>
      </c>
      <c r="IK89" t="e">
        <f>AND('GA55 Entry'!#REF!,"AAAAABdX3/Q=")</f>
        <v>#REF!</v>
      </c>
      <c r="IL89" t="e">
        <f>AND('GA55 Entry'!#REF!,"AAAAABdX3/U=")</f>
        <v>#REF!</v>
      </c>
      <c r="IM89" t="e">
        <f>AND('GA55 Entry'!#REF!,"AAAAABdX3/Y=")</f>
        <v>#REF!</v>
      </c>
      <c r="IN89" t="e">
        <f>AND('GA55 Entry'!#REF!,"AAAAABdX3/c=")</f>
        <v>#REF!</v>
      </c>
      <c r="IO89" t="e">
        <f>AND('GA55 Entry'!#REF!,"AAAAABdX3/g=")</f>
        <v>#REF!</v>
      </c>
      <c r="IP89" t="e">
        <f>AND('GA55 Entry'!Z217,"AAAAABdX3/k=")</f>
        <v>#VALUE!</v>
      </c>
      <c r="IQ89" t="e">
        <f>AND('GA55 Entry'!AA217,"AAAAABdX3/o=")</f>
        <v>#VALUE!</v>
      </c>
      <c r="IR89" t="e">
        <f>AND('GA55 Entry'!#REF!,"AAAAABdX3/s=")</f>
        <v>#REF!</v>
      </c>
      <c r="IS89" t="e">
        <f>AND('GA55 Entry'!#REF!,"AAAAABdX3/w=")</f>
        <v>#REF!</v>
      </c>
      <c r="IT89" t="e">
        <f>AND('GA55 Entry'!#REF!,"AAAAABdX3/0=")</f>
        <v>#REF!</v>
      </c>
      <c r="IU89" t="e">
        <f>AND('GA55 Entry'!AB217,"AAAAABdX3/4=")</f>
        <v>#VALUE!</v>
      </c>
      <c r="IV89" t="e">
        <f>AND('GA55 Entry'!AC217,"AAAAABdX3/8=")</f>
        <v>#VALUE!</v>
      </c>
    </row>
    <row r="90" spans="1:256">
      <c r="A90" t="e">
        <f>AND('GA55 Entry'!#REF!,"AAAAAHfbXwA=")</f>
        <v>#REF!</v>
      </c>
      <c r="B90">
        <f>IF('GA55 Entry'!218:218,"AAAAAHfbXwE=",0)</f>
        <v>0</v>
      </c>
      <c r="C90" t="e">
        <f>AND('GA55 Entry'!B218,"AAAAAHfbXwI=")</f>
        <v>#VALUE!</v>
      </c>
      <c r="D90" t="e">
        <f>AND('GA55 Entry'!#REF!,"AAAAAHfbXwM=")</f>
        <v>#REF!</v>
      </c>
      <c r="E90" t="e">
        <f>AND('GA55 Entry'!C218,"AAAAAHfbXwQ=")</f>
        <v>#VALUE!</v>
      </c>
      <c r="F90" t="e">
        <f>AND('GA55 Entry'!#REF!,"AAAAAHfbXwU=")</f>
        <v>#REF!</v>
      </c>
      <c r="G90" t="e">
        <f>AND('GA55 Entry'!#REF!,"AAAAAHfbXwY=")</f>
        <v>#REF!</v>
      </c>
      <c r="H90" t="e">
        <f>AND('GA55 Entry'!#REF!,"AAAAAHfbXwc=")</f>
        <v>#REF!</v>
      </c>
      <c r="I90" t="e">
        <f>AND('GA55 Entry'!#REF!,"AAAAAHfbXwg=")</f>
        <v>#REF!</v>
      </c>
      <c r="J90" t="e">
        <f>AND('GA55 Entry'!#REF!,"AAAAAHfbXwk=")</f>
        <v>#REF!</v>
      </c>
      <c r="K90" t="e">
        <f>AND('GA55 Entry'!D218,"AAAAAHfbXwo=")</f>
        <v>#VALUE!</v>
      </c>
      <c r="L90" t="e">
        <f>AND('GA55 Entry'!#REF!,"AAAAAHfbXws=")</f>
        <v>#REF!</v>
      </c>
      <c r="M90" t="e">
        <f>AND('GA55 Entry'!E218,"AAAAAHfbXww=")</f>
        <v>#VALUE!</v>
      </c>
      <c r="N90" t="e">
        <f>AND('GA55 Entry'!F218,"AAAAAHfbXw0=")</f>
        <v>#VALUE!</v>
      </c>
      <c r="O90" t="e">
        <f>AND('GA55 Entry'!G218,"AAAAAHfbXw4=")</f>
        <v>#VALUE!</v>
      </c>
      <c r="P90" t="e">
        <f>AND('GA55 Entry'!H218,"AAAAAHfbXw8=")</f>
        <v>#VALUE!</v>
      </c>
      <c r="Q90" t="e">
        <f>AND('GA55 Entry'!I218,"AAAAAHfbXxA=")</f>
        <v>#VALUE!</v>
      </c>
      <c r="R90" t="e">
        <f>AND('GA55 Entry'!J218,"AAAAAHfbXxE=")</f>
        <v>#VALUE!</v>
      </c>
      <c r="S90" t="e">
        <f>AND('GA55 Entry'!#REF!,"AAAAAHfbXxI=")</f>
        <v>#REF!</v>
      </c>
      <c r="T90" t="e">
        <f>AND('GA55 Entry'!K218,"AAAAAHfbXxM=")</f>
        <v>#VALUE!</v>
      </c>
      <c r="U90" t="e">
        <f>AND('GA55 Entry'!L218,"AAAAAHfbXxQ=")</f>
        <v>#VALUE!</v>
      </c>
      <c r="V90" t="e">
        <f>AND('GA55 Entry'!M218,"AAAAAHfbXxU=")</f>
        <v>#VALUE!</v>
      </c>
      <c r="W90" t="e">
        <f>AND('GA55 Entry'!N218,"AAAAAHfbXxY=")</f>
        <v>#VALUE!</v>
      </c>
      <c r="X90" t="e">
        <f>AND('GA55 Entry'!O218,"AAAAAHfbXxc=")</f>
        <v>#VALUE!</v>
      </c>
      <c r="Y90" t="e">
        <f>AND('GA55 Entry'!P218,"AAAAAHfbXxg=")</f>
        <v>#VALUE!</v>
      </c>
      <c r="Z90" t="e">
        <f>AND('GA55 Entry'!Q218,"AAAAAHfbXxk=")</f>
        <v>#VALUE!</v>
      </c>
      <c r="AA90" t="e">
        <f>AND('GA55 Entry'!S218,"AAAAAHfbXxo=")</f>
        <v>#VALUE!</v>
      </c>
      <c r="AB90" t="e">
        <f>AND('GA55 Entry'!#REF!,"AAAAAHfbXxs=")</f>
        <v>#REF!</v>
      </c>
      <c r="AC90" t="e">
        <f>AND('GA55 Entry'!T218,"AAAAAHfbXxw=")</f>
        <v>#VALUE!</v>
      </c>
      <c r="AD90" t="e">
        <f>AND('GA55 Entry'!U218,"AAAAAHfbXx0=")</f>
        <v>#VALUE!</v>
      </c>
      <c r="AE90" t="e">
        <f>AND('GA55 Entry'!V218,"AAAAAHfbXx4=")</f>
        <v>#VALUE!</v>
      </c>
      <c r="AF90" t="e">
        <f>AND('GA55 Entry'!#REF!,"AAAAAHfbXx8=")</f>
        <v>#REF!</v>
      </c>
      <c r="AG90" t="e">
        <f>AND('GA55 Entry'!#REF!,"AAAAAHfbXyA=")</f>
        <v>#REF!</v>
      </c>
      <c r="AH90" t="e">
        <f>AND('GA55 Entry'!X218,"AAAAAHfbXyE=")</f>
        <v>#VALUE!</v>
      </c>
      <c r="AI90" t="e">
        <f>AND('GA55 Entry'!Y218,"AAAAAHfbXyI=")</f>
        <v>#VALUE!</v>
      </c>
      <c r="AJ90" t="e">
        <f>AND('GA55 Entry'!#REF!,"AAAAAHfbXyM=")</f>
        <v>#REF!</v>
      </c>
      <c r="AK90" t="e">
        <f>AND('GA55 Entry'!#REF!,"AAAAAHfbXyQ=")</f>
        <v>#REF!</v>
      </c>
      <c r="AL90" t="e">
        <f>AND('GA55 Entry'!#REF!,"AAAAAHfbXyU=")</f>
        <v>#REF!</v>
      </c>
      <c r="AM90" t="e">
        <f>AND('GA55 Entry'!#REF!,"AAAAAHfbXyY=")</f>
        <v>#REF!</v>
      </c>
      <c r="AN90" t="e">
        <f>AND('GA55 Entry'!#REF!,"AAAAAHfbXyc=")</f>
        <v>#REF!</v>
      </c>
      <c r="AO90" t="e">
        <f>AND('GA55 Entry'!#REF!,"AAAAAHfbXyg=")</f>
        <v>#REF!</v>
      </c>
      <c r="AP90" t="e">
        <f>AND('GA55 Entry'!#REF!,"AAAAAHfbXyk=")</f>
        <v>#REF!</v>
      </c>
      <c r="AQ90" t="e">
        <f>AND('GA55 Entry'!#REF!,"AAAAAHfbXyo=")</f>
        <v>#REF!</v>
      </c>
      <c r="AR90" t="e">
        <f>AND('GA55 Entry'!#REF!,"AAAAAHfbXys=")</f>
        <v>#REF!</v>
      </c>
      <c r="AS90" t="e">
        <f>AND('GA55 Entry'!Z218,"AAAAAHfbXyw=")</f>
        <v>#VALUE!</v>
      </c>
      <c r="AT90" t="e">
        <f>AND('GA55 Entry'!AA218,"AAAAAHfbXy0=")</f>
        <v>#VALUE!</v>
      </c>
      <c r="AU90" t="e">
        <f>AND('GA55 Entry'!#REF!,"AAAAAHfbXy4=")</f>
        <v>#REF!</v>
      </c>
      <c r="AV90" t="e">
        <f>AND('GA55 Entry'!#REF!,"AAAAAHfbXy8=")</f>
        <v>#REF!</v>
      </c>
      <c r="AW90" t="e">
        <f>AND('GA55 Entry'!#REF!,"AAAAAHfbXzA=")</f>
        <v>#REF!</v>
      </c>
      <c r="AX90" t="e">
        <f>AND('GA55 Entry'!AB218,"AAAAAHfbXzE=")</f>
        <v>#VALUE!</v>
      </c>
      <c r="AY90" t="e">
        <f>AND('GA55 Entry'!AC218,"AAAAAHfbXzI=")</f>
        <v>#VALUE!</v>
      </c>
      <c r="AZ90" t="e">
        <f>AND('GA55 Entry'!#REF!,"AAAAAHfbXzM=")</f>
        <v>#REF!</v>
      </c>
      <c r="BA90">
        <f>IF('GA55 Entry'!219:219,"AAAAAHfbXzQ=",0)</f>
        <v>0</v>
      </c>
      <c r="BB90" t="e">
        <f>AND('GA55 Entry'!B219,"AAAAAHfbXzU=")</f>
        <v>#VALUE!</v>
      </c>
      <c r="BC90" t="e">
        <f>AND('GA55 Entry'!#REF!,"AAAAAHfbXzY=")</f>
        <v>#REF!</v>
      </c>
      <c r="BD90" t="e">
        <f>AND('GA55 Entry'!C219,"AAAAAHfbXzc=")</f>
        <v>#VALUE!</v>
      </c>
      <c r="BE90" t="e">
        <f>AND('GA55 Entry'!#REF!,"AAAAAHfbXzg=")</f>
        <v>#REF!</v>
      </c>
      <c r="BF90" t="e">
        <f>AND('GA55 Entry'!#REF!,"AAAAAHfbXzk=")</f>
        <v>#REF!</v>
      </c>
      <c r="BG90" t="e">
        <f>AND('GA55 Entry'!#REF!,"AAAAAHfbXzo=")</f>
        <v>#REF!</v>
      </c>
      <c r="BH90" t="e">
        <f>AND('GA55 Entry'!#REF!,"AAAAAHfbXzs=")</f>
        <v>#REF!</v>
      </c>
      <c r="BI90" t="e">
        <f>AND('GA55 Entry'!#REF!,"AAAAAHfbXzw=")</f>
        <v>#REF!</v>
      </c>
      <c r="BJ90" t="e">
        <f>AND('GA55 Entry'!D219,"AAAAAHfbXz0=")</f>
        <v>#VALUE!</v>
      </c>
      <c r="BK90" t="e">
        <f>AND('GA55 Entry'!#REF!,"AAAAAHfbXz4=")</f>
        <v>#REF!</v>
      </c>
      <c r="BL90" t="e">
        <f>AND('GA55 Entry'!E219,"AAAAAHfbXz8=")</f>
        <v>#VALUE!</v>
      </c>
      <c r="BM90" t="e">
        <f>AND('GA55 Entry'!F219,"AAAAAHfbX0A=")</f>
        <v>#VALUE!</v>
      </c>
      <c r="BN90" t="e">
        <f>AND('GA55 Entry'!G219,"AAAAAHfbX0E=")</f>
        <v>#VALUE!</v>
      </c>
      <c r="BO90" t="e">
        <f>AND('GA55 Entry'!H219,"AAAAAHfbX0I=")</f>
        <v>#VALUE!</v>
      </c>
      <c r="BP90" t="e">
        <f>AND('GA55 Entry'!I219,"AAAAAHfbX0M=")</f>
        <v>#VALUE!</v>
      </c>
      <c r="BQ90" t="e">
        <f>AND('GA55 Entry'!J219,"AAAAAHfbX0Q=")</f>
        <v>#VALUE!</v>
      </c>
      <c r="BR90" t="e">
        <f>AND('GA55 Entry'!#REF!,"AAAAAHfbX0U=")</f>
        <v>#REF!</v>
      </c>
      <c r="BS90" t="e">
        <f>AND('GA55 Entry'!K219,"AAAAAHfbX0Y=")</f>
        <v>#VALUE!</v>
      </c>
      <c r="BT90" t="e">
        <f>AND('GA55 Entry'!L219,"AAAAAHfbX0c=")</f>
        <v>#VALUE!</v>
      </c>
      <c r="BU90" t="e">
        <f>AND('GA55 Entry'!M219,"AAAAAHfbX0g=")</f>
        <v>#VALUE!</v>
      </c>
      <c r="BV90" t="e">
        <f>AND('GA55 Entry'!N219,"AAAAAHfbX0k=")</f>
        <v>#VALUE!</v>
      </c>
      <c r="BW90" t="e">
        <f>AND('GA55 Entry'!O219,"AAAAAHfbX0o=")</f>
        <v>#VALUE!</v>
      </c>
      <c r="BX90" t="e">
        <f>AND('GA55 Entry'!P219,"AAAAAHfbX0s=")</f>
        <v>#VALUE!</v>
      </c>
      <c r="BY90" t="e">
        <f>AND('GA55 Entry'!Q219,"AAAAAHfbX0w=")</f>
        <v>#VALUE!</v>
      </c>
      <c r="BZ90" t="e">
        <f>AND('GA55 Entry'!S219,"AAAAAHfbX00=")</f>
        <v>#VALUE!</v>
      </c>
      <c r="CA90" t="e">
        <f>AND('GA55 Entry'!#REF!,"AAAAAHfbX04=")</f>
        <v>#REF!</v>
      </c>
      <c r="CB90" t="e">
        <f>AND('GA55 Entry'!T219,"AAAAAHfbX08=")</f>
        <v>#VALUE!</v>
      </c>
      <c r="CC90" t="e">
        <f>AND('GA55 Entry'!U219,"AAAAAHfbX1A=")</f>
        <v>#VALUE!</v>
      </c>
      <c r="CD90" t="e">
        <f>AND('GA55 Entry'!V219,"AAAAAHfbX1E=")</f>
        <v>#VALUE!</v>
      </c>
      <c r="CE90" t="e">
        <f>AND('GA55 Entry'!#REF!,"AAAAAHfbX1I=")</f>
        <v>#REF!</v>
      </c>
      <c r="CF90" t="e">
        <f>AND('GA55 Entry'!#REF!,"AAAAAHfbX1M=")</f>
        <v>#REF!</v>
      </c>
      <c r="CG90" t="e">
        <f>AND('GA55 Entry'!X219,"AAAAAHfbX1Q=")</f>
        <v>#VALUE!</v>
      </c>
      <c r="CH90" t="e">
        <f>AND('GA55 Entry'!Y219,"AAAAAHfbX1U=")</f>
        <v>#VALUE!</v>
      </c>
      <c r="CI90" t="e">
        <f>AND('GA55 Entry'!#REF!,"AAAAAHfbX1Y=")</f>
        <v>#REF!</v>
      </c>
      <c r="CJ90" t="e">
        <f>AND('GA55 Entry'!#REF!,"AAAAAHfbX1c=")</f>
        <v>#REF!</v>
      </c>
      <c r="CK90" t="e">
        <f>AND('GA55 Entry'!#REF!,"AAAAAHfbX1g=")</f>
        <v>#REF!</v>
      </c>
      <c r="CL90" t="e">
        <f>AND('GA55 Entry'!#REF!,"AAAAAHfbX1k=")</f>
        <v>#REF!</v>
      </c>
      <c r="CM90" t="e">
        <f>AND('GA55 Entry'!#REF!,"AAAAAHfbX1o=")</f>
        <v>#REF!</v>
      </c>
      <c r="CN90" t="e">
        <f>AND('GA55 Entry'!#REF!,"AAAAAHfbX1s=")</f>
        <v>#REF!</v>
      </c>
      <c r="CO90" t="e">
        <f>AND('GA55 Entry'!#REF!,"AAAAAHfbX1w=")</f>
        <v>#REF!</v>
      </c>
      <c r="CP90" t="e">
        <f>AND('GA55 Entry'!#REF!,"AAAAAHfbX10=")</f>
        <v>#REF!</v>
      </c>
      <c r="CQ90" t="e">
        <f>AND('GA55 Entry'!#REF!,"AAAAAHfbX14=")</f>
        <v>#REF!</v>
      </c>
      <c r="CR90" t="e">
        <f>AND('GA55 Entry'!Z219,"AAAAAHfbX18=")</f>
        <v>#VALUE!</v>
      </c>
      <c r="CS90" t="e">
        <f>AND('GA55 Entry'!AA219,"AAAAAHfbX2A=")</f>
        <v>#VALUE!</v>
      </c>
      <c r="CT90" t="e">
        <f>AND('GA55 Entry'!#REF!,"AAAAAHfbX2E=")</f>
        <v>#REF!</v>
      </c>
      <c r="CU90" t="e">
        <f>AND('GA55 Entry'!#REF!,"AAAAAHfbX2I=")</f>
        <v>#REF!</v>
      </c>
      <c r="CV90" t="e">
        <f>AND('GA55 Entry'!#REF!,"AAAAAHfbX2M=")</f>
        <v>#REF!</v>
      </c>
      <c r="CW90" t="e">
        <f>AND('GA55 Entry'!AB219,"AAAAAHfbX2Q=")</f>
        <v>#VALUE!</v>
      </c>
      <c r="CX90" t="e">
        <f>AND('GA55 Entry'!AC219,"AAAAAHfbX2U=")</f>
        <v>#VALUE!</v>
      </c>
      <c r="CY90" t="e">
        <f>AND('GA55 Entry'!#REF!,"AAAAAHfbX2Y=")</f>
        <v>#REF!</v>
      </c>
      <c r="CZ90">
        <f>IF('GA55 Entry'!220:220,"AAAAAHfbX2c=",0)</f>
        <v>0</v>
      </c>
      <c r="DA90" t="e">
        <f>AND('GA55 Entry'!B220,"AAAAAHfbX2g=")</f>
        <v>#VALUE!</v>
      </c>
      <c r="DB90" t="e">
        <f>AND('GA55 Entry'!#REF!,"AAAAAHfbX2k=")</f>
        <v>#REF!</v>
      </c>
      <c r="DC90" t="e">
        <f>AND('GA55 Entry'!C220,"AAAAAHfbX2o=")</f>
        <v>#VALUE!</v>
      </c>
      <c r="DD90" t="e">
        <f>AND('GA55 Entry'!#REF!,"AAAAAHfbX2s=")</f>
        <v>#REF!</v>
      </c>
      <c r="DE90" t="e">
        <f>AND('GA55 Entry'!#REF!,"AAAAAHfbX2w=")</f>
        <v>#REF!</v>
      </c>
      <c r="DF90" t="e">
        <f>AND('GA55 Entry'!#REF!,"AAAAAHfbX20=")</f>
        <v>#REF!</v>
      </c>
      <c r="DG90" t="e">
        <f>AND('GA55 Entry'!#REF!,"AAAAAHfbX24=")</f>
        <v>#REF!</v>
      </c>
      <c r="DH90" t="e">
        <f>AND('GA55 Entry'!#REF!,"AAAAAHfbX28=")</f>
        <v>#REF!</v>
      </c>
      <c r="DI90" t="e">
        <f>AND('GA55 Entry'!D220,"AAAAAHfbX3A=")</f>
        <v>#VALUE!</v>
      </c>
      <c r="DJ90" t="e">
        <f>AND('GA55 Entry'!#REF!,"AAAAAHfbX3E=")</f>
        <v>#REF!</v>
      </c>
      <c r="DK90" t="e">
        <f>AND('GA55 Entry'!E220,"AAAAAHfbX3I=")</f>
        <v>#VALUE!</v>
      </c>
      <c r="DL90" t="e">
        <f>AND('GA55 Entry'!F220,"AAAAAHfbX3M=")</f>
        <v>#VALUE!</v>
      </c>
      <c r="DM90" t="e">
        <f>AND('GA55 Entry'!G220,"AAAAAHfbX3Q=")</f>
        <v>#VALUE!</v>
      </c>
      <c r="DN90" t="e">
        <f>AND('GA55 Entry'!H220,"AAAAAHfbX3U=")</f>
        <v>#VALUE!</v>
      </c>
      <c r="DO90" t="e">
        <f>AND('GA55 Entry'!I220,"AAAAAHfbX3Y=")</f>
        <v>#VALUE!</v>
      </c>
      <c r="DP90" t="e">
        <f>AND('GA55 Entry'!J220,"AAAAAHfbX3c=")</f>
        <v>#VALUE!</v>
      </c>
      <c r="DQ90" t="e">
        <f>AND('GA55 Entry'!#REF!,"AAAAAHfbX3g=")</f>
        <v>#REF!</v>
      </c>
      <c r="DR90" t="e">
        <f>AND('GA55 Entry'!K220,"AAAAAHfbX3k=")</f>
        <v>#VALUE!</v>
      </c>
      <c r="DS90" t="e">
        <f>AND('GA55 Entry'!L220,"AAAAAHfbX3o=")</f>
        <v>#VALUE!</v>
      </c>
      <c r="DT90" t="e">
        <f>AND('GA55 Entry'!M220,"AAAAAHfbX3s=")</f>
        <v>#VALUE!</v>
      </c>
      <c r="DU90" t="e">
        <f>AND('GA55 Entry'!N220,"AAAAAHfbX3w=")</f>
        <v>#VALUE!</v>
      </c>
      <c r="DV90" t="e">
        <f>AND('GA55 Entry'!O220,"AAAAAHfbX30=")</f>
        <v>#VALUE!</v>
      </c>
      <c r="DW90" t="e">
        <f>AND('GA55 Entry'!P220,"AAAAAHfbX34=")</f>
        <v>#VALUE!</v>
      </c>
      <c r="DX90" t="e">
        <f>AND('GA55 Entry'!Q220,"AAAAAHfbX38=")</f>
        <v>#VALUE!</v>
      </c>
      <c r="DY90" t="e">
        <f>AND('GA55 Entry'!S220,"AAAAAHfbX4A=")</f>
        <v>#VALUE!</v>
      </c>
      <c r="DZ90" t="e">
        <f>AND('GA55 Entry'!#REF!,"AAAAAHfbX4E=")</f>
        <v>#REF!</v>
      </c>
      <c r="EA90" t="e">
        <f>AND('GA55 Entry'!T220,"AAAAAHfbX4I=")</f>
        <v>#VALUE!</v>
      </c>
      <c r="EB90" t="e">
        <f>AND('GA55 Entry'!U220,"AAAAAHfbX4M=")</f>
        <v>#VALUE!</v>
      </c>
      <c r="EC90" t="e">
        <f>AND('GA55 Entry'!V220,"AAAAAHfbX4Q=")</f>
        <v>#VALUE!</v>
      </c>
      <c r="ED90" t="e">
        <f>AND('GA55 Entry'!#REF!,"AAAAAHfbX4U=")</f>
        <v>#REF!</v>
      </c>
      <c r="EE90" t="e">
        <f>AND('GA55 Entry'!#REF!,"AAAAAHfbX4Y=")</f>
        <v>#REF!</v>
      </c>
      <c r="EF90" t="e">
        <f>AND('GA55 Entry'!X220,"AAAAAHfbX4c=")</f>
        <v>#VALUE!</v>
      </c>
      <c r="EG90" t="e">
        <f>AND('GA55 Entry'!Y220,"AAAAAHfbX4g=")</f>
        <v>#VALUE!</v>
      </c>
      <c r="EH90" t="e">
        <f>AND('GA55 Entry'!#REF!,"AAAAAHfbX4k=")</f>
        <v>#REF!</v>
      </c>
      <c r="EI90" t="e">
        <f>AND('GA55 Entry'!#REF!,"AAAAAHfbX4o=")</f>
        <v>#REF!</v>
      </c>
      <c r="EJ90" t="e">
        <f>AND('GA55 Entry'!#REF!,"AAAAAHfbX4s=")</f>
        <v>#REF!</v>
      </c>
      <c r="EK90" t="e">
        <f>AND('GA55 Entry'!#REF!,"AAAAAHfbX4w=")</f>
        <v>#REF!</v>
      </c>
      <c r="EL90" t="e">
        <f>AND('GA55 Entry'!#REF!,"AAAAAHfbX40=")</f>
        <v>#REF!</v>
      </c>
      <c r="EM90" t="e">
        <f>AND('GA55 Entry'!#REF!,"AAAAAHfbX44=")</f>
        <v>#REF!</v>
      </c>
      <c r="EN90" t="e">
        <f>AND('GA55 Entry'!#REF!,"AAAAAHfbX48=")</f>
        <v>#REF!</v>
      </c>
      <c r="EO90" t="e">
        <f>AND('GA55 Entry'!#REF!,"AAAAAHfbX5A=")</f>
        <v>#REF!</v>
      </c>
      <c r="EP90" t="e">
        <f>AND('GA55 Entry'!#REF!,"AAAAAHfbX5E=")</f>
        <v>#REF!</v>
      </c>
      <c r="EQ90" t="e">
        <f>AND('GA55 Entry'!Z220,"AAAAAHfbX5I=")</f>
        <v>#VALUE!</v>
      </c>
      <c r="ER90" t="e">
        <f>AND('GA55 Entry'!AA220,"AAAAAHfbX5M=")</f>
        <v>#VALUE!</v>
      </c>
      <c r="ES90" t="e">
        <f>AND('GA55 Entry'!#REF!,"AAAAAHfbX5Q=")</f>
        <v>#REF!</v>
      </c>
      <c r="ET90" t="e">
        <f>AND('GA55 Entry'!#REF!,"AAAAAHfbX5U=")</f>
        <v>#REF!</v>
      </c>
      <c r="EU90" t="e">
        <f>AND('GA55 Entry'!#REF!,"AAAAAHfbX5Y=")</f>
        <v>#REF!</v>
      </c>
      <c r="EV90" t="e">
        <f>AND('GA55 Entry'!AB220,"AAAAAHfbX5c=")</f>
        <v>#VALUE!</v>
      </c>
      <c r="EW90" t="e">
        <f>AND('GA55 Entry'!AC220,"AAAAAHfbX5g=")</f>
        <v>#VALUE!</v>
      </c>
      <c r="EX90" t="e">
        <f>AND('GA55 Entry'!#REF!,"AAAAAHfbX5k=")</f>
        <v>#REF!</v>
      </c>
      <c r="EY90">
        <f>IF('GA55 Entry'!221:221,"AAAAAHfbX5o=",0)</f>
        <v>0</v>
      </c>
      <c r="EZ90" t="e">
        <f>AND('GA55 Entry'!B221,"AAAAAHfbX5s=")</f>
        <v>#VALUE!</v>
      </c>
      <c r="FA90" t="e">
        <f>AND('GA55 Entry'!#REF!,"AAAAAHfbX5w=")</f>
        <v>#REF!</v>
      </c>
      <c r="FB90" t="e">
        <f>AND('GA55 Entry'!C221,"AAAAAHfbX50=")</f>
        <v>#VALUE!</v>
      </c>
      <c r="FC90" t="e">
        <f>AND('GA55 Entry'!#REF!,"AAAAAHfbX54=")</f>
        <v>#REF!</v>
      </c>
      <c r="FD90" t="e">
        <f>AND('GA55 Entry'!#REF!,"AAAAAHfbX58=")</f>
        <v>#REF!</v>
      </c>
      <c r="FE90" t="e">
        <f>AND('GA55 Entry'!#REF!,"AAAAAHfbX6A=")</f>
        <v>#REF!</v>
      </c>
      <c r="FF90" t="e">
        <f>AND('GA55 Entry'!#REF!,"AAAAAHfbX6E=")</f>
        <v>#REF!</v>
      </c>
      <c r="FG90" t="e">
        <f>AND('GA55 Entry'!#REF!,"AAAAAHfbX6I=")</f>
        <v>#REF!</v>
      </c>
      <c r="FH90" t="e">
        <f>AND('GA55 Entry'!D221,"AAAAAHfbX6M=")</f>
        <v>#VALUE!</v>
      </c>
      <c r="FI90" t="e">
        <f>AND('GA55 Entry'!#REF!,"AAAAAHfbX6Q=")</f>
        <v>#REF!</v>
      </c>
      <c r="FJ90" t="e">
        <f>AND('GA55 Entry'!E221,"AAAAAHfbX6U=")</f>
        <v>#VALUE!</v>
      </c>
      <c r="FK90" t="e">
        <f>AND('GA55 Entry'!F221,"AAAAAHfbX6Y=")</f>
        <v>#VALUE!</v>
      </c>
      <c r="FL90" t="e">
        <f>AND('GA55 Entry'!G221,"AAAAAHfbX6c=")</f>
        <v>#VALUE!</v>
      </c>
      <c r="FM90" t="e">
        <f>AND('GA55 Entry'!H221,"AAAAAHfbX6g=")</f>
        <v>#VALUE!</v>
      </c>
      <c r="FN90" t="e">
        <f>AND('GA55 Entry'!I221,"AAAAAHfbX6k=")</f>
        <v>#VALUE!</v>
      </c>
      <c r="FO90" t="e">
        <f>AND('GA55 Entry'!J221,"AAAAAHfbX6o=")</f>
        <v>#VALUE!</v>
      </c>
      <c r="FP90" t="e">
        <f>AND('GA55 Entry'!#REF!,"AAAAAHfbX6s=")</f>
        <v>#REF!</v>
      </c>
      <c r="FQ90" t="e">
        <f>AND('GA55 Entry'!K221,"AAAAAHfbX6w=")</f>
        <v>#VALUE!</v>
      </c>
      <c r="FR90" t="e">
        <f>AND('GA55 Entry'!L221,"AAAAAHfbX60=")</f>
        <v>#VALUE!</v>
      </c>
      <c r="FS90" t="e">
        <f>AND('GA55 Entry'!M221,"AAAAAHfbX64=")</f>
        <v>#VALUE!</v>
      </c>
      <c r="FT90" t="e">
        <f>AND('GA55 Entry'!N221,"AAAAAHfbX68=")</f>
        <v>#VALUE!</v>
      </c>
      <c r="FU90" t="e">
        <f>AND('GA55 Entry'!O221,"AAAAAHfbX7A=")</f>
        <v>#VALUE!</v>
      </c>
      <c r="FV90" t="e">
        <f>AND('GA55 Entry'!P221,"AAAAAHfbX7E=")</f>
        <v>#VALUE!</v>
      </c>
      <c r="FW90" t="e">
        <f>AND('GA55 Entry'!Q221,"AAAAAHfbX7I=")</f>
        <v>#VALUE!</v>
      </c>
      <c r="FX90" t="e">
        <f>AND('GA55 Entry'!S221,"AAAAAHfbX7M=")</f>
        <v>#VALUE!</v>
      </c>
      <c r="FY90" t="e">
        <f>AND('GA55 Entry'!#REF!,"AAAAAHfbX7Q=")</f>
        <v>#REF!</v>
      </c>
      <c r="FZ90" t="e">
        <f>AND('GA55 Entry'!T221,"AAAAAHfbX7U=")</f>
        <v>#VALUE!</v>
      </c>
      <c r="GA90" t="e">
        <f>AND('GA55 Entry'!U221,"AAAAAHfbX7Y=")</f>
        <v>#VALUE!</v>
      </c>
      <c r="GB90" t="e">
        <f>AND('GA55 Entry'!V221,"AAAAAHfbX7c=")</f>
        <v>#VALUE!</v>
      </c>
      <c r="GC90" t="e">
        <f>AND('GA55 Entry'!#REF!,"AAAAAHfbX7g=")</f>
        <v>#REF!</v>
      </c>
      <c r="GD90" t="e">
        <f>AND('GA55 Entry'!#REF!,"AAAAAHfbX7k=")</f>
        <v>#REF!</v>
      </c>
      <c r="GE90" t="e">
        <f>AND('GA55 Entry'!X221,"AAAAAHfbX7o=")</f>
        <v>#VALUE!</v>
      </c>
      <c r="GF90" t="e">
        <f>AND('GA55 Entry'!Y221,"AAAAAHfbX7s=")</f>
        <v>#VALUE!</v>
      </c>
      <c r="GG90" t="e">
        <f>AND('GA55 Entry'!#REF!,"AAAAAHfbX7w=")</f>
        <v>#REF!</v>
      </c>
      <c r="GH90" t="e">
        <f>AND('GA55 Entry'!#REF!,"AAAAAHfbX70=")</f>
        <v>#REF!</v>
      </c>
      <c r="GI90" t="e">
        <f>AND('GA55 Entry'!#REF!,"AAAAAHfbX74=")</f>
        <v>#REF!</v>
      </c>
      <c r="GJ90" t="e">
        <f>AND('GA55 Entry'!#REF!,"AAAAAHfbX78=")</f>
        <v>#REF!</v>
      </c>
      <c r="GK90" t="e">
        <f>AND('GA55 Entry'!#REF!,"AAAAAHfbX8A=")</f>
        <v>#REF!</v>
      </c>
      <c r="GL90" t="e">
        <f>AND('GA55 Entry'!#REF!,"AAAAAHfbX8E=")</f>
        <v>#REF!</v>
      </c>
      <c r="GM90" t="e">
        <f>AND('GA55 Entry'!#REF!,"AAAAAHfbX8I=")</f>
        <v>#REF!</v>
      </c>
      <c r="GN90" t="e">
        <f>AND('GA55 Entry'!#REF!,"AAAAAHfbX8M=")</f>
        <v>#REF!</v>
      </c>
      <c r="GO90" t="e">
        <f>AND('GA55 Entry'!#REF!,"AAAAAHfbX8Q=")</f>
        <v>#REF!</v>
      </c>
      <c r="GP90" t="e">
        <f>AND('GA55 Entry'!Z221,"AAAAAHfbX8U=")</f>
        <v>#VALUE!</v>
      </c>
      <c r="GQ90" t="e">
        <f>AND('GA55 Entry'!AA221,"AAAAAHfbX8Y=")</f>
        <v>#VALUE!</v>
      </c>
      <c r="GR90" t="e">
        <f>AND('GA55 Entry'!#REF!,"AAAAAHfbX8c=")</f>
        <v>#REF!</v>
      </c>
      <c r="GS90" t="e">
        <f>AND('GA55 Entry'!#REF!,"AAAAAHfbX8g=")</f>
        <v>#REF!</v>
      </c>
      <c r="GT90" t="e">
        <f>AND('GA55 Entry'!#REF!,"AAAAAHfbX8k=")</f>
        <v>#REF!</v>
      </c>
      <c r="GU90" t="e">
        <f>AND('GA55 Entry'!AB221,"AAAAAHfbX8o=")</f>
        <v>#VALUE!</v>
      </c>
      <c r="GV90" t="e">
        <f>AND('GA55 Entry'!AC221,"AAAAAHfbX8s=")</f>
        <v>#VALUE!</v>
      </c>
      <c r="GW90" t="e">
        <f>AND('GA55 Entry'!#REF!,"AAAAAHfbX8w=")</f>
        <v>#REF!</v>
      </c>
      <c r="GX90">
        <f>IF('GA55 Entry'!222:222,"AAAAAHfbX80=",0)</f>
        <v>0</v>
      </c>
      <c r="GY90" t="e">
        <f>AND('GA55 Entry'!B222,"AAAAAHfbX84=")</f>
        <v>#VALUE!</v>
      </c>
      <c r="GZ90" t="e">
        <f>AND('GA55 Entry'!#REF!,"AAAAAHfbX88=")</f>
        <v>#REF!</v>
      </c>
      <c r="HA90" t="e">
        <f>AND('GA55 Entry'!C222,"AAAAAHfbX9A=")</f>
        <v>#VALUE!</v>
      </c>
      <c r="HB90" t="e">
        <f>AND('GA55 Entry'!#REF!,"AAAAAHfbX9E=")</f>
        <v>#REF!</v>
      </c>
      <c r="HC90" t="e">
        <f>AND('GA55 Entry'!#REF!,"AAAAAHfbX9I=")</f>
        <v>#REF!</v>
      </c>
      <c r="HD90" t="e">
        <f>AND('GA55 Entry'!#REF!,"AAAAAHfbX9M=")</f>
        <v>#REF!</v>
      </c>
      <c r="HE90" t="e">
        <f>AND('GA55 Entry'!#REF!,"AAAAAHfbX9Q=")</f>
        <v>#REF!</v>
      </c>
      <c r="HF90" t="e">
        <f>AND('GA55 Entry'!#REF!,"AAAAAHfbX9U=")</f>
        <v>#REF!</v>
      </c>
      <c r="HG90" t="e">
        <f>AND('GA55 Entry'!D222,"AAAAAHfbX9Y=")</f>
        <v>#VALUE!</v>
      </c>
      <c r="HH90" t="e">
        <f>AND('GA55 Entry'!#REF!,"AAAAAHfbX9c=")</f>
        <v>#REF!</v>
      </c>
      <c r="HI90" t="e">
        <f>AND('GA55 Entry'!E222,"AAAAAHfbX9g=")</f>
        <v>#VALUE!</v>
      </c>
      <c r="HJ90" t="e">
        <f>AND('GA55 Entry'!F222,"AAAAAHfbX9k=")</f>
        <v>#VALUE!</v>
      </c>
      <c r="HK90" t="e">
        <f>AND('GA55 Entry'!G222,"AAAAAHfbX9o=")</f>
        <v>#VALUE!</v>
      </c>
      <c r="HL90" t="e">
        <f>AND('GA55 Entry'!H222,"AAAAAHfbX9s=")</f>
        <v>#VALUE!</v>
      </c>
      <c r="HM90" t="e">
        <f>AND('GA55 Entry'!I222,"AAAAAHfbX9w=")</f>
        <v>#VALUE!</v>
      </c>
      <c r="HN90" t="e">
        <f>AND('GA55 Entry'!J222,"AAAAAHfbX90=")</f>
        <v>#VALUE!</v>
      </c>
      <c r="HO90" t="e">
        <f>AND('GA55 Entry'!#REF!,"AAAAAHfbX94=")</f>
        <v>#REF!</v>
      </c>
      <c r="HP90" t="e">
        <f>AND('GA55 Entry'!K222,"AAAAAHfbX98=")</f>
        <v>#VALUE!</v>
      </c>
      <c r="HQ90" t="e">
        <f>AND('GA55 Entry'!L222,"AAAAAHfbX+A=")</f>
        <v>#VALUE!</v>
      </c>
      <c r="HR90" t="e">
        <f>AND('GA55 Entry'!M222,"AAAAAHfbX+E=")</f>
        <v>#VALUE!</v>
      </c>
      <c r="HS90" t="e">
        <f>AND('GA55 Entry'!N222,"AAAAAHfbX+I=")</f>
        <v>#VALUE!</v>
      </c>
      <c r="HT90" t="e">
        <f>AND('GA55 Entry'!O222,"AAAAAHfbX+M=")</f>
        <v>#VALUE!</v>
      </c>
      <c r="HU90" t="e">
        <f>AND('GA55 Entry'!P222,"AAAAAHfbX+Q=")</f>
        <v>#VALUE!</v>
      </c>
      <c r="HV90" t="e">
        <f>AND('GA55 Entry'!Q222,"AAAAAHfbX+U=")</f>
        <v>#VALUE!</v>
      </c>
      <c r="HW90" t="e">
        <f>AND('GA55 Entry'!S222,"AAAAAHfbX+Y=")</f>
        <v>#VALUE!</v>
      </c>
      <c r="HX90" t="e">
        <f>AND('GA55 Entry'!#REF!,"AAAAAHfbX+c=")</f>
        <v>#REF!</v>
      </c>
      <c r="HY90" t="e">
        <f>AND('GA55 Entry'!T222,"AAAAAHfbX+g=")</f>
        <v>#VALUE!</v>
      </c>
      <c r="HZ90" t="e">
        <f>AND('GA55 Entry'!U222,"AAAAAHfbX+k=")</f>
        <v>#VALUE!</v>
      </c>
      <c r="IA90" t="e">
        <f>AND('GA55 Entry'!V222,"AAAAAHfbX+o=")</f>
        <v>#VALUE!</v>
      </c>
      <c r="IB90" t="e">
        <f>AND('GA55 Entry'!#REF!,"AAAAAHfbX+s=")</f>
        <v>#REF!</v>
      </c>
      <c r="IC90" t="e">
        <f>AND('GA55 Entry'!#REF!,"AAAAAHfbX+w=")</f>
        <v>#REF!</v>
      </c>
      <c r="ID90" t="e">
        <f>AND('GA55 Entry'!X222,"AAAAAHfbX+0=")</f>
        <v>#VALUE!</v>
      </c>
      <c r="IE90" t="e">
        <f>AND('GA55 Entry'!Y222,"AAAAAHfbX+4=")</f>
        <v>#VALUE!</v>
      </c>
      <c r="IF90" t="e">
        <f>AND('GA55 Entry'!#REF!,"AAAAAHfbX+8=")</f>
        <v>#REF!</v>
      </c>
      <c r="IG90" t="e">
        <f>AND('GA55 Entry'!#REF!,"AAAAAHfbX/A=")</f>
        <v>#REF!</v>
      </c>
      <c r="IH90" t="e">
        <f>AND('GA55 Entry'!#REF!,"AAAAAHfbX/E=")</f>
        <v>#REF!</v>
      </c>
      <c r="II90" t="e">
        <f>AND('GA55 Entry'!#REF!,"AAAAAHfbX/I=")</f>
        <v>#REF!</v>
      </c>
      <c r="IJ90" t="e">
        <f>AND('GA55 Entry'!#REF!,"AAAAAHfbX/M=")</f>
        <v>#REF!</v>
      </c>
      <c r="IK90" t="e">
        <f>AND('GA55 Entry'!#REF!,"AAAAAHfbX/Q=")</f>
        <v>#REF!</v>
      </c>
      <c r="IL90" t="e">
        <f>AND('GA55 Entry'!#REF!,"AAAAAHfbX/U=")</f>
        <v>#REF!</v>
      </c>
      <c r="IM90" t="e">
        <f>AND('GA55 Entry'!#REF!,"AAAAAHfbX/Y=")</f>
        <v>#REF!</v>
      </c>
      <c r="IN90" t="e">
        <f>AND('GA55 Entry'!#REF!,"AAAAAHfbX/c=")</f>
        <v>#REF!</v>
      </c>
      <c r="IO90" t="e">
        <f>AND('GA55 Entry'!Z222,"AAAAAHfbX/g=")</f>
        <v>#VALUE!</v>
      </c>
      <c r="IP90" t="e">
        <f>AND('GA55 Entry'!AA222,"AAAAAHfbX/k=")</f>
        <v>#VALUE!</v>
      </c>
      <c r="IQ90" t="e">
        <f>AND('GA55 Entry'!#REF!,"AAAAAHfbX/o=")</f>
        <v>#REF!</v>
      </c>
      <c r="IR90" t="e">
        <f>AND('GA55 Entry'!#REF!,"AAAAAHfbX/s=")</f>
        <v>#REF!</v>
      </c>
      <c r="IS90" t="e">
        <f>AND('GA55 Entry'!#REF!,"AAAAAHfbX/w=")</f>
        <v>#REF!</v>
      </c>
      <c r="IT90" t="e">
        <f>AND('GA55 Entry'!AB222,"AAAAAHfbX/0=")</f>
        <v>#VALUE!</v>
      </c>
      <c r="IU90" t="e">
        <f>AND('GA55 Entry'!AC222,"AAAAAHfbX/4=")</f>
        <v>#VALUE!</v>
      </c>
      <c r="IV90" t="e">
        <f>AND('GA55 Entry'!#REF!,"AAAAAHfbX/8=")</f>
        <v>#REF!</v>
      </c>
    </row>
    <row r="91" spans="1:256">
      <c r="A91">
        <f>IF('GA55 Entry'!223:223,"AAAAAH6rfwA=",0)</f>
        <v>0</v>
      </c>
      <c r="B91" t="e">
        <f>AND('GA55 Entry'!B223,"AAAAAH6rfwE=")</f>
        <v>#VALUE!</v>
      </c>
      <c r="C91" t="e">
        <f>AND('GA55 Entry'!#REF!,"AAAAAH6rfwI=")</f>
        <v>#REF!</v>
      </c>
      <c r="D91" t="e">
        <f>AND('GA55 Entry'!C223,"AAAAAH6rfwM=")</f>
        <v>#VALUE!</v>
      </c>
      <c r="E91" t="e">
        <f>AND('GA55 Entry'!#REF!,"AAAAAH6rfwQ=")</f>
        <v>#REF!</v>
      </c>
      <c r="F91" t="e">
        <f>AND('GA55 Entry'!#REF!,"AAAAAH6rfwU=")</f>
        <v>#REF!</v>
      </c>
      <c r="G91" t="e">
        <f>AND('GA55 Entry'!#REF!,"AAAAAH6rfwY=")</f>
        <v>#REF!</v>
      </c>
      <c r="H91" t="e">
        <f>AND('GA55 Entry'!#REF!,"AAAAAH6rfwc=")</f>
        <v>#REF!</v>
      </c>
      <c r="I91" t="e">
        <f>AND('GA55 Entry'!#REF!,"AAAAAH6rfwg=")</f>
        <v>#REF!</v>
      </c>
      <c r="J91" t="e">
        <f>AND('GA55 Entry'!D223,"AAAAAH6rfwk=")</f>
        <v>#VALUE!</v>
      </c>
      <c r="K91" t="e">
        <f>AND('GA55 Entry'!#REF!,"AAAAAH6rfwo=")</f>
        <v>#REF!</v>
      </c>
      <c r="L91" t="e">
        <f>AND('GA55 Entry'!E223,"AAAAAH6rfws=")</f>
        <v>#VALUE!</v>
      </c>
      <c r="M91" t="e">
        <f>AND('GA55 Entry'!F223,"AAAAAH6rfww=")</f>
        <v>#VALUE!</v>
      </c>
      <c r="N91" t="e">
        <f>AND('GA55 Entry'!G223,"AAAAAH6rfw0=")</f>
        <v>#VALUE!</v>
      </c>
      <c r="O91" t="e">
        <f>AND('GA55 Entry'!H223,"AAAAAH6rfw4=")</f>
        <v>#VALUE!</v>
      </c>
      <c r="P91" t="e">
        <f>AND('GA55 Entry'!I223,"AAAAAH6rfw8=")</f>
        <v>#VALUE!</v>
      </c>
      <c r="Q91" t="e">
        <f>AND('GA55 Entry'!J223,"AAAAAH6rfxA=")</f>
        <v>#VALUE!</v>
      </c>
      <c r="R91" t="e">
        <f>AND('GA55 Entry'!#REF!,"AAAAAH6rfxE=")</f>
        <v>#REF!</v>
      </c>
      <c r="S91" t="e">
        <f>AND('GA55 Entry'!K223,"AAAAAH6rfxI=")</f>
        <v>#VALUE!</v>
      </c>
      <c r="T91" t="e">
        <f>AND('GA55 Entry'!L223,"AAAAAH6rfxM=")</f>
        <v>#VALUE!</v>
      </c>
      <c r="U91" t="e">
        <f>AND('GA55 Entry'!M223,"AAAAAH6rfxQ=")</f>
        <v>#VALUE!</v>
      </c>
      <c r="V91" t="e">
        <f>AND('GA55 Entry'!N223,"AAAAAH6rfxU=")</f>
        <v>#VALUE!</v>
      </c>
      <c r="W91" t="e">
        <f>AND('GA55 Entry'!O223,"AAAAAH6rfxY=")</f>
        <v>#VALUE!</v>
      </c>
      <c r="X91" t="e">
        <f>AND('GA55 Entry'!P223,"AAAAAH6rfxc=")</f>
        <v>#VALUE!</v>
      </c>
      <c r="Y91" t="e">
        <f>AND('GA55 Entry'!Q223,"AAAAAH6rfxg=")</f>
        <v>#VALUE!</v>
      </c>
      <c r="Z91" t="e">
        <f>AND('GA55 Entry'!S223,"AAAAAH6rfxk=")</f>
        <v>#VALUE!</v>
      </c>
      <c r="AA91" t="e">
        <f>AND('GA55 Entry'!#REF!,"AAAAAH6rfxo=")</f>
        <v>#REF!</v>
      </c>
      <c r="AB91" t="e">
        <f>AND('GA55 Entry'!T223,"AAAAAH6rfxs=")</f>
        <v>#VALUE!</v>
      </c>
      <c r="AC91" t="e">
        <f>AND('GA55 Entry'!U223,"AAAAAH6rfxw=")</f>
        <v>#VALUE!</v>
      </c>
      <c r="AD91" t="e">
        <f>AND('GA55 Entry'!V223,"AAAAAH6rfx0=")</f>
        <v>#VALUE!</v>
      </c>
      <c r="AE91" t="e">
        <f>AND('GA55 Entry'!#REF!,"AAAAAH6rfx4=")</f>
        <v>#REF!</v>
      </c>
      <c r="AF91" t="e">
        <f>AND('GA55 Entry'!#REF!,"AAAAAH6rfx8=")</f>
        <v>#REF!</v>
      </c>
      <c r="AG91" t="e">
        <f>AND('GA55 Entry'!X223,"AAAAAH6rfyA=")</f>
        <v>#VALUE!</v>
      </c>
      <c r="AH91" t="e">
        <f>AND('GA55 Entry'!Y223,"AAAAAH6rfyE=")</f>
        <v>#VALUE!</v>
      </c>
      <c r="AI91" t="e">
        <f>AND('GA55 Entry'!#REF!,"AAAAAH6rfyI=")</f>
        <v>#REF!</v>
      </c>
      <c r="AJ91" t="e">
        <f>AND('GA55 Entry'!#REF!,"AAAAAH6rfyM=")</f>
        <v>#REF!</v>
      </c>
      <c r="AK91" t="e">
        <f>AND('GA55 Entry'!#REF!,"AAAAAH6rfyQ=")</f>
        <v>#REF!</v>
      </c>
      <c r="AL91" t="e">
        <f>AND('GA55 Entry'!#REF!,"AAAAAH6rfyU=")</f>
        <v>#REF!</v>
      </c>
      <c r="AM91" t="e">
        <f>AND('GA55 Entry'!#REF!,"AAAAAH6rfyY=")</f>
        <v>#REF!</v>
      </c>
      <c r="AN91" t="e">
        <f>AND('GA55 Entry'!#REF!,"AAAAAH6rfyc=")</f>
        <v>#REF!</v>
      </c>
      <c r="AO91" t="e">
        <f>AND('GA55 Entry'!#REF!,"AAAAAH6rfyg=")</f>
        <v>#REF!</v>
      </c>
      <c r="AP91" t="e">
        <f>AND('GA55 Entry'!#REF!,"AAAAAH6rfyk=")</f>
        <v>#REF!</v>
      </c>
      <c r="AQ91" t="e">
        <f>AND('GA55 Entry'!#REF!,"AAAAAH6rfyo=")</f>
        <v>#REF!</v>
      </c>
      <c r="AR91" t="e">
        <f>AND('GA55 Entry'!Z223,"AAAAAH6rfys=")</f>
        <v>#VALUE!</v>
      </c>
      <c r="AS91" t="e">
        <f>AND('GA55 Entry'!AA223,"AAAAAH6rfyw=")</f>
        <v>#VALUE!</v>
      </c>
      <c r="AT91" t="e">
        <f>AND('GA55 Entry'!#REF!,"AAAAAH6rfy0=")</f>
        <v>#REF!</v>
      </c>
      <c r="AU91" t="e">
        <f>AND('GA55 Entry'!#REF!,"AAAAAH6rfy4=")</f>
        <v>#REF!</v>
      </c>
      <c r="AV91" t="e">
        <f>AND('GA55 Entry'!#REF!,"AAAAAH6rfy8=")</f>
        <v>#REF!</v>
      </c>
      <c r="AW91" t="e">
        <f>AND('GA55 Entry'!AB223,"AAAAAH6rfzA=")</f>
        <v>#VALUE!</v>
      </c>
      <c r="AX91" t="e">
        <f>AND('GA55 Entry'!AC223,"AAAAAH6rfzE=")</f>
        <v>#VALUE!</v>
      </c>
      <c r="AY91" t="e">
        <f>AND('GA55 Entry'!#REF!,"AAAAAH6rfzI=")</f>
        <v>#REF!</v>
      </c>
      <c r="AZ91">
        <f>IF('GA55 Entry'!224:224,"AAAAAH6rfzM=",0)</f>
        <v>0</v>
      </c>
      <c r="BA91" t="e">
        <f>AND('GA55 Entry'!B224,"AAAAAH6rfzQ=")</f>
        <v>#VALUE!</v>
      </c>
      <c r="BB91" t="e">
        <f>AND('GA55 Entry'!#REF!,"AAAAAH6rfzU=")</f>
        <v>#REF!</v>
      </c>
      <c r="BC91" t="e">
        <f>AND('GA55 Entry'!C224,"AAAAAH6rfzY=")</f>
        <v>#VALUE!</v>
      </c>
      <c r="BD91" t="e">
        <f>AND('GA55 Entry'!#REF!,"AAAAAH6rfzc=")</f>
        <v>#REF!</v>
      </c>
      <c r="BE91" t="e">
        <f>AND('GA55 Entry'!#REF!,"AAAAAH6rfzg=")</f>
        <v>#REF!</v>
      </c>
      <c r="BF91" t="e">
        <f>AND('GA55 Entry'!#REF!,"AAAAAH6rfzk=")</f>
        <v>#REF!</v>
      </c>
      <c r="BG91" t="e">
        <f>AND('GA55 Entry'!#REF!,"AAAAAH6rfzo=")</f>
        <v>#REF!</v>
      </c>
      <c r="BH91" t="e">
        <f>AND('GA55 Entry'!#REF!,"AAAAAH6rfzs=")</f>
        <v>#REF!</v>
      </c>
      <c r="BI91" t="e">
        <f>AND('GA55 Entry'!D224,"AAAAAH6rfzw=")</f>
        <v>#VALUE!</v>
      </c>
      <c r="BJ91" t="e">
        <f>AND('GA55 Entry'!#REF!,"AAAAAH6rfz0=")</f>
        <v>#REF!</v>
      </c>
      <c r="BK91" t="e">
        <f>AND('GA55 Entry'!E224,"AAAAAH6rfz4=")</f>
        <v>#VALUE!</v>
      </c>
      <c r="BL91" t="e">
        <f>AND('GA55 Entry'!F224,"AAAAAH6rfz8=")</f>
        <v>#VALUE!</v>
      </c>
      <c r="BM91" t="e">
        <f>AND('GA55 Entry'!G224,"AAAAAH6rf0A=")</f>
        <v>#VALUE!</v>
      </c>
      <c r="BN91" t="e">
        <f>AND('GA55 Entry'!H224,"AAAAAH6rf0E=")</f>
        <v>#VALUE!</v>
      </c>
      <c r="BO91" t="e">
        <f>AND('GA55 Entry'!I224,"AAAAAH6rf0I=")</f>
        <v>#VALUE!</v>
      </c>
      <c r="BP91" t="e">
        <f>AND('GA55 Entry'!J224,"AAAAAH6rf0M=")</f>
        <v>#VALUE!</v>
      </c>
      <c r="BQ91" t="e">
        <f>AND('GA55 Entry'!#REF!,"AAAAAH6rf0Q=")</f>
        <v>#REF!</v>
      </c>
      <c r="BR91" t="e">
        <f>AND('GA55 Entry'!K224,"AAAAAH6rf0U=")</f>
        <v>#VALUE!</v>
      </c>
      <c r="BS91" t="e">
        <f>AND('GA55 Entry'!L224,"AAAAAH6rf0Y=")</f>
        <v>#VALUE!</v>
      </c>
      <c r="BT91" t="e">
        <f>AND('GA55 Entry'!M224,"AAAAAH6rf0c=")</f>
        <v>#VALUE!</v>
      </c>
      <c r="BU91" t="e">
        <f>AND('GA55 Entry'!N224,"AAAAAH6rf0g=")</f>
        <v>#VALUE!</v>
      </c>
      <c r="BV91" t="e">
        <f>AND('GA55 Entry'!O224,"AAAAAH6rf0k=")</f>
        <v>#VALUE!</v>
      </c>
      <c r="BW91" t="e">
        <f>AND('GA55 Entry'!P224,"AAAAAH6rf0o=")</f>
        <v>#VALUE!</v>
      </c>
      <c r="BX91" t="e">
        <f>AND('GA55 Entry'!Q224,"AAAAAH6rf0s=")</f>
        <v>#VALUE!</v>
      </c>
      <c r="BY91" t="e">
        <f>AND('GA55 Entry'!S224,"AAAAAH6rf0w=")</f>
        <v>#VALUE!</v>
      </c>
      <c r="BZ91" t="e">
        <f>AND('GA55 Entry'!#REF!,"AAAAAH6rf00=")</f>
        <v>#REF!</v>
      </c>
      <c r="CA91" t="e">
        <f>AND('GA55 Entry'!T224,"AAAAAH6rf04=")</f>
        <v>#VALUE!</v>
      </c>
      <c r="CB91" t="e">
        <f>AND('GA55 Entry'!U224,"AAAAAH6rf08=")</f>
        <v>#VALUE!</v>
      </c>
      <c r="CC91" t="e">
        <f>AND('GA55 Entry'!V224,"AAAAAH6rf1A=")</f>
        <v>#VALUE!</v>
      </c>
      <c r="CD91" t="e">
        <f>AND('GA55 Entry'!#REF!,"AAAAAH6rf1E=")</f>
        <v>#REF!</v>
      </c>
      <c r="CE91" t="e">
        <f>AND('GA55 Entry'!#REF!,"AAAAAH6rf1I=")</f>
        <v>#REF!</v>
      </c>
      <c r="CF91" t="e">
        <f>AND('GA55 Entry'!X224,"AAAAAH6rf1M=")</f>
        <v>#VALUE!</v>
      </c>
      <c r="CG91" t="e">
        <f>AND('GA55 Entry'!Y224,"AAAAAH6rf1Q=")</f>
        <v>#VALUE!</v>
      </c>
      <c r="CH91" t="e">
        <f>AND('GA55 Entry'!#REF!,"AAAAAH6rf1U=")</f>
        <v>#REF!</v>
      </c>
      <c r="CI91" t="e">
        <f>AND('GA55 Entry'!#REF!,"AAAAAH6rf1Y=")</f>
        <v>#REF!</v>
      </c>
      <c r="CJ91" t="e">
        <f>AND('GA55 Entry'!#REF!,"AAAAAH6rf1c=")</f>
        <v>#REF!</v>
      </c>
      <c r="CK91" t="e">
        <f>AND('GA55 Entry'!#REF!,"AAAAAH6rf1g=")</f>
        <v>#REF!</v>
      </c>
      <c r="CL91" t="e">
        <f>AND('GA55 Entry'!#REF!,"AAAAAH6rf1k=")</f>
        <v>#REF!</v>
      </c>
      <c r="CM91" t="e">
        <f>AND('GA55 Entry'!#REF!,"AAAAAH6rf1o=")</f>
        <v>#REF!</v>
      </c>
      <c r="CN91" t="e">
        <f>AND('GA55 Entry'!#REF!,"AAAAAH6rf1s=")</f>
        <v>#REF!</v>
      </c>
      <c r="CO91" t="e">
        <f>AND('GA55 Entry'!#REF!,"AAAAAH6rf1w=")</f>
        <v>#REF!</v>
      </c>
      <c r="CP91" t="e">
        <f>AND('GA55 Entry'!#REF!,"AAAAAH6rf10=")</f>
        <v>#REF!</v>
      </c>
      <c r="CQ91" t="e">
        <f>AND('GA55 Entry'!Z224,"AAAAAH6rf14=")</f>
        <v>#VALUE!</v>
      </c>
      <c r="CR91" t="e">
        <f>AND('GA55 Entry'!AA224,"AAAAAH6rf18=")</f>
        <v>#VALUE!</v>
      </c>
      <c r="CS91" t="e">
        <f>AND('GA55 Entry'!#REF!,"AAAAAH6rf2A=")</f>
        <v>#REF!</v>
      </c>
      <c r="CT91" t="e">
        <f>AND('GA55 Entry'!#REF!,"AAAAAH6rf2E=")</f>
        <v>#REF!</v>
      </c>
      <c r="CU91" t="e">
        <f>AND('GA55 Entry'!#REF!,"AAAAAH6rf2I=")</f>
        <v>#REF!</v>
      </c>
      <c r="CV91" t="e">
        <f>AND('GA55 Entry'!AB224,"AAAAAH6rf2M=")</f>
        <v>#VALUE!</v>
      </c>
      <c r="CW91" t="e">
        <f>AND('GA55 Entry'!AC224,"AAAAAH6rf2Q=")</f>
        <v>#VALUE!</v>
      </c>
      <c r="CX91" t="e">
        <f>AND('GA55 Entry'!#REF!,"AAAAAH6rf2U=")</f>
        <v>#REF!</v>
      </c>
      <c r="CY91">
        <f>IF('GA55 Entry'!225:225,"AAAAAH6rf2Y=",0)</f>
        <v>0</v>
      </c>
      <c r="CZ91" t="e">
        <f>AND('GA55 Entry'!B225,"AAAAAH6rf2c=")</f>
        <v>#VALUE!</v>
      </c>
      <c r="DA91" t="e">
        <f>AND('GA55 Entry'!#REF!,"AAAAAH6rf2g=")</f>
        <v>#REF!</v>
      </c>
      <c r="DB91" t="e">
        <f>AND('GA55 Entry'!C225,"AAAAAH6rf2k=")</f>
        <v>#VALUE!</v>
      </c>
      <c r="DC91" t="e">
        <f>AND('GA55 Entry'!#REF!,"AAAAAH6rf2o=")</f>
        <v>#REF!</v>
      </c>
      <c r="DD91" t="e">
        <f>AND('GA55 Entry'!#REF!,"AAAAAH6rf2s=")</f>
        <v>#REF!</v>
      </c>
      <c r="DE91" t="e">
        <f>AND('GA55 Entry'!#REF!,"AAAAAH6rf2w=")</f>
        <v>#REF!</v>
      </c>
      <c r="DF91" t="e">
        <f>AND('GA55 Entry'!#REF!,"AAAAAH6rf20=")</f>
        <v>#REF!</v>
      </c>
      <c r="DG91" t="e">
        <f>AND('GA55 Entry'!#REF!,"AAAAAH6rf24=")</f>
        <v>#REF!</v>
      </c>
      <c r="DH91" t="e">
        <f>AND('GA55 Entry'!D225,"AAAAAH6rf28=")</f>
        <v>#VALUE!</v>
      </c>
      <c r="DI91" t="e">
        <f>AND('GA55 Entry'!#REF!,"AAAAAH6rf3A=")</f>
        <v>#REF!</v>
      </c>
      <c r="DJ91" t="e">
        <f>AND('GA55 Entry'!E225,"AAAAAH6rf3E=")</f>
        <v>#VALUE!</v>
      </c>
      <c r="DK91" t="e">
        <f>AND('GA55 Entry'!F225,"AAAAAH6rf3I=")</f>
        <v>#VALUE!</v>
      </c>
      <c r="DL91" t="e">
        <f>AND('GA55 Entry'!G225,"AAAAAH6rf3M=")</f>
        <v>#VALUE!</v>
      </c>
      <c r="DM91" t="e">
        <f>AND('GA55 Entry'!H225,"AAAAAH6rf3Q=")</f>
        <v>#VALUE!</v>
      </c>
      <c r="DN91" t="e">
        <f>AND('GA55 Entry'!I225,"AAAAAH6rf3U=")</f>
        <v>#VALUE!</v>
      </c>
      <c r="DO91" t="e">
        <f>AND('GA55 Entry'!J225,"AAAAAH6rf3Y=")</f>
        <v>#VALUE!</v>
      </c>
      <c r="DP91" t="e">
        <f>AND('GA55 Entry'!#REF!,"AAAAAH6rf3c=")</f>
        <v>#REF!</v>
      </c>
      <c r="DQ91" t="e">
        <f>AND('GA55 Entry'!K225,"AAAAAH6rf3g=")</f>
        <v>#VALUE!</v>
      </c>
      <c r="DR91" t="e">
        <f>AND('GA55 Entry'!L225,"AAAAAH6rf3k=")</f>
        <v>#VALUE!</v>
      </c>
      <c r="DS91" t="e">
        <f>AND('GA55 Entry'!M225,"AAAAAH6rf3o=")</f>
        <v>#VALUE!</v>
      </c>
      <c r="DT91" t="e">
        <f>AND('GA55 Entry'!N225,"AAAAAH6rf3s=")</f>
        <v>#VALUE!</v>
      </c>
      <c r="DU91" t="e">
        <f>AND('GA55 Entry'!O225,"AAAAAH6rf3w=")</f>
        <v>#VALUE!</v>
      </c>
      <c r="DV91" t="e">
        <f>AND('GA55 Entry'!P225,"AAAAAH6rf30=")</f>
        <v>#VALUE!</v>
      </c>
      <c r="DW91" t="e">
        <f>AND('GA55 Entry'!Q225,"AAAAAH6rf34=")</f>
        <v>#VALUE!</v>
      </c>
      <c r="DX91" t="e">
        <f>AND('GA55 Entry'!S225,"AAAAAH6rf38=")</f>
        <v>#VALUE!</v>
      </c>
      <c r="DY91" t="e">
        <f>AND('GA55 Entry'!#REF!,"AAAAAH6rf4A=")</f>
        <v>#REF!</v>
      </c>
      <c r="DZ91" t="e">
        <f>AND('GA55 Entry'!T225,"AAAAAH6rf4E=")</f>
        <v>#VALUE!</v>
      </c>
      <c r="EA91" t="e">
        <f>AND('GA55 Entry'!U225,"AAAAAH6rf4I=")</f>
        <v>#VALUE!</v>
      </c>
      <c r="EB91" t="e">
        <f>AND('GA55 Entry'!V225,"AAAAAH6rf4M=")</f>
        <v>#VALUE!</v>
      </c>
      <c r="EC91" t="e">
        <f>AND('GA55 Entry'!#REF!,"AAAAAH6rf4Q=")</f>
        <v>#REF!</v>
      </c>
      <c r="ED91" t="e">
        <f>AND('GA55 Entry'!#REF!,"AAAAAH6rf4U=")</f>
        <v>#REF!</v>
      </c>
      <c r="EE91" t="e">
        <f>AND('GA55 Entry'!X225,"AAAAAH6rf4Y=")</f>
        <v>#VALUE!</v>
      </c>
      <c r="EF91" t="e">
        <f>AND('GA55 Entry'!Y225,"AAAAAH6rf4c=")</f>
        <v>#VALUE!</v>
      </c>
      <c r="EG91" t="e">
        <f>AND('GA55 Entry'!#REF!,"AAAAAH6rf4g=")</f>
        <v>#REF!</v>
      </c>
      <c r="EH91" t="e">
        <f>AND('GA55 Entry'!#REF!,"AAAAAH6rf4k=")</f>
        <v>#REF!</v>
      </c>
      <c r="EI91" t="e">
        <f>AND('GA55 Entry'!#REF!,"AAAAAH6rf4o=")</f>
        <v>#REF!</v>
      </c>
      <c r="EJ91" t="e">
        <f>AND('GA55 Entry'!#REF!,"AAAAAH6rf4s=")</f>
        <v>#REF!</v>
      </c>
      <c r="EK91" t="e">
        <f>AND('GA55 Entry'!#REF!,"AAAAAH6rf4w=")</f>
        <v>#REF!</v>
      </c>
      <c r="EL91" t="e">
        <f>AND('GA55 Entry'!#REF!,"AAAAAH6rf40=")</f>
        <v>#REF!</v>
      </c>
      <c r="EM91" t="e">
        <f>AND('GA55 Entry'!#REF!,"AAAAAH6rf44=")</f>
        <v>#REF!</v>
      </c>
      <c r="EN91" t="e">
        <f>AND('GA55 Entry'!#REF!,"AAAAAH6rf48=")</f>
        <v>#REF!</v>
      </c>
      <c r="EO91" t="e">
        <f>AND('GA55 Entry'!#REF!,"AAAAAH6rf5A=")</f>
        <v>#REF!</v>
      </c>
      <c r="EP91" t="e">
        <f>AND('GA55 Entry'!Z225,"AAAAAH6rf5E=")</f>
        <v>#VALUE!</v>
      </c>
      <c r="EQ91" t="e">
        <f>AND('GA55 Entry'!AA225,"AAAAAH6rf5I=")</f>
        <v>#VALUE!</v>
      </c>
      <c r="ER91" t="e">
        <f>AND('GA55 Entry'!#REF!,"AAAAAH6rf5M=")</f>
        <v>#REF!</v>
      </c>
      <c r="ES91" t="e">
        <f>AND('GA55 Entry'!#REF!,"AAAAAH6rf5Q=")</f>
        <v>#REF!</v>
      </c>
      <c r="ET91" t="e">
        <f>AND('GA55 Entry'!#REF!,"AAAAAH6rf5U=")</f>
        <v>#REF!</v>
      </c>
      <c r="EU91" t="e">
        <f>AND('GA55 Entry'!AB225,"AAAAAH6rf5Y=")</f>
        <v>#VALUE!</v>
      </c>
      <c r="EV91" t="e">
        <f>AND('GA55 Entry'!AC225,"AAAAAH6rf5c=")</f>
        <v>#VALUE!</v>
      </c>
      <c r="EW91" t="e">
        <f>AND('GA55 Entry'!#REF!,"AAAAAH6rf5g=")</f>
        <v>#REF!</v>
      </c>
      <c r="EX91">
        <f>IF('GA55 Entry'!226:226,"AAAAAH6rf5k=",0)</f>
        <v>0</v>
      </c>
      <c r="EY91" t="e">
        <f>AND('GA55 Entry'!B226,"AAAAAH6rf5o=")</f>
        <v>#VALUE!</v>
      </c>
      <c r="EZ91" t="e">
        <f>AND('GA55 Entry'!#REF!,"AAAAAH6rf5s=")</f>
        <v>#REF!</v>
      </c>
      <c r="FA91" t="e">
        <f>AND('GA55 Entry'!C226,"AAAAAH6rf5w=")</f>
        <v>#VALUE!</v>
      </c>
      <c r="FB91" t="e">
        <f>AND('GA55 Entry'!#REF!,"AAAAAH6rf50=")</f>
        <v>#REF!</v>
      </c>
      <c r="FC91" t="e">
        <f>AND('GA55 Entry'!#REF!,"AAAAAH6rf54=")</f>
        <v>#REF!</v>
      </c>
      <c r="FD91" t="e">
        <f>AND('GA55 Entry'!#REF!,"AAAAAH6rf58=")</f>
        <v>#REF!</v>
      </c>
      <c r="FE91" t="e">
        <f>AND('GA55 Entry'!#REF!,"AAAAAH6rf6A=")</f>
        <v>#REF!</v>
      </c>
      <c r="FF91" t="e">
        <f>AND('GA55 Entry'!#REF!,"AAAAAH6rf6E=")</f>
        <v>#REF!</v>
      </c>
      <c r="FG91" t="e">
        <f>AND('GA55 Entry'!D226,"AAAAAH6rf6I=")</f>
        <v>#VALUE!</v>
      </c>
      <c r="FH91" t="e">
        <f>AND('GA55 Entry'!#REF!,"AAAAAH6rf6M=")</f>
        <v>#REF!</v>
      </c>
      <c r="FI91" t="e">
        <f>AND('GA55 Entry'!E226,"AAAAAH6rf6Q=")</f>
        <v>#VALUE!</v>
      </c>
      <c r="FJ91" t="e">
        <f>AND('GA55 Entry'!F226,"AAAAAH6rf6U=")</f>
        <v>#VALUE!</v>
      </c>
      <c r="FK91" t="e">
        <f>AND('GA55 Entry'!G226,"AAAAAH6rf6Y=")</f>
        <v>#VALUE!</v>
      </c>
      <c r="FL91" t="e">
        <f>AND('GA55 Entry'!H226,"AAAAAH6rf6c=")</f>
        <v>#VALUE!</v>
      </c>
      <c r="FM91" t="e">
        <f>AND('GA55 Entry'!I226,"AAAAAH6rf6g=")</f>
        <v>#VALUE!</v>
      </c>
      <c r="FN91" t="e">
        <f>AND('GA55 Entry'!J226,"AAAAAH6rf6k=")</f>
        <v>#VALUE!</v>
      </c>
      <c r="FO91" t="e">
        <f>AND('GA55 Entry'!#REF!,"AAAAAH6rf6o=")</f>
        <v>#REF!</v>
      </c>
      <c r="FP91" t="e">
        <f>AND('GA55 Entry'!K226,"AAAAAH6rf6s=")</f>
        <v>#VALUE!</v>
      </c>
      <c r="FQ91" t="e">
        <f>AND('GA55 Entry'!L226,"AAAAAH6rf6w=")</f>
        <v>#VALUE!</v>
      </c>
      <c r="FR91" t="e">
        <f>AND('GA55 Entry'!M226,"AAAAAH6rf60=")</f>
        <v>#VALUE!</v>
      </c>
      <c r="FS91" t="e">
        <f>AND('GA55 Entry'!N226,"AAAAAH6rf64=")</f>
        <v>#VALUE!</v>
      </c>
      <c r="FT91" t="e">
        <f>AND('GA55 Entry'!O226,"AAAAAH6rf68=")</f>
        <v>#VALUE!</v>
      </c>
      <c r="FU91" t="e">
        <f>AND('GA55 Entry'!P226,"AAAAAH6rf7A=")</f>
        <v>#VALUE!</v>
      </c>
      <c r="FV91" t="e">
        <f>AND('GA55 Entry'!Q226,"AAAAAH6rf7E=")</f>
        <v>#VALUE!</v>
      </c>
      <c r="FW91" t="e">
        <f>AND('GA55 Entry'!S226,"AAAAAH6rf7I=")</f>
        <v>#VALUE!</v>
      </c>
      <c r="FX91" t="e">
        <f>AND('GA55 Entry'!#REF!,"AAAAAH6rf7M=")</f>
        <v>#REF!</v>
      </c>
      <c r="FY91" t="e">
        <f>AND('GA55 Entry'!T226,"AAAAAH6rf7Q=")</f>
        <v>#VALUE!</v>
      </c>
      <c r="FZ91" t="e">
        <f>AND('GA55 Entry'!U226,"AAAAAH6rf7U=")</f>
        <v>#VALUE!</v>
      </c>
      <c r="GA91" t="e">
        <f>AND('GA55 Entry'!V226,"AAAAAH6rf7Y=")</f>
        <v>#VALUE!</v>
      </c>
      <c r="GB91" t="e">
        <f>AND('GA55 Entry'!#REF!,"AAAAAH6rf7c=")</f>
        <v>#REF!</v>
      </c>
      <c r="GC91" t="e">
        <f>AND('GA55 Entry'!#REF!,"AAAAAH6rf7g=")</f>
        <v>#REF!</v>
      </c>
      <c r="GD91" t="e">
        <f>AND('GA55 Entry'!X226,"AAAAAH6rf7k=")</f>
        <v>#VALUE!</v>
      </c>
      <c r="GE91" t="e">
        <f>AND('GA55 Entry'!Y226,"AAAAAH6rf7o=")</f>
        <v>#VALUE!</v>
      </c>
      <c r="GF91" t="e">
        <f>AND('GA55 Entry'!#REF!,"AAAAAH6rf7s=")</f>
        <v>#REF!</v>
      </c>
      <c r="GG91" t="e">
        <f>AND('GA55 Entry'!#REF!,"AAAAAH6rf7w=")</f>
        <v>#REF!</v>
      </c>
      <c r="GH91" t="e">
        <f>AND('GA55 Entry'!#REF!,"AAAAAH6rf70=")</f>
        <v>#REF!</v>
      </c>
      <c r="GI91" t="e">
        <f>AND('GA55 Entry'!#REF!,"AAAAAH6rf74=")</f>
        <v>#REF!</v>
      </c>
      <c r="GJ91" t="e">
        <f>AND('GA55 Entry'!#REF!,"AAAAAH6rf78=")</f>
        <v>#REF!</v>
      </c>
      <c r="GK91" t="e">
        <f>AND('GA55 Entry'!#REF!,"AAAAAH6rf8A=")</f>
        <v>#REF!</v>
      </c>
      <c r="GL91" t="e">
        <f>AND('GA55 Entry'!#REF!,"AAAAAH6rf8E=")</f>
        <v>#REF!</v>
      </c>
      <c r="GM91" t="e">
        <f>AND('GA55 Entry'!#REF!,"AAAAAH6rf8I=")</f>
        <v>#REF!</v>
      </c>
      <c r="GN91" t="e">
        <f>AND('GA55 Entry'!#REF!,"AAAAAH6rf8M=")</f>
        <v>#REF!</v>
      </c>
      <c r="GO91" t="e">
        <f>AND('GA55 Entry'!Z226,"AAAAAH6rf8Q=")</f>
        <v>#VALUE!</v>
      </c>
      <c r="GP91" t="e">
        <f>AND('GA55 Entry'!AA226,"AAAAAH6rf8U=")</f>
        <v>#VALUE!</v>
      </c>
      <c r="GQ91" t="e">
        <f>AND('GA55 Entry'!#REF!,"AAAAAH6rf8Y=")</f>
        <v>#REF!</v>
      </c>
      <c r="GR91" t="e">
        <f>AND('GA55 Entry'!#REF!,"AAAAAH6rf8c=")</f>
        <v>#REF!</v>
      </c>
      <c r="GS91" t="e">
        <f>AND('GA55 Entry'!#REF!,"AAAAAH6rf8g=")</f>
        <v>#REF!</v>
      </c>
      <c r="GT91" t="e">
        <f>AND('GA55 Entry'!AB226,"AAAAAH6rf8k=")</f>
        <v>#VALUE!</v>
      </c>
      <c r="GU91" t="e">
        <f>AND('GA55 Entry'!AC226,"AAAAAH6rf8o=")</f>
        <v>#VALUE!</v>
      </c>
      <c r="GV91" t="e">
        <f>AND('GA55 Entry'!#REF!,"AAAAAH6rf8s=")</f>
        <v>#REF!</v>
      </c>
      <c r="GW91">
        <f>IF('GA55 Entry'!227:227,"AAAAAH6rf8w=",0)</f>
        <v>0</v>
      </c>
      <c r="GX91" t="e">
        <f>AND('GA55 Entry'!B227,"AAAAAH6rf80=")</f>
        <v>#VALUE!</v>
      </c>
      <c r="GY91" t="e">
        <f>AND('GA55 Entry'!#REF!,"AAAAAH6rf84=")</f>
        <v>#REF!</v>
      </c>
      <c r="GZ91" t="e">
        <f>AND('GA55 Entry'!C227,"AAAAAH6rf88=")</f>
        <v>#VALUE!</v>
      </c>
      <c r="HA91" t="e">
        <f>AND('GA55 Entry'!#REF!,"AAAAAH6rf9A=")</f>
        <v>#REF!</v>
      </c>
      <c r="HB91" t="e">
        <f>AND('GA55 Entry'!#REF!,"AAAAAH6rf9E=")</f>
        <v>#REF!</v>
      </c>
      <c r="HC91" t="e">
        <f>AND('GA55 Entry'!#REF!,"AAAAAH6rf9I=")</f>
        <v>#REF!</v>
      </c>
      <c r="HD91" t="e">
        <f>AND('GA55 Entry'!#REF!,"AAAAAH6rf9M=")</f>
        <v>#REF!</v>
      </c>
      <c r="HE91" t="e">
        <f>AND('GA55 Entry'!#REF!,"AAAAAH6rf9Q=")</f>
        <v>#REF!</v>
      </c>
      <c r="HF91" t="e">
        <f>AND('GA55 Entry'!D227,"AAAAAH6rf9U=")</f>
        <v>#VALUE!</v>
      </c>
      <c r="HG91" t="e">
        <f>AND('GA55 Entry'!#REF!,"AAAAAH6rf9Y=")</f>
        <v>#REF!</v>
      </c>
      <c r="HH91" t="e">
        <f>AND('GA55 Entry'!E227,"AAAAAH6rf9c=")</f>
        <v>#VALUE!</v>
      </c>
      <c r="HI91" t="e">
        <f>AND('GA55 Entry'!F227,"AAAAAH6rf9g=")</f>
        <v>#VALUE!</v>
      </c>
      <c r="HJ91" t="e">
        <f>AND('GA55 Entry'!G227,"AAAAAH6rf9k=")</f>
        <v>#VALUE!</v>
      </c>
      <c r="HK91" t="e">
        <f>AND('GA55 Entry'!H227,"AAAAAH6rf9o=")</f>
        <v>#VALUE!</v>
      </c>
      <c r="HL91" t="e">
        <f>AND('GA55 Entry'!I227,"AAAAAH6rf9s=")</f>
        <v>#VALUE!</v>
      </c>
      <c r="HM91" t="e">
        <f>AND('GA55 Entry'!J227,"AAAAAH6rf9w=")</f>
        <v>#VALUE!</v>
      </c>
      <c r="HN91" t="e">
        <f>AND('GA55 Entry'!#REF!,"AAAAAH6rf90=")</f>
        <v>#REF!</v>
      </c>
      <c r="HO91" t="e">
        <f>AND('GA55 Entry'!K227,"AAAAAH6rf94=")</f>
        <v>#VALUE!</v>
      </c>
      <c r="HP91" t="e">
        <f>AND('GA55 Entry'!L227,"AAAAAH6rf98=")</f>
        <v>#VALUE!</v>
      </c>
      <c r="HQ91" t="e">
        <f>AND('GA55 Entry'!M227,"AAAAAH6rf+A=")</f>
        <v>#VALUE!</v>
      </c>
      <c r="HR91" t="e">
        <f>AND('GA55 Entry'!N227,"AAAAAH6rf+E=")</f>
        <v>#VALUE!</v>
      </c>
      <c r="HS91" t="e">
        <f>AND('GA55 Entry'!O227,"AAAAAH6rf+I=")</f>
        <v>#VALUE!</v>
      </c>
      <c r="HT91" t="e">
        <f>AND('GA55 Entry'!P227,"AAAAAH6rf+M=")</f>
        <v>#VALUE!</v>
      </c>
      <c r="HU91" t="e">
        <f>AND('GA55 Entry'!Q227,"AAAAAH6rf+Q=")</f>
        <v>#VALUE!</v>
      </c>
      <c r="HV91" t="e">
        <f>AND('GA55 Entry'!S227,"AAAAAH6rf+U=")</f>
        <v>#VALUE!</v>
      </c>
      <c r="HW91" t="e">
        <f>AND('GA55 Entry'!#REF!,"AAAAAH6rf+Y=")</f>
        <v>#REF!</v>
      </c>
      <c r="HX91" t="e">
        <f>AND('GA55 Entry'!T227,"AAAAAH6rf+c=")</f>
        <v>#VALUE!</v>
      </c>
      <c r="HY91" t="e">
        <f>AND('GA55 Entry'!U227,"AAAAAH6rf+g=")</f>
        <v>#VALUE!</v>
      </c>
      <c r="HZ91" t="e">
        <f>AND('GA55 Entry'!V227,"AAAAAH6rf+k=")</f>
        <v>#VALUE!</v>
      </c>
      <c r="IA91" t="e">
        <f>AND('GA55 Entry'!#REF!,"AAAAAH6rf+o=")</f>
        <v>#REF!</v>
      </c>
      <c r="IB91" t="e">
        <f>AND('GA55 Entry'!#REF!,"AAAAAH6rf+s=")</f>
        <v>#REF!</v>
      </c>
      <c r="IC91" t="e">
        <f>AND('GA55 Entry'!X227,"AAAAAH6rf+w=")</f>
        <v>#VALUE!</v>
      </c>
      <c r="ID91" t="e">
        <f>AND('GA55 Entry'!Y227,"AAAAAH6rf+0=")</f>
        <v>#VALUE!</v>
      </c>
      <c r="IE91" t="e">
        <f>AND('GA55 Entry'!#REF!,"AAAAAH6rf+4=")</f>
        <v>#REF!</v>
      </c>
      <c r="IF91" t="e">
        <f>AND('GA55 Entry'!#REF!,"AAAAAH6rf+8=")</f>
        <v>#REF!</v>
      </c>
      <c r="IG91" t="e">
        <f>AND('GA55 Entry'!#REF!,"AAAAAH6rf/A=")</f>
        <v>#REF!</v>
      </c>
      <c r="IH91" t="e">
        <f>AND('GA55 Entry'!#REF!,"AAAAAH6rf/E=")</f>
        <v>#REF!</v>
      </c>
      <c r="II91" t="e">
        <f>AND('GA55 Entry'!#REF!,"AAAAAH6rf/I=")</f>
        <v>#REF!</v>
      </c>
      <c r="IJ91" t="e">
        <f>AND('GA55 Entry'!#REF!,"AAAAAH6rf/M=")</f>
        <v>#REF!</v>
      </c>
      <c r="IK91" t="e">
        <f>AND('GA55 Entry'!#REF!,"AAAAAH6rf/Q=")</f>
        <v>#REF!</v>
      </c>
      <c r="IL91" t="e">
        <f>AND('GA55 Entry'!#REF!,"AAAAAH6rf/U=")</f>
        <v>#REF!</v>
      </c>
      <c r="IM91" t="e">
        <f>AND('GA55 Entry'!#REF!,"AAAAAH6rf/Y=")</f>
        <v>#REF!</v>
      </c>
      <c r="IN91" t="e">
        <f>AND('GA55 Entry'!Z227,"AAAAAH6rf/c=")</f>
        <v>#VALUE!</v>
      </c>
      <c r="IO91" t="e">
        <f>AND('GA55 Entry'!AA227,"AAAAAH6rf/g=")</f>
        <v>#VALUE!</v>
      </c>
      <c r="IP91" t="e">
        <f>AND('GA55 Entry'!#REF!,"AAAAAH6rf/k=")</f>
        <v>#REF!</v>
      </c>
      <c r="IQ91" t="e">
        <f>AND('GA55 Entry'!#REF!,"AAAAAH6rf/o=")</f>
        <v>#REF!</v>
      </c>
      <c r="IR91" t="e">
        <f>AND('GA55 Entry'!#REF!,"AAAAAH6rf/s=")</f>
        <v>#REF!</v>
      </c>
      <c r="IS91" t="e">
        <f>AND('GA55 Entry'!AB227,"AAAAAH6rf/w=")</f>
        <v>#VALUE!</v>
      </c>
      <c r="IT91" t="e">
        <f>AND('GA55 Entry'!AC227,"AAAAAH6rf/0=")</f>
        <v>#VALUE!</v>
      </c>
      <c r="IU91" t="e">
        <f>AND('GA55 Entry'!#REF!,"AAAAAH6rf/4=")</f>
        <v>#REF!</v>
      </c>
      <c r="IV91">
        <f>IF('GA55 Entry'!228:228,"AAAAAH6rf/8=",0)</f>
        <v>0</v>
      </c>
    </row>
    <row r="92" spans="1:256">
      <c r="A92" t="e">
        <f>AND('GA55 Entry'!B228,"AAAAAD/v3wA=")</f>
        <v>#VALUE!</v>
      </c>
      <c r="B92" t="e">
        <f>AND('GA55 Entry'!#REF!,"AAAAAD/v3wE=")</f>
        <v>#REF!</v>
      </c>
      <c r="C92" t="e">
        <f>AND('GA55 Entry'!C228,"AAAAAD/v3wI=")</f>
        <v>#VALUE!</v>
      </c>
      <c r="D92" t="e">
        <f>AND('GA55 Entry'!#REF!,"AAAAAD/v3wM=")</f>
        <v>#REF!</v>
      </c>
      <c r="E92" t="e">
        <f>AND('GA55 Entry'!#REF!,"AAAAAD/v3wQ=")</f>
        <v>#REF!</v>
      </c>
      <c r="F92" t="e">
        <f>AND('GA55 Entry'!#REF!,"AAAAAD/v3wU=")</f>
        <v>#REF!</v>
      </c>
      <c r="G92" t="e">
        <f>AND('GA55 Entry'!#REF!,"AAAAAD/v3wY=")</f>
        <v>#REF!</v>
      </c>
      <c r="H92" t="e">
        <f>AND('GA55 Entry'!#REF!,"AAAAAD/v3wc=")</f>
        <v>#REF!</v>
      </c>
      <c r="I92" t="e">
        <f>AND('GA55 Entry'!D228,"AAAAAD/v3wg=")</f>
        <v>#VALUE!</v>
      </c>
      <c r="J92" t="e">
        <f>AND('GA55 Entry'!#REF!,"AAAAAD/v3wk=")</f>
        <v>#REF!</v>
      </c>
      <c r="K92" t="e">
        <f>AND('GA55 Entry'!E228,"AAAAAD/v3wo=")</f>
        <v>#VALUE!</v>
      </c>
      <c r="L92" t="e">
        <f>AND('GA55 Entry'!F228,"AAAAAD/v3ws=")</f>
        <v>#VALUE!</v>
      </c>
      <c r="M92" t="e">
        <f>AND('GA55 Entry'!G228,"AAAAAD/v3ww=")</f>
        <v>#VALUE!</v>
      </c>
      <c r="N92" t="e">
        <f>AND('GA55 Entry'!H228,"AAAAAD/v3w0=")</f>
        <v>#VALUE!</v>
      </c>
      <c r="O92" t="e">
        <f>AND('GA55 Entry'!I228,"AAAAAD/v3w4=")</f>
        <v>#VALUE!</v>
      </c>
      <c r="P92" t="e">
        <f>AND('GA55 Entry'!J228,"AAAAAD/v3w8=")</f>
        <v>#VALUE!</v>
      </c>
      <c r="Q92" t="e">
        <f>AND('GA55 Entry'!#REF!,"AAAAAD/v3xA=")</f>
        <v>#REF!</v>
      </c>
      <c r="R92" t="e">
        <f>AND('GA55 Entry'!K228,"AAAAAD/v3xE=")</f>
        <v>#VALUE!</v>
      </c>
      <c r="S92" t="e">
        <f>AND('GA55 Entry'!L228,"AAAAAD/v3xI=")</f>
        <v>#VALUE!</v>
      </c>
      <c r="T92" t="e">
        <f>AND('GA55 Entry'!M228,"AAAAAD/v3xM=")</f>
        <v>#VALUE!</v>
      </c>
      <c r="U92" t="e">
        <f>AND('GA55 Entry'!N228,"AAAAAD/v3xQ=")</f>
        <v>#VALUE!</v>
      </c>
      <c r="V92" t="e">
        <f>AND('GA55 Entry'!O228,"AAAAAD/v3xU=")</f>
        <v>#VALUE!</v>
      </c>
      <c r="W92" t="e">
        <f>AND('GA55 Entry'!P228,"AAAAAD/v3xY=")</f>
        <v>#VALUE!</v>
      </c>
      <c r="X92" t="e">
        <f>AND('GA55 Entry'!Q228,"AAAAAD/v3xc=")</f>
        <v>#VALUE!</v>
      </c>
      <c r="Y92" t="e">
        <f>AND('GA55 Entry'!S228,"AAAAAD/v3xg=")</f>
        <v>#VALUE!</v>
      </c>
      <c r="Z92" t="e">
        <f>AND('GA55 Entry'!#REF!,"AAAAAD/v3xk=")</f>
        <v>#REF!</v>
      </c>
      <c r="AA92" t="e">
        <f>AND('GA55 Entry'!T228,"AAAAAD/v3xo=")</f>
        <v>#VALUE!</v>
      </c>
      <c r="AB92" t="e">
        <f>AND('GA55 Entry'!U228,"AAAAAD/v3xs=")</f>
        <v>#VALUE!</v>
      </c>
      <c r="AC92" t="e">
        <f>AND('GA55 Entry'!V228,"AAAAAD/v3xw=")</f>
        <v>#VALUE!</v>
      </c>
      <c r="AD92" t="e">
        <f>AND('GA55 Entry'!#REF!,"AAAAAD/v3x0=")</f>
        <v>#REF!</v>
      </c>
      <c r="AE92" t="e">
        <f>AND('GA55 Entry'!#REF!,"AAAAAD/v3x4=")</f>
        <v>#REF!</v>
      </c>
      <c r="AF92" t="e">
        <f>AND('GA55 Entry'!X228,"AAAAAD/v3x8=")</f>
        <v>#VALUE!</v>
      </c>
      <c r="AG92" t="e">
        <f>AND('GA55 Entry'!Y228,"AAAAAD/v3yA=")</f>
        <v>#VALUE!</v>
      </c>
      <c r="AH92" t="e">
        <f>AND('GA55 Entry'!#REF!,"AAAAAD/v3yE=")</f>
        <v>#REF!</v>
      </c>
      <c r="AI92" t="e">
        <f>AND('GA55 Entry'!#REF!,"AAAAAD/v3yI=")</f>
        <v>#REF!</v>
      </c>
      <c r="AJ92" t="e">
        <f>AND('GA55 Entry'!#REF!,"AAAAAD/v3yM=")</f>
        <v>#REF!</v>
      </c>
      <c r="AK92" t="e">
        <f>AND('GA55 Entry'!#REF!,"AAAAAD/v3yQ=")</f>
        <v>#REF!</v>
      </c>
      <c r="AL92" t="e">
        <f>AND('GA55 Entry'!#REF!,"AAAAAD/v3yU=")</f>
        <v>#REF!</v>
      </c>
      <c r="AM92" t="e">
        <f>AND('GA55 Entry'!#REF!,"AAAAAD/v3yY=")</f>
        <v>#REF!</v>
      </c>
      <c r="AN92" t="e">
        <f>AND('GA55 Entry'!#REF!,"AAAAAD/v3yc=")</f>
        <v>#REF!</v>
      </c>
      <c r="AO92" t="e">
        <f>AND('GA55 Entry'!#REF!,"AAAAAD/v3yg=")</f>
        <v>#REF!</v>
      </c>
      <c r="AP92" t="e">
        <f>AND('GA55 Entry'!#REF!,"AAAAAD/v3yk=")</f>
        <v>#REF!</v>
      </c>
      <c r="AQ92" t="e">
        <f>AND('GA55 Entry'!Z228,"AAAAAD/v3yo=")</f>
        <v>#VALUE!</v>
      </c>
      <c r="AR92" t="e">
        <f>AND('GA55 Entry'!AA228,"AAAAAD/v3ys=")</f>
        <v>#VALUE!</v>
      </c>
      <c r="AS92" t="e">
        <f>AND('GA55 Entry'!#REF!,"AAAAAD/v3yw=")</f>
        <v>#REF!</v>
      </c>
      <c r="AT92" t="e">
        <f>AND('GA55 Entry'!#REF!,"AAAAAD/v3y0=")</f>
        <v>#REF!</v>
      </c>
      <c r="AU92" t="e">
        <f>AND('GA55 Entry'!#REF!,"AAAAAD/v3y4=")</f>
        <v>#REF!</v>
      </c>
      <c r="AV92" t="e">
        <f>AND('GA55 Entry'!AB228,"AAAAAD/v3y8=")</f>
        <v>#VALUE!</v>
      </c>
      <c r="AW92" t="e">
        <f>AND('GA55 Entry'!AC228,"AAAAAD/v3zA=")</f>
        <v>#VALUE!</v>
      </c>
      <c r="AX92" t="e">
        <f>AND('GA55 Entry'!#REF!,"AAAAAD/v3zE=")</f>
        <v>#REF!</v>
      </c>
      <c r="AY92">
        <f>IF('GA55 Entry'!229:229,"AAAAAD/v3zI=",0)</f>
        <v>0</v>
      </c>
      <c r="AZ92" t="e">
        <f>AND('GA55 Entry'!B229,"AAAAAD/v3zM=")</f>
        <v>#VALUE!</v>
      </c>
      <c r="BA92" t="e">
        <f>AND('GA55 Entry'!#REF!,"AAAAAD/v3zQ=")</f>
        <v>#REF!</v>
      </c>
      <c r="BB92" t="e">
        <f>AND('GA55 Entry'!C229,"AAAAAD/v3zU=")</f>
        <v>#VALUE!</v>
      </c>
      <c r="BC92" t="e">
        <f>AND('GA55 Entry'!#REF!,"AAAAAD/v3zY=")</f>
        <v>#REF!</v>
      </c>
      <c r="BD92" t="e">
        <f>AND('GA55 Entry'!#REF!,"AAAAAD/v3zc=")</f>
        <v>#REF!</v>
      </c>
      <c r="BE92" t="e">
        <f>AND('GA55 Entry'!#REF!,"AAAAAD/v3zg=")</f>
        <v>#REF!</v>
      </c>
      <c r="BF92" t="e">
        <f>AND('GA55 Entry'!#REF!,"AAAAAD/v3zk=")</f>
        <v>#REF!</v>
      </c>
      <c r="BG92" t="e">
        <f>AND('GA55 Entry'!#REF!,"AAAAAD/v3zo=")</f>
        <v>#REF!</v>
      </c>
      <c r="BH92" t="e">
        <f>AND('GA55 Entry'!D229,"AAAAAD/v3zs=")</f>
        <v>#VALUE!</v>
      </c>
      <c r="BI92" t="e">
        <f>AND('GA55 Entry'!#REF!,"AAAAAD/v3zw=")</f>
        <v>#REF!</v>
      </c>
      <c r="BJ92" t="e">
        <f>AND('GA55 Entry'!E229,"AAAAAD/v3z0=")</f>
        <v>#VALUE!</v>
      </c>
      <c r="BK92" t="e">
        <f>AND('GA55 Entry'!F229,"AAAAAD/v3z4=")</f>
        <v>#VALUE!</v>
      </c>
      <c r="BL92" t="e">
        <f>AND('GA55 Entry'!G229,"AAAAAD/v3z8=")</f>
        <v>#VALUE!</v>
      </c>
      <c r="BM92" t="e">
        <f>AND('GA55 Entry'!H229,"AAAAAD/v30A=")</f>
        <v>#VALUE!</v>
      </c>
      <c r="BN92" t="e">
        <f>AND('GA55 Entry'!I229,"AAAAAD/v30E=")</f>
        <v>#VALUE!</v>
      </c>
      <c r="BO92" t="e">
        <f>AND('GA55 Entry'!J229,"AAAAAD/v30I=")</f>
        <v>#VALUE!</v>
      </c>
      <c r="BP92" t="e">
        <f>AND('GA55 Entry'!#REF!,"AAAAAD/v30M=")</f>
        <v>#REF!</v>
      </c>
      <c r="BQ92" t="e">
        <f>AND('GA55 Entry'!K229,"AAAAAD/v30Q=")</f>
        <v>#VALUE!</v>
      </c>
      <c r="BR92" t="e">
        <f>AND('GA55 Entry'!L229,"AAAAAD/v30U=")</f>
        <v>#VALUE!</v>
      </c>
      <c r="BS92" t="e">
        <f>AND('GA55 Entry'!M229,"AAAAAD/v30Y=")</f>
        <v>#VALUE!</v>
      </c>
      <c r="BT92" t="e">
        <f>AND('GA55 Entry'!N229,"AAAAAD/v30c=")</f>
        <v>#VALUE!</v>
      </c>
      <c r="BU92" t="e">
        <f>AND('GA55 Entry'!O229,"AAAAAD/v30g=")</f>
        <v>#VALUE!</v>
      </c>
      <c r="BV92" t="e">
        <f>AND('GA55 Entry'!P229,"AAAAAD/v30k=")</f>
        <v>#VALUE!</v>
      </c>
      <c r="BW92" t="e">
        <f>AND('GA55 Entry'!Q229,"AAAAAD/v30o=")</f>
        <v>#VALUE!</v>
      </c>
      <c r="BX92" t="e">
        <f>AND('GA55 Entry'!S229,"AAAAAD/v30s=")</f>
        <v>#VALUE!</v>
      </c>
      <c r="BY92" t="e">
        <f>AND('GA55 Entry'!#REF!,"AAAAAD/v30w=")</f>
        <v>#REF!</v>
      </c>
      <c r="BZ92" t="e">
        <f>AND('GA55 Entry'!T229,"AAAAAD/v300=")</f>
        <v>#VALUE!</v>
      </c>
      <c r="CA92" t="e">
        <f>AND('GA55 Entry'!U229,"AAAAAD/v304=")</f>
        <v>#VALUE!</v>
      </c>
      <c r="CB92" t="e">
        <f>AND('GA55 Entry'!V229,"AAAAAD/v308=")</f>
        <v>#VALUE!</v>
      </c>
      <c r="CC92" t="e">
        <f>AND('GA55 Entry'!#REF!,"AAAAAD/v31A=")</f>
        <v>#REF!</v>
      </c>
      <c r="CD92" t="e">
        <f>AND('GA55 Entry'!#REF!,"AAAAAD/v31E=")</f>
        <v>#REF!</v>
      </c>
      <c r="CE92" t="e">
        <f>AND('GA55 Entry'!X229,"AAAAAD/v31I=")</f>
        <v>#VALUE!</v>
      </c>
      <c r="CF92" t="e">
        <f>AND('GA55 Entry'!Y229,"AAAAAD/v31M=")</f>
        <v>#VALUE!</v>
      </c>
      <c r="CG92" t="e">
        <f>AND('GA55 Entry'!#REF!,"AAAAAD/v31Q=")</f>
        <v>#REF!</v>
      </c>
      <c r="CH92" t="e">
        <f>AND('GA55 Entry'!#REF!,"AAAAAD/v31U=")</f>
        <v>#REF!</v>
      </c>
      <c r="CI92" t="e">
        <f>AND('GA55 Entry'!#REF!,"AAAAAD/v31Y=")</f>
        <v>#REF!</v>
      </c>
      <c r="CJ92" t="e">
        <f>AND('GA55 Entry'!#REF!,"AAAAAD/v31c=")</f>
        <v>#REF!</v>
      </c>
      <c r="CK92" t="e">
        <f>AND('GA55 Entry'!#REF!,"AAAAAD/v31g=")</f>
        <v>#REF!</v>
      </c>
      <c r="CL92" t="e">
        <f>AND('GA55 Entry'!#REF!,"AAAAAD/v31k=")</f>
        <v>#REF!</v>
      </c>
      <c r="CM92" t="e">
        <f>AND('GA55 Entry'!#REF!,"AAAAAD/v31o=")</f>
        <v>#REF!</v>
      </c>
      <c r="CN92" t="e">
        <f>AND('GA55 Entry'!#REF!,"AAAAAD/v31s=")</f>
        <v>#REF!</v>
      </c>
      <c r="CO92" t="e">
        <f>AND('GA55 Entry'!#REF!,"AAAAAD/v31w=")</f>
        <v>#REF!</v>
      </c>
      <c r="CP92" t="e">
        <f>AND('GA55 Entry'!Z229,"AAAAAD/v310=")</f>
        <v>#VALUE!</v>
      </c>
      <c r="CQ92" t="e">
        <f>AND('GA55 Entry'!AA229,"AAAAAD/v314=")</f>
        <v>#VALUE!</v>
      </c>
      <c r="CR92" t="e">
        <f>AND('GA55 Entry'!#REF!,"AAAAAD/v318=")</f>
        <v>#REF!</v>
      </c>
      <c r="CS92" t="e">
        <f>AND('GA55 Entry'!#REF!,"AAAAAD/v32A=")</f>
        <v>#REF!</v>
      </c>
      <c r="CT92" t="e">
        <f>AND('GA55 Entry'!#REF!,"AAAAAD/v32E=")</f>
        <v>#REF!</v>
      </c>
      <c r="CU92" t="e">
        <f>AND('GA55 Entry'!AB229,"AAAAAD/v32I=")</f>
        <v>#VALUE!</v>
      </c>
      <c r="CV92" t="e">
        <f>AND('GA55 Entry'!AC229,"AAAAAD/v32M=")</f>
        <v>#VALUE!</v>
      </c>
      <c r="CW92" t="e">
        <f>AND('GA55 Entry'!#REF!,"AAAAAD/v32Q=")</f>
        <v>#REF!</v>
      </c>
      <c r="CX92">
        <f>IF('GA55 Entry'!230:230,"AAAAAD/v32U=",0)</f>
        <v>0</v>
      </c>
      <c r="CY92" t="e">
        <f>AND('GA55 Entry'!B230,"AAAAAD/v32Y=")</f>
        <v>#VALUE!</v>
      </c>
      <c r="CZ92" t="e">
        <f>AND('GA55 Entry'!#REF!,"AAAAAD/v32c=")</f>
        <v>#REF!</v>
      </c>
      <c r="DA92" t="e">
        <f>AND('GA55 Entry'!C230,"AAAAAD/v32g=")</f>
        <v>#VALUE!</v>
      </c>
      <c r="DB92" t="e">
        <f>AND('GA55 Entry'!#REF!,"AAAAAD/v32k=")</f>
        <v>#REF!</v>
      </c>
      <c r="DC92" t="e">
        <f>AND('GA55 Entry'!#REF!,"AAAAAD/v32o=")</f>
        <v>#REF!</v>
      </c>
      <c r="DD92" t="e">
        <f>AND('GA55 Entry'!#REF!,"AAAAAD/v32s=")</f>
        <v>#REF!</v>
      </c>
      <c r="DE92" t="e">
        <f>AND('GA55 Entry'!#REF!,"AAAAAD/v32w=")</f>
        <v>#REF!</v>
      </c>
      <c r="DF92" t="e">
        <f>AND('GA55 Entry'!#REF!,"AAAAAD/v320=")</f>
        <v>#REF!</v>
      </c>
      <c r="DG92" t="e">
        <f>AND('GA55 Entry'!D230,"AAAAAD/v324=")</f>
        <v>#VALUE!</v>
      </c>
      <c r="DH92" t="e">
        <f>AND('GA55 Entry'!#REF!,"AAAAAD/v328=")</f>
        <v>#REF!</v>
      </c>
      <c r="DI92" t="e">
        <f>AND('GA55 Entry'!E230,"AAAAAD/v33A=")</f>
        <v>#VALUE!</v>
      </c>
      <c r="DJ92" t="e">
        <f>AND('GA55 Entry'!F230,"AAAAAD/v33E=")</f>
        <v>#VALUE!</v>
      </c>
      <c r="DK92" t="e">
        <f>AND('GA55 Entry'!G230,"AAAAAD/v33I=")</f>
        <v>#VALUE!</v>
      </c>
      <c r="DL92" t="e">
        <f>AND('GA55 Entry'!H230,"AAAAAD/v33M=")</f>
        <v>#VALUE!</v>
      </c>
      <c r="DM92" t="e">
        <f>AND('GA55 Entry'!I230,"AAAAAD/v33Q=")</f>
        <v>#VALUE!</v>
      </c>
      <c r="DN92" t="e">
        <f>AND('GA55 Entry'!J230,"AAAAAD/v33U=")</f>
        <v>#VALUE!</v>
      </c>
      <c r="DO92" t="e">
        <f>AND('GA55 Entry'!#REF!,"AAAAAD/v33Y=")</f>
        <v>#REF!</v>
      </c>
      <c r="DP92" t="e">
        <f>AND('GA55 Entry'!K230,"AAAAAD/v33c=")</f>
        <v>#VALUE!</v>
      </c>
      <c r="DQ92" t="e">
        <f>AND('GA55 Entry'!L230,"AAAAAD/v33g=")</f>
        <v>#VALUE!</v>
      </c>
      <c r="DR92" t="e">
        <f>AND('GA55 Entry'!M230,"AAAAAD/v33k=")</f>
        <v>#VALUE!</v>
      </c>
      <c r="DS92" t="e">
        <f>AND('GA55 Entry'!N230,"AAAAAD/v33o=")</f>
        <v>#VALUE!</v>
      </c>
      <c r="DT92" t="e">
        <f>AND('GA55 Entry'!O230,"AAAAAD/v33s=")</f>
        <v>#VALUE!</v>
      </c>
      <c r="DU92" t="e">
        <f>AND('GA55 Entry'!P230,"AAAAAD/v33w=")</f>
        <v>#VALUE!</v>
      </c>
      <c r="DV92" t="e">
        <f>AND('GA55 Entry'!Q230,"AAAAAD/v330=")</f>
        <v>#VALUE!</v>
      </c>
      <c r="DW92" t="e">
        <f>AND('GA55 Entry'!S230,"AAAAAD/v334=")</f>
        <v>#VALUE!</v>
      </c>
      <c r="DX92" t="e">
        <f>AND('GA55 Entry'!#REF!,"AAAAAD/v338=")</f>
        <v>#REF!</v>
      </c>
      <c r="DY92" t="e">
        <f>AND('GA55 Entry'!T230,"AAAAAD/v34A=")</f>
        <v>#VALUE!</v>
      </c>
      <c r="DZ92" t="e">
        <f>AND('GA55 Entry'!U230,"AAAAAD/v34E=")</f>
        <v>#VALUE!</v>
      </c>
      <c r="EA92" t="e">
        <f>AND('GA55 Entry'!V230,"AAAAAD/v34I=")</f>
        <v>#VALUE!</v>
      </c>
      <c r="EB92" t="e">
        <f>AND('GA55 Entry'!#REF!,"AAAAAD/v34M=")</f>
        <v>#REF!</v>
      </c>
      <c r="EC92" t="e">
        <f>AND('GA55 Entry'!#REF!,"AAAAAD/v34Q=")</f>
        <v>#REF!</v>
      </c>
      <c r="ED92" t="e">
        <f>AND('GA55 Entry'!X230,"AAAAAD/v34U=")</f>
        <v>#VALUE!</v>
      </c>
      <c r="EE92" t="e">
        <f>AND('GA55 Entry'!Y230,"AAAAAD/v34Y=")</f>
        <v>#VALUE!</v>
      </c>
      <c r="EF92" t="e">
        <f>AND('GA55 Entry'!#REF!,"AAAAAD/v34c=")</f>
        <v>#REF!</v>
      </c>
      <c r="EG92" t="e">
        <f>AND('GA55 Entry'!#REF!,"AAAAAD/v34g=")</f>
        <v>#REF!</v>
      </c>
      <c r="EH92" t="e">
        <f>AND('GA55 Entry'!#REF!,"AAAAAD/v34k=")</f>
        <v>#REF!</v>
      </c>
      <c r="EI92" t="e">
        <f>AND('GA55 Entry'!#REF!,"AAAAAD/v34o=")</f>
        <v>#REF!</v>
      </c>
      <c r="EJ92" t="e">
        <f>AND('GA55 Entry'!#REF!,"AAAAAD/v34s=")</f>
        <v>#REF!</v>
      </c>
      <c r="EK92" t="e">
        <f>AND('GA55 Entry'!#REF!,"AAAAAD/v34w=")</f>
        <v>#REF!</v>
      </c>
      <c r="EL92" t="e">
        <f>AND('GA55 Entry'!#REF!,"AAAAAD/v340=")</f>
        <v>#REF!</v>
      </c>
      <c r="EM92" t="e">
        <f>AND('GA55 Entry'!#REF!,"AAAAAD/v344=")</f>
        <v>#REF!</v>
      </c>
      <c r="EN92" t="e">
        <f>AND('GA55 Entry'!#REF!,"AAAAAD/v348=")</f>
        <v>#REF!</v>
      </c>
      <c r="EO92" t="e">
        <f>AND('GA55 Entry'!Z230,"AAAAAD/v35A=")</f>
        <v>#VALUE!</v>
      </c>
      <c r="EP92" t="e">
        <f>AND('GA55 Entry'!AA230,"AAAAAD/v35E=")</f>
        <v>#VALUE!</v>
      </c>
      <c r="EQ92" t="e">
        <f>AND('GA55 Entry'!#REF!,"AAAAAD/v35I=")</f>
        <v>#REF!</v>
      </c>
      <c r="ER92" t="e">
        <f>AND('GA55 Entry'!#REF!,"AAAAAD/v35M=")</f>
        <v>#REF!</v>
      </c>
      <c r="ES92" t="e">
        <f>AND('GA55 Entry'!#REF!,"AAAAAD/v35Q=")</f>
        <v>#REF!</v>
      </c>
      <c r="ET92" t="e">
        <f>AND('GA55 Entry'!AB230,"AAAAAD/v35U=")</f>
        <v>#VALUE!</v>
      </c>
      <c r="EU92" t="e">
        <f>AND('GA55 Entry'!AC230,"AAAAAD/v35Y=")</f>
        <v>#VALUE!</v>
      </c>
      <c r="EV92" t="e">
        <f>AND('GA55 Entry'!#REF!,"AAAAAD/v35c=")</f>
        <v>#REF!</v>
      </c>
      <c r="EW92">
        <f>IF('GA55 Entry'!231:231,"AAAAAD/v35g=",0)</f>
        <v>0</v>
      </c>
      <c r="EX92" t="e">
        <f>AND('GA55 Entry'!B231,"AAAAAD/v35k=")</f>
        <v>#VALUE!</v>
      </c>
      <c r="EY92" t="e">
        <f>AND('GA55 Entry'!#REF!,"AAAAAD/v35o=")</f>
        <v>#REF!</v>
      </c>
      <c r="EZ92" t="e">
        <f>AND('GA55 Entry'!C231,"AAAAAD/v35s=")</f>
        <v>#VALUE!</v>
      </c>
      <c r="FA92" t="e">
        <f>AND('GA55 Entry'!#REF!,"AAAAAD/v35w=")</f>
        <v>#REF!</v>
      </c>
      <c r="FB92" t="e">
        <f>AND('GA55 Entry'!#REF!,"AAAAAD/v350=")</f>
        <v>#REF!</v>
      </c>
      <c r="FC92" t="e">
        <f>AND('GA55 Entry'!#REF!,"AAAAAD/v354=")</f>
        <v>#REF!</v>
      </c>
      <c r="FD92" t="e">
        <f>AND('GA55 Entry'!#REF!,"AAAAAD/v358=")</f>
        <v>#REF!</v>
      </c>
      <c r="FE92" t="e">
        <f>AND('GA55 Entry'!#REF!,"AAAAAD/v36A=")</f>
        <v>#REF!</v>
      </c>
      <c r="FF92" t="e">
        <f>AND('GA55 Entry'!D231,"AAAAAD/v36E=")</f>
        <v>#VALUE!</v>
      </c>
      <c r="FG92" t="e">
        <f>AND('GA55 Entry'!#REF!,"AAAAAD/v36I=")</f>
        <v>#REF!</v>
      </c>
      <c r="FH92" t="e">
        <f>AND('GA55 Entry'!E231,"AAAAAD/v36M=")</f>
        <v>#VALUE!</v>
      </c>
      <c r="FI92" t="e">
        <f>AND('GA55 Entry'!F231,"AAAAAD/v36Q=")</f>
        <v>#VALUE!</v>
      </c>
      <c r="FJ92" t="e">
        <f>AND('GA55 Entry'!G231,"AAAAAD/v36U=")</f>
        <v>#VALUE!</v>
      </c>
      <c r="FK92" t="e">
        <f>AND('GA55 Entry'!H231,"AAAAAD/v36Y=")</f>
        <v>#VALUE!</v>
      </c>
      <c r="FL92" t="e">
        <f>AND('GA55 Entry'!I231,"AAAAAD/v36c=")</f>
        <v>#VALUE!</v>
      </c>
      <c r="FM92" t="e">
        <f>AND('GA55 Entry'!J231,"AAAAAD/v36g=")</f>
        <v>#VALUE!</v>
      </c>
      <c r="FN92" t="e">
        <f>AND('GA55 Entry'!#REF!,"AAAAAD/v36k=")</f>
        <v>#REF!</v>
      </c>
      <c r="FO92" t="e">
        <f>AND('GA55 Entry'!K231,"AAAAAD/v36o=")</f>
        <v>#VALUE!</v>
      </c>
      <c r="FP92" t="e">
        <f>AND('GA55 Entry'!L231,"AAAAAD/v36s=")</f>
        <v>#VALUE!</v>
      </c>
      <c r="FQ92" t="e">
        <f>AND('GA55 Entry'!M231,"AAAAAD/v36w=")</f>
        <v>#VALUE!</v>
      </c>
      <c r="FR92" t="e">
        <f>AND('GA55 Entry'!N231,"AAAAAD/v360=")</f>
        <v>#VALUE!</v>
      </c>
      <c r="FS92" t="e">
        <f>AND('GA55 Entry'!O231,"AAAAAD/v364=")</f>
        <v>#VALUE!</v>
      </c>
      <c r="FT92" t="e">
        <f>AND('GA55 Entry'!P231,"AAAAAD/v368=")</f>
        <v>#VALUE!</v>
      </c>
      <c r="FU92" t="e">
        <f>AND('GA55 Entry'!Q231,"AAAAAD/v37A=")</f>
        <v>#VALUE!</v>
      </c>
      <c r="FV92" t="e">
        <f>AND('GA55 Entry'!S231,"AAAAAD/v37E=")</f>
        <v>#VALUE!</v>
      </c>
      <c r="FW92" t="e">
        <f>AND('GA55 Entry'!#REF!,"AAAAAD/v37I=")</f>
        <v>#REF!</v>
      </c>
      <c r="FX92" t="e">
        <f>AND('GA55 Entry'!T231,"AAAAAD/v37M=")</f>
        <v>#VALUE!</v>
      </c>
      <c r="FY92" t="e">
        <f>AND('GA55 Entry'!U231,"AAAAAD/v37Q=")</f>
        <v>#VALUE!</v>
      </c>
      <c r="FZ92" t="e">
        <f>AND('GA55 Entry'!V231,"AAAAAD/v37U=")</f>
        <v>#VALUE!</v>
      </c>
      <c r="GA92" t="e">
        <f>AND('GA55 Entry'!#REF!,"AAAAAD/v37Y=")</f>
        <v>#REF!</v>
      </c>
      <c r="GB92" t="e">
        <f>AND('GA55 Entry'!#REF!,"AAAAAD/v37c=")</f>
        <v>#REF!</v>
      </c>
      <c r="GC92" t="e">
        <f>AND('GA55 Entry'!X231,"AAAAAD/v37g=")</f>
        <v>#VALUE!</v>
      </c>
      <c r="GD92" t="e">
        <f>AND('GA55 Entry'!Y231,"AAAAAD/v37k=")</f>
        <v>#VALUE!</v>
      </c>
      <c r="GE92" t="e">
        <f>AND('GA55 Entry'!#REF!,"AAAAAD/v37o=")</f>
        <v>#REF!</v>
      </c>
      <c r="GF92" t="e">
        <f>AND('GA55 Entry'!#REF!,"AAAAAD/v37s=")</f>
        <v>#REF!</v>
      </c>
      <c r="GG92" t="e">
        <f>AND('GA55 Entry'!#REF!,"AAAAAD/v37w=")</f>
        <v>#REF!</v>
      </c>
      <c r="GH92" t="e">
        <f>AND('GA55 Entry'!#REF!,"AAAAAD/v370=")</f>
        <v>#REF!</v>
      </c>
      <c r="GI92" t="e">
        <f>AND('GA55 Entry'!#REF!,"AAAAAD/v374=")</f>
        <v>#REF!</v>
      </c>
      <c r="GJ92" t="e">
        <f>AND('GA55 Entry'!#REF!,"AAAAAD/v378=")</f>
        <v>#REF!</v>
      </c>
      <c r="GK92" t="e">
        <f>AND('GA55 Entry'!#REF!,"AAAAAD/v38A=")</f>
        <v>#REF!</v>
      </c>
      <c r="GL92" t="e">
        <f>AND('GA55 Entry'!#REF!,"AAAAAD/v38E=")</f>
        <v>#REF!</v>
      </c>
      <c r="GM92" t="e">
        <f>AND('GA55 Entry'!#REF!,"AAAAAD/v38I=")</f>
        <v>#REF!</v>
      </c>
      <c r="GN92" t="e">
        <f>AND('GA55 Entry'!Z231,"AAAAAD/v38M=")</f>
        <v>#VALUE!</v>
      </c>
      <c r="GO92" t="e">
        <f>AND('GA55 Entry'!AA231,"AAAAAD/v38Q=")</f>
        <v>#VALUE!</v>
      </c>
      <c r="GP92" t="e">
        <f>AND('GA55 Entry'!#REF!,"AAAAAD/v38U=")</f>
        <v>#REF!</v>
      </c>
      <c r="GQ92" t="e">
        <f>AND('GA55 Entry'!#REF!,"AAAAAD/v38Y=")</f>
        <v>#REF!</v>
      </c>
      <c r="GR92" t="e">
        <f>AND('GA55 Entry'!#REF!,"AAAAAD/v38c=")</f>
        <v>#REF!</v>
      </c>
      <c r="GS92" t="e">
        <f>AND('GA55 Entry'!AB231,"AAAAAD/v38g=")</f>
        <v>#VALUE!</v>
      </c>
      <c r="GT92" t="e">
        <f>AND('GA55 Entry'!AC231,"AAAAAD/v38k=")</f>
        <v>#VALUE!</v>
      </c>
      <c r="GU92" t="e">
        <f>AND('GA55 Entry'!#REF!,"AAAAAD/v38o=")</f>
        <v>#REF!</v>
      </c>
      <c r="GV92">
        <f>IF('GA55 Entry'!232:232,"AAAAAD/v38s=",0)</f>
        <v>0</v>
      </c>
      <c r="GW92" t="e">
        <f>AND('GA55 Entry'!B232,"AAAAAD/v38w=")</f>
        <v>#VALUE!</v>
      </c>
      <c r="GX92" t="e">
        <f>AND('GA55 Entry'!#REF!,"AAAAAD/v380=")</f>
        <v>#REF!</v>
      </c>
      <c r="GY92" t="e">
        <f>AND('GA55 Entry'!C232,"AAAAAD/v384=")</f>
        <v>#VALUE!</v>
      </c>
      <c r="GZ92" t="e">
        <f>AND('GA55 Entry'!#REF!,"AAAAAD/v388=")</f>
        <v>#REF!</v>
      </c>
      <c r="HA92" t="e">
        <f>AND('GA55 Entry'!#REF!,"AAAAAD/v39A=")</f>
        <v>#REF!</v>
      </c>
      <c r="HB92" t="e">
        <f>AND('GA55 Entry'!#REF!,"AAAAAD/v39E=")</f>
        <v>#REF!</v>
      </c>
      <c r="HC92" t="e">
        <f>AND('GA55 Entry'!#REF!,"AAAAAD/v39I=")</f>
        <v>#REF!</v>
      </c>
      <c r="HD92" t="e">
        <f>AND('GA55 Entry'!#REF!,"AAAAAD/v39M=")</f>
        <v>#REF!</v>
      </c>
      <c r="HE92" t="e">
        <f>AND('GA55 Entry'!D232,"AAAAAD/v39Q=")</f>
        <v>#VALUE!</v>
      </c>
      <c r="HF92" t="e">
        <f>AND('GA55 Entry'!#REF!,"AAAAAD/v39U=")</f>
        <v>#REF!</v>
      </c>
      <c r="HG92" t="e">
        <f>AND('GA55 Entry'!E232,"AAAAAD/v39Y=")</f>
        <v>#VALUE!</v>
      </c>
      <c r="HH92" t="e">
        <f>AND('GA55 Entry'!F232,"AAAAAD/v39c=")</f>
        <v>#VALUE!</v>
      </c>
      <c r="HI92" t="e">
        <f>AND('GA55 Entry'!G232,"AAAAAD/v39g=")</f>
        <v>#VALUE!</v>
      </c>
      <c r="HJ92" t="e">
        <f>AND('GA55 Entry'!H232,"AAAAAD/v39k=")</f>
        <v>#VALUE!</v>
      </c>
      <c r="HK92" t="e">
        <f>AND('GA55 Entry'!I232,"AAAAAD/v39o=")</f>
        <v>#VALUE!</v>
      </c>
      <c r="HL92" t="e">
        <f>AND('GA55 Entry'!J232,"AAAAAD/v39s=")</f>
        <v>#VALUE!</v>
      </c>
      <c r="HM92" t="e">
        <f>AND('GA55 Entry'!#REF!,"AAAAAD/v39w=")</f>
        <v>#REF!</v>
      </c>
      <c r="HN92" t="e">
        <f>AND('GA55 Entry'!K232,"AAAAAD/v390=")</f>
        <v>#VALUE!</v>
      </c>
      <c r="HO92" t="e">
        <f>AND('GA55 Entry'!L232,"AAAAAD/v394=")</f>
        <v>#VALUE!</v>
      </c>
      <c r="HP92" t="e">
        <f>AND('GA55 Entry'!M232,"AAAAAD/v398=")</f>
        <v>#VALUE!</v>
      </c>
      <c r="HQ92" t="e">
        <f>AND('GA55 Entry'!N232,"AAAAAD/v3+A=")</f>
        <v>#VALUE!</v>
      </c>
      <c r="HR92" t="e">
        <f>AND('GA55 Entry'!O232,"AAAAAD/v3+E=")</f>
        <v>#VALUE!</v>
      </c>
      <c r="HS92" t="e">
        <f>AND('GA55 Entry'!P232,"AAAAAD/v3+I=")</f>
        <v>#VALUE!</v>
      </c>
      <c r="HT92" t="e">
        <f>AND('GA55 Entry'!Q232,"AAAAAD/v3+M=")</f>
        <v>#VALUE!</v>
      </c>
      <c r="HU92" t="e">
        <f>AND('GA55 Entry'!S232,"AAAAAD/v3+Q=")</f>
        <v>#VALUE!</v>
      </c>
      <c r="HV92" t="e">
        <f>AND('GA55 Entry'!#REF!,"AAAAAD/v3+U=")</f>
        <v>#REF!</v>
      </c>
      <c r="HW92" t="e">
        <f>AND('GA55 Entry'!T232,"AAAAAD/v3+Y=")</f>
        <v>#VALUE!</v>
      </c>
      <c r="HX92" t="e">
        <f>AND('GA55 Entry'!U232,"AAAAAD/v3+c=")</f>
        <v>#VALUE!</v>
      </c>
      <c r="HY92" t="e">
        <f>AND('GA55 Entry'!V232,"AAAAAD/v3+g=")</f>
        <v>#VALUE!</v>
      </c>
      <c r="HZ92" t="e">
        <f>AND('GA55 Entry'!#REF!,"AAAAAD/v3+k=")</f>
        <v>#REF!</v>
      </c>
      <c r="IA92" t="e">
        <f>AND('GA55 Entry'!#REF!,"AAAAAD/v3+o=")</f>
        <v>#REF!</v>
      </c>
      <c r="IB92" t="e">
        <f>AND('GA55 Entry'!X232,"AAAAAD/v3+s=")</f>
        <v>#VALUE!</v>
      </c>
      <c r="IC92" t="e">
        <f>AND('GA55 Entry'!Y232,"AAAAAD/v3+w=")</f>
        <v>#VALUE!</v>
      </c>
      <c r="ID92" t="e">
        <f>AND('GA55 Entry'!#REF!,"AAAAAD/v3+0=")</f>
        <v>#REF!</v>
      </c>
      <c r="IE92" t="e">
        <f>AND('GA55 Entry'!#REF!,"AAAAAD/v3+4=")</f>
        <v>#REF!</v>
      </c>
      <c r="IF92" t="e">
        <f>AND('GA55 Entry'!#REF!,"AAAAAD/v3+8=")</f>
        <v>#REF!</v>
      </c>
      <c r="IG92" t="e">
        <f>AND('GA55 Entry'!#REF!,"AAAAAD/v3/A=")</f>
        <v>#REF!</v>
      </c>
      <c r="IH92" t="e">
        <f>AND('GA55 Entry'!#REF!,"AAAAAD/v3/E=")</f>
        <v>#REF!</v>
      </c>
      <c r="II92" t="e">
        <f>AND('GA55 Entry'!#REF!,"AAAAAD/v3/I=")</f>
        <v>#REF!</v>
      </c>
      <c r="IJ92" t="e">
        <f>AND('GA55 Entry'!#REF!,"AAAAAD/v3/M=")</f>
        <v>#REF!</v>
      </c>
      <c r="IK92" t="e">
        <f>AND('GA55 Entry'!#REF!,"AAAAAD/v3/Q=")</f>
        <v>#REF!</v>
      </c>
      <c r="IL92" t="e">
        <f>AND('GA55 Entry'!#REF!,"AAAAAD/v3/U=")</f>
        <v>#REF!</v>
      </c>
      <c r="IM92" t="e">
        <f>AND('GA55 Entry'!Z232,"AAAAAD/v3/Y=")</f>
        <v>#VALUE!</v>
      </c>
      <c r="IN92" t="e">
        <f>AND('GA55 Entry'!AA232,"AAAAAD/v3/c=")</f>
        <v>#VALUE!</v>
      </c>
      <c r="IO92" t="e">
        <f>AND('GA55 Entry'!#REF!,"AAAAAD/v3/g=")</f>
        <v>#REF!</v>
      </c>
      <c r="IP92" t="e">
        <f>AND('GA55 Entry'!#REF!,"AAAAAD/v3/k=")</f>
        <v>#REF!</v>
      </c>
      <c r="IQ92" t="e">
        <f>AND('GA55 Entry'!#REF!,"AAAAAD/v3/o=")</f>
        <v>#REF!</v>
      </c>
      <c r="IR92" t="e">
        <f>AND('GA55 Entry'!AB232,"AAAAAD/v3/s=")</f>
        <v>#VALUE!</v>
      </c>
      <c r="IS92" t="e">
        <f>AND('GA55 Entry'!AC232,"AAAAAD/v3/w=")</f>
        <v>#VALUE!</v>
      </c>
      <c r="IT92" t="e">
        <f>AND('GA55 Entry'!#REF!,"AAAAAD/v3/0=")</f>
        <v>#REF!</v>
      </c>
      <c r="IU92">
        <f>IF('GA55 Entry'!233:233,"AAAAAD/v3/4=",0)</f>
        <v>0</v>
      </c>
      <c r="IV92" t="e">
        <f>AND('GA55 Entry'!B233,"AAAAAD/v3/8=")</f>
        <v>#VALUE!</v>
      </c>
    </row>
    <row r="93" spans="1:256">
      <c r="A93" t="e">
        <f>AND('GA55 Entry'!#REF!,"AAAAAHj1/gA=")</f>
        <v>#REF!</v>
      </c>
      <c r="B93" t="e">
        <f>AND('GA55 Entry'!C233,"AAAAAHj1/gE=")</f>
        <v>#VALUE!</v>
      </c>
      <c r="C93" t="e">
        <f>AND('GA55 Entry'!#REF!,"AAAAAHj1/gI=")</f>
        <v>#REF!</v>
      </c>
      <c r="D93" t="e">
        <f>AND('GA55 Entry'!#REF!,"AAAAAHj1/gM=")</f>
        <v>#REF!</v>
      </c>
      <c r="E93" t="e">
        <f>AND('GA55 Entry'!#REF!,"AAAAAHj1/gQ=")</f>
        <v>#REF!</v>
      </c>
      <c r="F93" t="e">
        <f>AND('GA55 Entry'!#REF!,"AAAAAHj1/gU=")</f>
        <v>#REF!</v>
      </c>
      <c r="G93" t="e">
        <f>AND('GA55 Entry'!#REF!,"AAAAAHj1/gY=")</f>
        <v>#REF!</v>
      </c>
      <c r="H93" t="e">
        <f>AND('GA55 Entry'!D233,"AAAAAHj1/gc=")</f>
        <v>#VALUE!</v>
      </c>
      <c r="I93" t="e">
        <f>AND('GA55 Entry'!#REF!,"AAAAAHj1/gg=")</f>
        <v>#REF!</v>
      </c>
      <c r="J93" t="e">
        <f>AND('GA55 Entry'!E233,"AAAAAHj1/gk=")</f>
        <v>#VALUE!</v>
      </c>
      <c r="K93" t="e">
        <f>AND('GA55 Entry'!F233,"AAAAAHj1/go=")</f>
        <v>#VALUE!</v>
      </c>
      <c r="L93" t="e">
        <f>AND('GA55 Entry'!G233,"AAAAAHj1/gs=")</f>
        <v>#VALUE!</v>
      </c>
      <c r="M93" t="e">
        <f>AND('GA55 Entry'!H233,"AAAAAHj1/gw=")</f>
        <v>#VALUE!</v>
      </c>
      <c r="N93" t="e">
        <f>AND('GA55 Entry'!I233,"AAAAAHj1/g0=")</f>
        <v>#VALUE!</v>
      </c>
      <c r="O93" t="e">
        <f>AND('GA55 Entry'!J233,"AAAAAHj1/g4=")</f>
        <v>#VALUE!</v>
      </c>
      <c r="P93" t="e">
        <f>AND('GA55 Entry'!#REF!,"AAAAAHj1/g8=")</f>
        <v>#REF!</v>
      </c>
      <c r="Q93" t="e">
        <f>AND('GA55 Entry'!K233,"AAAAAHj1/hA=")</f>
        <v>#VALUE!</v>
      </c>
      <c r="R93" t="e">
        <f>AND('GA55 Entry'!L233,"AAAAAHj1/hE=")</f>
        <v>#VALUE!</v>
      </c>
      <c r="S93" t="e">
        <f>AND('GA55 Entry'!M233,"AAAAAHj1/hI=")</f>
        <v>#VALUE!</v>
      </c>
      <c r="T93" t="e">
        <f>AND('GA55 Entry'!N233,"AAAAAHj1/hM=")</f>
        <v>#VALUE!</v>
      </c>
      <c r="U93" t="e">
        <f>AND('GA55 Entry'!O233,"AAAAAHj1/hQ=")</f>
        <v>#VALUE!</v>
      </c>
      <c r="V93" t="e">
        <f>AND('GA55 Entry'!P233,"AAAAAHj1/hU=")</f>
        <v>#VALUE!</v>
      </c>
      <c r="W93" t="e">
        <f>AND('GA55 Entry'!Q233,"AAAAAHj1/hY=")</f>
        <v>#VALUE!</v>
      </c>
      <c r="X93" t="e">
        <f>AND('GA55 Entry'!S233,"AAAAAHj1/hc=")</f>
        <v>#VALUE!</v>
      </c>
      <c r="Y93" t="e">
        <f>AND('GA55 Entry'!#REF!,"AAAAAHj1/hg=")</f>
        <v>#REF!</v>
      </c>
      <c r="Z93" t="e">
        <f>AND('GA55 Entry'!T233,"AAAAAHj1/hk=")</f>
        <v>#VALUE!</v>
      </c>
      <c r="AA93" t="e">
        <f>AND('GA55 Entry'!U233,"AAAAAHj1/ho=")</f>
        <v>#VALUE!</v>
      </c>
      <c r="AB93" t="e">
        <f>AND('GA55 Entry'!V233,"AAAAAHj1/hs=")</f>
        <v>#VALUE!</v>
      </c>
      <c r="AC93" t="e">
        <f>AND('GA55 Entry'!#REF!,"AAAAAHj1/hw=")</f>
        <v>#REF!</v>
      </c>
      <c r="AD93" t="e">
        <f>AND('GA55 Entry'!#REF!,"AAAAAHj1/h0=")</f>
        <v>#REF!</v>
      </c>
      <c r="AE93" t="e">
        <f>AND('GA55 Entry'!X233,"AAAAAHj1/h4=")</f>
        <v>#VALUE!</v>
      </c>
      <c r="AF93" t="e">
        <f>AND('GA55 Entry'!Y233,"AAAAAHj1/h8=")</f>
        <v>#VALUE!</v>
      </c>
      <c r="AG93" t="e">
        <f>AND('GA55 Entry'!#REF!,"AAAAAHj1/iA=")</f>
        <v>#REF!</v>
      </c>
      <c r="AH93" t="e">
        <f>AND('GA55 Entry'!#REF!,"AAAAAHj1/iE=")</f>
        <v>#REF!</v>
      </c>
      <c r="AI93" t="e">
        <f>AND('GA55 Entry'!#REF!,"AAAAAHj1/iI=")</f>
        <v>#REF!</v>
      </c>
      <c r="AJ93" t="e">
        <f>AND('GA55 Entry'!#REF!,"AAAAAHj1/iM=")</f>
        <v>#REF!</v>
      </c>
      <c r="AK93" t="e">
        <f>AND('GA55 Entry'!#REF!,"AAAAAHj1/iQ=")</f>
        <v>#REF!</v>
      </c>
      <c r="AL93" t="e">
        <f>AND('GA55 Entry'!#REF!,"AAAAAHj1/iU=")</f>
        <v>#REF!</v>
      </c>
      <c r="AM93" t="e">
        <f>AND('GA55 Entry'!#REF!,"AAAAAHj1/iY=")</f>
        <v>#REF!</v>
      </c>
      <c r="AN93" t="e">
        <f>AND('GA55 Entry'!#REF!,"AAAAAHj1/ic=")</f>
        <v>#REF!</v>
      </c>
      <c r="AO93" t="e">
        <f>AND('GA55 Entry'!#REF!,"AAAAAHj1/ig=")</f>
        <v>#REF!</v>
      </c>
      <c r="AP93" t="e">
        <f>AND('GA55 Entry'!Z233,"AAAAAHj1/ik=")</f>
        <v>#VALUE!</v>
      </c>
      <c r="AQ93" t="e">
        <f>AND('GA55 Entry'!AA233,"AAAAAHj1/io=")</f>
        <v>#VALUE!</v>
      </c>
      <c r="AR93" t="e">
        <f>AND('GA55 Entry'!#REF!,"AAAAAHj1/is=")</f>
        <v>#REF!</v>
      </c>
      <c r="AS93" t="e">
        <f>AND('GA55 Entry'!#REF!,"AAAAAHj1/iw=")</f>
        <v>#REF!</v>
      </c>
      <c r="AT93" t="e">
        <f>AND('GA55 Entry'!#REF!,"AAAAAHj1/i0=")</f>
        <v>#REF!</v>
      </c>
      <c r="AU93" t="e">
        <f>AND('GA55 Entry'!AB233,"AAAAAHj1/i4=")</f>
        <v>#VALUE!</v>
      </c>
      <c r="AV93" t="e">
        <f>AND('GA55 Entry'!AC233,"AAAAAHj1/i8=")</f>
        <v>#VALUE!</v>
      </c>
      <c r="AW93" t="e">
        <f>AND('GA55 Entry'!#REF!,"AAAAAHj1/jA=")</f>
        <v>#REF!</v>
      </c>
      <c r="AX93">
        <f>IF('GA55 Entry'!234:234,"AAAAAHj1/jE=",0)</f>
        <v>0</v>
      </c>
      <c r="AY93" t="e">
        <f>AND('GA55 Entry'!B234,"AAAAAHj1/jI=")</f>
        <v>#VALUE!</v>
      </c>
      <c r="AZ93" t="e">
        <f>AND('GA55 Entry'!#REF!,"AAAAAHj1/jM=")</f>
        <v>#REF!</v>
      </c>
      <c r="BA93" t="e">
        <f>AND('GA55 Entry'!C234,"AAAAAHj1/jQ=")</f>
        <v>#VALUE!</v>
      </c>
      <c r="BB93" t="e">
        <f>AND('GA55 Entry'!#REF!,"AAAAAHj1/jU=")</f>
        <v>#REF!</v>
      </c>
      <c r="BC93" t="e">
        <f>AND('GA55 Entry'!#REF!,"AAAAAHj1/jY=")</f>
        <v>#REF!</v>
      </c>
      <c r="BD93" t="e">
        <f>AND('GA55 Entry'!#REF!,"AAAAAHj1/jc=")</f>
        <v>#REF!</v>
      </c>
      <c r="BE93" t="e">
        <f>AND('GA55 Entry'!#REF!,"AAAAAHj1/jg=")</f>
        <v>#REF!</v>
      </c>
      <c r="BF93" t="e">
        <f>AND('GA55 Entry'!#REF!,"AAAAAHj1/jk=")</f>
        <v>#REF!</v>
      </c>
      <c r="BG93" t="e">
        <f>AND('GA55 Entry'!D234,"AAAAAHj1/jo=")</f>
        <v>#VALUE!</v>
      </c>
      <c r="BH93" t="e">
        <f>AND('GA55 Entry'!#REF!,"AAAAAHj1/js=")</f>
        <v>#REF!</v>
      </c>
      <c r="BI93" t="e">
        <f>AND('GA55 Entry'!E234,"AAAAAHj1/jw=")</f>
        <v>#VALUE!</v>
      </c>
      <c r="BJ93" t="e">
        <f>AND('GA55 Entry'!F234,"AAAAAHj1/j0=")</f>
        <v>#VALUE!</v>
      </c>
      <c r="BK93" t="e">
        <f>AND('GA55 Entry'!G234,"AAAAAHj1/j4=")</f>
        <v>#VALUE!</v>
      </c>
      <c r="BL93" t="e">
        <f>AND('GA55 Entry'!H234,"AAAAAHj1/j8=")</f>
        <v>#VALUE!</v>
      </c>
      <c r="BM93" t="e">
        <f>AND('GA55 Entry'!I234,"AAAAAHj1/kA=")</f>
        <v>#VALUE!</v>
      </c>
      <c r="BN93" t="e">
        <f>AND('GA55 Entry'!J234,"AAAAAHj1/kE=")</f>
        <v>#VALUE!</v>
      </c>
      <c r="BO93" t="e">
        <f>AND('GA55 Entry'!#REF!,"AAAAAHj1/kI=")</f>
        <v>#REF!</v>
      </c>
      <c r="BP93" t="e">
        <f>AND('GA55 Entry'!K234,"AAAAAHj1/kM=")</f>
        <v>#VALUE!</v>
      </c>
      <c r="BQ93" t="e">
        <f>AND('GA55 Entry'!L234,"AAAAAHj1/kQ=")</f>
        <v>#VALUE!</v>
      </c>
      <c r="BR93" t="e">
        <f>AND('GA55 Entry'!M234,"AAAAAHj1/kU=")</f>
        <v>#VALUE!</v>
      </c>
      <c r="BS93" t="e">
        <f>AND('GA55 Entry'!N234,"AAAAAHj1/kY=")</f>
        <v>#VALUE!</v>
      </c>
      <c r="BT93" t="e">
        <f>AND('GA55 Entry'!O234,"AAAAAHj1/kc=")</f>
        <v>#VALUE!</v>
      </c>
      <c r="BU93" t="e">
        <f>AND('GA55 Entry'!P234,"AAAAAHj1/kg=")</f>
        <v>#VALUE!</v>
      </c>
      <c r="BV93" t="e">
        <f>AND('GA55 Entry'!Q234,"AAAAAHj1/kk=")</f>
        <v>#VALUE!</v>
      </c>
      <c r="BW93" t="e">
        <f>AND('GA55 Entry'!S234,"AAAAAHj1/ko=")</f>
        <v>#VALUE!</v>
      </c>
      <c r="BX93" t="e">
        <f>AND('GA55 Entry'!#REF!,"AAAAAHj1/ks=")</f>
        <v>#REF!</v>
      </c>
      <c r="BY93" t="e">
        <f>AND('GA55 Entry'!T234,"AAAAAHj1/kw=")</f>
        <v>#VALUE!</v>
      </c>
      <c r="BZ93" t="e">
        <f>AND('GA55 Entry'!U234,"AAAAAHj1/k0=")</f>
        <v>#VALUE!</v>
      </c>
      <c r="CA93" t="e">
        <f>AND('GA55 Entry'!V234,"AAAAAHj1/k4=")</f>
        <v>#VALUE!</v>
      </c>
      <c r="CB93" t="e">
        <f>AND('GA55 Entry'!#REF!,"AAAAAHj1/k8=")</f>
        <v>#REF!</v>
      </c>
      <c r="CC93" t="e">
        <f>AND('GA55 Entry'!#REF!,"AAAAAHj1/lA=")</f>
        <v>#REF!</v>
      </c>
      <c r="CD93" t="e">
        <f>AND('GA55 Entry'!X234,"AAAAAHj1/lE=")</f>
        <v>#VALUE!</v>
      </c>
      <c r="CE93" t="e">
        <f>AND('GA55 Entry'!Y234,"AAAAAHj1/lI=")</f>
        <v>#VALUE!</v>
      </c>
      <c r="CF93" t="e">
        <f>AND('GA55 Entry'!#REF!,"AAAAAHj1/lM=")</f>
        <v>#REF!</v>
      </c>
      <c r="CG93" t="e">
        <f>AND('GA55 Entry'!#REF!,"AAAAAHj1/lQ=")</f>
        <v>#REF!</v>
      </c>
      <c r="CH93" t="e">
        <f>AND('GA55 Entry'!#REF!,"AAAAAHj1/lU=")</f>
        <v>#REF!</v>
      </c>
      <c r="CI93" t="e">
        <f>AND('GA55 Entry'!#REF!,"AAAAAHj1/lY=")</f>
        <v>#REF!</v>
      </c>
      <c r="CJ93" t="e">
        <f>AND('GA55 Entry'!#REF!,"AAAAAHj1/lc=")</f>
        <v>#REF!</v>
      </c>
      <c r="CK93" t="e">
        <f>AND('GA55 Entry'!#REF!,"AAAAAHj1/lg=")</f>
        <v>#REF!</v>
      </c>
      <c r="CL93" t="e">
        <f>AND('GA55 Entry'!#REF!,"AAAAAHj1/lk=")</f>
        <v>#REF!</v>
      </c>
      <c r="CM93" t="e">
        <f>AND('GA55 Entry'!#REF!,"AAAAAHj1/lo=")</f>
        <v>#REF!</v>
      </c>
      <c r="CN93" t="e">
        <f>AND('GA55 Entry'!#REF!,"AAAAAHj1/ls=")</f>
        <v>#REF!</v>
      </c>
      <c r="CO93" t="e">
        <f>AND('GA55 Entry'!Z234,"AAAAAHj1/lw=")</f>
        <v>#VALUE!</v>
      </c>
      <c r="CP93" t="e">
        <f>AND('GA55 Entry'!AA234,"AAAAAHj1/l0=")</f>
        <v>#VALUE!</v>
      </c>
      <c r="CQ93" t="e">
        <f>AND('GA55 Entry'!#REF!,"AAAAAHj1/l4=")</f>
        <v>#REF!</v>
      </c>
      <c r="CR93" t="e">
        <f>AND('GA55 Entry'!#REF!,"AAAAAHj1/l8=")</f>
        <v>#REF!</v>
      </c>
      <c r="CS93" t="e">
        <f>AND('GA55 Entry'!#REF!,"AAAAAHj1/mA=")</f>
        <v>#REF!</v>
      </c>
      <c r="CT93" t="e">
        <f>AND('GA55 Entry'!AB234,"AAAAAHj1/mE=")</f>
        <v>#VALUE!</v>
      </c>
      <c r="CU93" t="e">
        <f>AND('GA55 Entry'!AC234,"AAAAAHj1/mI=")</f>
        <v>#VALUE!</v>
      </c>
      <c r="CV93" t="e">
        <f>AND('GA55 Entry'!#REF!,"AAAAAHj1/mM=")</f>
        <v>#REF!</v>
      </c>
      <c r="CW93">
        <f>IF('GA55 Entry'!235:235,"AAAAAHj1/mQ=",0)</f>
        <v>0</v>
      </c>
      <c r="CX93" t="e">
        <f>AND('GA55 Entry'!B235,"AAAAAHj1/mU=")</f>
        <v>#VALUE!</v>
      </c>
      <c r="CY93" t="e">
        <f>AND('GA55 Entry'!#REF!,"AAAAAHj1/mY=")</f>
        <v>#REF!</v>
      </c>
      <c r="CZ93" t="e">
        <f>AND('GA55 Entry'!C235,"AAAAAHj1/mc=")</f>
        <v>#VALUE!</v>
      </c>
      <c r="DA93" t="e">
        <f>AND('GA55 Entry'!#REF!,"AAAAAHj1/mg=")</f>
        <v>#REF!</v>
      </c>
      <c r="DB93" t="e">
        <f>AND('GA55 Entry'!#REF!,"AAAAAHj1/mk=")</f>
        <v>#REF!</v>
      </c>
      <c r="DC93" t="e">
        <f>AND('GA55 Entry'!#REF!,"AAAAAHj1/mo=")</f>
        <v>#REF!</v>
      </c>
      <c r="DD93" t="e">
        <f>AND('GA55 Entry'!#REF!,"AAAAAHj1/ms=")</f>
        <v>#REF!</v>
      </c>
      <c r="DE93" t="e">
        <f>AND('GA55 Entry'!#REF!,"AAAAAHj1/mw=")</f>
        <v>#REF!</v>
      </c>
      <c r="DF93" t="e">
        <f>AND('GA55 Entry'!D235,"AAAAAHj1/m0=")</f>
        <v>#VALUE!</v>
      </c>
      <c r="DG93" t="e">
        <f>AND('GA55 Entry'!#REF!,"AAAAAHj1/m4=")</f>
        <v>#REF!</v>
      </c>
      <c r="DH93" t="e">
        <f>AND('GA55 Entry'!E235,"AAAAAHj1/m8=")</f>
        <v>#VALUE!</v>
      </c>
      <c r="DI93" t="e">
        <f>AND('GA55 Entry'!F235,"AAAAAHj1/nA=")</f>
        <v>#VALUE!</v>
      </c>
      <c r="DJ93" t="e">
        <f>AND('GA55 Entry'!G235,"AAAAAHj1/nE=")</f>
        <v>#VALUE!</v>
      </c>
      <c r="DK93" t="e">
        <f>AND('GA55 Entry'!H235,"AAAAAHj1/nI=")</f>
        <v>#VALUE!</v>
      </c>
      <c r="DL93" t="e">
        <f>AND('GA55 Entry'!I235,"AAAAAHj1/nM=")</f>
        <v>#VALUE!</v>
      </c>
      <c r="DM93" t="e">
        <f>AND('GA55 Entry'!J235,"AAAAAHj1/nQ=")</f>
        <v>#VALUE!</v>
      </c>
      <c r="DN93" t="e">
        <f>AND('GA55 Entry'!#REF!,"AAAAAHj1/nU=")</f>
        <v>#REF!</v>
      </c>
      <c r="DO93" t="e">
        <f>AND('GA55 Entry'!K235,"AAAAAHj1/nY=")</f>
        <v>#VALUE!</v>
      </c>
      <c r="DP93" t="e">
        <f>AND('GA55 Entry'!L235,"AAAAAHj1/nc=")</f>
        <v>#VALUE!</v>
      </c>
      <c r="DQ93" t="e">
        <f>AND('GA55 Entry'!M235,"AAAAAHj1/ng=")</f>
        <v>#VALUE!</v>
      </c>
      <c r="DR93" t="e">
        <f>AND('GA55 Entry'!N235,"AAAAAHj1/nk=")</f>
        <v>#VALUE!</v>
      </c>
      <c r="DS93" t="e">
        <f>AND('GA55 Entry'!O235,"AAAAAHj1/no=")</f>
        <v>#VALUE!</v>
      </c>
      <c r="DT93" t="e">
        <f>AND('GA55 Entry'!P235,"AAAAAHj1/ns=")</f>
        <v>#VALUE!</v>
      </c>
      <c r="DU93" t="e">
        <f>AND('GA55 Entry'!Q235,"AAAAAHj1/nw=")</f>
        <v>#VALUE!</v>
      </c>
      <c r="DV93" t="e">
        <f>AND('GA55 Entry'!S235,"AAAAAHj1/n0=")</f>
        <v>#VALUE!</v>
      </c>
      <c r="DW93" t="e">
        <f>AND('GA55 Entry'!#REF!,"AAAAAHj1/n4=")</f>
        <v>#REF!</v>
      </c>
      <c r="DX93" t="e">
        <f>AND('GA55 Entry'!T235,"AAAAAHj1/n8=")</f>
        <v>#VALUE!</v>
      </c>
      <c r="DY93" t="e">
        <f>AND('GA55 Entry'!U235,"AAAAAHj1/oA=")</f>
        <v>#VALUE!</v>
      </c>
      <c r="DZ93" t="e">
        <f>AND('GA55 Entry'!V235,"AAAAAHj1/oE=")</f>
        <v>#VALUE!</v>
      </c>
      <c r="EA93" t="e">
        <f>AND('GA55 Entry'!#REF!,"AAAAAHj1/oI=")</f>
        <v>#REF!</v>
      </c>
      <c r="EB93" t="e">
        <f>AND('GA55 Entry'!#REF!,"AAAAAHj1/oM=")</f>
        <v>#REF!</v>
      </c>
      <c r="EC93" t="e">
        <f>AND('GA55 Entry'!X235,"AAAAAHj1/oQ=")</f>
        <v>#VALUE!</v>
      </c>
      <c r="ED93" t="e">
        <f>AND('GA55 Entry'!Y235,"AAAAAHj1/oU=")</f>
        <v>#VALUE!</v>
      </c>
      <c r="EE93" t="e">
        <f>AND('GA55 Entry'!#REF!,"AAAAAHj1/oY=")</f>
        <v>#REF!</v>
      </c>
      <c r="EF93" t="e">
        <f>AND('GA55 Entry'!#REF!,"AAAAAHj1/oc=")</f>
        <v>#REF!</v>
      </c>
      <c r="EG93" t="e">
        <f>AND('GA55 Entry'!#REF!,"AAAAAHj1/og=")</f>
        <v>#REF!</v>
      </c>
      <c r="EH93" t="e">
        <f>AND('GA55 Entry'!#REF!,"AAAAAHj1/ok=")</f>
        <v>#REF!</v>
      </c>
      <c r="EI93" t="e">
        <f>AND('GA55 Entry'!#REF!,"AAAAAHj1/oo=")</f>
        <v>#REF!</v>
      </c>
      <c r="EJ93" t="e">
        <f>AND('GA55 Entry'!#REF!,"AAAAAHj1/os=")</f>
        <v>#REF!</v>
      </c>
      <c r="EK93" t="e">
        <f>AND('GA55 Entry'!#REF!,"AAAAAHj1/ow=")</f>
        <v>#REF!</v>
      </c>
      <c r="EL93" t="e">
        <f>AND('GA55 Entry'!#REF!,"AAAAAHj1/o0=")</f>
        <v>#REF!</v>
      </c>
      <c r="EM93" t="e">
        <f>AND('GA55 Entry'!#REF!,"AAAAAHj1/o4=")</f>
        <v>#REF!</v>
      </c>
      <c r="EN93" t="e">
        <f>AND('GA55 Entry'!Z235,"AAAAAHj1/o8=")</f>
        <v>#VALUE!</v>
      </c>
      <c r="EO93" t="e">
        <f>AND('GA55 Entry'!AA235,"AAAAAHj1/pA=")</f>
        <v>#VALUE!</v>
      </c>
      <c r="EP93" t="e">
        <f>AND('GA55 Entry'!#REF!,"AAAAAHj1/pE=")</f>
        <v>#REF!</v>
      </c>
      <c r="EQ93" t="e">
        <f>AND('GA55 Entry'!#REF!,"AAAAAHj1/pI=")</f>
        <v>#REF!</v>
      </c>
      <c r="ER93" t="e">
        <f>AND('GA55 Entry'!#REF!,"AAAAAHj1/pM=")</f>
        <v>#REF!</v>
      </c>
      <c r="ES93" t="e">
        <f>AND('GA55 Entry'!AB235,"AAAAAHj1/pQ=")</f>
        <v>#VALUE!</v>
      </c>
      <c r="ET93" t="e">
        <f>AND('GA55 Entry'!AC235,"AAAAAHj1/pU=")</f>
        <v>#VALUE!</v>
      </c>
      <c r="EU93" t="e">
        <f>AND('GA55 Entry'!#REF!,"AAAAAHj1/pY=")</f>
        <v>#REF!</v>
      </c>
      <c r="EV93">
        <f>IF('GA55 Entry'!236:236,"AAAAAHj1/pc=",0)</f>
        <v>0</v>
      </c>
      <c r="EW93" t="e">
        <f>AND('GA55 Entry'!B236,"AAAAAHj1/pg=")</f>
        <v>#VALUE!</v>
      </c>
      <c r="EX93" t="e">
        <f>AND('GA55 Entry'!#REF!,"AAAAAHj1/pk=")</f>
        <v>#REF!</v>
      </c>
      <c r="EY93" t="e">
        <f>AND('GA55 Entry'!C236,"AAAAAHj1/po=")</f>
        <v>#VALUE!</v>
      </c>
      <c r="EZ93" t="e">
        <f>AND('GA55 Entry'!#REF!,"AAAAAHj1/ps=")</f>
        <v>#REF!</v>
      </c>
      <c r="FA93" t="e">
        <f>AND('GA55 Entry'!#REF!,"AAAAAHj1/pw=")</f>
        <v>#REF!</v>
      </c>
      <c r="FB93" t="e">
        <f>AND('GA55 Entry'!#REF!,"AAAAAHj1/p0=")</f>
        <v>#REF!</v>
      </c>
      <c r="FC93" t="e">
        <f>AND('GA55 Entry'!#REF!,"AAAAAHj1/p4=")</f>
        <v>#REF!</v>
      </c>
      <c r="FD93" t="e">
        <f>AND('GA55 Entry'!#REF!,"AAAAAHj1/p8=")</f>
        <v>#REF!</v>
      </c>
      <c r="FE93" t="e">
        <f>AND('GA55 Entry'!D236,"AAAAAHj1/qA=")</f>
        <v>#VALUE!</v>
      </c>
      <c r="FF93" t="e">
        <f>AND('GA55 Entry'!#REF!,"AAAAAHj1/qE=")</f>
        <v>#REF!</v>
      </c>
      <c r="FG93" t="e">
        <f>AND('GA55 Entry'!E236,"AAAAAHj1/qI=")</f>
        <v>#VALUE!</v>
      </c>
      <c r="FH93" t="e">
        <f>AND('GA55 Entry'!F236,"AAAAAHj1/qM=")</f>
        <v>#VALUE!</v>
      </c>
      <c r="FI93" t="e">
        <f>AND('GA55 Entry'!G236,"AAAAAHj1/qQ=")</f>
        <v>#VALUE!</v>
      </c>
      <c r="FJ93" t="e">
        <f>AND('GA55 Entry'!H236,"AAAAAHj1/qU=")</f>
        <v>#VALUE!</v>
      </c>
      <c r="FK93" t="e">
        <f>AND('GA55 Entry'!I236,"AAAAAHj1/qY=")</f>
        <v>#VALUE!</v>
      </c>
      <c r="FL93" t="e">
        <f>AND('GA55 Entry'!J236,"AAAAAHj1/qc=")</f>
        <v>#VALUE!</v>
      </c>
      <c r="FM93" t="e">
        <f>AND('GA55 Entry'!#REF!,"AAAAAHj1/qg=")</f>
        <v>#REF!</v>
      </c>
      <c r="FN93" t="e">
        <f>AND('GA55 Entry'!K236,"AAAAAHj1/qk=")</f>
        <v>#VALUE!</v>
      </c>
      <c r="FO93" t="e">
        <f>AND('GA55 Entry'!L236,"AAAAAHj1/qo=")</f>
        <v>#VALUE!</v>
      </c>
      <c r="FP93" t="e">
        <f>AND('GA55 Entry'!M236,"AAAAAHj1/qs=")</f>
        <v>#VALUE!</v>
      </c>
      <c r="FQ93" t="e">
        <f>AND('GA55 Entry'!N236,"AAAAAHj1/qw=")</f>
        <v>#VALUE!</v>
      </c>
      <c r="FR93" t="e">
        <f>AND('GA55 Entry'!O236,"AAAAAHj1/q0=")</f>
        <v>#VALUE!</v>
      </c>
      <c r="FS93" t="e">
        <f>AND('GA55 Entry'!P236,"AAAAAHj1/q4=")</f>
        <v>#VALUE!</v>
      </c>
      <c r="FT93" t="e">
        <f>AND('GA55 Entry'!Q236,"AAAAAHj1/q8=")</f>
        <v>#VALUE!</v>
      </c>
      <c r="FU93" t="e">
        <f>AND('GA55 Entry'!S236,"AAAAAHj1/rA=")</f>
        <v>#VALUE!</v>
      </c>
      <c r="FV93" t="e">
        <f>AND('GA55 Entry'!#REF!,"AAAAAHj1/rE=")</f>
        <v>#REF!</v>
      </c>
      <c r="FW93" t="e">
        <f>AND('GA55 Entry'!T236,"AAAAAHj1/rI=")</f>
        <v>#VALUE!</v>
      </c>
      <c r="FX93" t="e">
        <f>AND('GA55 Entry'!U236,"AAAAAHj1/rM=")</f>
        <v>#VALUE!</v>
      </c>
      <c r="FY93" t="e">
        <f>AND('GA55 Entry'!V236,"AAAAAHj1/rQ=")</f>
        <v>#VALUE!</v>
      </c>
      <c r="FZ93" t="e">
        <f>AND('GA55 Entry'!#REF!,"AAAAAHj1/rU=")</f>
        <v>#REF!</v>
      </c>
      <c r="GA93" t="e">
        <f>AND('GA55 Entry'!#REF!,"AAAAAHj1/rY=")</f>
        <v>#REF!</v>
      </c>
      <c r="GB93" t="e">
        <f>AND('GA55 Entry'!X236,"AAAAAHj1/rc=")</f>
        <v>#VALUE!</v>
      </c>
      <c r="GC93" t="e">
        <f>AND('GA55 Entry'!Y236,"AAAAAHj1/rg=")</f>
        <v>#VALUE!</v>
      </c>
      <c r="GD93" t="e">
        <f>AND('GA55 Entry'!#REF!,"AAAAAHj1/rk=")</f>
        <v>#REF!</v>
      </c>
      <c r="GE93" t="e">
        <f>AND('GA55 Entry'!#REF!,"AAAAAHj1/ro=")</f>
        <v>#REF!</v>
      </c>
      <c r="GF93" t="e">
        <f>AND('GA55 Entry'!#REF!,"AAAAAHj1/rs=")</f>
        <v>#REF!</v>
      </c>
      <c r="GG93" t="e">
        <f>AND('GA55 Entry'!#REF!,"AAAAAHj1/rw=")</f>
        <v>#REF!</v>
      </c>
      <c r="GH93" t="e">
        <f>AND('GA55 Entry'!#REF!,"AAAAAHj1/r0=")</f>
        <v>#REF!</v>
      </c>
      <c r="GI93" t="e">
        <f>AND('GA55 Entry'!#REF!,"AAAAAHj1/r4=")</f>
        <v>#REF!</v>
      </c>
      <c r="GJ93" t="e">
        <f>AND('GA55 Entry'!#REF!,"AAAAAHj1/r8=")</f>
        <v>#REF!</v>
      </c>
      <c r="GK93" t="e">
        <f>AND('GA55 Entry'!#REF!,"AAAAAHj1/sA=")</f>
        <v>#REF!</v>
      </c>
      <c r="GL93" t="e">
        <f>AND('GA55 Entry'!#REF!,"AAAAAHj1/sE=")</f>
        <v>#REF!</v>
      </c>
      <c r="GM93" t="e">
        <f>AND('GA55 Entry'!Z236,"AAAAAHj1/sI=")</f>
        <v>#VALUE!</v>
      </c>
      <c r="GN93" t="e">
        <f>AND('GA55 Entry'!AA236,"AAAAAHj1/sM=")</f>
        <v>#VALUE!</v>
      </c>
      <c r="GO93" t="e">
        <f>AND('GA55 Entry'!#REF!,"AAAAAHj1/sQ=")</f>
        <v>#REF!</v>
      </c>
      <c r="GP93" t="e">
        <f>AND('GA55 Entry'!#REF!,"AAAAAHj1/sU=")</f>
        <v>#REF!</v>
      </c>
      <c r="GQ93" t="e">
        <f>AND('GA55 Entry'!#REF!,"AAAAAHj1/sY=")</f>
        <v>#REF!</v>
      </c>
      <c r="GR93" t="e">
        <f>AND('GA55 Entry'!AB236,"AAAAAHj1/sc=")</f>
        <v>#VALUE!</v>
      </c>
      <c r="GS93" t="e">
        <f>AND('GA55 Entry'!AC236,"AAAAAHj1/sg=")</f>
        <v>#VALUE!</v>
      </c>
      <c r="GT93" t="e">
        <f>AND('GA55 Entry'!#REF!,"AAAAAHj1/sk=")</f>
        <v>#REF!</v>
      </c>
      <c r="GU93">
        <f>IF('GA55 Entry'!237:237,"AAAAAHj1/so=",0)</f>
        <v>0</v>
      </c>
      <c r="GV93" t="e">
        <f>AND('GA55 Entry'!B237,"AAAAAHj1/ss=")</f>
        <v>#VALUE!</v>
      </c>
      <c r="GW93" t="e">
        <f>AND('GA55 Entry'!#REF!,"AAAAAHj1/sw=")</f>
        <v>#REF!</v>
      </c>
      <c r="GX93" t="e">
        <f>AND('GA55 Entry'!C237,"AAAAAHj1/s0=")</f>
        <v>#VALUE!</v>
      </c>
      <c r="GY93" t="e">
        <f>AND('GA55 Entry'!#REF!,"AAAAAHj1/s4=")</f>
        <v>#REF!</v>
      </c>
      <c r="GZ93" t="e">
        <f>AND('GA55 Entry'!#REF!,"AAAAAHj1/s8=")</f>
        <v>#REF!</v>
      </c>
      <c r="HA93" t="e">
        <f>AND('GA55 Entry'!#REF!,"AAAAAHj1/tA=")</f>
        <v>#REF!</v>
      </c>
      <c r="HB93" t="e">
        <f>AND('GA55 Entry'!#REF!,"AAAAAHj1/tE=")</f>
        <v>#REF!</v>
      </c>
      <c r="HC93" t="e">
        <f>AND('GA55 Entry'!#REF!,"AAAAAHj1/tI=")</f>
        <v>#REF!</v>
      </c>
      <c r="HD93" t="e">
        <f>AND('GA55 Entry'!D237,"AAAAAHj1/tM=")</f>
        <v>#VALUE!</v>
      </c>
      <c r="HE93" t="e">
        <f>AND('GA55 Entry'!#REF!,"AAAAAHj1/tQ=")</f>
        <v>#REF!</v>
      </c>
      <c r="HF93" t="e">
        <f>AND('GA55 Entry'!E237,"AAAAAHj1/tU=")</f>
        <v>#VALUE!</v>
      </c>
      <c r="HG93" t="e">
        <f>AND('GA55 Entry'!F237,"AAAAAHj1/tY=")</f>
        <v>#VALUE!</v>
      </c>
      <c r="HH93" t="e">
        <f>AND('GA55 Entry'!G237,"AAAAAHj1/tc=")</f>
        <v>#VALUE!</v>
      </c>
      <c r="HI93" t="e">
        <f>AND('GA55 Entry'!H237,"AAAAAHj1/tg=")</f>
        <v>#VALUE!</v>
      </c>
      <c r="HJ93" t="e">
        <f>AND('GA55 Entry'!I237,"AAAAAHj1/tk=")</f>
        <v>#VALUE!</v>
      </c>
      <c r="HK93" t="e">
        <f>AND('GA55 Entry'!J237,"AAAAAHj1/to=")</f>
        <v>#VALUE!</v>
      </c>
      <c r="HL93" t="e">
        <f>AND('GA55 Entry'!#REF!,"AAAAAHj1/ts=")</f>
        <v>#REF!</v>
      </c>
      <c r="HM93" t="e">
        <f>AND('GA55 Entry'!K237,"AAAAAHj1/tw=")</f>
        <v>#VALUE!</v>
      </c>
      <c r="HN93" t="e">
        <f>AND('GA55 Entry'!L237,"AAAAAHj1/t0=")</f>
        <v>#VALUE!</v>
      </c>
      <c r="HO93" t="e">
        <f>AND('GA55 Entry'!M237,"AAAAAHj1/t4=")</f>
        <v>#VALUE!</v>
      </c>
      <c r="HP93" t="e">
        <f>AND('GA55 Entry'!N237,"AAAAAHj1/t8=")</f>
        <v>#VALUE!</v>
      </c>
      <c r="HQ93" t="e">
        <f>AND('GA55 Entry'!O237,"AAAAAHj1/uA=")</f>
        <v>#VALUE!</v>
      </c>
      <c r="HR93" t="e">
        <f>AND('GA55 Entry'!P237,"AAAAAHj1/uE=")</f>
        <v>#VALUE!</v>
      </c>
      <c r="HS93" t="e">
        <f>AND('GA55 Entry'!Q237,"AAAAAHj1/uI=")</f>
        <v>#VALUE!</v>
      </c>
      <c r="HT93" t="e">
        <f>AND('GA55 Entry'!S237,"AAAAAHj1/uM=")</f>
        <v>#VALUE!</v>
      </c>
      <c r="HU93" t="e">
        <f>AND('GA55 Entry'!#REF!,"AAAAAHj1/uQ=")</f>
        <v>#REF!</v>
      </c>
      <c r="HV93" t="e">
        <f>AND('GA55 Entry'!T237,"AAAAAHj1/uU=")</f>
        <v>#VALUE!</v>
      </c>
      <c r="HW93" t="e">
        <f>AND('GA55 Entry'!U237,"AAAAAHj1/uY=")</f>
        <v>#VALUE!</v>
      </c>
      <c r="HX93" t="e">
        <f>AND('GA55 Entry'!V237,"AAAAAHj1/uc=")</f>
        <v>#VALUE!</v>
      </c>
      <c r="HY93" t="e">
        <f>AND('GA55 Entry'!#REF!,"AAAAAHj1/ug=")</f>
        <v>#REF!</v>
      </c>
      <c r="HZ93" t="e">
        <f>AND('GA55 Entry'!#REF!,"AAAAAHj1/uk=")</f>
        <v>#REF!</v>
      </c>
      <c r="IA93" t="e">
        <f>AND('GA55 Entry'!X237,"AAAAAHj1/uo=")</f>
        <v>#VALUE!</v>
      </c>
      <c r="IB93" t="e">
        <f>AND('GA55 Entry'!Y237,"AAAAAHj1/us=")</f>
        <v>#VALUE!</v>
      </c>
      <c r="IC93" t="e">
        <f>AND('GA55 Entry'!#REF!,"AAAAAHj1/uw=")</f>
        <v>#REF!</v>
      </c>
      <c r="ID93" t="e">
        <f>AND('GA55 Entry'!#REF!,"AAAAAHj1/u0=")</f>
        <v>#REF!</v>
      </c>
      <c r="IE93" t="e">
        <f>AND('GA55 Entry'!#REF!,"AAAAAHj1/u4=")</f>
        <v>#REF!</v>
      </c>
      <c r="IF93" t="e">
        <f>AND('GA55 Entry'!#REF!,"AAAAAHj1/u8=")</f>
        <v>#REF!</v>
      </c>
      <c r="IG93" t="e">
        <f>AND('GA55 Entry'!#REF!,"AAAAAHj1/vA=")</f>
        <v>#REF!</v>
      </c>
      <c r="IH93" t="e">
        <f>AND('GA55 Entry'!#REF!,"AAAAAHj1/vE=")</f>
        <v>#REF!</v>
      </c>
      <c r="II93" t="e">
        <f>AND('GA55 Entry'!#REF!,"AAAAAHj1/vI=")</f>
        <v>#REF!</v>
      </c>
      <c r="IJ93" t="e">
        <f>AND('GA55 Entry'!#REF!,"AAAAAHj1/vM=")</f>
        <v>#REF!</v>
      </c>
      <c r="IK93" t="e">
        <f>AND('GA55 Entry'!#REF!,"AAAAAHj1/vQ=")</f>
        <v>#REF!</v>
      </c>
      <c r="IL93" t="e">
        <f>AND('GA55 Entry'!Z237,"AAAAAHj1/vU=")</f>
        <v>#VALUE!</v>
      </c>
      <c r="IM93" t="e">
        <f>AND('GA55 Entry'!AA237,"AAAAAHj1/vY=")</f>
        <v>#VALUE!</v>
      </c>
      <c r="IN93" t="e">
        <f>AND('GA55 Entry'!#REF!,"AAAAAHj1/vc=")</f>
        <v>#REF!</v>
      </c>
      <c r="IO93" t="e">
        <f>AND('GA55 Entry'!#REF!,"AAAAAHj1/vg=")</f>
        <v>#REF!</v>
      </c>
      <c r="IP93" t="e">
        <f>AND('GA55 Entry'!#REF!,"AAAAAHj1/vk=")</f>
        <v>#REF!</v>
      </c>
      <c r="IQ93" t="e">
        <f>AND('GA55 Entry'!AB237,"AAAAAHj1/vo=")</f>
        <v>#VALUE!</v>
      </c>
      <c r="IR93" t="e">
        <f>AND('GA55 Entry'!AC237,"AAAAAHj1/vs=")</f>
        <v>#VALUE!</v>
      </c>
      <c r="IS93" t="e">
        <f>AND('GA55 Entry'!#REF!,"AAAAAHj1/vw=")</f>
        <v>#REF!</v>
      </c>
      <c r="IT93">
        <f>IF('GA55 Entry'!238:238,"AAAAAHj1/v0=",0)</f>
        <v>0</v>
      </c>
      <c r="IU93" t="e">
        <f>AND('GA55 Entry'!B238,"AAAAAHj1/v4=")</f>
        <v>#VALUE!</v>
      </c>
      <c r="IV93" t="e">
        <f>AND('GA55 Entry'!#REF!,"AAAAAHj1/v8=")</f>
        <v>#REF!</v>
      </c>
    </row>
    <row r="94" spans="1:256">
      <c r="A94" t="e">
        <f>AND('GA55 Entry'!C238,"AAAAAB/a3wA=")</f>
        <v>#VALUE!</v>
      </c>
      <c r="B94" t="e">
        <f>AND('GA55 Entry'!#REF!,"AAAAAB/a3wE=")</f>
        <v>#REF!</v>
      </c>
      <c r="C94" t="e">
        <f>AND('GA55 Entry'!#REF!,"AAAAAB/a3wI=")</f>
        <v>#REF!</v>
      </c>
      <c r="D94" t="e">
        <f>AND('GA55 Entry'!#REF!,"AAAAAB/a3wM=")</f>
        <v>#REF!</v>
      </c>
      <c r="E94" t="e">
        <f>AND('GA55 Entry'!#REF!,"AAAAAB/a3wQ=")</f>
        <v>#REF!</v>
      </c>
      <c r="F94" t="e">
        <f>AND('GA55 Entry'!#REF!,"AAAAAB/a3wU=")</f>
        <v>#REF!</v>
      </c>
      <c r="G94" t="e">
        <f>AND('GA55 Entry'!D238,"AAAAAB/a3wY=")</f>
        <v>#VALUE!</v>
      </c>
      <c r="H94" t="e">
        <f>AND('GA55 Entry'!#REF!,"AAAAAB/a3wc=")</f>
        <v>#REF!</v>
      </c>
      <c r="I94" t="e">
        <f>AND('GA55 Entry'!E238,"AAAAAB/a3wg=")</f>
        <v>#VALUE!</v>
      </c>
      <c r="J94" t="e">
        <f>AND('GA55 Entry'!F238,"AAAAAB/a3wk=")</f>
        <v>#VALUE!</v>
      </c>
      <c r="K94" t="e">
        <f>AND('GA55 Entry'!G238,"AAAAAB/a3wo=")</f>
        <v>#VALUE!</v>
      </c>
      <c r="L94" t="e">
        <f>AND('GA55 Entry'!H238,"AAAAAB/a3ws=")</f>
        <v>#VALUE!</v>
      </c>
      <c r="M94" t="e">
        <f>AND('GA55 Entry'!I238,"AAAAAB/a3ww=")</f>
        <v>#VALUE!</v>
      </c>
      <c r="N94" t="e">
        <f>AND('GA55 Entry'!J238,"AAAAAB/a3w0=")</f>
        <v>#VALUE!</v>
      </c>
      <c r="O94" t="e">
        <f>AND('GA55 Entry'!#REF!,"AAAAAB/a3w4=")</f>
        <v>#REF!</v>
      </c>
      <c r="P94" t="e">
        <f>AND('GA55 Entry'!K238,"AAAAAB/a3w8=")</f>
        <v>#VALUE!</v>
      </c>
      <c r="Q94" t="e">
        <f>AND('GA55 Entry'!L238,"AAAAAB/a3xA=")</f>
        <v>#VALUE!</v>
      </c>
      <c r="R94" t="e">
        <f>AND('GA55 Entry'!M238,"AAAAAB/a3xE=")</f>
        <v>#VALUE!</v>
      </c>
      <c r="S94" t="e">
        <f>AND('GA55 Entry'!N238,"AAAAAB/a3xI=")</f>
        <v>#VALUE!</v>
      </c>
      <c r="T94" t="e">
        <f>AND('GA55 Entry'!O238,"AAAAAB/a3xM=")</f>
        <v>#VALUE!</v>
      </c>
      <c r="U94" t="e">
        <f>AND('GA55 Entry'!P238,"AAAAAB/a3xQ=")</f>
        <v>#VALUE!</v>
      </c>
      <c r="V94" t="e">
        <f>AND('GA55 Entry'!Q238,"AAAAAB/a3xU=")</f>
        <v>#VALUE!</v>
      </c>
      <c r="W94" t="e">
        <f>AND('GA55 Entry'!S238,"AAAAAB/a3xY=")</f>
        <v>#VALUE!</v>
      </c>
      <c r="X94" t="e">
        <f>AND('GA55 Entry'!#REF!,"AAAAAB/a3xc=")</f>
        <v>#REF!</v>
      </c>
      <c r="Y94" t="e">
        <f>AND('GA55 Entry'!T238,"AAAAAB/a3xg=")</f>
        <v>#VALUE!</v>
      </c>
      <c r="Z94" t="e">
        <f>AND('GA55 Entry'!U238,"AAAAAB/a3xk=")</f>
        <v>#VALUE!</v>
      </c>
      <c r="AA94" t="e">
        <f>AND('GA55 Entry'!V238,"AAAAAB/a3xo=")</f>
        <v>#VALUE!</v>
      </c>
      <c r="AB94" t="e">
        <f>AND('GA55 Entry'!#REF!,"AAAAAB/a3xs=")</f>
        <v>#REF!</v>
      </c>
      <c r="AC94" t="e">
        <f>AND('GA55 Entry'!#REF!,"AAAAAB/a3xw=")</f>
        <v>#REF!</v>
      </c>
      <c r="AD94" t="e">
        <f>AND('GA55 Entry'!X238,"AAAAAB/a3x0=")</f>
        <v>#VALUE!</v>
      </c>
      <c r="AE94" t="e">
        <f>AND('GA55 Entry'!Y238,"AAAAAB/a3x4=")</f>
        <v>#VALUE!</v>
      </c>
      <c r="AF94" t="e">
        <f>AND('GA55 Entry'!#REF!,"AAAAAB/a3x8=")</f>
        <v>#REF!</v>
      </c>
      <c r="AG94" t="e">
        <f>AND('GA55 Entry'!#REF!,"AAAAAB/a3yA=")</f>
        <v>#REF!</v>
      </c>
      <c r="AH94" t="e">
        <f>AND('GA55 Entry'!#REF!,"AAAAAB/a3yE=")</f>
        <v>#REF!</v>
      </c>
      <c r="AI94" t="e">
        <f>AND('GA55 Entry'!#REF!,"AAAAAB/a3yI=")</f>
        <v>#REF!</v>
      </c>
      <c r="AJ94" t="e">
        <f>AND('GA55 Entry'!#REF!,"AAAAAB/a3yM=")</f>
        <v>#REF!</v>
      </c>
      <c r="AK94" t="e">
        <f>AND('GA55 Entry'!#REF!,"AAAAAB/a3yQ=")</f>
        <v>#REF!</v>
      </c>
      <c r="AL94" t="e">
        <f>AND('GA55 Entry'!#REF!,"AAAAAB/a3yU=")</f>
        <v>#REF!</v>
      </c>
      <c r="AM94" t="e">
        <f>AND('GA55 Entry'!#REF!,"AAAAAB/a3yY=")</f>
        <v>#REF!</v>
      </c>
      <c r="AN94" t="e">
        <f>AND('GA55 Entry'!#REF!,"AAAAAB/a3yc=")</f>
        <v>#REF!</v>
      </c>
      <c r="AO94" t="e">
        <f>AND('GA55 Entry'!Z238,"AAAAAB/a3yg=")</f>
        <v>#VALUE!</v>
      </c>
      <c r="AP94" t="e">
        <f>AND('GA55 Entry'!AA238,"AAAAAB/a3yk=")</f>
        <v>#VALUE!</v>
      </c>
      <c r="AQ94" t="e">
        <f>AND('GA55 Entry'!#REF!,"AAAAAB/a3yo=")</f>
        <v>#REF!</v>
      </c>
      <c r="AR94" t="e">
        <f>AND('GA55 Entry'!#REF!,"AAAAAB/a3ys=")</f>
        <v>#REF!</v>
      </c>
      <c r="AS94" t="e">
        <f>AND('GA55 Entry'!#REF!,"AAAAAB/a3yw=")</f>
        <v>#REF!</v>
      </c>
      <c r="AT94" t="e">
        <f>AND('GA55 Entry'!AB238,"AAAAAB/a3y0=")</f>
        <v>#VALUE!</v>
      </c>
      <c r="AU94" t="e">
        <f>AND('GA55 Entry'!AC238,"AAAAAB/a3y4=")</f>
        <v>#VALUE!</v>
      </c>
      <c r="AV94" t="e">
        <f>AND('GA55 Entry'!#REF!,"AAAAAB/a3y8=")</f>
        <v>#REF!</v>
      </c>
      <c r="AW94">
        <f>IF('GA55 Entry'!239:239,"AAAAAB/a3zA=",0)</f>
        <v>0</v>
      </c>
      <c r="AX94" t="e">
        <f>AND('GA55 Entry'!B239,"AAAAAB/a3zE=")</f>
        <v>#VALUE!</v>
      </c>
      <c r="AY94" t="e">
        <f>AND('GA55 Entry'!#REF!,"AAAAAB/a3zI=")</f>
        <v>#REF!</v>
      </c>
      <c r="AZ94" t="e">
        <f>AND('GA55 Entry'!C239,"AAAAAB/a3zM=")</f>
        <v>#VALUE!</v>
      </c>
      <c r="BA94" t="e">
        <f>AND('GA55 Entry'!#REF!,"AAAAAB/a3zQ=")</f>
        <v>#REF!</v>
      </c>
      <c r="BB94" t="e">
        <f>AND('GA55 Entry'!#REF!,"AAAAAB/a3zU=")</f>
        <v>#REF!</v>
      </c>
      <c r="BC94" t="e">
        <f>AND('GA55 Entry'!#REF!,"AAAAAB/a3zY=")</f>
        <v>#REF!</v>
      </c>
      <c r="BD94" t="e">
        <f>AND('GA55 Entry'!#REF!,"AAAAAB/a3zc=")</f>
        <v>#REF!</v>
      </c>
      <c r="BE94" t="e">
        <f>AND('GA55 Entry'!#REF!,"AAAAAB/a3zg=")</f>
        <v>#REF!</v>
      </c>
      <c r="BF94" t="e">
        <f>AND('GA55 Entry'!D239,"AAAAAB/a3zk=")</f>
        <v>#VALUE!</v>
      </c>
      <c r="BG94" t="e">
        <f>AND('GA55 Entry'!#REF!,"AAAAAB/a3zo=")</f>
        <v>#REF!</v>
      </c>
      <c r="BH94" t="e">
        <f>AND('GA55 Entry'!E239,"AAAAAB/a3zs=")</f>
        <v>#VALUE!</v>
      </c>
      <c r="BI94" t="e">
        <f>AND('GA55 Entry'!F239,"AAAAAB/a3zw=")</f>
        <v>#VALUE!</v>
      </c>
      <c r="BJ94" t="e">
        <f>AND('GA55 Entry'!G239,"AAAAAB/a3z0=")</f>
        <v>#VALUE!</v>
      </c>
      <c r="BK94" t="e">
        <f>AND('GA55 Entry'!H239,"AAAAAB/a3z4=")</f>
        <v>#VALUE!</v>
      </c>
      <c r="BL94" t="e">
        <f>AND('GA55 Entry'!I239,"AAAAAB/a3z8=")</f>
        <v>#VALUE!</v>
      </c>
      <c r="BM94" t="e">
        <f>AND('GA55 Entry'!J239,"AAAAAB/a30A=")</f>
        <v>#VALUE!</v>
      </c>
      <c r="BN94" t="e">
        <f>AND('GA55 Entry'!#REF!,"AAAAAB/a30E=")</f>
        <v>#REF!</v>
      </c>
      <c r="BO94" t="e">
        <f>AND('GA55 Entry'!K239,"AAAAAB/a30I=")</f>
        <v>#VALUE!</v>
      </c>
      <c r="BP94" t="e">
        <f>AND('GA55 Entry'!L239,"AAAAAB/a30M=")</f>
        <v>#VALUE!</v>
      </c>
      <c r="BQ94" t="e">
        <f>AND('GA55 Entry'!M239,"AAAAAB/a30Q=")</f>
        <v>#VALUE!</v>
      </c>
      <c r="BR94" t="e">
        <f>AND('GA55 Entry'!N239,"AAAAAB/a30U=")</f>
        <v>#VALUE!</v>
      </c>
      <c r="BS94" t="e">
        <f>AND('GA55 Entry'!O239,"AAAAAB/a30Y=")</f>
        <v>#VALUE!</v>
      </c>
      <c r="BT94" t="e">
        <f>AND('GA55 Entry'!P239,"AAAAAB/a30c=")</f>
        <v>#VALUE!</v>
      </c>
      <c r="BU94" t="e">
        <f>AND('GA55 Entry'!Q239,"AAAAAB/a30g=")</f>
        <v>#VALUE!</v>
      </c>
      <c r="BV94" t="e">
        <f>AND('GA55 Entry'!S239,"AAAAAB/a30k=")</f>
        <v>#VALUE!</v>
      </c>
      <c r="BW94" t="e">
        <f>AND('GA55 Entry'!#REF!,"AAAAAB/a30o=")</f>
        <v>#REF!</v>
      </c>
      <c r="BX94" t="e">
        <f>AND('GA55 Entry'!T239,"AAAAAB/a30s=")</f>
        <v>#VALUE!</v>
      </c>
      <c r="BY94" t="e">
        <f>AND('GA55 Entry'!U239,"AAAAAB/a30w=")</f>
        <v>#VALUE!</v>
      </c>
      <c r="BZ94" t="e">
        <f>AND('GA55 Entry'!V239,"AAAAAB/a300=")</f>
        <v>#VALUE!</v>
      </c>
      <c r="CA94" t="e">
        <f>AND('GA55 Entry'!#REF!,"AAAAAB/a304=")</f>
        <v>#REF!</v>
      </c>
      <c r="CB94" t="e">
        <f>AND('GA55 Entry'!#REF!,"AAAAAB/a308=")</f>
        <v>#REF!</v>
      </c>
      <c r="CC94" t="e">
        <f>AND('GA55 Entry'!X239,"AAAAAB/a31A=")</f>
        <v>#VALUE!</v>
      </c>
      <c r="CD94" t="e">
        <f>AND('GA55 Entry'!Y239,"AAAAAB/a31E=")</f>
        <v>#VALUE!</v>
      </c>
      <c r="CE94" t="e">
        <f>AND('GA55 Entry'!#REF!,"AAAAAB/a31I=")</f>
        <v>#REF!</v>
      </c>
      <c r="CF94" t="e">
        <f>AND('GA55 Entry'!#REF!,"AAAAAB/a31M=")</f>
        <v>#REF!</v>
      </c>
      <c r="CG94" t="e">
        <f>AND('GA55 Entry'!#REF!,"AAAAAB/a31Q=")</f>
        <v>#REF!</v>
      </c>
      <c r="CH94" t="e">
        <f>AND('GA55 Entry'!#REF!,"AAAAAB/a31U=")</f>
        <v>#REF!</v>
      </c>
      <c r="CI94" t="e">
        <f>AND('GA55 Entry'!#REF!,"AAAAAB/a31Y=")</f>
        <v>#REF!</v>
      </c>
      <c r="CJ94" t="e">
        <f>AND('GA55 Entry'!#REF!,"AAAAAB/a31c=")</f>
        <v>#REF!</v>
      </c>
      <c r="CK94" t="e">
        <f>AND('GA55 Entry'!#REF!,"AAAAAB/a31g=")</f>
        <v>#REF!</v>
      </c>
      <c r="CL94" t="e">
        <f>AND('GA55 Entry'!#REF!,"AAAAAB/a31k=")</f>
        <v>#REF!</v>
      </c>
      <c r="CM94" t="e">
        <f>AND('GA55 Entry'!#REF!,"AAAAAB/a31o=")</f>
        <v>#REF!</v>
      </c>
      <c r="CN94" t="e">
        <f>AND('GA55 Entry'!Z239,"AAAAAB/a31s=")</f>
        <v>#VALUE!</v>
      </c>
      <c r="CO94" t="e">
        <f>AND('GA55 Entry'!AA239,"AAAAAB/a31w=")</f>
        <v>#VALUE!</v>
      </c>
      <c r="CP94" t="e">
        <f>AND('GA55 Entry'!#REF!,"AAAAAB/a310=")</f>
        <v>#REF!</v>
      </c>
      <c r="CQ94" t="e">
        <f>AND('GA55 Entry'!#REF!,"AAAAAB/a314=")</f>
        <v>#REF!</v>
      </c>
      <c r="CR94" t="e">
        <f>AND('GA55 Entry'!#REF!,"AAAAAB/a318=")</f>
        <v>#REF!</v>
      </c>
      <c r="CS94" t="e">
        <f>AND('GA55 Entry'!AB239,"AAAAAB/a32A=")</f>
        <v>#VALUE!</v>
      </c>
      <c r="CT94" t="e">
        <f>AND('GA55 Entry'!AC239,"AAAAAB/a32E=")</f>
        <v>#VALUE!</v>
      </c>
      <c r="CU94" t="e">
        <f>AND('GA55 Entry'!#REF!,"AAAAAB/a32I=")</f>
        <v>#REF!</v>
      </c>
      <c r="CV94">
        <f>IF('GA55 Entry'!240:240,"AAAAAB/a32M=",0)</f>
        <v>0</v>
      </c>
      <c r="CW94" t="e">
        <f>AND('GA55 Entry'!B240,"AAAAAB/a32Q=")</f>
        <v>#VALUE!</v>
      </c>
      <c r="CX94" t="e">
        <f>AND('GA55 Entry'!#REF!,"AAAAAB/a32U=")</f>
        <v>#REF!</v>
      </c>
      <c r="CY94" t="e">
        <f>AND('GA55 Entry'!C240,"AAAAAB/a32Y=")</f>
        <v>#VALUE!</v>
      </c>
      <c r="CZ94" t="e">
        <f>AND('GA55 Entry'!#REF!,"AAAAAB/a32c=")</f>
        <v>#REF!</v>
      </c>
      <c r="DA94" t="e">
        <f>AND('GA55 Entry'!#REF!,"AAAAAB/a32g=")</f>
        <v>#REF!</v>
      </c>
      <c r="DB94" t="e">
        <f>AND('GA55 Entry'!#REF!,"AAAAAB/a32k=")</f>
        <v>#REF!</v>
      </c>
      <c r="DC94" t="e">
        <f>AND('GA55 Entry'!#REF!,"AAAAAB/a32o=")</f>
        <v>#REF!</v>
      </c>
      <c r="DD94" t="e">
        <f>AND('GA55 Entry'!#REF!,"AAAAAB/a32s=")</f>
        <v>#REF!</v>
      </c>
      <c r="DE94" t="e">
        <f>AND('GA55 Entry'!D240,"AAAAAB/a32w=")</f>
        <v>#VALUE!</v>
      </c>
      <c r="DF94" t="e">
        <f>AND('GA55 Entry'!#REF!,"AAAAAB/a320=")</f>
        <v>#REF!</v>
      </c>
      <c r="DG94" t="e">
        <f>AND('GA55 Entry'!E240,"AAAAAB/a324=")</f>
        <v>#VALUE!</v>
      </c>
      <c r="DH94" t="e">
        <f>AND('GA55 Entry'!F240,"AAAAAB/a328=")</f>
        <v>#VALUE!</v>
      </c>
      <c r="DI94" t="e">
        <f>AND('GA55 Entry'!G240,"AAAAAB/a33A=")</f>
        <v>#VALUE!</v>
      </c>
      <c r="DJ94" t="e">
        <f>AND('GA55 Entry'!H240,"AAAAAB/a33E=")</f>
        <v>#VALUE!</v>
      </c>
      <c r="DK94" t="e">
        <f>AND('GA55 Entry'!I240,"AAAAAB/a33I=")</f>
        <v>#VALUE!</v>
      </c>
      <c r="DL94" t="e">
        <f>AND('GA55 Entry'!J240,"AAAAAB/a33M=")</f>
        <v>#VALUE!</v>
      </c>
      <c r="DM94" t="e">
        <f>AND('GA55 Entry'!#REF!,"AAAAAB/a33Q=")</f>
        <v>#REF!</v>
      </c>
      <c r="DN94" t="e">
        <f>AND('GA55 Entry'!K240,"AAAAAB/a33U=")</f>
        <v>#VALUE!</v>
      </c>
      <c r="DO94" t="e">
        <f>AND('GA55 Entry'!L240,"AAAAAB/a33Y=")</f>
        <v>#VALUE!</v>
      </c>
      <c r="DP94" t="e">
        <f>AND('GA55 Entry'!M240,"AAAAAB/a33c=")</f>
        <v>#VALUE!</v>
      </c>
      <c r="DQ94" t="e">
        <f>AND('GA55 Entry'!N240,"AAAAAB/a33g=")</f>
        <v>#VALUE!</v>
      </c>
      <c r="DR94" t="e">
        <f>AND('GA55 Entry'!O240,"AAAAAB/a33k=")</f>
        <v>#VALUE!</v>
      </c>
      <c r="DS94" t="e">
        <f>AND('GA55 Entry'!P240,"AAAAAB/a33o=")</f>
        <v>#VALUE!</v>
      </c>
      <c r="DT94" t="e">
        <f>AND('GA55 Entry'!Q240,"AAAAAB/a33s=")</f>
        <v>#VALUE!</v>
      </c>
      <c r="DU94" t="e">
        <f>AND('GA55 Entry'!S240,"AAAAAB/a33w=")</f>
        <v>#VALUE!</v>
      </c>
      <c r="DV94" t="e">
        <f>AND('GA55 Entry'!#REF!,"AAAAAB/a330=")</f>
        <v>#REF!</v>
      </c>
      <c r="DW94" t="e">
        <f>AND('GA55 Entry'!T240,"AAAAAB/a334=")</f>
        <v>#VALUE!</v>
      </c>
      <c r="DX94" t="e">
        <f>AND('GA55 Entry'!U240,"AAAAAB/a338=")</f>
        <v>#VALUE!</v>
      </c>
      <c r="DY94" t="e">
        <f>AND('GA55 Entry'!V240,"AAAAAB/a34A=")</f>
        <v>#VALUE!</v>
      </c>
      <c r="DZ94" t="e">
        <f>AND('GA55 Entry'!#REF!,"AAAAAB/a34E=")</f>
        <v>#REF!</v>
      </c>
      <c r="EA94" t="e">
        <f>AND('GA55 Entry'!#REF!,"AAAAAB/a34I=")</f>
        <v>#REF!</v>
      </c>
      <c r="EB94" t="e">
        <f>AND('GA55 Entry'!X240,"AAAAAB/a34M=")</f>
        <v>#VALUE!</v>
      </c>
      <c r="EC94" t="e">
        <f>AND('GA55 Entry'!Y240,"AAAAAB/a34Q=")</f>
        <v>#VALUE!</v>
      </c>
      <c r="ED94" t="e">
        <f>AND('GA55 Entry'!#REF!,"AAAAAB/a34U=")</f>
        <v>#REF!</v>
      </c>
      <c r="EE94" t="e">
        <f>AND('GA55 Entry'!#REF!,"AAAAAB/a34Y=")</f>
        <v>#REF!</v>
      </c>
      <c r="EF94" t="e">
        <f>AND('GA55 Entry'!#REF!,"AAAAAB/a34c=")</f>
        <v>#REF!</v>
      </c>
      <c r="EG94" t="e">
        <f>AND('GA55 Entry'!#REF!,"AAAAAB/a34g=")</f>
        <v>#REF!</v>
      </c>
      <c r="EH94" t="e">
        <f>AND('GA55 Entry'!#REF!,"AAAAAB/a34k=")</f>
        <v>#REF!</v>
      </c>
      <c r="EI94" t="e">
        <f>AND('GA55 Entry'!#REF!,"AAAAAB/a34o=")</f>
        <v>#REF!</v>
      </c>
      <c r="EJ94" t="e">
        <f>AND('GA55 Entry'!#REF!,"AAAAAB/a34s=")</f>
        <v>#REF!</v>
      </c>
      <c r="EK94" t="e">
        <f>AND('GA55 Entry'!#REF!,"AAAAAB/a34w=")</f>
        <v>#REF!</v>
      </c>
      <c r="EL94" t="e">
        <f>AND('GA55 Entry'!#REF!,"AAAAAB/a340=")</f>
        <v>#REF!</v>
      </c>
      <c r="EM94" t="e">
        <f>AND('GA55 Entry'!Z240,"AAAAAB/a344=")</f>
        <v>#VALUE!</v>
      </c>
      <c r="EN94" t="e">
        <f>AND('GA55 Entry'!AA240,"AAAAAB/a348=")</f>
        <v>#VALUE!</v>
      </c>
      <c r="EO94" t="e">
        <f>AND('GA55 Entry'!#REF!,"AAAAAB/a35A=")</f>
        <v>#REF!</v>
      </c>
      <c r="EP94" t="e">
        <f>AND('GA55 Entry'!#REF!,"AAAAAB/a35E=")</f>
        <v>#REF!</v>
      </c>
      <c r="EQ94" t="e">
        <f>AND('GA55 Entry'!#REF!,"AAAAAB/a35I=")</f>
        <v>#REF!</v>
      </c>
      <c r="ER94" t="e">
        <f>AND('GA55 Entry'!AB240,"AAAAAB/a35M=")</f>
        <v>#VALUE!</v>
      </c>
      <c r="ES94" t="e">
        <f>AND('GA55 Entry'!AC240,"AAAAAB/a35Q=")</f>
        <v>#VALUE!</v>
      </c>
      <c r="ET94" t="e">
        <f>AND('GA55 Entry'!#REF!,"AAAAAB/a35U=")</f>
        <v>#REF!</v>
      </c>
      <c r="EU94">
        <f>IF('GA55 Entry'!241:241,"AAAAAB/a35Y=",0)</f>
        <v>0</v>
      </c>
      <c r="EV94" t="e">
        <f>AND('GA55 Entry'!B241,"AAAAAB/a35c=")</f>
        <v>#VALUE!</v>
      </c>
      <c r="EW94" t="e">
        <f>AND('GA55 Entry'!#REF!,"AAAAAB/a35g=")</f>
        <v>#REF!</v>
      </c>
      <c r="EX94" t="e">
        <f>AND('GA55 Entry'!C241,"AAAAAB/a35k=")</f>
        <v>#VALUE!</v>
      </c>
      <c r="EY94" t="e">
        <f>AND('GA55 Entry'!#REF!,"AAAAAB/a35o=")</f>
        <v>#REF!</v>
      </c>
      <c r="EZ94" t="e">
        <f>AND('GA55 Entry'!#REF!,"AAAAAB/a35s=")</f>
        <v>#REF!</v>
      </c>
      <c r="FA94" t="e">
        <f>AND('GA55 Entry'!#REF!,"AAAAAB/a35w=")</f>
        <v>#REF!</v>
      </c>
      <c r="FB94" t="e">
        <f>AND('GA55 Entry'!#REF!,"AAAAAB/a350=")</f>
        <v>#REF!</v>
      </c>
      <c r="FC94" t="e">
        <f>AND('GA55 Entry'!#REF!,"AAAAAB/a354=")</f>
        <v>#REF!</v>
      </c>
      <c r="FD94" t="e">
        <f>AND('GA55 Entry'!D241,"AAAAAB/a358=")</f>
        <v>#VALUE!</v>
      </c>
      <c r="FE94" t="e">
        <f>AND('GA55 Entry'!#REF!,"AAAAAB/a36A=")</f>
        <v>#REF!</v>
      </c>
      <c r="FF94" t="e">
        <f>AND('GA55 Entry'!E241,"AAAAAB/a36E=")</f>
        <v>#VALUE!</v>
      </c>
      <c r="FG94" t="e">
        <f>AND('GA55 Entry'!F241,"AAAAAB/a36I=")</f>
        <v>#VALUE!</v>
      </c>
      <c r="FH94" t="e">
        <f>AND('GA55 Entry'!G241,"AAAAAB/a36M=")</f>
        <v>#VALUE!</v>
      </c>
      <c r="FI94" t="e">
        <f>AND('GA55 Entry'!H241,"AAAAAB/a36Q=")</f>
        <v>#VALUE!</v>
      </c>
      <c r="FJ94" t="e">
        <f>AND('GA55 Entry'!I241,"AAAAAB/a36U=")</f>
        <v>#VALUE!</v>
      </c>
      <c r="FK94" t="e">
        <f>AND('GA55 Entry'!J241,"AAAAAB/a36Y=")</f>
        <v>#VALUE!</v>
      </c>
      <c r="FL94" t="e">
        <f>AND('GA55 Entry'!#REF!,"AAAAAB/a36c=")</f>
        <v>#REF!</v>
      </c>
      <c r="FM94" t="e">
        <f>AND('GA55 Entry'!K241,"AAAAAB/a36g=")</f>
        <v>#VALUE!</v>
      </c>
      <c r="FN94" t="e">
        <f>AND('GA55 Entry'!L241,"AAAAAB/a36k=")</f>
        <v>#VALUE!</v>
      </c>
      <c r="FO94" t="e">
        <f>AND('GA55 Entry'!M241,"AAAAAB/a36o=")</f>
        <v>#VALUE!</v>
      </c>
      <c r="FP94" t="e">
        <f>AND('GA55 Entry'!N241,"AAAAAB/a36s=")</f>
        <v>#VALUE!</v>
      </c>
      <c r="FQ94" t="e">
        <f>AND('GA55 Entry'!O241,"AAAAAB/a36w=")</f>
        <v>#VALUE!</v>
      </c>
      <c r="FR94" t="e">
        <f>AND('GA55 Entry'!P241,"AAAAAB/a360=")</f>
        <v>#VALUE!</v>
      </c>
      <c r="FS94" t="e">
        <f>AND('GA55 Entry'!Q241,"AAAAAB/a364=")</f>
        <v>#VALUE!</v>
      </c>
      <c r="FT94" t="e">
        <f>AND('GA55 Entry'!S241,"AAAAAB/a368=")</f>
        <v>#VALUE!</v>
      </c>
      <c r="FU94" t="e">
        <f>AND('GA55 Entry'!#REF!,"AAAAAB/a37A=")</f>
        <v>#REF!</v>
      </c>
      <c r="FV94" t="e">
        <f>AND('GA55 Entry'!T241,"AAAAAB/a37E=")</f>
        <v>#VALUE!</v>
      </c>
      <c r="FW94" t="e">
        <f>AND('GA55 Entry'!U241,"AAAAAB/a37I=")</f>
        <v>#VALUE!</v>
      </c>
      <c r="FX94" t="e">
        <f>AND('GA55 Entry'!V241,"AAAAAB/a37M=")</f>
        <v>#VALUE!</v>
      </c>
      <c r="FY94" t="e">
        <f>AND('GA55 Entry'!#REF!,"AAAAAB/a37Q=")</f>
        <v>#REF!</v>
      </c>
      <c r="FZ94" t="e">
        <f>AND('GA55 Entry'!#REF!,"AAAAAB/a37U=")</f>
        <v>#REF!</v>
      </c>
      <c r="GA94" t="e">
        <f>AND('GA55 Entry'!X241,"AAAAAB/a37Y=")</f>
        <v>#VALUE!</v>
      </c>
      <c r="GB94" t="e">
        <f>AND('GA55 Entry'!Y241,"AAAAAB/a37c=")</f>
        <v>#VALUE!</v>
      </c>
      <c r="GC94" t="e">
        <f>AND('GA55 Entry'!#REF!,"AAAAAB/a37g=")</f>
        <v>#REF!</v>
      </c>
      <c r="GD94" t="e">
        <f>AND('GA55 Entry'!#REF!,"AAAAAB/a37k=")</f>
        <v>#REF!</v>
      </c>
      <c r="GE94" t="e">
        <f>AND('GA55 Entry'!#REF!,"AAAAAB/a37o=")</f>
        <v>#REF!</v>
      </c>
      <c r="GF94" t="e">
        <f>AND('GA55 Entry'!#REF!,"AAAAAB/a37s=")</f>
        <v>#REF!</v>
      </c>
      <c r="GG94" t="e">
        <f>AND('GA55 Entry'!#REF!,"AAAAAB/a37w=")</f>
        <v>#REF!</v>
      </c>
      <c r="GH94" t="e">
        <f>AND('GA55 Entry'!#REF!,"AAAAAB/a370=")</f>
        <v>#REF!</v>
      </c>
      <c r="GI94" t="e">
        <f>AND('GA55 Entry'!#REF!,"AAAAAB/a374=")</f>
        <v>#REF!</v>
      </c>
      <c r="GJ94" t="e">
        <f>AND('GA55 Entry'!#REF!,"AAAAAB/a378=")</f>
        <v>#REF!</v>
      </c>
      <c r="GK94" t="e">
        <f>AND('GA55 Entry'!#REF!,"AAAAAB/a38A=")</f>
        <v>#REF!</v>
      </c>
      <c r="GL94" t="e">
        <f>AND('GA55 Entry'!Z241,"AAAAAB/a38E=")</f>
        <v>#VALUE!</v>
      </c>
      <c r="GM94" t="e">
        <f>AND('GA55 Entry'!AA241,"AAAAAB/a38I=")</f>
        <v>#VALUE!</v>
      </c>
      <c r="GN94" t="e">
        <f>AND('GA55 Entry'!#REF!,"AAAAAB/a38M=")</f>
        <v>#REF!</v>
      </c>
      <c r="GO94" t="e">
        <f>AND('GA55 Entry'!#REF!,"AAAAAB/a38Q=")</f>
        <v>#REF!</v>
      </c>
      <c r="GP94" t="e">
        <f>AND('GA55 Entry'!#REF!,"AAAAAB/a38U=")</f>
        <v>#REF!</v>
      </c>
      <c r="GQ94" t="e">
        <f>AND('GA55 Entry'!AB241,"AAAAAB/a38Y=")</f>
        <v>#VALUE!</v>
      </c>
      <c r="GR94" t="e">
        <f>AND('GA55 Entry'!AC241,"AAAAAB/a38c=")</f>
        <v>#VALUE!</v>
      </c>
      <c r="GS94" t="e">
        <f>AND('GA55 Entry'!#REF!,"AAAAAB/a38g=")</f>
        <v>#REF!</v>
      </c>
      <c r="GT94">
        <f>IF('GA55 Entry'!242:242,"AAAAAB/a38k=",0)</f>
        <v>0</v>
      </c>
      <c r="GU94" t="e">
        <f>AND('GA55 Entry'!B242,"AAAAAB/a38o=")</f>
        <v>#VALUE!</v>
      </c>
      <c r="GV94" t="e">
        <f>AND('GA55 Entry'!#REF!,"AAAAAB/a38s=")</f>
        <v>#REF!</v>
      </c>
      <c r="GW94" t="e">
        <f>AND('GA55 Entry'!C242,"AAAAAB/a38w=")</f>
        <v>#VALUE!</v>
      </c>
      <c r="GX94" t="e">
        <f>AND('GA55 Entry'!#REF!,"AAAAAB/a380=")</f>
        <v>#REF!</v>
      </c>
      <c r="GY94" t="e">
        <f>AND('GA55 Entry'!#REF!,"AAAAAB/a384=")</f>
        <v>#REF!</v>
      </c>
      <c r="GZ94" t="e">
        <f>AND('GA55 Entry'!#REF!,"AAAAAB/a388=")</f>
        <v>#REF!</v>
      </c>
      <c r="HA94" t="e">
        <f>AND('GA55 Entry'!#REF!,"AAAAAB/a39A=")</f>
        <v>#REF!</v>
      </c>
      <c r="HB94" t="e">
        <f>AND('GA55 Entry'!#REF!,"AAAAAB/a39E=")</f>
        <v>#REF!</v>
      </c>
      <c r="HC94" t="e">
        <f>AND('GA55 Entry'!D242,"AAAAAB/a39I=")</f>
        <v>#VALUE!</v>
      </c>
      <c r="HD94" t="e">
        <f>AND('GA55 Entry'!#REF!,"AAAAAB/a39M=")</f>
        <v>#REF!</v>
      </c>
      <c r="HE94" t="e">
        <f>AND('GA55 Entry'!E242,"AAAAAB/a39Q=")</f>
        <v>#VALUE!</v>
      </c>
      <c r="HF94" t="e">
        <f>AND('GA55 Entry'!F242,"AAAAAB/a39U=")</f>
        <v>#VALUE!</v>
      </c>
      <c r="HG94" t="e">
        <f>AND('GA55 Entry'!G242,"AAAAAB/a39Y=")</f>
        <v>#VALUE!</v>
      </c>
      <c r="HH94" t="e">
        <f>AND('GA55 Entry'!H242,"AAAAAB/a39c=")</f>
        <v>#VALUE!</v>
      </c>
      <c r="HI94" t="e">
        <f>AND('GA55 Entry'!I242,"AAAAAB/a39g=")</f>
        <v>#VALUE!</v>
      </c>
      <c r="HJ94" t="e">
        <f>AND('GA55 Entry'!J242,"AAAAAB/a39k=")</f>
        <v>#VALUE!</v>
      </c>
      <c r="HK94" t="e">
        <f>AND('GA55 Entry'!#REF!,"AAAAAB/a39o=")</f>
        <v>#REF!</v>
      </c>
      <c r="HL94" t="e">
        <f>AND('GA55 Entry'!K242,"AAAAAB/a39s=")</f>
        <v>#VALUE!</v>
      </c>
      <c r="HM94" t="e">
        <f>AND('GA55 Entry'!L242,"AAAAAB/a39w=")</f>
        <v>#VALUE!</v>
      </c>
      <c r="HN94" t="e">
        <f>AND('GA55 Entry'!M242,"AAAAAB/a390=")</f>
        <v>#VALUE!</v>
      </c>
      <c r="HO94" t="e">
        <f>AND('GA55 Entry'!N242,"AAAAAB/a394=")</f>
        <v>#VALUE!</v>
      </c>
      <c r="HP94" t="e">
        <f>AND('GA55 Entry'!O242,"AAAAAB/a398=")</f>
        <v>#VALUE!</v>
      </c>
      <c r="HQ94" t="e">
        <f>AND('GA55 Entry'!P242,"AAAAAB/a3+A=")</f>
        <v>#VALUE!</v>
      </c>
      <c r="HR94" t="e">
        <f>AND('GA55 Entry'!Q242,"AAAAAB/a3+E=")</f>
        <v>#VALUE!</v>
      </c>
      <c r="HS94" t="e">
        <f>AND('GA55 Entry'!S242,"AAAAAB/a3+I=")</f>
        <v>#VALUE!</v>
      </c>
      <c r="HT94" t="e">
        <f>AND('GA55 Entry'!#REF!,"AAAAAB/a3+M=")</f>
        <v>#REF!</v>
      </c>
      <c r="HU94" t="e">
        <f>AND('GA55 Entry'!T242,"AAAAAB/a3+Q=")</f>
        <v>#VALUE!</v>
      </c>
      <c r="HV94" t="e">
        <f>AND('GA55 Entry'!U242,"AAAAAB/a3+U=")</f>
        <v>#VALUE!</v>
      </c>
      <c r="HW94" t="e">
        <f>AND('GA55 Entry'!V242,"AAAAAB/a3+Y=")</f>
        <v>#VALUE!</v>
      </c>
      <c r="HX94" t="e">
        <f>AND('GA55 Entry'!#REF!,"AAAAAB/a3+c=")</f>
        <v>#REF!</v>
      </c>
      <c r="HY94" t="e">
        <f>AND('GA55 Entry'!#REF!,"AAAAAB/a3+g=")</f>
        <v>#REF!</v>
      </c>
      <c r="HZ94" t="e">
        <f>AND('GA55 Entry'!X242,"AAAAAB/a3+k=")</f>
        <v>#VALUE!</v>
      </c>
      <c r="IA94" t="e">
        <f>AND('GA55 Entry'!Y242,"AAAAAB/a3+o=")</f>
        <v>#VALUE!</v>
      </c>
      <c r="IB94" t="e">
        <f>AND('GA55 Entry'!#REF!,"AAAAAB/a3+s=")</f>
        <v>#REF!</v>
      </c>
      <c r="IC94" t="e">
        <f>AND('GA55 Entry'!#REF!,"AAAAAB/a3+w=")</f>
        <v>#REF!</v>
      </c>
      <c r="ID94" t="e">
        <f>AND('GA55 Entry'!#REF!,"AAAAAB/a3+0=")</f>
        <v>#REF!</v>
      </c>
      <c r="IE94" t="e">
        <f>AND('GA55 Entry'!#REF!,"AAAAAB/a3+4=")</f>
        <v>#REF!</v>
      </c>
      <c r="IF94" t="e">
        <f>AND('GA55 Entry'!#REF!,"AAAAAB/a3+8=")</f>
        <v>#REF!</v>
      </c>
      <c r="IG94" t="e">
        <f>AND('GA55 Entry'!#REF!,"AAAAAB/a3/A=")</f>
        <v>#REF!</v>
      </c>
      <c r="IH94" t="e">
        <f>AND('GA55 Entry'!#REF!,"AAAAAB/a3/E=")</f>
        <v>#REF!</v>
      </c>
      <c r="II94" t="e">
        <f>AND('GA55 Entry'!#REF!,"AAAAAB/a3/I=")</f>
        <v>#REF!</v>
      </c>
      <c r="IJ94" t="e">
        <f>AND('GA55 Entry'!#REF!,"AAAAAB/a3/M=")</f>
        <v>#REF!</v>
      </c>
      <c r="IK94" t="e">
        <f>AND('GA55 Entry'!Z242,"AAAAAB/a3/Q=")</f>
        <v>#VALUE!</v>
      </c>
      <c r="IL94" t="e">
        <f>AND('GA55 Entry'!AA242,"AAAAAB/a3/U=")</f>
        <v>#VALUE!</v>
      </c>
      <c r="IM94" t="e">
        <f>AND('GA55 Entry'!#REF!,"AAAAAB/a3/Y=")</f>
        <v>#REF!</v>
      </c>
      <c r="IN94" t="e">
        <f>AND('GA55 Entry'!#REF!,"AAAAAB/a3/c=")</f>
        <v>#REF!</v>
      </c>
      <c r="IO94" t="e">
        <f>AND('GA55 Entry'!#REF!,"AAAAAB/a3/g=")</f>
        <v>#REF!</v>
      </c>
      <c r="IP94" t="e">
        <f>AND('GA55 Entry'!AB242,"AAAAAB/a3/k=")</f>
        <v>#VALUE!</v>
      </c>
      <c r="IQ94" t="e">
        <f>AND('GA55 Entry'!AC242,"AAAAAB/a3/o=")</f>
        <v>#VALUE!</v>
      </c>
      <c r="IR94" t="e">
        <f>AND('GA55 Entry'!#REF!,"AAAAAB/a3/s=")</f>
        <v>#REF!</v>
      </c>
      <c r="IS94">
        <f>IF('GA55 Entry'!243:243,"AAAAAB/a3/w=",0)</f>
        <v>0</v>
      </c>
      <c r="IT94" t="e">
        <f>AND('GA55 Entry'!B243,"AAAAAB/a3/0=")</f>
        <v>#VALUE!</v>
      </c>
      <c r="IU94" t="e">
        <f>AND('GA55 Entry'!#REF!,"AAAAAB/a3/4=")</f>
        <v>#REF!</v>
      </c>
      <c r="IV94" t="e">
        <f>AND('GA55 Entry'!C243,"AAAAAB/a3/8=")</f>
        <v>#VALUE!</v>
      </c>
    </row>
    <row r="95" spans="1:256">
      <c r="A95" t="e">
        <f>AND('GA55 Entry'!#REF!,"AAAAAGZ71wA=")</f>
        <v>#REF!</v>
      </c>
      <c r="B95" t="e">
        <f>AND('GA55 Entry'!#REF!,"AAAAAGZ71wE=")</f>
        <v>#REF!</v>
      </c>
      <c r="C95" t="e">
        <f>AND('GA55 Entry'!#REF!,"AAAAAGZ71wI=")</f>
        <v>#REF!</v>
      </c>
      <c r="D95" t="e">
        <f>AND('GA55 Entry'!#REF!,"AAAAAGZ71wM=")</f>
        <v>#REF!</v>
      </c>
      <c r="E95" t="e">
        <f>AND('GA55 Entry'!#REF!,"AAAAAGZ71wQ=")</f>
        <v>#REF!</v>
      </c>
      <c r="F95" t="e">
        <f>AND('GA55 Entry'!D243,"AAAAAGZ71wU=")</f>
        <v>#VALUE!</v>
      </c>
      <c r="G95" t="e">
        <f>AND('GA55 Entry'!#REF!,"AAAAAGZ71wY=")</f>
        <v>#REF!</v>
      </c>
      <c r="H95" t="e">
        <f>AND('GA55 Entry'!E243,"AAAAAGZ71wc=")</f>
        <v>#VALUE!</v>
      </c>
      <c r="I95" t="e">
        <f>AND('GA55 Entry'!F243,"AAAAAGZ71wg=")</f>
        <v>#VALUE!</v>
      </c>
      <c r="J95" t="e">
        <f>AND('GA55 Entry'!G243,"AAAAAGZ71wk=")</f>
        <v>#VALUE!</v>
      </c>
      <c r="K95" t="e">
        <f>AND('GA55 Entry'!H243,"AAAAAGZ71wo=")</f>
        <v>#VALUE!</v>
      </c>
      <c r="L95" t="e">
        <f>AND('GA55 Entry'!I243,"AAAAAGZ71ws=")</f>
        <v>#VALUE!</v>
      </c>
      <c r="M95" t="e">
        <f>AND('GA55 Entry'!J243,"AAAAAGZ71ww=")</f>
        <v>#VALUE!</v>
      </c>
      <c r="N95" t="e">
        <f>AND('GA55 Entry'!#REF!,"AAAAAGZ71w0=")</f>
        <v>#REF!</v>
      </c>
      <c r="O95" t="e">
        <f>AND('GA55 Entry'!K243,"AAAAAGZ71w4=")</f>
        <v>#VALUE!</v>
      </c>
      <c r="P95" t="e">
        <f>AND('GA55 Entry'!L243,"AAAAAGZ71w8=")</f>
        <v>#VALUE!</v>
      </c>
      <c r="Q95" t="e">
        <f>AND('GA55 Entry'!M243,"AAAAAGZ71xA=")</f>
        <v>#VALUE!</v>
      </c>
      <c r="R95" t="e">
        <f>AND('GA55 Entry'!N243,"AAAAAGZ71xE=")</f>
        <v>#VALUE!</v>
      </c>
      <c r="S95" t="e">
        <f>AND('GA55 Entry'!O243,"AAAAAGZ71xI=")</f>
        <v>#VALUE!</v>
      </c>
      <c r="T95" t="e">
        <f>AND('GA55 Entry'!P243,"AAAAAGZ71xM=")</f>
        <v>#VALUE!</v>
      </c>
      <c r="U95" t="e">
        <f>AND('GA55 Entry'!Q243,"AAAAAGZ71xQ=")</f>
        <v>#VALUE!</v>
      </c>
      <c r="V95" t="e">
        <f>AND('GA55 Entry'!S243,"AAAAAGZ71xU=")</f>
        <v>#VALUE!</v>
      </c>
      <c r="W95" t="e">
        <f>AND('GA55 Entry'!#REF!,"AAAAAGZ71xY=")</f>
        <v>#REF!</v>
      </c>
      <c r="X95" t="e">
        <f>AND('GA55 Entry'!T243,"AAAAAGZ71xc=")</f>
        <v>#VALUE!</v>
      </c>
      <c r="Y95" t="e">
        <f>AND('GA55 Entry'!U243,"AAAAAGZ71xg=")</f>
        <v>#VALUE!</v>
      </c>
      <c r="Z95" t="e">
        <f>AND('GA55 Entry'!V243,"AAAAAGZ71xk=")</f>
        <v>#VALUE!</v>
      </c>
      <c r="AA95" t="e">
        <f>AND('GA55 Entry'!#REF!,"AAAAAGZ71xo=")</f>
        <v>#REF!</v>
      </c>
      <c r="AB95" t="e">
        <f>AND('GA55 Entry'!#REF!,"AAAAAGZ71xs=")</f>
        <v>#REF!</v>
      </c>
      <c r="AC95" t="e">
        <f>AND('GA55 Entry'!X243,"AAAAAGZ71xw=")</f>
        <v>#VALUE!</v>
      </c>
      <c r="AD95" t="e">
        <f>AND('GA55 Entry'!Y243,"AAAAAGZ71x0=")</f>
        <v>#VALUE!</v>
      </c>
      <c r="AE95" t="e">
        <f>AND('GA55 Entry'!#REF!,"AAAAAGZ71x4=")</f>
        <v>#REF!</v>
      </c>
      <c r="AF95" t="e">
        <f>AND('GA55 Entry'!#REF!,"AAAAAGZ71x8=")</f>
        <v>#REF!</v>
      </c>
      <c r="AG95" t="e">
        <f>AND('GA55 Entry'!#REF!,"AAAAAGZ71yA=")</f>
        <v>#REF!</v>
      </c>
      <c r="AH95" t="e">
        <f>AND('GA55 Entry'!#REF!,"AAAAAGZ71yE=")</f>
        <v>#REF!</v>
      </c>
      <c r="AI95" t="e">
        <f>AND('GA55 Entry'!#REF!,"AAAAAGZ71yI=")</f>
        <v>#REF!</v>
      </c>
      <c r="AJ95" t="e">
        <f>AND('GA55 Entry'!#REF!,"AAAAAGZ71yM=")</f>
        <v>#REF!</v>
      </c>
      <c r="AK95" t="e">
        <f>AND('GA55 Entry'!#REF!,"AAAAAGZ71yQ=")</f>
        <v>#REF!</v>
      </c>
      <c r="AL95" t="e">
        <f>AND('GA55 Entry'!#REF!,"AAAAAGZ71yU=")</f>
        <v>#REF!</v>
      </c>
      <c r="AM95" t="e">
        <f>AND('GA55 Entry'!#REF!,"AAAAAGZ71yY=")</f>
        <v>#REF!</v>
      </c>
      <c r="AN95" t="e">
        <f>AND('GA55 Entry'!Z243,"AAAAAGZ71yc=")</f>
        <v>#VALUE!</v>
      </c>
      <c r="AO95" t="e">
        <f>AND('GA55 Entry'!AA243,"AAAAAGZ71yg=")</f>
        <v>#VALUE!</v>
      </c>
      <c r="AP95" t="e">
        <f>AND('GA55 Entry'!#REF!,"AAAAAGZ71yk=")</f>
        <v>#REF!</v>
      </c>
      <c r="AQ95" t="e">
        <f>AND('GA55 Entry'!#REF!,"AAAAAGZ71yo=")</f>
        <v>#REF!</v>
      </c>
      <c r="AR95" t="e">
        <f>AND('GA55 Entry'!#REF!,"AAAAAGZ71ys=")</f>
        <v>#REF!</v>
      </c>
      <c r="AS95" t="e">
        <f>AND('GA55 Entry'!AB243,"AAAAAGZ71yw=")</f>
        <v>#VALUE!</v>
      </c>
      <c r="AT95" t="e">
        <f>AND('GA55 Entry'!AC243,"AAAAAGZ71y0=")</f>
        <v>#VALUE!</v>
      </c>
      <c r="AU95" t="e">
        <f>AND('GA55 Entry'!#REF!,"AAAAAGZ71y4=")</f>
        <v>#REF!</v>
      </c>
      <c r="AV95">
        <f>IF('GA55 Entry'!244:244,"AAAAAGZ71y8=",0)</f>
        <v>0</v>
      </c>
      <c r="AW95" t="e">
        <f>AND('GA55 Entry'!B244,"AAAAAGZ71zA=")</f>
        <v>#VALUE!</v>
      </c>
      <c r="AX95" t="e">
        <f>AND('GA55 Entry'!#REF!,"AAAAAGZ71zE=")</f>
        <v>#REF!</v>
      </c>
      <c r="AY95" t="e">
        <f>AND('GA55 Entry'!C244,"AAAAAGZ71zI=")</f>
        <v>#VALUE!</v>
      </c>
      <c r="AZ95" t="e">
        <f>AND('GA55 Entry'!#REF!,"AAAAAGZ71zM=")</f>
        <v>#REF!</v>
      </c>
      <c r="BA95" t="e">
        <f>AND('GA55 Entry'!#REF!,"AAAAAGZ71zQ=")</f>
        <v>#REF!</v>
      </c>
      <c r="BB95" t="e">
        <f>AND('GA55 Entry'!#REF!,"AAAAAGZ71zU=")</f>
        <v>#REF!</v>
      </c>
      <c r="BC95" t="e">
        <f>AND('GA55 Entry'!#REF!,"AAAAAGZ71zY=")</f>
        <v>#REF!</v>
      </c>
      <c r="BD95" t="e">
        <f>AND('GA55 Entry'!#REF!,"AAAAAGZ71zc=")</f>
        <v>#REF!</v>
      </c>
      <c r="BE95" t="e">
        <f>AND('GA55 Entry'!D244,"AAAAAGZ71zg=")</f>
        <v>#VALUE!</v>
      </c>
      <c r="BF95" t="e">
        <f>AND('GA55 Entry'!#REF!,"AAAAAGZ71zk=")</f>
        <v>#REF!</v>
      </c>
      <c r="BG95" t="e">
        <f>AND('GA55 Entry'!E244,"AAAAAGZ71zo=")</f>
        <v>#VALUE!</v>
      </c>
      <c r="BH95" t="e">
        <f>AND('GA55 Entry'!F244,"AAAAAGZ71zs=")</f>
        <v>#VALUE!</v>
      </c>
      <c r="BI95" t="e">
        <f>AND('GA55 Entry'!G244,"AAAAAGZ71zw=")</f>
        <v>#VALUE!</v>
      </c>
      <c r="BJ95" t="e">
        <f>AND('GA55 Entry'!H244,"AAAAAGZ71z0=")</f>
        <v>#VALUE!</v>
      </c>
      <c r="BK95" t="e">
        <f>AND('GA55 Entry'!I244,"AAAAAGZ71z4=")</f>
        <v>#VALUE!</v>
      </c>
      <c r="BL95" t="e">
        <f>AND('GA55 Entry'!J244,"AAAAAGZ71z8=")</f>
        <v>#VALUE!</v>
      </c>
      <c r="BM95" t="e">
        <f>AND('GA55 Entry'!#REF!,"AAAAAGZ710A=")</f>
        <v>#REF!</v>
      </c>
      <c r="BN95" t="e">
        <f>AND('GA55 Entry'!K244,"AAAAAGZ710E=")</f>
        <v>#VALUE!</v>
      </c>
      <c r="BO95" t="e">
        <f>AND('GA55 Entry'!L244,"AAAAAGZ710I=")</f>
        <v>#VALUE!</v>
      </c>
      <c r="BP95" t="e">
        <f>AND('GA55 Entry'!M244,"AAAAAGZ710M=")</f>
        <v>#VALUE!</v>
      </c>
      <c r="BQ95" t="e">
        <f>AND('GA55 Entry'!N244,"AAAAAGZ710Q=")</f>
        <v>#VALUE!</v>
      </c>
      <c r="BR95" t="e">
        <f>AND('GA55 Entry'!O244,"AAAAAGZ710U=")</f>
        <v>#VALUE!</v>
      </c>
      <c r="BS95" t="e">
        <f>AND('GA55 Entry'!P244,"AAAAAGZ710Y=")</f>
        <v>#VALUE!</v>
      </c>
      <c r="BT95" t="e">
        <f>AND('GA55 Entry'!Q244,"AAAAAGZ710c=")</f>
        <v>#VALUE!</v>
      </c>
      <c r="BU95" t="e">
        <f>AND('GA55 Entry'!S244,"AAAAAGZ710g=")</f>
        <v>#VALUE!</v>
      </c>
      <c r="BV95" t="e">
        <f>AND('GA55 Entry'!#REF!,"AAAAAGZ710k=")</f>
        <v>#REF!</v>
      </c>
      <c r="BW95" t="e">
        <f>AND('GA55 Entry'!T244,"AAAAAGZ710o=")</f>
        <v>#VALUE!</v>
      </c>
      <c r="BX95" t="e">
        <f>AND('GA55 Entry'!U244,"AAAAAGZ710s=")</f>
        <v>#VALUE!</v>
      </c>
      <c r="BY95" t="e">
        <f>AND('GA55 Entry'!V244,"AAAAAGZ710w=")</f>
        <v>#VALUE!</v>
      </c>
      <c r="BZ95" t="e">
        <f>AND('GA55 Entry'!#REF!,"AAAAAGZ7100=")</f>
        <v>#REF!</v>
      </c>
      <c r="CA95" t="e">
        <f>AND('GA55 Entry'!#REF!,"AAAAAGZ7104=")</f>
        <v>#REF!</v>
      </c>
      <c r="CB95" t="e">
        <f>AND('GA55 Entry'!X244,"AAAAAGZ7108=")</f>
        <v>#VALUE!</v>
      </c>
      <c r="CC95" t="e">
        <f>AND('GA55 Entry'!Y244,"AAAAAGZ711A=")</f>
        <v>#VALUE!</v>
      </c>
      <c r="CD95" t="e">
        <f>AND('GA55 Entry'!#REF!,"AAAAAGZ711E=")</f>
        <v>#REF!</v>
      </c>
      <c r="CE95" t="e">
        <f>AND('GA55 Entry'!#REF!,"AAAAAGZ711I=")</f>
        <v>#REF!</v>
      </c>
      <c r="CF95" t="e">
        <f>AND('GA55 Entry'!#REF!,"AAAAAGZ711M=")</f>
        <v>#REF!</v>
      </c>
      <c r="CG95" t="e">
        <f>AND('GA55 Entry'!#REF!,"AAAAAGZ711Q=")</f>
        <v>#REF!</v>
      </c>
      <c r="CH95" t="e">
        <f>AND('GA55 Entry'!#REF!,"AAAAAGZ711U=")</f>
        <v>#REF!</v>
      </c>
      <c r="CI95" t="e">
        <f>AND('GA55 Entry'!#REF!,"AAAAAGZ711Y=")</f>
        <v>#REF!</v>
      </c>
      <c r="CJ95" t="e">
        <f>AND('GA55 Entry'!#REF!,"AAAAAGZ711c=")</f>
        <v>#REF!</v>
      </c>
      <c r="CK95" t="e">
        <f>AND('GA55 Entry'!#REF!,"AAAAAGZ711g=")</f>
        <v>#REF!</v>
      </c>
      <c r="CL95" t="e">
        <f>AND('GA55 Entry'!#REF!,"AAAAAGZ711k=")</f>
        <v>#REF!</v>
      </c>
      <c r="CM95" t="e">
        <f>AND('GA55 Entry'!Z244,"AAAAAGZ711o=")</f>
        <v>#VALUE!</v>
      </c>
      <c r="CN95" t="e">
        <f>AND('GA55 Entry'!AA244,"AAAAAGZ711s=")</f>
        <v>#VALUE!</v>
      </c>
      <c r="CO95" t="e">
        <f>AND('GA55 Entry'!#REF!,"AAAAAGZ711w=")</f>
        <v>#REF!</v>
      </c>
      <c r="CP95" t="e">
        <f>AND('GA55 Entry'!#REF!,"AAAAAGZ7110=")</f>
        <v>#REF!</v>
      </c>
      <c r="CQ95" t="e">
        <f>AND('GA55 Entry'!#REF!,"AAAAAGZ7114=")</f>
        <v>#REF!</v>
      </c>
      <c r="CR95" t="e">
        <f>AND('GA55 Entry'!AB244,"AAAAAGZ7118=")</f>
        <v>#VALUE!</v>
      </c>
      <c r="CS95" t="e">
        <f>AND('GA55 Entry'!AC244,"AAAAAGZ712A=")</f>
        <v>#VALUE!</v>
      </c>
      <c r="CT95" t="e">
        <f>AND('GA55 Entry'!#REF!,"AAAAAGZ712E=")</f>
        <v>#REF!</v>
      </c>
      <c r="CU95">
        <f>IF('GA55 Entry'!245:245,"AAAAAGZ712I=",0)</f>
        <v>0</v>
      </c>
      <c r="CV95" t="e">
        <f>AND('GA55 Entry'!B245,"AAAAAGZ712M=")</f>
        <v>#VALUE!</v>
      </c>
      <c r="CW95" t="e">
        <f>AND('GA55 Entry'!#REF!,"AAAAAGZ712Q=")</f>
        <v>#REF!</v>
      </c>
      <c r="CX95" t="e">
        <f>AND('GA55 Entry'!C245,"AAAAAGZ712U=")</f>
        <v>#VALUE!</v>
      </c>
      <c r="CY95" t="e">
        <f>AND('GA55 Entry'!#REF!,"AAAAAGZ712Y=")</f>
        <v>#REF!</v>
      </c>
      <c r="CZ95" t="e">
        <f>AND('GA55 Entry'!#REF!,"AAAAAGZ712c=")</f>
        <v>#REF!</v>
      </c>
      <c r="DA95" t="e">
        <f>AND('GA55 Entry'!#REF!,"AAAAAGZ712g=")</f>
        <v>#REF!</v>
      </c>
      <c r="DB95" t="e">
        <f>AND('GA55 Entry'!#REF!,"AAAAAGZ712k=")</f>
        <v>#REF!</v>
      </c>
      <c r="DC95" t="e">
        <f>AND('GA55 Entry'!#REF!,"AAAAAGZ712o=")</f>
        <v>#REF!</v>
      </c>
      <c r="DD95" t="e">
        <f>AND('GA55 Entry'!D245,"AAAAAGZ712s=")</f>
        <v>#VALUE!</v>
      </c>
      <c r="DE95" t="e">
        <f>AND('GA55 Entry'!#REF!,"AAAAAGZ712w=")</f>
        <v>#REF!</v>
      </c>
      <c r="DF95" t="e">
        <f>AND('GA55 Entry'!E245,"AAAAAGZ7120=")</f>
        <v>#VALUE!</v>
      </c>
      <c r="DG95" t="e">
        <f>AND('GA55 Entry'!F245,"AAAAAGZ7124=")</f>
        <v>#VALUE!</v>
      </c>
      <c r="DH95" t="e">
        <f>AND('GA55 Entry'!G245,"AAAAAGZ7128=")</f>
        <v>#VALUE!</v>
      </c>
      <c r="DI95" t="e">
        <f>AND('GA55 Entry'!H245,"AAAAAGZ713A=")</f>
        <v>#VALUE!</v>
      </c>
      <c r="DJ95" t="e">
        <f>AND('GA55 Entry'!I245,"AAAAAGZ713E=")</f>
        <v>#VALUE!</v>
      </c>
      <c r="DK95" t="e">
        <f>AND('GA55 Entry'!J245,"AAAAAGZ713I=")</f>
        <v>#VALUE!</v>
      </c>
      <c r="DL95" t="e">
        <f>AND('GA55 Entry'!#REF!,"AAAAAGZ713M=")</f>
        <v>#REF!</v>
      </c>
      <c r="DM95" t="e">
        <f>AND('GA55 Entry'!K245,"AAAAAGZ713Q=")</f>
        <v>#VALUE!</v>
      </c>
      <c r="DN95" t="e">
        <f>AND('GA55 Entry'!L245,"AAAAAGZ713U=")</f>
        <v>#VALUE!</v>
      </c>
      <c r="DO95" t="e">
        <f>AND('GA55 Entry'!M245,"AAAAAGZ713Y=")</f>
        <v>#VALUE!</v>
      </c>
      <c r="DP95" t="e">
        <f>AND('GA55 Entry'!N245,"AAAAAGZ713c=")</f>
        <v>#VALUE!</v>
      </c>
      <c r="DQ95" t="e">
        <f>AND('GA55 Entry'!O245,"AAAAAGZ713g=")</f>
        <v>#VALUE!</v>
      </c>
      <c r="DR95" t="e">
        <f>AND('GA55 Entry'!P245,"AAAAAGZ713k=")</f>
        <v>#VALUE!</v>
      </c>
      <c r="DS95" t="e">
        <f>AND('GA55 Entry'!Q245,"AAAAAGZ713o=")</f>
        <v>#VALUE!</v>
      </c>
      <c r="DT95" t="e">
        <f>AND('GA55 Entry'!S245,"AAAAAGZ713s=")</f>
        <v>#VALUE!</v>
      </c>
      <c r="DU95" t="e">
        <f>AND('GA55 Entry'!#REF!,"AAAAAGZ713w=")</f>
        <v>#REF!</v>
      </c>
      <c r="DV95" t="e">
        <f>AND('GA55 Entry'!T245,"AAAAAGZ7130=")</f>
        <v>#VALUE!</v>
      </c>
      <c r="DW95" t="e">
        <f>AND('GA55 Entry'!U245,"AAAAAGZ7134=")</f>
        <v>#VALUE!</v>
      </c>
      <c r="DX95" t="e">
        <f>AND('GA55 Entry'!V245,"AAAAAGZ7138=")</f>
        <v>#VALUE!</v>
      </c>
      <c r="DY95" t="e">
        <f>AND('GA55 Entry'!#REF!,"AAAAAGZ714A=")</f>
        <v>#REF!</v>
      </c>
      <c r="DZ95" t="e">
        <f>AND('GA55 Entry'!#REF!,"AAAAAGZ714E=")</f>
        <v>#REF!</v>
      </c>
      <c r="EA95" t="e">
        <f>AND('GA55 Entry'!X245,"AAAAAGZ714I=")</f>
        <v>#VALUE!</v>
      </c>
      <c r="EB95" t="e">
        <f>AND('GA55 Entry'!Y245,"AAAAAGZ714M=")</f>
        <v>#VALUE!</v>
      </c>
      <c r="EC95" t="e">
        <f>AND('GA55 Entry'!#REF!,"AAAAAGZ714Q=")</f>
        <v>#REF!</v>
      </c>
      <c r="ED95" t="e">
        <f>AND('GA55 Entry'!#REF!,"AAAAAGZ714U=")</f>
        <v>#REF!</v>
      </c>
      <c r="EE95" t="e">
        <f>AND('GA55 Entry'!#REF!,"AAAAAGZ714Y=")</f>
        <v>#REF!</v>
      </c>
      <c r="EF95" t="e">
        <f>AND('GA55 Entry'!#REF!,"AAAAAGZ714c=")</f>
        <v>#REF!</v>
      </c>
      <c r="EG95" t="e">
        <f>AND('GA55 Entry'!#REF!,"AAAAAGZ714g=")</f>
        <v>#REF!</v>
      </c>
      <c r="EH95" t="e">
        <f>AND('GA55 Entry'!#REF!,"AAAAAGZ714k=")</f>
        <v>#REF!</v>
      </c>
      <c r="EI95" t="e">
        <f>AND('GA55 Entry'!#REF!,"AAAAAGZ714o=")</f>
        <v>#REF!</v>
      </c>
      <c r="EJ95" t="e">
        <f>AND('GA55 Entry'!#REF!,"AAAAAGZ714s=")</f>
        <v>#REF!</v>
      </c>
      <c r="EK95" t="e">
        <f>AND('GA55 Entry'!#REF!,"AAAAAGZ714w=")</f>
        <v>#REF!</v>
      </c>
      <c r="EL95" t="e">
        <f>AND('GA55 Entry'!Z245,"AAAAAGZ7140=")</f>
        <v>#VALUE!</v>
      </c>
      <c r="EM95" t="e">
        <f>AND('GA55 Entry'!AA245,"AAAAAGZ7144=")</f>
        <v>#VALUE!</v>
      </c>
      <c r="EN95" t="e">
        <f>AND('GA55 Entry'!#REF!,"AAAAAGZ7148=")</f>
        <v>#REF!</v>
      </c>
      <c r="EO95" t="e">
        <f>AND('GA55 Entry'!#REF!,"AAAAAGZ715A=")</f>
        <v>#REF!</v>
      </c>
      <c r="EP95" t="e">
        <f>AND('GA55 Entry'!#REF!,"AAAAAGZ715E=")</f>
        <v>#REF!</v>
      </c>
      <c r="EQ95" t="e">
        <f>AND('GA55 Entry'!AB245,"AAAAAGZ715I=")</f>
        <v>#VALUE!</v>
      </c>
      <c r="ER95" t="e">
        <f>AND('GA55 Entry'!AC245,"AAAAAGZ715M=")</f>
        <v>#VALUE!</v>
      </c>
      <c r="ES95" t="e">
        <f>AND('GA55 Entry'!#REF!,"AAAAAGZ715Q=")</f>
        <v>#REF!</v>
      </c>
      <c r="ET95">
        <f>IF('GA55 Entry'!246:246,"AAAAAGZ715U=",0)</f>
        <v>0</v>
      </c>
      <c r="EU95" t="e">
        <f>AND('GA55 Entry'!B246,"AAAAAGZ715Y=")</f>
        <v>#VALUE!</v>
      </c>
      <c r="EV95" t="e">
        <f>AND('GA55 Entry'!#REF!,"AAAAAGZ715c=")</f>
        <v>#REF!</v>
      </c>
      <c r="EW95" t="e">
        <f>AND('GA55 Entry'!C246,"AAAAAGZ715g=")</f>
        <v>#VALUE!</v>
      </c>
      <c r="EX95" t="e">
        <f>AND('GA55 Entry'!#REF!,"AAAAAGZ715k=")</f>
        <v>#REF!</v>
      </c>
      <c r="EY95" t="e">
        <f>AND('GA55 Entry'!#REF!,"AAAAAGZ715o=")</f>
        <v>#REF!</v>
      </c>
      <c r="EZ95" t="e">
        <f>AND('GA55 Entry'!#REF!,"AAAAAGZ715s=")</f>
        <v>#REF!</v>
      </c>
      <c r="FA95" t="e">
        <f>AND('GA55 Entry'!#REF!,"AAAAAGZ715w=")</f>
        <v>#REF!</v>
      </c>
      <c r="FB95" t="e">
        <f>AND('GA55 Entry'!#REF!,"AAAAAGZ7150=")</f>
        <v>#REF!</v>
      </c>
      <c r="FC95" t="e">
        <f>AND('GA55 Entry'!D246,"AAAAAGZ7154=")</f>
        <v>#VALUE!</v>
      </c>
      <c r="FD95" t="e">
        <f>AND('GA55 Entry'!#REF!,"AAAAAGZ7158=")</f>
        <v>#REF!</v>
      </c>
      <c r="FE95" t="e">
        <f>AND('GA55 Entry'!E246,"AAAAAGZ716A=")</f>
        <v>#VALUE!</v>
      </c>
      <c r="FF95" t="e">
        <f>AND('GA55 Entry'!F246,"AAAAAGZ716E=")</f>
        <v>#VALUE!</v>
      </c>
      <c r="FG95" t="e">
        <f>AND('GA55 Entry'!G246,"AAAAAGZ716I=")</f>
        <v>#VALUE!</v>
      </c>
      <c r="FH95" t="e">
        <f>AND('GA55 Entry'!H246,"AAAAAGZ716M=")</f>
        <v>#VALUE!</v>
      </c>
      <c r="FI95" t="e">
        <f>AND('GA55 Entry'!I246,"AAAAAGZ716Q=")</f>
        <v>#VALUE!</v>
      </c>
      <c r="FJ95" t="e">
        <f>AND('GA55 Entry'!J246,"AAAAAGZ716U=")</f>
        <v>#VALUE!</v>
      </c>
      <c r="FK95" t="e">
        <f>AND('GA55 Entry'!#REF!,"AAAAAGZ716Y=")</f>
        <v>#REF!</v>
      </c>
      <c r="FL95" t="e">
        <f>AND('GA55 Entry'!K246,"AAAAAGZ716c=")</f>
        <v>#VALUE!</v>
      </c>
      <c r="FM95" t="e">
        <f>AND('GA55 Entry'!L246,"AAAAAGZ716g=")</f>
        <v>#VALUE!</v>
      </c>
      <c r="FN95" t="e">
        <f>AND('GA55 Entry'!M246,"AAAAAGZ716k=")</f>
        <v>#VALUE!</v>
      </c>
      <c r="FO95" t="e">
        <f>AND('GA55 Entry'!N246,"AAAAAGZ716o=")</f>
        <v>#VALUE!</v>
      </c>
      <c r="FP95" t="e">
        <f>AND('GA55 Entry'!O246,"AAAAAGZ716s=")</f>
        <v>#VALUE!</v>
      </c>
      <c r="FQ95" t="e">
        <f>AND('GA55 Entry'!P246,"AAAAAGZ716w=")</f>
        <v>#VALUE!</v>
      </c>
      <c r="FR95" t="e">
        <f>AND('GA55 Entry'!Q246,"AAAAAGZ7160=")</f>
        <v>#VALUE!</v>
      </c>
      <c r="FS95" t="e">
        <f>AND('GA55 Entry'!S246,"AAAAAGZ7164=")</f>
        <v>#VALUE!</v>
      </c>
      <c r="FT95" t="e">
        <f>AND('GA55 Entry'!#REF!,"AAAAAGZ7168=")</f>
        <v>#REF!</v>
      </c>
      <c r="FU95" t="e">
        <f>AND('GA55 Entry'!T246,"AAAAAGZ717A=")</f>
        <v>#VALUE!</v>
      </c>
      <c r="FV95" t="e">
        <f>AND('GA55 Entry'!U246,"AAAAAGZ717E=")</f>
        <v>#VALUE!</v>
      </c>
      <c r="FW95" t="e">
        <f>AND('GA55 Entry'!V246,"AAAAAGZ717I=")</f>
        <v>#VALUE!</v>
      </c>
      <c r="FX95" t="e">
        <f>AND('GA55 Entry'!#REF!,"AAAAAGZ717M=")</f>
        <v>#REF!</v>
      </c>
      <c r="FY95" t="e">
        <f>AND('GA55 Entry'!#REF!,"AAAAAGZ717Q=")</f>
        <v>#REF!</v>
      </c>
      <c r="FZ95" t="e">
        <f>AND('GA55 Entry'!X246,"AAAAAGZ717U=")</f>
        <v>#VALUE!</v>
      </c>
      <c r="GA95" t="e">
        <f>AND('GA55 Entry'!Y246,"AAAAAGZ717Y=")</f>
        <v>#VALUE!</v>
      </c>
      <c r="GB95" t="e">
        <f>AND('GA55 Entry'!#REF!,"AAAAAGZ717c=")</f>
        <v>#REF!</v>
      </c>
      <c r="GC95" t="e">
        <f>AND('GA55 Entry'!#REF!,"AAAAAGZ717g=")</f>
        <v>#REF!</v>
      </c>
      <c r="GD95" t="e">
        <f>AND('GA55 Entry'!#REF!,"AAAAAGZ717k=")</f>
        <v>#REF!</v>
      </c>
      <c r="GE95" t="e">
        <f>AND('GA55 Entry'!#REF!,"AAAAAGZ717o=")</f>
        <v>#REF!</v>
      </c>
      <c r="GF95" t="e">
        <f>AND('GA55 Entry'!#REF!,"AAAAAGZ717s=")</f>
        <v>#REF!</v>
      </c>
      <c r="GG95" t="e">
        <f>AND('GA55 Entry'!#REF!,"AAAAAGZ717w=")</f>
        <v>#REF!</v>
      </c>
      <c r="GH95" t="e">
        <f>AND('GA55 Entry'!#REF!,"AAAAAGZ7170=")</f>
        <v>#REF!</v>
      </c>
      <c r="GI95" t="e">
        <f>AND('GA55 Entry'!#REF!,"AAAAAGZ7174=")</f>
        <v>#REF!</v>
      </c>
      <c r="GJ95" t="e">
        <f>AND('GA55 Entry'!#REF!,"AAAAAGZ7178=")</f>
        <v>#REF!</v>
      </c>
      <c r="GK95" t="e">
        <f>AND('GA55 Entry'!Z246,"AAAAAGZ718A=")</f>
        <v>#VALUE!</v>
      </c>
      <c r="GL95" t="e">
        <f>AND('GA55 Entry'!AA246,"AAAAAGZ718E=")</f>
        <v>#VALUE!</v>
      </c>
      <c r="GM95" t="e">
        <f>AND('GA55 Entry'!#REF!,"AAAAAGZ718I=")</f>
        <v>#REF!</v>
      </c>
      <c r="GN95" t="e">
        <f>AND('GA55 Entry'!#REF!,"AAAAAGZ718M=")</f>
        <v>#REF!</v>
      </c>
      <c r="GO95" t="e">
        <f>AND('GA55 Entry'!#REF!,"AAAAAGZ718Q=")</f>
        <v>#REF!</v>
      </c>
      <c r="GP95" t="e">
        <f>AND('GA55 Entry'!AB246,"AAAAAGZ718U=")</f>
        <v>#VALUE!</v>
      </c>
      <c r="GQ95" t="e">
        <f>AND('GA55 Entry'!AC246,"AAAAAGZ718Y=")</f>
        <v>#VALUE!</v>
      </c>
      <c r="GR95" t="e">
        <f>AND('GA55 Entry'!#REF!,"AAAAAGZ718c=")</f>
        <v>#REF!</v>
      </c>
      <c r="GS95">
        <f>IF('GA55 Entry'!247:247,"AAAAAGZ718g=",0)</f>
        <v>0</v>
      </c>
      <c r="GT95" t="e">
        <f>AND('GA55 Entry'!B247,"AAAAAGZ718k=")</f>
        <v>#VALUE!</v>
      </c>
      <c r="GU95" t="e">
        <f>AND('GA55 Entry'!#REF!,"AAAAAGZ718o=")</f>
        <v>#REF!</v>
      </c>
      <c r="GV95" t="e">
        <f>AND('GA55 Entry'!C247,"AAAAAGZ718s=")</f>
        <v>#VALUE!</v>
      </c>
      <c r="GW95" t="e">
        <f>AND('GA55 Entry'!#REF!,"AAAAAGZ718w=")</f>
        <v>#REF!</v>
      </c>
      <c r="GX95" t="e">
        <f>AND('GA55 Entry'!#REF!,"AAAAAGZ7180=")</f>
        <v>#REF!</v>
      </c>
      <c r="GY95" t="e">
        <f>AND('GA55 Entry'!#REF!,"AAAAAGZ7184=")</f>
        <v>#REF!</v>
      </c>
      <c r="GZ95" t="e">
        <f>AND('GA55 Entry'!#REF!,"AAAAAGZ7188=")</f>
        <v>#REF!</v>
      </c>
      <c r="HA95" t="e">
        <f>AND('GA55 Entry'!#REF!,"AAAAAGZ719A=")</f>
        <v>#REF!</v>
      </c>
      <c r="HB95" t="e">
        <f>AND('GA55 Entry'!D247,"AAAAAGZ719E=")</f>
        <v>#VALUE!</v>
      </c>
      <c r="HC95" t="e">
        <f>AND('GA55 Entry'!#REF!,"AAAAAGZ719I=")</f>
        <v>#REF!</v>
      </c>
      <c r="HD95" t="e">
        <f>AND('GA55 Entry'!E247,"AAAAAGZ719M=")</f>
        <v>#VALUE!</v>
      </c>
      <c r="HE95" t="e">
        <f>AND('GA55 Entry'!F247,"AAAAAGZ719Q=")</f>
        <v>#VALUE!</v>
      </c>
      <c r="HF95" t="e">
        <f>AND('GA55 Entry'!G247,"AAAAAGZ719U=")</f>
        <v>#VALUE!</v>
      </c>
      <c r="HG95" t="e">
        <f>AND('GA55 Entry'!H247,"AAAAAGZ719Y=")</f>
        <v>#VALUE!</v>
      </c>
      <c r="HH95" t="e">
        <f>AND('GA55 Entry'!I247,"AAAAAGZ719c=")</f>
        <v>#VALUE!</v>
      </c>
      <c r="HI95" t="e">
        <f>AND('GA55 Entry'!J247,"AAAAAGZ719g=")</f>
        <v>#VALUE!</v>
      </c>
      <c r="HJ95" t="e">
        <f>AND('GA55 Entry'!#REF!,"AAAAAGZ719k=")</f>
        <v>#REF!</v>
      </c>
      <c r="HK95" t="e">
        <f>AND('GA55 Entry'!K247,"AAAAAGZ719o=")</f>
        <v>#VALUE!</v>
      </c>
      <c r="HL95" t="e">
        <f>AND('GA55 Entry'!L247,"AAAAAGZ719s=")</f>
        <v>#VALUE!</v>
      </c>
      <c r="HM95" t="e">
        <f>AND('GA55 Entry'!M247,"AAAAAGZ719w=")</f>
        <v>#VALUE!</v>
      </c>
      <c r="HN95" t="e">
        <f>AND('GA55 Entry'!N247,"AAAAAGZ7190=")</f>
        <v>#VALUE!</v>
      </c>
      <c r="HO95" t="e">
        <f>AND('GA55 Entry'!O247,"AAAAAGZ7194=")</f>
        <v>#VALUE!</v>
      </c>
      <c r="HP95" t="e">
        <f>AND('GA55 Entry'!P247,"AAAAAGZ7198=")</f>
        <v>#VALUE!</v>
      </c>
      <c r="HQ95" t="e">
        <f>AND('GA55 Entry'!Q247,"AAAAAGZ71+A=")</f>
        <v>#VALUE!</v>
      </c>
      <c r="HR95" t="e">
        <f>AND('GA55 Entry'!S247,"AAAAAGZ71+E=")</f>
        <v>#VALUE!</v>
      </c>
      <c r="HS95" t="e">
        <f>AND('GA55 Entry'!#REF!,"AAAAAGZ71+I=")</f>
        <v>#REF!</v>
      </c>
      <c r="HT95" t="e">
        <f>AND('GA55 Entry'!T247,"AAAAAGZ71+M=")</f>
        <v>#VALUE!</v>
      </c>
      <c r="HU95" t="e">
        <f>AND('GA55 Entry'!U247,"AAAAAGZ71+Q=")</f>
        <v>#VALUE!</v>
      </c>
      <c r="HV95" t="e">
        <f>AND('GA55 Entry'!V247,"AAAAAGZ71+U=")</f>
        <v>#VALUE!</v>
      </c>
      <c r="HW95" t="e">
        <f>AND('GA55 Entry'!#REF!,"AAAAAGZ71+Y=")</f>
        <v>#REF!</v>
      </c>
      <c r="HX95" t="e">
        <f>AND('GA55 Entry'!#REF!,"AAAAAGZ71+c=")</f>
        <v>#REF!</v>
      </c>
      <c r="HY95" t="e">
        <f>AND('GA55 Entry'!X247,"AAAAAGZ71+g=")</f>
        <v>#VALUE!</v>
      </c>
      <c r="HZ95" t="e">
        <f>AND('GA55 Entry'!Y247,"AAAAAGZ71+k=")</f>
        <v>#VALUE!</v>
      </c>
      <c r="IA95" t="e">
        <f>AND('GA55 Entry'!#REF!,"AAAAAGZ71+o=")</f>
        <v>#REF!</v>
      </c>
      <c r="IB95" t="e">
        <f>AND('GA55 Entry'!#REF!,"AAAAAGZ71+s=")</f>
        <v>#REF!</v>
      </c>
      <c r="IC95" t="e">
        <f>AND('GA55 Entry'!#REF!,"AAAAAGZ71+w=")</f>
        <v>#REF!</v>
      </c>
      <c r="ID95" t="e">
        <f>AND('GA55 Entry'!#REF!,"AAAAAGZ71+0=")</f>
        <v>#REF!</v>
      </c>
      <c r="IE95" t="e">
        <f>AND('GA55 Entry'!#REF!,"AAAAAGZ71+4=")</f>
        <v>#REF!</v>
      </c>
      <c r="IF95" t="e">
        <f>AND('GA55 Entry'!#REF!,"AAAAAGZ71+8=")</f>
        <v>#REF!</v>
      </c>
      <c r="IG95" t="e">
        <f>AND('GA55 Entry'!#REF!,"AAAAAGZ71/A=")</f>
        <v>#REF!</v>
      </c>
      <c r="IH95" t="e">
        <f>AND('GA55 Entry'!#REF!,"AAAAAGZ71/E=")</f>
        <v>#REF!</v>
      </c>
      <c r="II95" t="e">
        <f>AND('GA55 Entry'!#REF!,"AAAAAGZ71/I=")</f>
        <v>#REF!</v>
      </c>
      <c r="IJ95" t="e">
        <f>AND('GA55 Entry'!Z247,"AAAAAGZ71/M=")</f>
        <v>#VALUE!</v>
      </c>
      <c r="IK95" t="e">
        <f>AND('GA55 Entry'!AA247,"AAAAAGZ71/Q=")</f>
        <v>#VALUE!</v>
      </c>
      <c r="IL95" t="e">
        <f>AND('GA55 Entry'!#REF!,"AAAAAGZ71/U=")</f>
        <v>#REF!</v>
      </c>
      <c r="IM95" t="e">
        <f>AND('GA55 Entry'!#REF!,"AAAAAGZ71/Y=")</f>
        <v>#REF!</v>
      </c>
      <c r="IN95" t="e">
        <f>AND('GA55 Entry'!#REF!,"AAAAAGZ71/c=")</f>
        <v>#REF!</v>
      </c>
      <c r="IO95" t="e">
        <f>AND('GA55 Entry'!AB247,"AAAAAGZ71/g=")</f>
        <v>#VALUE!</v>
      </c>
      <c r="IP95" t="e">
        <f>AND('GA55 Entry'!AC247,"AAAAAGZ71/k=")</f>
        <v>#VALUE!</v>
      </c>
      <c r="IQ95" t="e">
        <f>AND('GA55 Entry'!#REF!,"AAAAAGZ71/o=")</f>
        <v>#REF!</v>
      </c>
      <c r="IR95">
        <f>IF('GA55 Entry'!248:248,"AAAAAGZ71/s=",0)</f>
        <v>0</v>
      </c>
      <c r="IS95" t="e">
        <f>AND('GA55 Entry'!B248,"AAAAAGZ71/w=")</f>
        <v>#VALUE!</v>
      </c>
      <c r="IT95" t="e">
        <f>AND('GA55 Entry'!#REF!,"AAAAAGZ71/0=")</f>
        <v>#REF!</v>
      </c>
      <c r="IU95" t="e">
        <f>AND('GA55 Entry'!C248,"AAAAAGZ71/4=")</f>
        <v>#VALUE!</v>
      </c>
      <c r="IV95" t="e">
        <f>AND('GA55 Entry'!#REF!,"AAAAAGZ71/8=")</f>
        <v>#REF!</v>
      </c>
    </row>
    <row r="96" spans="1:256">
      <c r="A96" t="e">
        <f>AND('GA55 Entry'!#REF!,"AAAAAHe/jwA=")</f>
        <v>#REF!</v>
      </c>
      <c r="B96" t="e">
        <f>AND('GA55 Entry'!#REF!,"AAAAAHe/jwE=")</f>
        <v>#REF!</v>
      </c>
      <c r="C96" t="e">
        <f>AND('GA55 Entry'!#REF!,"AAAAAHe/jwI=")</f>
        <v>#REF!</v>
      </c>
      <c r="D96" t="e">
        <f>AND('GA55 Entry'!#REF!,"AAAAAHe/jwM=")</f>
        <v>#REF!</v>
      </c>
      <c r="E96" t="e">
        <f>AND('GA55 Entry'!D248,"AAAAAHe/jwQ=")</f>
        <v>#VALUE!</v>
      </c>
      <c r="F96" t="e">
        <f>AND('GA55 Entry'!#REF!,"AAAAAHe/jwU=")</f>
        <v>#REF!</v>
      </c>
      <c r="G96" t="e">
        <f>AND('GA55 Entry'!E248,"AAAAAHe/jwY=")</f>
        <v>#VALUE!</v>
      </c>
      <c r="H96" t="e">
        <f>AND('GA55 Entry'!F248,"AAAAAHe/jwc=")</f>
        <v>#VALUE!</v>
      </c>
      <c r="I96" t="e">
        <f>AND('GA55 Entry'!G248,"AAAAAHe/jwg=")</f>
        <v>#VALUE!</v>
      </c>
      <c r="J96" t="e">
        <f>AND('GA55 Entry'!H248,"AAAAAHe/jwk=")</f>
        <v>#VALUE!</v>
      </c>
      <c r="K96" t="e">
        <f>AND('GA55 Entry'!I248,"AAAAAHe/jwo=")</f>
        <v>#VALUE!</v>
      </c>
      <c r="L96" t="e">
        <f>AND('GA55 Entry'!J248,"AAAAAHe/jws=")</f>
        <v>#VALUE!</v>
      </c>
      <c r="M96" t="e">
        <f>AND('GA55 Entry'!#REF!,"AAAAAHe/jww=")</f>
        <v>#REF!</v>
      </c>
      <c r="N96" t="e">
        <f>AND('GA55 Entry'!K248,"AAAAAHe/jw0=")</f>
        <v>#VALUE!</v>
      </c>
      <c r="O96" t="e">
        <f>AND('GA55 Entry'!L248,"AAAAAHe/jw4=")</f>
        <v>#VALUE!</v>
      </c>
      <c r="P96" t="e">
        <f>AND('GA55 Entry'!M248,"AAAAAHe/jw8=")</f>
        <v>#VALUE!</v>
      </c>
      <c r="Q96" t="e">
        <f>AND('GA55 Entry'!N248,"AAAAAHe/jxA=")</f>
        <v>#VALUE!</v>
      </c>
      <c r="R96" t="e">
        <f>AND('GA55 Entry'!O248,"AAAAAHe/jxE=")</f>
        <v>#VALUE!</v>
      </c>
      <c r="S96" t="e">
        <f>AND('GA55 Entry'!P248,"AAAAAHe/jxI=")</f>
        <v>#VALUE!</v>
      </c>
      <c r="T96" t="e">
        <f>AND('GA55 Entry'!Q248,"AAAAAHe/jxM=")</f>
        <v>#VALUE!</v>
      </c>
      <c r="U96" t="e">
        <f>AND('GA55 Entry'!S248,"AAAAAHe/jxQ=")</f>
        <v>#VALUE!</v>
      </c>
      <c r="V96" t="e">
        <f>AND('GA55 Entry'!#REF!,"AAAAAHe/jxU=")</f>
        <v>#REF!</v>
      </c>
      <c r="W96" t="e">
        <f>AND('GA55 Entry'!T248,"AAAAAHe/jxY=")</f>
        <v>#VALUE!</v>
      </c>
      <c r="X96" t="e">
        <f>AND('GA55 Entry'!U248,"AAAAAHe/jxc=")</f>
        <v>#VALUE!</v>
      </c>
      <c r="Y96" t="e">
        <f>AND('GA55 Entry'!V248,"AAAAAHe/jxg=")</f>
        <v>#VALUE!</v>
      </c>
      <c r="Z96" t="e">
        <f>AND('GA55 Entry'!#REF!,"AAAAAHe/jxk=")</f>
        <v>#REF!</v>
      </c>
      <c r="AA96" t="e">
        <f>AND('GA55 Entry'!#REF!,"AAAAAHe/jxo=")</f>
        <v>#REF!</v>
      </c>
      <c r="AB96" t="e">
        <f>AND('GA55 Entry'!X248,"AAAAAHe/jxs=")</f>
        <v>#VALUE!</v>
      </c>
      <c r="AC96" t="e">
        <f>AND('GA55 Entry'!Y248,"AAAAAHe/jxw=")</f>
        <v>#VALUE!</v>
      </c>
      <c r="AD96" t="e">
        <f>AND('GA55 Entry'!#REF!,"AAAAAHe/jx0=")</f>
        <v>#REF!</v>
      </c>
      <c r="AE96" t="e">
        <f>AND('GA55 Entry'!#REF!,"AAAAAHe/jx4=")</f>
        <v>#REF!</v>
      </c>
      <c r="AF96" t="e">
        <f>AND('GA55 Entry'!#REF!,"AAAAAHe/jx8=")</f>
        <v>#REF!</v>
      </c>
      <c r="AG96" t="e">
        <f>AND('GA55 Entry'!#REF!,"AAAAAHe/jyA=")</f>
        <v>#REF!</v>
      </c>
      <c r="AH96" t="e">
        <f>AND('GA55 Entry'!#REF!,"AAAAAHe/jyE=")</f>
        <v>#REF!</v>
      </c>
      <c r="AI96" t="e">
        <f>AND('GA55 Entry'!#REF!,"AAAAAHe/jyI=")</f>
        <v>#REF!</v>
      </c>
      <c r="AJ96" t="e">
        <f>AND('GA55 Entry'!#REF!,"AAAAAHe/jyM=")</f>
        <v>#REF!</v>
      </c>
      <c r="AK96" t="e">
        <f>AND('GA55 Entry'!#REF!,"AAAAAHe/jyQ=")</f>
        <v>#REF!</v>
      </c>
      <c r="AL96" t="e">
        <f>AND('GA55 Entry'!#REF!,"AAAAAHe/jyU=")</f>
        <v>#REF!</v>
      </c>
      <c r="AM96" t="e">
        <f>AND('GA55 Entry'!Z248,"AAAAAHe/jyY=")</f>
        <v>#VALUE!</v>
      </c>
      <c r="AN96" t="e">
        <f>AND('GA55 Entry'!AA248,"AAAAAHe/jyc=")</f>
        <v>#VALUE!</v>
      </c>
      <c r="AO96" t="e">
        <f>AND('GA55 Entry'!#REF!,"AAAAAHe/jyg=")</f>
        <v>#REF!</v>
      </c>
      <c r="AP96" t="e">
        <f>AND('GA55 Entry'!#REF!,"AAAAAHe/jyk=")</f>
        <v>#REF!</v>
      </c>
      <c r="AQ96" t="e">
        <f>AND('GA55 Entry'!#REF!,"AAAAAHe/jyo=")</f>
        <v>#REF!</v>
      </c>
      <c r="AR96" t="e">
        <f>AND('GA55 Entry'!AB248,"AAAAAHe/jys=")</f>
        <v>#VALUE!</v>
      </c>
      <c r="AS96" t="e">
        <f>AND('GA55 Entry'!AC248,"AAAAAHe/jyw=")</f>
        <v>#VALUE!</v>
      </c>
      <c r="AT96" t="e">
        <f>AND('GA55 Entry'!#REF!,"AAAAAHe/jy0=")</f>
        <v>#REF!</v>
      </c>
      <c r="AU96">
        <f>IF('GA55 Entry'!249:249,"AAAAAHe/jy4=",0)</f>
        <v>0</v>
      </c>
      <c r="AV96" t="e">
        <f>AND('GA55 Entry'!B249,"AAAAAHe/jy8=")</f>
        <v>#VALUE!</v>
      </c>
      <c r="AW96" t="e">
        <f>AND('GA55 Entry'!#REF!,"AAAAAHe/jzA=")</f>
        <v>#REF!</v>
      </c>
      <c r="AX96" t="e">
        <f>AND('GA55 Entry'!C249,"AAAAAHe/jzE=")</f>
        <v>#VALUE!</v>
      </c>
      <c r="AY96" t="e">
        <f>AND('GA55 Entry'!#REF!,"AAAAAHe/jzI=")</f>
        <v>#REF!</v>
      </c>
      <c r="AZ96" t="e">
        <f>AND('GA55 Entry'!#REF!,"AAAAAHe/jzM=")</f>
        <v>#REF!</v>
      </c>
      <c r="BA96" t="e">
        <f>AND('GA55 Entry'!#REF!,"AAAAAHe/jzQ=")</f>
        <v>#REF!</v>
      </c>
      <c r="BB96" t="e">
        <f>AND('GA55 Entry'!#REF!,"AAAAAHe/jzU=")</f>
        <v>#REF!</v>
      </c>
      <c r="BC96" t="e">
        <f>AND('GA55 Entry'!#REF!,"AAAAAHe/jzY=")</f>
        <v>#REF!</v>
      </c>
      <c r="BD96" t="e">
        <f>AND('GA55 Entry'!D249,"AAAAAHe/jzc=")</f>
        <v>#VALUE!</v>
      </c>
      <c r="BE96" t="e">
        <f>AND('GA55 Entry'!#REF!,"AAAAAHe/jzg=")</f>
        <v>#REF!</v>
      </c>
      <c r="BF96" t="e">
        <f>AND('GA55 Entry'!E249,"AAAAAHe/jzk=")</f>
        <v>#VALUE!</v>
      </c>
      <c r="BG96" t="e">
        <f>AND('GA55 Entry'!F249,"AAAAAHe/jzo=")</f>
        <v>#VALUE!</v>
      </c>
      <c r="BH96" t="e">
        <f>AND('GA55 Entry'!G249,"AAAAAHe/jzs=")</f>
        <v>#VALUE!</v>
      </c>
      <c r="BI96" t="e">
        <f>AND('GA55 Entry'!H249,"AAAAAHe/jzw=")</f>
        <v>#VALUE!</v>
      </c>
      <c r="BJ96" t="e">
        <f>AND('GA55 Entry'!I249,"AAAAAHe/jz0=")</f>
        <v>#VALUE!</v>
      </c>
      <c r="BK96" t="e">
        <f>AND('GA55 Entry'!J249,"AAAAAHe/jz4=")</f>
        <v>#VALUE!</v>
      </c>
      <c r="BL96" t="e">
        <f>AND('GA55 Entry'!#REF!,"AAAAAHe/jz8=")</f>
        <v>#REF!</v>
      </c>
      <c r="BM96" t="e">
        <f>AND('GA55 Entry'!K249,"AAAAAHe/j0A=")</f>
        <v>#VALUE!</v>
      </c>
      <c r="BN96" t="e">
        <f>AND('GA55 Entry'!L249,"AAAAAHe/j0E=")</f>
        <v>#VALUE!</v>
      </c>
      <c r="BO96" t="e">
        <f>AND('GA55 Entry'!M249,"AAAAAHe/j0I=")</f>
        <v>#VALUE!</v>
      </c>
      <c r="BP96" t="e">
        <f>AND('GA55 Entry'!N249,"AAAAAHe/j0M=")</f>
        <v>#VALUE!</v>
      </c>
      <c r="BQ96" t="e">
        <f>AND('GA55 Entry'!O249,"AAAAAHe/j0Q=")</f>
        <v>#VALUE!</v>
      </c>
      <c r="BR96" t="e">
        <f>AND('GA55 Entry'!P249,"AAAAAHe/j0U=")</f>
        <v>#VALUE!</v>
      </c>
      <c r="BS96" t="e">
        <f>AND('GA55 Entry'!Q249,"AAAAAHe/j0Y=")</f>
        <v>#VALUE!</v>
      </c>
      <c r="BT96" t="e">
        <f>AND('GA55 Entry'!S249,"AAAAAHe/j0c=")</f>
        <v>#VALUE!</v>
      </c>
      <c r="BU96" t="e">
        <f>AND('GA55 Entry'!#REF!,"AAAAAHe/j0g=")</f>
        <v>#REF!</v>
      </c>
      <c r="BV96" t="e">
        <f>AND('GA55 Entry'!T249,"AAAAAHe/j0k=")</f>
        <v>#VALUE!</v>
      </c>
      <c r="BW96" t="e">
        <f>AND('GA55 Entry'!U249,"AAAAAHe/j0o=")</f>
        <v>#VALUE!</v>
      </c>
      <c r="BX96" t="e">
        <f>AND('GA55 Entry'!V249,"AAAAAHe/j0s=")</f>
        <v>#VALUE!</v>
      </c>
      <c r="BY96" t="e">
        <f>AND('GA55 Entry'!#REF!,"AAAAAHe/j0w=")</f>
        <v>#REF!</v>
      </c>
      <c r="BZ96" t="e">
        <f>AND('GA55 Entry'!#REF!,"AAAAAHe/j00=")</f>
        <v>#REF!</v>
      </c>
      <c r="CA96" t="e">
        <f>AND('GA55 Entry'!X249,"AAAAAHe/j04=")</f>
        <v>#VALUE!</v>
      </c>
      <c r="CB96" t="e">
        <f>AND('GA55 Entry'!Y249,"AAAAAHe/j08=")</f>
        <v>#VALUE!</v>
      </c>
      <c r="CC96" t="e">
        <f>AND('GA55 Entry'!#REF!,"AAAAAHe/j1A=")</f>
        <v>#REF!</v>
      </c>
      <c r="CD96" t="e">
        <f>AND('GA55 Entry'!#REF!,"AAAAAHe/j1E=")</f>
        <v>#REF!</v>
      </c>
      <c r="CE96" t="e">
        <f>AND('GA55 Entry'!#REF!,"AAAAAHe/j1I=")</f>
        <v>#REF!</v>
      </c>
      <c r="CF96" t="e">
        <f>AND('GA55 Entry'!#REF!,"AAAAAHe/j1M=")</f>
        <v>#REF!</v>
      </c>
      <c r="CG96" t="e">
        <f>AND('GA55 Entry'!#REF!,"AAAAAHe/j1Q=")</f>
        <v>#REF!</v>
      </c>
      <c r="CH96" t="e">
        <f>AND('GA55 Entry'!#REF!,"AAAAAHe/j1U=")</f>
        <v>#REF!</v>
      </c>
      <c r="CI96" t="e">
        <f>AND('GA55 Entry'!#REF!,"AAAAAHe/j1Y=")</f>
        <v>#REF!</v>
      </c>
      <c r="CJ96" t="e">
        <f>AND('GA55 Entry'!#REF!,"AAAAAHe/j1c=")</f>
        <v>#REF!</v>
      </c>
      <c r="CK96" t="e">
        <f>AND('GA55 Entry'!#REF!,"AAAAAHe/j1g=")</f>
        <v>#REF!</v>
      </c>
      <c r="CL96" t="e">
        <f>AND('GA55 Entry'!Z249,"AAAAAHe/j1k=")</f>
        <v>#VALUE!</v>
      </c>
      <c r="CM96" t="e">
        <f>AND('GA55 Entry'!AA249,"AAAAAHe/j1o=")</f>
        <v>#VALUE!</v>
      </c>
      <c r="CN96" t="e">
        <f>AND('GA55 Entry'!#REF!,"AAAAAHe/j1s=")</f>
        <v>#REF!</v>
      </c>
      <c r="CO96" t="e">
        <f>AND('GA55 Entry'!#REF!,"AAAAAHe/j1w=")</f>
        <v>#REF!</v>
      </c>
      <c r="CP96" t="e">
        <f>AND('GA55 Entry'!#REF!,"AAAAAHe/j10=")</f>
        <v>#REF!</v>
      </c>
      <c r="CQ96" t="e">
        <f>AND('GA55 Entry'!AB249,"AAAAAHe/j14=")</f>
        <v>#VALUE!</v>
      </c>
      <c r="CR96" t="e">
        <f>AND('GA55 Entry'!AC249,"AAAAAHe/j18=")</f>
        <v>#VALUE!</v>
      </c>
      <c r="CS96" t="e">
        <f>AND('GA55 Entry'!#REF!,"AAAAAHe/j2A=")</f>
        <v>#REF!</v>
      </c>
      <c r="CT96">
        <f>IF('GA55 Entry'!250:250,"AAAAAHe/j2E=",0)</f>
        <v>0</v>
      </c>
      <c r="CU96" t="e">
        <f>AND('GA55 Entry'!B250,"AAAAAHe/j2I=")</f>
        <v>#VALUE!</v>
      </c>
      <c r="CV96" t="e">
        <f>AND('GA55 Entry'!#REF!,"AAAAAHe/j2M=")</f>
        <v>#REF!</v>
      </c>
      <c r="CW96" t="e">
        <f>AND('GA55 Entry'!C250,"AAAAAHe/j2Q=")</f>
        <v>#VALUE!</v>
      </c>
      <c r="CX96" t="e">
        <f>AND('GA55 Entry'!#REF!,"AAAAAHe/j2U=")</f>
        <v>#REF!</v>
      </c>
      <c r="CY96" t="e">
        <f>AND('GA55 Entry'!#REF!,"AAAAAHe/j2Y=")</f>
        <v>#REF!</v>
      </c>
      <c r="CZ96" t="e">
        <f>AND('GA55 Entry'!#REF!,"AAAAAHe/j2c=")</f>
        <v>#REF!</v>
      </c>
      <c r="DA96" t="e">
        <f>AND('GA55 Entry'!#REF!,"AAAAAHe/j2g=")</f>
        <v>#REF!</v>
      </c>
      <c r="DB96" t="e">
        <f>AND('GA55 Entry'!#REF!,"AAAAAHe/j2k=")</f>
        <v>#REF!</v>
      </c>
      <c r="DC96" t="e">
        <f>AND('GA55 Entry'!D250,"AAAAAHe/j2o=")</f>
        <v>#VALUE!</v>
      </c>
      <c r="DD96" t="e">
        <f>AND('GA55 Entry'!#REF!,"AAAAAHe/j2s=")</f>
        <v>#REF!</v>
      </c>
      <c r="DE96" t="e">
        <f>AND('GA55 Entry'!E250,"AAAAAHe/j2w=")</f>
        <v>#VALUE!</v>
      </c>
      <c r="DF96" t="e">
        <f>AND('GA55 Entry'!F250,"AAAAAHe/j20=")</f>
        <v>#VALUE!</v>
      </c>
      <c r="DG96" t="e">
        <f>AND('GA55 Entry'!G250,"AAAAAHe/j24=")</f>
        <v>#VALUE!</v>
      </c>
      <c r="DH96" t="e">
        <f>AND('GA55 Entry'!H250,"AAAAAHe/j28=")</f>
        <v>#VALUE!</v>
      </c>
      <c r="DI96" t="e">
        <f>AND('GA55 Entry'!I250,"AAAAAHe/j3A=")</f>
        <v>#VALUE!</v>
      </c>
      <c r="DJ96" t="e">
        <f>AND('GA55 Entry'!J250,"AAAAAHe/j3E=")</f>
        <v>#VALUE!</v>
      </c>
      <c r="DK96" t="e">
        <f>AND('GA55 Entry'!#REF!,"AAAAAHe/j3I=")</f>
        <v>#REF!</v>
      </c>
      <c r="DL96" t="e">
        <f>AND('GA55 Entry'!K250,"AAAAAHe/j3M=")</f>
        <v>#VALUE!</v>
      </c>
      <c r="DM96" t="e">
        <f>AND('GA55 Entry'!L250,"AAAAAHe/j3Q=")</f>
        <v>#VALUE!</v>
      </c>
      <c r="DN96" t="e">
        <f>AND('GA55 Entry'!M250,"AAAAAHe/j3U=")</f>
        <v>#VALUE!</v>
      </c>
      <c r="DO96" t="e">
        <f>AND('GA55 Entry'!N250,"AAAAAHe/j3Y=")</f>
        <v>#VALUE!</v>
      </c>
      <c r="DP96" t="e">
        <f>AND('GA55 Entry'!O250,"AAAAAHe/j3c=")</f>
        <v>#VALUE!</v>
      </c>
      <c r="DQ96" t="e">
        <f>AND('GA55 Entry'!P250,"AAAAAHe/j3g=")</f>
        <v>#VALUE!</v>
      </c>
      <c r="DR96" t="e">
        <f>AND('GA55 Entry'!Q250,"AAAAAHe/j3k=")</f>
        <v>#VALUE!</v>
      </c>
      <c r="DS96" t="e">
        <f>AND('GA55 Entry'!S250,"AAAAAHe/j3o=")</f>
        <v>#VALUE!</v>
      </c>
      <c r="DT96" t="e">
        <f>AND('GA55 Entry'!#REF!,"AAAAAHe/j3s=")</f>
        <v>#REF!</v>
      </c>
      <c r="DU96" t="e">
        <f>AND('GA55 Entry'!T250,"AAAAAHe/j3w=")</f>
        <v>#VALUE!</v>
      </c>
      <c r="DV96" t="e">
        <f>AND('GA55 Entry'!U250,"AAAAAHe/j30=")</f>
        <v>#VALUE!</v>
      </c>
      <c r="DW96" t="e">
        <f>AND('GA55 Entry'!V250,"AAAAAHe/j34=")</f>
        <v>#VALUE!</v>
      </c>
      <c r="DX96" t="e">
        <f>AND('GA55 Entry'!#REF!,"AAAAAHe/j38=")</f>
        <v>#REF!</v>
      </c>
      <c r="DY96" t="e">
        <f>AND('GA55 Entry'!#REF!,"AAAAAHe/j4A=")</f>
        <v>#REF!</v>
      </c>
      <c r="DZ96" t="e">
        <f>AND('GA55 Entry'!X250,"AAAAAHe/j4E=")</f>
        <v>#VALUE!</v>
      </c>
      <c r="EA96" t="e">
        <f>AND('GA55 Entry'!Y250,"AAAAAHe/j4I=")</f>
        <v>#VALUE!</v>
      </c>
      <c r="EB96" t="e">
        <f>AND('GA55 Entry'!#REF!,"AAAAAHe/j4M=")</f>
        <v>#REF!</v>
      </c>
      <c r="EC96" t="e">
        <f>AND('GA55 Entry'!#REF!,"AAAAAHe/j4Q=")</f>
        <v>#REF!</v>
      </c>
      <c r="ED96" t="e">
        <f>AND('GA55 Entry'!#REF!,"AAAAAHe/j4U=")</f>
        <v>#REF!</v>
      </c>
      <c r="EE96" t="e">
        <f>AND('GA55 Entry'!#REF!,"AAAAAHe/j4Y=")</f>
        <v>#REF!</v>
      </c>
      <c r="EF96" t="e">
        <f>AND('GA55 Entry'!#REF!,"AAAAAHe/j4c=")</f>
        <v>#REF!</v>
      </c>
      <c r="EG96" t="e">
        <f>AND('GA55 Entry'!#REF!,"AAAAAHe/j4g=")</f>
        <v>#REF!</v>
      </c>
      <c r="EH96" t="e">
        <f>AND('GA55 Entry'!#REF!,"AAAAAHe/j4k=")</f>
        <v>#REF!</v>
      </c>
      <c r="EI96" t="e">
        <f>AND('GA55 Entry'!#REF!,"AAAAAHe/j4o=")</f>
        <v>#REF!</v>
      </c>
      <c r="EJ96" t="e">
        <f>AND('GA55 Entry'!#REF!,"AAAAAHe/j4s=")</f>
        <v>#REF!</v>
      </c>
      <c r="EK96" t="e">
        <f>AND('GA55 Entry'!Z250,"AAAAAHe/j4w=")</f>
        <v>#VALUE!</v>
      </c>
      <c r="EL96" t="e">
        <f>AND('GA55 Entry'!AA250,"AAAAAHe/j40=")</f>
        <v>#VALUE!</v>
      </c>
      <c r="EM96" t="e">
        <f>AND('GA55 Entry'!#REF!,"AAAAAHe/j44=")</f>
        <v>#REF!</v>
      </c>
      <c r="EN96" t="e">
        <f>AND('GA55 Entry'!#REF!,"AAAAAHe/j48=")</f>
        <v>#REF!</v>
      </c>
      <c r="EO96" t="e">
        <f>AND('GA55 Entry'!#REF!,"AAAAAHe/j5A=")</f>
        <v>#REF!</v>
      </c>
      <c r="EP96" t="e">
        <f>AND('GA55 Entry'!AB250,"AAAAAHe/j5E=")</f>
        <v>#VALUE!</v>
      </c>
      <c r="EQ96" t="e">
        <f>AND('GA55 Entry'!AC250,"AAAAAHe/j5I=")</f>
        <v>#VALUE!</v>
      </c>
      <c r="ER96" t="e">
        <f>AND('GA55 Entry'!#REF!,"AAAAAHe/j5M=")</f>
        <v>#REF!</v>
      </c>
      <c r="ES96">
        <f>IF('GA55 Entry'!251:251,"AAAAAHe/j5Q=",0)</f>
        <v>0</v>
      </c>
      <c r="ET96" t="e">
        <f>AND('GA55 Entry'!B251,"AAAAAHe/j5U=")</f>
        <v>#VALUE!</v>
      </c>
      <c r="EU96" t="e">
        <f>AND('GA55 Entry'!#REF!,"AAAAAHe/j5Y=")</f>
        <v>#REF!</v>
      </c>
      <c r="EV96" t="e">
        <f>AND('GA55 Entry'!C251,"AAAAAHe/j5c=")</f>
        <v>#VALUE!</v>
      </c>
      <c r="EW96" t="e">
        <f>AND('GA55 Entry'!#REF!,"AAAAAHe/j5g=")</f>
        <v>#REF!</v>
      </c>
      <c r="EX96" t="e">
        <f>AND('GA55 Entry'!#REF!,"AAAAAHe/j5k=")</f>
        <v>#REF!</v>
      </c>
      <c r="EY96" t="e">
        <f>AND('GA55 Entry'!#REF!,"AAAAAHe/j5o=")</f>
        <v>#REF!</v>
      </c>
      <c r="EZ96" t="e">
        <f>AND('GA55 Entry'!#REF!,"AAAAAHe/j5s=")</f>
        <v>#REF!</v>
      </c>
      <c r="FA96" t="e">
        <f>AND('GA55 Entry'!#REF!,"AAAAAHe/j5w=")</f>
        <v>#REF!</v>
      </c>
      <c r="FB96" t="e">
        <f>AND('GA55 Entry'!D251,"AAAAAHe/j50=")</f>
        <v>#VALUE!</v>
      </c>
      <c r="FC96" t="e">
        <f>AND('GA55 Entry'!#REF!,"AAAAAHe/j54=")</f>
        <v>#REF!</v>
      </c>
      <c r="FD96" t="e">
        <f>AND('GA55 Entry'!E251,"AAAAAHe/j58=")</f>
        <v>#VALUE!</v>
      </c>
      <c r="FE96" t="e">
        <f>AND('GA55 Entry'!F251,"AAAAAHe/j6A=")</f>
        <v>#VALUE!</v>
      </c>
      <c r="FF96" t="e">
        <f>AND('GA55 Entry'!G251,"AAAAAHe/j6E=")</f>
        <v>#VALUE!</v>
      </c>
      <c r="FG96" t="e">
        <f>AND('GA55 Entry'!H251,"AAAAAHe/j6I=")</f>
        <v>#VALUE!</v>
      </c>
      <c r="FH96" t="e">
        <f>AND('GA55 Entry'!I251,"AAAAAHe/j6M=")</f>
        <v>#VALUE!</v>
      </c>
      <c r="FI96" t="e">
        <f>AND('GA55 Entry'!J251,"AAAAAHe/j6Q=")</f>
        <v>#VALUE!</v>
      </c>
      <c r="FJ96" t="e">
        <f>AND('GA55 Entry'!#REF!,"AAAAAHe/j6U=")</f>
        <v>#REF!</v>
      </c>
      <c r="FK96" t="e">
        <f>AND('GA55 Entry'!K251,"AAAAAHe/j6Y=")</f>
        <v>#VALUE!</v>
      </c>
      <c r="FL96" t="e">
        <f>AND('GA55 Entry'!L251,"AAAAAHe/j6c=")</f>
        <v>#VALUE!</v>
      </c>
      <c r="FM96" t="e">
        <f>AND('GA55 Entry'!M251,"AAAAAHe/j6g=")</f>
        <v>#VALUE!</v>
      </c>
      <c r="FN96" t="e">
        <f>AND('GA55 Entry'!N251,"AAAAAHe/j6k=")</f>
        <v>#VALUE!</v>
      </c>
      <c r="FO96" t="e">
        <f>AND('GA55 Entry'!O251,"AAAAAHe/j6o=")</f>
        <v>#VALUE!</v>
      </c>
      <c r="FP96" t="e">
        <f>AND('GA55 Entry'!P251,"AAAAAHe/j6s=")</f>
        <v>#VALUE!</v>
      </c>
      <c r="FQ96" t="e">
        <f>AND('GA55 Entry'!Q251,"AAAAAHe/j6w=")</f>
        <v>#VALUE!</v>
      </c>
      <c r="FR96" t="e">
        <f>AND('GA55 Entry'!S251,"AAAAAHe/j60=")</f>
        <v>#VALUE!</v>
      </c>
      <c r="FS96" t="e">
        <f>AND('GA55 Entry'!#REF!,"AAAAAHe/j64=")</f>
        <v>#REF!</v>
      </c>
      <c r="FT96" t="e">
        <f>AND('GA55 Entry'!T251,"AAAAAHe/j68=")</f>
        <v>#VALUE!</v>
      </c>
      <c r="FU96" t="e">
        <f>AND('GA55 Entry'!U251,"AAAAAHe/j7A=")</f>
        <v>#VALUE!</v>
      </c>
      <c r="FV96" t="e">
        <f>AND('GA55 Entry'!V251,"AAAAAHe/j7E=")</f>
        <v>#VALUE!</v>
      </c>
      <c r="FW96" t="e">
        <f>AND('GA55 Entry'!#REF!,"AAAAAHe/j7I=")</f>
        <v>#REF!</v>
      </c>
      <c r="FX96" t="e">
        <f>AND('GA55 Entry'!#REF!,"AAAAAHe/j7M=")</f>
        <v>#REF!</v>
      </c>
      <c r="FY96" t="e">
        <f>AND('GA55 Entry'!X251,"AAAAAHe/j7Q=")</f>
        <v>#VALUE!</v>
      </c>
      <c r="FZ96" t="e">
        <f>AND('GA55 Entry'!Y251,"AAAAAHe/j7U=")</f>
        <v>#VALUE!</v>
      </c>
      <c r="GA96" t="e">
        <f>AND('GA55 Entry'!#REF!,"AAAAAHe/j7Y=")</f>
        <v>#REF!</v>
      </c>
      <c r="GB96" t="e">
        <f>AND('GA55 Entry'!#REF!,"AAAAAHe/j7c=")</f>
        <v>#REF!</v>
      </c>
      <c r="GC96" t="e">
        <f>AND('GA55 Entry'!#REF!,"AAAAAHe/j7g=")</f>
        <v>#REF!</v>
      </c>
      <c r="GD96" t="e">
        <f>AND('GA55 Entry'!#REF!,"AAAAAHe/j7k=")</f>
        <v>#REF!</v>
      </c>
      <c r="GE96" t="e">
        <f>AND('GA55 Entry'!#REF!,"AAAAAHe/j7o=")</f>
        <v>#REF!</v>
      </c>
      <c r="GF96" t="e">
        <f>AND('GA55 Entry'!#REF!,"AAAAAHe/j7s=")</f>
        <v>#REF!</v>
      </c>
      <c r="GG96" t="e">
        <f>AND('GA55 Entry'!#REF!,"AAAAAHe/j7w=")</f>
        <v>#REF!</v>
      </c>
      <c r="GH96" t="e">
        <f>AND('GA55 Entry'!#REF!,"AAAAAHe/j70=")</f>
        <v>#REF!</v>
      </c>
      <c r="GI96" t="e">
        <f>AND('GA55 Entry'!#REF!,"AAAAAHe/j74=")</f>
        <v>#REF!</v>
      </c>
      <c r="GJ96" t="e">
        <f>AND('GA55 Entry'!Z251,"AAAAAHe/j78=")</f>
        <v>#VALUE!</v>
      </c>
      <c r="GK96" t="e">
        <f>AND('GA55 Entry'!AA251,"AAAAAHe/j8A=")</f>
        <v>#VALUE!</v>
      </c>
      <c r="GL96" t="e">
        <f>AND('GA55 Entry'!#REF!,"AAAAAHe/j8E=")</f>
        <v>#REF!</v>
      </c>
      <c r="GM96" t="e">
        <f>AND('GA55 Entry'!#REF!,"AAAAAHe/j8I=")</f>
        <v>#REF!</v>
      </c>
      <c r="GN96" t="e">
        <f>AND('GA55 Entry'!#REF!,"AAAAAHe/j8M=")</f>
        <v>#REF!</v>
      </c>
      <c r="GO96" t="e">
        <f>AND('GA55 Entry'!AB251,"AAAAAHe/j8Q=")</f>
        <v>#VALUE!</v>
      </c>
      <c r="GP96" t="e">
        <f>AND('GA55 Entry'!AC251,"AAAAAHe/j8U=")</f>
        <v>#VALUE!</v>
      </c>
      <c r="GQ96" t="e">
        <f>AND('GA55 Entry'!#REF!,"AAAAAHe/j8Y=")</f>
        <v>#REF!</v>
      </c>
      <c r="GR96">
        <f>IF('GA55 Entry'!252:252,"AAAAAHe/j8c=",0)</f>
        <v>0</v>
      </c>
      <c r="GS96" t="e">
        <f>AND('GA55 Entry'!B252,"AAAAAHe/j8g=")</f>
        <v>#VALUE!</v>
      </c>
      <c r="GT96" t="e">
        <f>AND('GA55 Entry'!#REF!,"AAAAAHe/j8k=")</f>
        <v>#REF!</v>
      </c>
      <c r="GU96" t="e">
        <f>AND('GA55 Entry'!C252,"AAAAAHe/j8o=")</f>
        <v>#VALUE!</v>
      </c>
      <c r="GV96" t="e">
        <f>AND('GA55 Entry'!#REF!,"AAAAAHe/j8s=")</f>
        <v>#REF!</v>
      </c>
      <c r="GW96" t="e">
        <f>AND('GA55 Entry'!#REF!,"AAAAAHe/j8w=")</f>
        <v>#REF!</v>
      </c>
      <c r="GX96" t="e">
        <f>AND('GA55 Entry'!#REF!,"AAAAAHe/j80=")</f>
        <v>#REF!</v>
      </c>
      <c r="GY96" t="e">
        <f>AND('GA55 Entry'!#REF!,"AAAAAHe/j84=")</f>
        <v>#REF!</v>
      </c>
      <c r="GZ96" t="e">
        <f>AND('GA55 Entry'!#REF!,"AAAAAHe/j88=")</f>
        <v>#REF!</v>
      </c>
      <c r="HA96" t="e">
        <f>AND('GA55 Entry'!D252,"AAAAAHe/j9A=")</f>
        <v>#VALUE!</v>
      </c>
      <c r="HB96" t="e">
        <f>AND('GA55 Entry'!#REF!,"AAAAAHe/j9E=")</f>
        <v>#REF!</v>
      </c>
      <c r="HC96" t="e">
        <f>AND('GA55 Entry'!E252,"AAAAAHe/j9I=")</f>
        <v>#VALUE!</v>
      </c>
      <c r="HD96" t="e">
        <f>AND('GA55 Entry'!F252,"AAAAAHe/j9M=")</f>
        <v>#VALUE!</v>
      </c>
      <c r="HE96" t="e">
        <f>AND('GA55 Entry'!G252,"AAAAAHe/j9Q=")</f>
        <v>#VALUE!</v>
      </c>
      <c r="HF96" t="e">
        <f>AND('GA55 Entry'!H252,"AAAAAHe/j9U=")</f>
        <v>#VALUE!</v>
      </c>
      <c r="HG96" t="e">
        <f>AND('GA55 Entry'!I252,"AAAAAHe/j9Y=")</f>
        <v>#VALUE!</v>
      </c>
      <c r="HH96" t="e">
        <f>AND('GA55 Entry'!J252,"AAAAAHe/j9c=")</f>
        <v>#VALUE!</v>
      </c>
      <c r="HI96" t="e">
        <f>AND('GA55 Entry'!#REF!,"AAAAAHe/j9g=")</f>
        <v>#REF!</v>
      </c>
      <c r="HJ96" t="e">
        <f>AND('GA55 Entry'!K252,"AAAAAHe/j9k=")</f>
        <v>#VALUE!</v>
      </c>
      <c r="HK96" t="e">
        <f>AND('GA55 Entry'!L252,"AAAAAHe/j9o=")</f>
        <v>#VALUE!</v>
      </c>
      <c r="HL96" t="e">
        <f>AND('GA55 Entry'!M252,"AAAAAHe/j9s=")</f>
        <v>#VALUE!</v>
      </c>
      <c r="HM96" t="e">
        <f>AND('GA55 Entry'!N252,"AAAAAHe/j9w=")</f>
        <v>#VALUE!</v>
      </c>
      <c r="HN96" t="e">
        <f>AND('GA55 Entry'!O252,"AAAAAHe/j90=")</f>
        <v>#VALUE!</v>
      </c>
      <c r="HO96" t="e">
        <f>AND('GA55 Entry'!P252,"AAAAAHe/j94=")</f>
        <v>#VALUE!</v>
      </c>
      <c r="HP96" t="e">
        <f>AND('GA55 Entry'!Q252,"AAAAAHe/j98=")</f>
        <v>#VALUE!</v>
      </c>
      <c r="HQ96" t="e">
        <f>AND('GA55 Entry'!S252,"AAAAAHe/j+A=")</f>
        <v>#VALUE!</v>
      </c>
      <c r="HR96" t="e">
        <f>AND('GA55 Entry'!#REF!,"AAAAAHe/j+E=")</f>
        <v>#REF!</v>
      </c>
      <c r="HS96" t="e">
        <f>AND('GA55 Entry'!T252,"AAAAAHe/j+I=")</f>
        <v>#VALUE!</v>
      </c>
      <c r="HT96" t="e">
        <f>AND('GA55 Entry'!U252,"AAAAAHe/j+M=")</f>
        <v>#VALUE!</v>
      </c>
      <c r="HU96" t="e">
        <f>AND('GA55 Entry'!V252,"AAAAAHe/j+Q=")</f>
        <v>#VALUE!</v>
      </c>
      <c r="HV96" t="e">
        <f>AND('GA55 Entry'!#REF!,"AAAAAHe/j+U=")</f>
        <v>#REF!</v>
      </c>
      <c r="HW96" t="e">
        <f>AND('GA55 Entry'!#REF!,"AAAAAHe/j+Y=")</f>
        <v>#REF!</v>
      </c>
      <c r="HX96" t="e">
        <f>AND('GA55 Entry'!X252,"AAAAAHe/j+c=")</f>
        <v>#VALUE!</v>
      </c>
      <c r="HY96" t="e">
        <f>AND('GA55 Entry'!Y252,"AAAAAHe/j+g=")</f>
        <v>#VALUE!</v>
      </c>
      <c r="HZ96" t="e">
        <f>AND('GA55 Entry'!#REF!,"AAAAAHe/j+k=")</f>
        <v>#REF!</v>
      </c>
      <c r="IA96" t="e">
        <f>AND('GA55 Entry'!#REF!,"AAAAAHe/j+o=")</f>
        <v>#REF!</v>
      </c>
      <c r="IB96" t="e">
        <f>AND('GA55 Entry'!#REF!,"AAAAAHe/j+s=")</f>
        <v>#REF!</v>
      </c>
      <c r="IC96" t="e">
        <f>AND('GA55 Entry'!#REF!,"AAAAAHe/j+w=")</f>
        <v>#REF!</v>
      </c>
      <c r="ID96" t="e">
        <f>AND('GA55 Entry'!#REF!,"AAAAAHe/j+0=")</f>
        <v>#REF!</v>
      </c>
      <c r="IE96" t="e">
        <f>AND('GA55 Entry'!#REF!,"AAAAAHe/j+4=")</f>
        <v>#REF!</v>
      </c>
      <c r="IF96" t="e">
        <f>AND('GA55 Entry'!#REF!,"AAAAAHe/j+8=")</f>
        <v>#REF!</v>
      </c>
      <c r="IG96" t="e">
        <f>AND('GA55 Entry'!#REF!,"AAAAAHe/j/A=")</f>
        <v>#REF!</v>
      </c>
      <c r="IH96" t="e">
        <f>AND('GA55 Entry'!#REF!,"AAAAAHe/j/E=")</f>
        <v>#REF!</v>
      </c>
      <c r="II96" t="e">
        <f>AND('GA55 Entry'!Z252,"AAAAAHe/j/I=")</f>
        <v>#VALUE!</v>
      </c>
      <c r="IJ96" t="e">
        <f>AND('GA55 Entry'!AA252,"AAAAAHe/j/M=")</f>
        <v>#VALUE!</v>
      </c>
      <c r="IK96" t="e">
        <f>AND('GA55 Entry'!#REF!,"AAAAAHe/j/Q=")</f>
        <v>#REF!</v>
      </c>
      <c r="IL96" t="e">
        <f>AND('GA55 Entry'!#REF!,"AAAAAHe/j/U=")</f>
        <v>#REF!</v>
      </c>
      <c r="IM96" t="e">
        <f>AND('GA55 Entry'!#REF!,"AAAAAHe/j/Y=")</f>
        <v>#REF!</v>
      </c>
      <c r="IN96" t="e">
        <f>AND('GA55 Entry'!AB252,"AAAAAHe/j/c=")</f>
        <v>#VALUE!</v>
      </c>
      <c r="IO96" t="e">
        <f>AND('GA55 Entry'!AC252,"AAAAAHe/j/g=")</f>
        <v>#VALUE!</v>
      </c>
      <c r="IP96" t="e">
        <f>AND('GA55 Entry'!#REF!,"AAAAAHe/j/k=")</f>
        <v>#REF!</v>
      </c>
      <c r="IQ96">
        <f>IF('GA55 Entry'!253:253,"AAAAAHe/j/o=",0)</f>
        <v>0</v>
      </c>
      <c r="IR96" t="e">
        <f>AND('GA55 Entry'!B253,"AAAAAHe/j/s=")</f>
        <v>#VALUE!</v>
      </c>
      <c r="IS96" t="e">
        <f>AND('GA55 Entry'!#REF!,"AAAAAHe/j/w=")</f>
        <v>#REF!</v>
      </c>
      <c r="IT96" t="e">
        <f>AND('GA55 Entry'!C253,"AAAAAHe/j/0=")</f>
        <v>#VALUE!</v>
      </c>
      <c r="IU96" t="e">
        <f>AND('GA55 Entry'!#REF!,"AAAAAHe/j/4=")</f>
        <v>#REF!</v>
      </c>
      <c r="IV96" t="e">
        <f>AND('GA55 Entry'!#REF!,"AAAAAHe/j/8=")</f>
        <v>#REF!</v>
      </c>
    </row>
    <row r="97" spans="1:256">
      <c r="A97" t="e">
        <f>AND('GA55 Entry'!#REF!,"AAAAADs2/wA=")</f>
        <v>#REF!</v>
      </c>
      <c r="B97" t="e">
        <f>AND('GA55 Entry'!#REF!,"AAAAADs2/wE=")</f>
        <v>#REF!</v>
      </c>
      <c r="C97" t="e">
        <f>AND('GA55 Entry'!#REF!,"AAAAADs2/wI=")</f>
        <v>#REF!</v>
      </c>
      <c r="D97" t="e">
        <f>AND('GA55 Entry'!D253,"AAAAADs2/wM=")</f>
        <v>#VALUE!</v>
      </c>
      <c r="E97" t="e">
        <f>AND('GA55 Entry'!#REF!,"AAAAADs2/wQ=")</f>
        <v>#REF!</v>
      </c>
      <c r="F97" t="e">
        <f>AND('GA55 Entry'!E253,"AAAAADs2/wU=")</f>
        <v>#VALUE!</v>
      </c>
      <c r="G97" t="e">
        <f>AND('GA55 Entry'!F253,"AAAAADs2/wY=")</f>
        <v>#VALUE!</v>
      </c>
      <c r="H97" t="e">
        <f>AND('GA55 Entry'!G253,"AAAAADs2/wc=")</f>
        <v>#VALUE!</v>
      </c>
      <c r="I97" t="e">
        <f>AND('GA55 Entry'!H253,"AAAAADs2/wg=")</f>
        <v>#VALUE!</v>
      </c>
      <c r="J97" t="e">
        <f>AND('GA55 Entry'!I253,"AAAAADs2/wk=")</f>
        <v>#VALUE!</v>
      </c>
      <c r="K97" t="e">
        <f>AND('GA55 Entry'!J253,"AAAAADs2/wo=")</f>
        <v>#VALUE!</v>
      </c>
      <c r="L97" t="e">
        <f>AND('GA55 Entry'!#REF!,"AAAAADs2/ws=")</f>
        <v>#REF!</v>
      </c>
      <c r="M97" t="e">
        <f>AND('GA55 Entry'!K253,"AAAAADs2/ww=")</f>
        <v>#VALUE!</v>
      </c>
      <c r="N97" t="e">
        <f>AND('GA55 Entry'!L253,"AAAAADs2/w0=")</f>
        <v>#VALUE!</v>
      </c>
      <c r="O97" t="e">
        <f>AND('GA55 Entry'!M253,"AAAAADs2/w4=")</f>
        <v>#VALUE!</v>
      </c>
      <c r="P97" t="e">
        <f>AND('GA55 Entry'!N253,"AAAAADs2/w8=")</f>
        <v>#VALUE!</v>
      </c>
      <c r="Q97" t="e">
        <f>AND('GA55 Entry'!O253,"AAAAADs2/xA=")</f>
        <v>#VALUE!</v>
      </c>
      <c r="R97" t="e">
        <f>AND('GA55 Entry'!P253,"AAAAADs2/xE=")</f>
        <v>#VALUE!</v>
      </c>
      <c r="S97" t="e">
        <f>AND('GA55 Entry'!Q253,"AAAAADs2/xI=")</f>
        <v>#VALUE!</v>
      </c>
      <c r="T97" t="e">
        <f>AND('GA55 Entry'!S253,"AAAAADs2/xM=")</f>
        <v>#VALUE!</v>
      </c>
      <c r="U97" t="e">
        <f>AND('GA55 Entry'!#REF!,"AAAAADs2/xQ=")</f>
        <v>#REF!</v>
      </c>
      <c r="V97" t="e">
        <f>AND('GA55 Entry'!T253,"AAAAADs2/xU=")</f>
        <v>#VALUE!</v>
      </c>
      <c r="W97" t="e">
        <f>AND('GA55 Entry'!U253,"AAAAADs2/xY=")</f>
        <v>#VALUE!</v>
      </c>
      <c r="X97" t="e">
        <f>AND('GA55 Entry'!V253,"AAAAADs2/xc=")</f>
        <v>#VALUE!</v>
      </c>
      <c r="Y97" t="e">
        <f>AND('GA55 Entry'!#REF!,"AAAAADs2/xg=")</f>
        <v>#REF!</v>
      </c>
      <c r="Z97" t="e">
        <f>AND('GA55 Entry'!#REF!,"AAAAADs2/xk=")</f>
        <v>#REF!</v>
      </c>
      <c r="AA97" t="e">
        <f>AND('GA55 Entry'!X253,"AAAAADs2/xo=")</f>
        <v>#VALUE!</v>
      </c>
      <c r="AB97" t="e">
        <f>AND('GA55 Entry'!Y253,"AAAAADs2/xs=")</f>
        <v>#VALUE!</v>
      </c>
      <c r="AC97" t="e">
        <f>AND('GA55 Entry'!#REF!,"AAAAADs2/xw=")</f>
        <v>#REF!</v>
      </c>
      <c r="AD97" t="e">
        <f>AND('GA55 Entry'!#REF!,"AAAAADs2/x0=")</f>
        <v>#REF!</v>
      </c>
      <c r="AE97" t="e">
        <f>AND('GA55 Entry'!#REF!,"AAAAADs2/x4=")</f>
        <v>#REF!</v>
      </c>
      <c r="AF97" t="e">
        <f>AND('GA55 Entry'!#REF!,"AAAAADs2/x8=")</f>
        <v>#REF!</v>
      </c>
      <c r="AG97" t="e">
        <f>AND('GA55 Entry'!#REF!,"AAAAADs2/yA=")</f>
        <v>#REF!</v>
      </c>
      <c r="AH97" t="e">
        <f>AND('GA55 Entry'!#REF!,"AAAAADs2/yE=")</f>
        <v>#REF!</v>
      </c>
      <c r="AI97" t="e">
        <f>AND('GA55 Entry'!#REF!,"AAAAADs2/yI=")</f>
        <v>#REF!</v>
      </c>
      <c r="AJ97" t="e">
        <f>AND('GA55 Entry'!#REF!,"AAAAADs2/yM=")</f>
        <v>#REF!</v>
      </c>
      <c r="AK97" t="e">
        <f>AND('GA55 Entry'!#REF!,"AAAAADs2/yQ=")</f>
        <v>#REF!</v>
      </c>
      <c r="AL97" t="e">
        <f>AND('GA55 Entry'!Z253,"AAAAADs2/yU=")</f>
        <v>#VALUE!</v>
      </c>
      <c r="AM97" t="e">
        <f>AND('GA55 Entry'!AA253,"AAAAADs2/yY=")</f>
        <v>#VALUE!</v>
      </c>
      <c r="AN97" t="e">
        <f>AND('GA55 Entry'!#REF!,"AAAAADs2/yc=")</f>
        <v>#REF!</v>
      </c>
      <c r="AO97" t="e">
        <f>AND('GA55 Entry'!#REF!,"AAAAADs2/yg=")</f>
        <v>#REF!</v>
      </c>
      <c r="AP97" t="e">
        <f>AND('GA55 Entry'!#REF!,"AAAAADs2/yk=")</f>
        <v>#REF!</v>
      </c>
      <c r="AQ97" t="e">
        <f>AND('GA55 Entry'!AB253,"AAAAADs2/yo=")</f>
        <v>#VALUE!</v>
      </c>
      <c r="AR97" t="e">
        <f>AND('GA55 Entry'!AC253,"AAAAADs2/ys=")</f>
        <v>#VALUE!</v>
      </c>
      <c r="AS97" t="e">
        <f>AND('GA55 Entry'!#REF!,"AAAAADs2/yw=")</f>
        <v>#REF!</v>
      </c>
      <c r="AT97">
        <f>IF('GA55 Entry'!254:254,"AAAAADs2/y0=",0)</f>
        <v>0</v>
      </c>
      <c r="AU97" t="e">
        <f>AND('GA55 Entry'!B254,"AAAAADs2/y4=")</f>
        <v>#VALUE!</v>
      </c>
      <c r="AV97" t="e">
        <f>AND('GA55 Entry'!#REF!,"AAAAADs2/y8=")</f>
        <v>#REF!</v>
      </c>
      <c r="AW97" t="e">
        <f>AND('GA55 Entry'!C254,"AAAAADs2/zA=")</f>
        <v>#VALUE!</v>
      </c>
      <c r="AX97" t="e">
        <f>AND('GA55 Entry'!#REF!,"AAAAADs2/zE=")</f>
        <v>#REF!</v>
      </c>
      <c r="AY97" t="e">
        <f>AND('GA55 Entry'!#REF!,"AAAAADs2/zI=")</f>
        <v>#REF!</v>
      </c>
      <c r="AZ97" t="e">
        <f>AND('GA55 Entry'!#REF!,"AAAAADs2/zM=")</f>
        <v>#REF!</v>
      </c>
      <c r="BA97" t="e">
        <f>AND('GA55 Entry'!#REF!,"AAAAADs2/zQ=")</f>
        <v>#REF!</v>
      </c>
      <c r="BB97" t="e">
        <f>AND('GA55 Entry'!#REF!,"AAAAADs2/zU=")</f>
        <v>#REF!</v>
      </c>
      <c r="BC97" t="e">
        <f>AND('GA55 Entry'!D254,"AAAAADs2/zY=")</f>
        <v>#VALUE!</v>
      </c>
      <c r="BD97" t="e">
        <f>AND('GA55 Entry'!#REF!,"AAAAADs2/zc=")</f>
        <v>#REF!</v>
      </c>
      <c r="BE97" t="e">
        <f>AND('GA55 Entry'!E254,"AAAAADs2/zg=")</f>
        <v>#VALUE!</v>
      </c>
      <c r="BF97" t="e">
        <f>AND('GA55 Entry'!F254,"AAAAADs2/zk=")</f>
        <v>#VALUE!</v>
      </c>
      <c r="BG97" t="e">
        <f>AND('GA55 Entry'!G254,"AAAAADs2/zo=")</f>
        <v>#VALUE!</v>
      </c>
      <c r="BH97" t="e">
        <f>AND('GA55 Entry'!H254,"AAAAADs2/zs=")</f>
        <v>#VALUE!</v>
      </c>
      <c r="BI97" t="e">
        <f>AND('GA55 Entry'!I254,"AAAAADs2/zw=")</f>
        <v>#VALUE!</v>
      </c>
      <c r="BJ97" t="e">
        <f>AND('GA55 Entry'!J254,"AAAAADs2/z0=")</f>
        <v>#VALUE!</v>
      </c>
      <c r="BK97" t="e">
        <f>AND('GA55 Entry'!#REF!,"AAAAADs2/z4=")</f>
        <v>#REF!</v>
      </c>
      <c r="BL97" t="e">
        <f>AND('GA55 Entry'!K254,"AAAAADs2/z8=")</f>
        <v>#VALUE!</v>
      </c>
      <c r="BM97" t="e">
        <f>AND('GA55 Entry'!L254,"AAAAADs2/0A=")</f>
        <v>#VALUE!</v>
      </c>
      <c r="BN97" t="e">
        <f>AND('GA55 Entry'!M254,"AAAAADs2/0E=")</f>
        <v>#VALUE!</v>
      </c>
      <c r="BO97" t="e">
        <f>AND('GA55 Entry'!N254,"AAAAADs2/0I=")</f>
        <v>#VALUE!</v>
      </c>
      <c r="BP97" t="e">
        <f>AND('GA55 Entry'!O254,"AAAAADs2/0M=")</f>
        <v>#VALUE!</v>
      </c>
      <c r="BQ97" t="e">
        <f>AND('GA55 Entry'!P254,"AAAAADs2/0Q=")</f>
        <v>#VALUE!</v>
      </c>
      <c r="BR97" t="e">
        <f>AND('GA55 Entry'!Q254,"AAAAADs2/0U=")</f>
        <v>#VALUE!</v>
      </c>
      <c r="BS97" t="e">
        <f>AND('GA55 Entry'!S254,"AAAAADs2/0Y=")</f>
        <v>#VALUE!</v>
      </c>
      <c r="BT97" t="e">
        <f>AND('GA55 Entry'!#REF!,"AAAAADs2/0c=")</f>
        <v>#REF!</v>
      </c>
      <c r="BU97" t="e">
        <f>AND('GA55 Entry'!T254,"AAAAADs2/0g=")</f>
        <v>#VALUE!</v>
      </c>
      <c r="BV97" t="e">
        <f>AND('GA55 Entry'!U254,"AAAAADs2/0k=")</f>
        <v>#VALUE!</v>
      </c>
      <c r="BW97" t="e">
        <f>AND('GA55 Entry'!V254,"AAAAADs2/0o=")</f>
        <v>#VALUE!</v>
      </c>
      <c r="BX97" t="e">
        <f>AND('GA55 Entry'!#REF!,"AAAAADs2/0s=")</f>
        <v>#REF!</v>
      </c>
      <c r="BY97" t="e">
        <f>AND('GA55 Entry'!#REF!,"AAAAADs2/0w=")</f>
        <v>#REF!</v>
      </c>
      <c r="BZ97" t="e">
        <f>AND('GA55 Entry'!X254,"AAAAADs2/00=")</f>
        <v>#VALUE!</v>
      </c>
      <c r="CA97" t="e">
        <f>AND('GA55 Entry'!Y254,"AAAAADs2/04=")</f>
        <v>#VALUE!</v>
      </c>
      <c r="CB97" t="e">
        <f>AND('GA55 Entry'!#REF!,"AAAAADs2/08=")</f>
        <v>#REF!</v>
      </c>
      <c r="CC97" t="e">
        <f>AND('GA55 Entry'!#REF!,"AAAAADs2/1A=")</f>
        <v>#REF!</v>
      </c>
      <c r="CD97" t="e">
        <f>AND('GA55 Entry'!#REF!,"AAAAADs2/1E=")</f>
        <v>#REF!</v>
      </c>
      <c r="CE97" t="e">
        <f>AND('GA55 Entry'!#REF!,"AAAAADs2/1I=")</f>
        <v>#REF!</v>
      </c>
      <c r="CF97" t="e">
        <f>AND('GA55 Entry'!#REF!,"AAAAADs2/1M=")</f>
        <v>#REF!</v>
      </c>
      <c r="CG97" t="e">
        <f>AND('GA55 Entry'!#REF!,"AAAAADs2/1Q=")</f>
        <v>#REF!</v>
      </c>
      <c r="CH97" t="e">
        <f>AND('GA55 Entry'!#REF!,"AAAAADs2/1U=")</f>
        <v>#REF!</v>
      </c>
      <c r="CI97" t="e">
        <f>AND('GA55 Entry'!#REF!,"AAAAADs2/1Y=")</f>
        <v>#REF!</v>
      </c>
      <c r="CJ97" t="e">
        <f>AND('GA55 Entry'!#REF!,"AAAAADs2/1c=")</f>
        <v>#REF!</v>
      </c>
      <c r="CK97" t="e">
        <f>AND('GA55 Entry'!Z254,"AAAAADs2/1g=")</f>
        <v>#VALUE!</v>
      </c>
      <c r="CL97" t="e">
        <f>AND('GA55 Entry'!AA254,"AAAAADs2/1k=")</f>
        <v>#VALUE!</v>
      </c>
      <c r="CM97" t="e">
        <f>AND('GA55 Entry'!#REF!,"AAAAADs2/1o=")</f>
        <v>#REF!</v>
      </c>
      <c r="CN97" t="e">
        <f>AND('GA55 Entry'!#REF!,"AAAAADs2/1s=")</f>
        <v>#REF!</v>
      </c>
      <c r="CO97" t="e">
        <f>AND('GA55 Entry'!#REF!,"AAAAADs2/1w=")</f>
        <v>#REF!</v>
      </c>
      <c r="CP97" t="e">
        <f>AND('GA55 Entry'!AB254,"AAAAADs2/10=")</f>
        <v>#VALUE!</v>
      </c>
      <c r="CQ97" t="e">
        <f>AND('GA55 Entry'!AC254,"AAAAADs2/14=")</f>
        <v>#VALUE!</v>
      </c>
      <c r="CR97" t="e">
        <f>AND('GA55 Entry'!#REF!,"AAAAADs2/18=")</f>
        <v>#REF!</v>
      </c>
      <c r="CS97">
        <f>IF('GA55 Entry'!255:255,"AAAAADs2/2A=",0)</f>
        <v>0</v>
      </c>
      <c r="CT97" t="e">
        <f>AND('GA55 Entry'!B255,"AAAAADs2/2E=")</f>
        <v>#VALUE!</v>
      </c>
      <c r="CU97" t="e">
        <f>AND('GA55 Entry'!#REF!,"AAAAADs2/2I=")</f>
        <v>#REF!</v>
      </c>
      <c r="CV97" t="e">
        <f>AND('GA55 Entry'!C255,"AAAAADs2/2M=")</f>
        <v>#VALUE!</v>
      </c>
      <c r="CW97" t="e">
        <f>AND('GA55 Entry'!#REF!,"AAAAADs2/2Q=")</f>
        <v>#REF!</v>
      </c>
      <c r="CX97" t="e">
        <f>AND('GA55 Entry'!#REF!,"AAAAADs2/2U=")</f>
        <v>#REF!</v>
      </c>
      <c r="CY97" t="e">
        <f>AND('GA55 Entry'!#REF!,"AAAAADs2/2Y=")</f>
        <v>#REF!</v>
      </c>
      <c r="CZ97" t="e">
        <f>AND('GA55 Entry'!#REF!,"AAAAADs2/2c=")</f>
        <v>#REF!</v>
      </c>
      <c r="DA97" t="e">
        <f>AND('GA55 Entry'!#REF!,"AAAAADs2/2g=")</f>
        <v>#REF!</v>
      </c>
      <c r="DB97" t="e">
        <f>AND('GA55 Entry'!D255,"AAAAADs2/2k=")</f>
        <v>#VALUE!</v>
      </c>
      <c r="DC97" t="e">
        <f>AND('GA55 Entry'!#REF!,"AAAAADs2/2o=")</f>
        <v>#REF!</v>
      </c>
      <c r="DD97" t="e">
        <f>AND('GA55 Entry'!E255,"AAAAADs2/2s=")</f>
        <v>#VALUE!</v>
      </c>
      <c r="DE97" t="e">
        <f>AND('GA55 Entry'!F255,"AAAAADs2/2w=")</f>
        <v>#VALUE!</v>
      </c>
      <c r="DF97" t="e">
        <f>AND('GA55 Entry'!G255,"AAAAADs2/20=")</f>
        <v>#VALUE!</v>
      </c>
      <c r="DG97" t="e">
        <f>AND('GA55 Entry'!H255,"AAAAADs2/24=")</f>
        <v>#VALUE!</v>
      </c>
      <c r="DH97" t="e">
        <f>AND('GA55 Entry'!I255,"AAAAADs2/28=")</f>
        <v>#VALUE!</v>
      </c>
      <c r="DI97" t="e">
        <f>AND('GA55 Entry'!J255,"AAAAADs2/3A=")</f>
        <v>#VALUE!</v>
      </c>
      <c r="DJ97" t="e">
        <f>AND('GA55 Entry'!#REF!,"AAAAADs2/3E=")</f>
        <v>#REF!</v>
      </c>
      <c r="DK97" t="e">
        <f>AND('GA55 Entry'!K255,"AAAAADs2/3I=")</f>
        <v>#VALUE!</v>
      </c>
      <c r="DL97" t="e">
        <f>AND('GA55 Entry'!L255,"AAAAADs2/3M=")</f>
        <v>#VALUE!</v>
      </c>
      <c r="DM97" t="e">
        <f>AND('GA55 Entry'!M255,"AAAAADs2/3Q=")</f>
        <v>#VALUE!</v>
      </c>
      <c r="DN97" t="e">
        <f>AND('GA55 Entry'!N255,"AAAAADs2/3U=")</f>
        <v>#VALUE!</v>
      </c>
      <c r="DO97" t="e">
        <f>AND('GA55 Entry'!O255,"AAAAADs2/3Y=")</f>
        <v>#VALUE!</v>
      </c>
      <c r="DP97" t="e">
        <f>AND('GA55 Entry'!P255,"AAAAADs2/3c=")</f>
        <v>#VALUE!</v>
      </c>
      <c r="DQ97" t="e">
        <f>AND('GA55 Entry'!Q255,"AAAAADs2/3g=")</f>
        <v>#VALUE!</v>
      </c>
      <c r="DR97" t="e">
        <f>AND('GA55 Entry'!S255,"AAAAADs2/3k=")</f>
        <v>#VALUE!</v>
      </c>
      <c r="DS97" t="e">
        <f>AND('GA55 Entry'!#REF!,"AAAAADs2/3o=")</f>
        <v>#REF!</v>
      </c>
      <c r="DT97" t="e">
        <f>AND('GA55 Entry'!T255,"AAAAADs2/3s=")</f>
        <v>#VALUE!</v>
      </c>
      <c r="DU97" t="e">
        <f>AND('GA55 Entry'!U255,"AAAAADs2/3w=")</f>
        <v>#VALUE!</v>
      </c>
      <c r="DV97" t="e">
        <f>AND('GA55 Entry'!V255,"AAAAADs2/30=")</f>
        <v>#VALUE!</v>
      </c>
      <c r="DW97" t="e">
        <f>AND('GA55 Entry'!#REF!,"AAAAADs2/34=")</f>
        <v>#REF!</v>
      </c>
      <c r="DX97" t="e">
        <f>AND('GA55 Entry'!#REF!,"AAAAADs2/38=")</f>
        <v>#REF!</v>
      </c>
      <c r="DY97" t="e">
        <f>AND('GA55 Entry'!X255,"AAAAADs2/4A=")</f>
        <v>#VALUE!</v>
      </c>
      <c r="DZ97" t="e">
        <f>AND('GA55 Entry'!Y255,"AAAAADs2/4E=")</f>
        <v>#VALUE!</v>
      </c>
      <c r="EA97" t="e">
        <f>AND('GA55 Entry'!#REF!,"AAAAADs2/4I=")</f>
        <v>#REF!</v>
      </c>
      <c r="EB97" t="e">
        <f>AND('GA55 Entry'!#REF!,"AAAAADs2/4M=")</f>
        <v>#REF!</v>
      </c>
      <c r="EC97" t="e">
        <f>AND('GA55 Entry'!#REF!,"AAAAADs2/4Q=")</f>
        <v>#REF!</v>
      </c>
      <c r="ED97" t="e">
        <f>AND('GA55 Entry'!#REF!,"AAAAADs2/4U=")</f>
        <v>#REF!</v>
      </c>
      <c r="EE97" t="e">
        <f>AND('GA55 Entry'!#REF!,"AAAAADs2/4Y=")</f>
        <v>#REF!</v>
      </c>
      <c r="EF97" t="e">
        <f>AND('GA55 Entry'!#REF!,"AAAAADs2/4c=")</f>
        <v>#REF!</v>
      </c>
      <c r="EG97" t="e">
        <f>AND('GA55 Entry'!#REF!,"AAAAADs2/4g=")</f>
        <v>#REF!</v>
      </c>
      <c r="EH97" t="e">
        <f>AND('GA55 Entry'!#REF!,"AAAAADs2/4k=")</f>
        <v>#REF!</v>
      </c>
      <c r="EI97" t="e">
        <f>AND('GA55 Entry'!#REF!,"AAAAADs2/4o=")</f>
        <v>#REF!</v>
      </c>
      <c r="EJ97" t="e">
        <f>AND('GA55 Entry'!Z255,"AAAAADs2/4s=")</f>
        <v>#VALUE!</v>
      </c>
      <c r="EK97" t="e">
        <f>AND('GA55 Entry'!AA255,"AAAAADs2/4w=")</f>
        <v>#VALUE!</v>
      </c>
      <c r="EL97" t="e">
        <f>AND('GA55 Entry'!#REF!,"AAAAADs2/40=")</f>
        <v>#REF!</v>
      </c>
      <c r="EM97" t="e">
        <f>AND('GA55 Entry'!#REF!,"AAAAADs2/44=")</f>
        <v>#REF!</v>
      </c>
      <c r="EN97" t="e">
        <f>AND('GA55 Entry'!#REF!,"AAAAADs2/48=")</f>
        <v>#REF!</v>
      </c>
      <c r="EO97" t="e">
        <f>AND('GA55 Entry'!AB255,"AAAAADs2/5A=")</f>
        <v>#VALUE!</v>
      </c>
      <c r="EP97" t="e">
        <f>AND('GA55 Entry'!AC255,"AAAAADs2/5E=")</f>
        <v>#VALUE!</v>
      </c>
      <c r="EQ97" t="e">
        <f>AND('GA55 Entry'!#REF!,"AAAAADs2/5I=")</f>
        <v>#REF!</v>
      </c>
      <c r="ER97">
        <f>IF('GA55 Entry'!256:256,"AAAAADs2/5M=",0)</f>
        <v>0</v>
      </c>
      <c r="ES97" t="e">
        <f>AND('GA55 Entry'!B256,"AAAAADs2/5Q=")</f>
        <v>#VALUE!</v>
      </c>
      <c r="ET97" t="e">
        <f>AND('GA55 Entry'!#REF!,"AAAAADs2/5U=")</f>
        <v>#REF!</v>
      </c>
      <c r="EU97" t="e">
        <f>AND('GA55 Entry'!C256,"AAAAADs2/5Y=")</f>
        <v>#VALUE!</v>
      </c>
      <c r="EV97" t="e">
        <f>AND('GA55 Entry'!#REF!,"AAAAADs2/5c=")</f>
        <v>#REF!</v>
      </c>
      <c r="EW97" t="e">
        <f>AND('GA55 Entry'!#REF!,"AAAAADs2/5g=")</f>
        <v>#REF!</v>
      </c>
      <c r="EX97" t="e">
        <f>AND('GA55 Entry'!#REF!,"AAAAADs2/5k=")</f>
        <v>#REF!</v>
      </c>
      <c r="EY97" t="e">
        <f>AND('GA55 Entry'!#REF!,"AAAAADs2/5o=")</f>
        <v>#REF!</v>
      </c>
      <c r="EZ97" t="e">
        <f>AND('GA55 Entry'!#REF!,"AAAAADs2/5s=")</f>
        <v>#REF!</v>
      </c>
      <c r="FA97" t="e">
        <f>AND('GA55 Entry'!D256,"AAAAADs2/5w=")</f>
        <v>#VALUE!</v>
      </c>
      <c r="FB97" t="e">
        <f>AND('GA55 Entry'!#REF!,"AAAAADs2/50=")</f>
        <v>#REF!</v>
      </c>
      <c r="FC97" t="e">
        <f>AND('GA55 Entry'!E256,"AAAAADs2/54=")</f>
        <v>#VALUE!</v>
      </c>
      <c r="FD97" t="e">
        <f>AND('GA55 Entry'!F256,"AAAAADs2/58=")</f>
        <v>#VALUE!</v>
      </c>
      <c r="FE97" t="e">
        <f>AND('GA55 Entry'!G256,"AAAAADs2/6A=")</f>
        <v>#VALUE!</v>
      </c>
      <c r="FF97" t="e">
        <f>AND('GA55 Entry'!H256,"AAAAADs2/6E=")</f>
        <v>#VALUE!</v>
      </c>
      <c r="FG97" t="e">
        <f>AND('GA55 Entry'!I256,"AAAAADs2/6I=")</f>
        <v>#VALUE!</v>
      </c>
      <c r="FH97" t="e">
        <f>AND('GA55 Entry'!J256,"AAAAADs2/6M=")</f>
        <v>#VALUE!</v>
      </c>
      <c r="FI97" t="e">
        <f>AND('GA55 Entry'!#REF!,"AAAAADs2/6Q=")</f>
        <v>#REF!</v>
      </c>
      <c r="FJ97" t="e">
        <f>AND('GA55 Entry'!K256,"AAAAADs2/6U=")</f>
        <v>#VALUE!</v>
      </c>
      <c r="FK97" t="e">
        <f>AND('GA55 Entry'!L256,"AAAAADs2/6Y=")</f>
        <v>#VALUE!</v>
      </c>
      <c r="FL97" t="e">
        <f>AND('GA55 Entry'!M256,"AAAAADs2/6c=")</f>
        <v>#VALUE!</v>
      </c>
      <c r="FM97" t="e">
        <f>AND('GA55 Entry'!N256,"AAAAADs2/6g=")</f>
        <v>#VALUE!</v>
      </c>
      <c r="FN97" t="e">
        <f>AND('GA55 Entry'!O256,"AAAAADs2/6k=")</f>
        <v>#VALUE!</v>
      </c>
      <c r="FO97" t="e">
        <f>AND('GA55 Entry'!P256,"AAAAADs2/6o=")</f>
        <v>#VALUE!</v>
      </c>
      <c r="FP97" t="e">
        <f>AND('GA55 Entry'!Q256,"AAAAADs2/6s=")</f>
        <v>#VALUE!</v>
      </c>
      <c r="FQ97" t="e">
        <f>AND('GA55 Entry'!S256,"AAAAADs2/6w=")</f>
        <v>#VALUE!</v>
      </c>
      <c r="FR97" t="e">
        <f>AND('GA55 Entry'!#REF!,"AAAAADs2/60=")</f>
        <v>#REF!</v>
      </c>
      <c r="FS97" t="e">
        <f>AND('GA55 Entry'!T256,"AAAAADs2/64=")</f>
        <v>#VALUE!</v>
      </c>
      <c r="FT97" t="e">
        <f>AND('GA55 Entry'!U256,"AAAAADs2/68=")</f>
        <v>#VALUE!</v>
      </c>
      <c r="FU97" t="e">
        <f>AND('GA55 Entry'!V256,"AAAAADs2/7A=")</f>
        <v>#VALUE!</v>
      </c>
      <c r="FV97" t="e">
        <f>AND('GA55 Entry'!#REF!,"AAAAADs2/7E=")</f>
        <v>#REF!</v>
      </c>
      <c r="FW97" t="e">
        <f>AND('GA55 Entry'!#REF!,"AAAAADs2/7I=")</f>
        <v>#REF!</v>
      </c>
      <c r="FX97" t="e">
        <f>AND('GA55 Entry'!X256,"AAAAADs2/7M=")</f>
        <v>#VALUE!</v>
      </c>
      <c r="FY97" t="e">
        <f>AND('GA55 Entry'!Y256,"AAAAADs2/7Q=")</f>
        <v>#VALUE!</v>
      </c>
      <c r="FZ97" t="e">
        <f>AND('GA55 Entry'!#REF!,"AAAAADs2/7U=")</f>
        <v>#REF!</v>
      </c>
      <c r="GA97" t="e">
        <f>AND('GA55 Entry'!#REF!,"AAAAADs2/7Y=")</f>
        <v>#REF!</v>
      </c>
      <c r="GB97" t="e">
        <f>AND('GA55 Entry'!#REF!,"AAAAADs2/7c=")</f>
        <v>#REF!</v>
      </c>
      <c r="GC97" t="e">
        <f>AND('GA55 Entry'!#REF!,"AAAAADs2/7g=")</f>
        <v>#REF!</v>
      </c>
      <c r="GD97" t="e">
        <f>AND('GA55 Entry'!#REF!,"AAAAADs2/7k=")</f>
        <v>#REF!</v>
      </c>
      <c r="GE97" t="e">
        <f>AND('GA55 Entry'!#REF!,"AAAAADs2/7o=")</f>
        <v>#REF!</v>
      </c>
      <c r="GF97" t="e">
        <f>AND('GA55 Entry'!#REF!,"AAAAADs2/7s=")</f>
        <v>#REF!</v>
      </c>
      <c r="GG97" t="e">
        <f>AND('GA55 Entry'!#REF!,"AAAAADs2/7w=")</f>
        <v>#REF!</v>
      </c>
      <c r="GH97" t="e">
        <f>AND('GA55 Entry'!#REF!,"AAAAADs2/70=")</f>
        <v>#REF!</v>
      </c>
      <c r="GI97" t="e">
        <f>AND('GA55 Entry'!Z256,"AAAAADs2/74=")</f>
        <v>#VALUE!</v>
      </c>
      <c r="GJ97" t="e">
        <f>AND('GA55 Entry'!AA256,"AAAAADs2/78=")</f>
        <v>#VALUE!</v>
      </c>
      <c r="GK97" t="e">
        <f>AND('GA55 Entry'!#REF!,"AAAAADs2/8A=")</f>
        <v>#REF!</v>
      </c>
      <c r="GL97" t="e">
        <f>AND('GA55 Entry'!#REF!,"AAAAADs2/8E=")</f>
        <v>#REF!</v>
      </c>
      <c r="GM97" t="e">
        <f>AND('GA55 Entry'!#REF!,"AAAAADs2/8I=")</f>
        <v>#REF!</v>
      </c>
      <c r="GN97" t="e">
        <f>AND('GA55 Entry'!AB256,"AAAAADs2/8M=")</f>
        <v>#VALUE!</v>
      </c>
      <c r="GO97" t="e">
        <f>AND('GA55 Entry'!AC256,"AAAAADs2/8Q=")</f>
        <v>#VALUE!</v>
      </c>
      <c r="GP97" t="e">
        <f>AND('GA55 Entry'!#REF!,"AAAAADs2/8U=")</f>
        <v>#REF!</v>
      </c>
      <c r="GQ97">
        <f>IF('GA55 Entry'!257:257,"AAAAADs2/8Y=",0)</f>
        <v>0</v>
      </c>
      <c r="GR97" t="e">
        <f>AND('GA55 Entry'!B257,"AAAAADs2/8c=")</f>
        <v>#VALUE!</v>
      </c>
      <c r="GS97" t="e">
        <f>AND('GA55 Entry'!#REF!,"AAAAADs2/8g=")</f>
        <v>#REF!</v>
      </c>
      <c r="GT97" t="e">
        <f>AND('GA55 Entry'!C257,"AAAAADs2/8k=")</f>
        <v>#VALUE!</v>
      </c>
      <c r="GU97" t="e">
        <f>AND('GA55 Entry'!#REF!,"AAAAADs2/8o=")</f>
        <v>#REF!</v>
      </c>
      <c r="GV97" t="e">
        <f>AND('GA55 Entry'!#REF!,"AAAAADs2/8s=")</f>
        <v>#REF!</v>
      </c>
      <c r="GW97" t="e">
        <f>AND('GA55 Entry'!#REF!,"AAAAADs2/8w=")</f>
        <v>#REF!</v>
      </c>
      <c r="GX97" t="e">
        <f>AND('GA55 Entry'!#REF!,"AAAAADs2/80=")</f>
        <v>#REF!</v>
      </c>
      <c r="GY97" t="e">
        <f>AND('GA55 Entry'!#REF!,"AAAAADs2/84=")</f>
        <v>#REF!</v>
      </c>
      <c r="GZ97" t="e">
        <f>AND('GA55 Entry'!D257,"AAAAADs2/88=")</f>
        <v>#VALUE!</v>
      </c>
      <c r="HA97" t="e">
        <f>AND('GA55 Entry'!#REF!,"AAAAADs2/9A=")</f>
        <v>#REF!</v>
      </c>
      <c r="HB97" t="e">
        <f>AND('GA55 Entry'!E257,"AAAAADs2/9E=")</f>
        <v>#VALUE!</v>
      </c>
      <c r="HC97" t="e">
        <f>AND('GA55 Entry'!F257,"AAAAADs2/9I=")</f>
        <v>#VALUE!</v>
      </c>
      <c r="HD97" t="e">
        <f>AND('GA55 Entry'!G257,"AAAAADs2/9M=")</f>
        <v>#VALUE!</v>
      </c>
      <c r="HE97" t="e">
        <f>AND('GA55 Entry'!H257,"AAAAADs2/9Q=")</f>
        <v>#VALUE!</v>
      </c>
      <c r="HF97" t="e">
        <f>AND('GA55 Entry'!I257,"AAAAADs2/9U=")</f>
        <v>#VALUE!</v>
      </c>
      <c r="HG97" t="e">
        <f>AND('GA55 Entry'!J257,"AAAAADs2/9Y=")</f>
        <v>#VALUE!</v>
      </c>
      <c r="HH97" t="e">
        <f>AND('GA55 Entry'!#REF!,"AAAAADs2/9c=")</f>
        <v>#REF!</v>
      </c>
      <c r="HI97" t="e">
        <f>AND('GA55 Entry'!K257,"AAAAADs2/9g=")</f>
        <v>#VALUE!</v>
      </c>
      <c r="HJ97" t="e">
        <f>AND('GA55 Entry'!L257,"AAAAADs2/9k=")</f>
        <v>#VALUE!</v>
      </c>
      <c r="HK97" t="e">
        <f>AND('GA55 Entry'!M257,"AAAAADs2/9o=")</f>
        <v>#VALUE!</v>
      </c>
      <c r="HL97" t="e">
        <f>AND('GA55 Entry'!N257,"AAAAADs2/9s=")</f>
        <v>#VALUE!</v>
      </c>
      <c r="HM97" t="e">
        <f>AND('GA55 Entry'!O257,"AAAAADs2/9w=")</f>
        <v>#VALUE!</v>
      </c>
      <c r="HN97" t="e">
        <f>AND('GA55 Entry'!P257,"AAAAADs2/90=")</f>
        <v>#VALUE!</v>
      </c>
      <c r="HO97" t="e">
        <f>AND('GA55 Entry'!Q257,"AAAAADs2/94=")</f>
        <v>#VALUE!</v>
      </c>
      <c r="HP97" t="e">
        <f>AND('GA55 Entry'!S257,"AAAAADs2/98=")</f>
        <v>#VALUE!</v>
      </c>
      <c r="HQ97" t="e">
        <f>AND('GA55 Entry'!#REF!,"AAAAADs2/+A=")</f>
        <v>#REF!</v>
      </c>
      <c r="HR97" t="e">
        <f>AND('GA55 Entry'!T257,"AAAAADs2/+E=")</f>
        <v>#VALUE!</v>
      </c>
      <c r="HS97" t="e">
        <f>AND('GA55 Entry'!U257,"AAAAADs2/+I=")</f>
        <v>#VALUE!</v>
      </c>
      <c r="HT97" t="e">
        <f>AND('GA55 Entry'!V257,"AAAAADs2/+M=")</f>
        <v>#VALUE!</v>
      </c>
      <c r="HU97" t="e">
        <f>AND('GA55 Entry'!#REF!,"AAAAADs2/+Q=")</f>
        <v>#REF!</v>
      </c>
      <c r="HV97" t="e">
        <f>AND('GA55 Entry'!#REF!,"AAAAADs2/+U=")</f>
        <v>#REF!</v>
      </c>
      <c r="HW97" t="e">
        <f>AND('GA55 Entry'!X257,"AAAAADs2/+Y=")</f>
        <v>#VALUE!</v>
      </c>
      <c r="HX97" t="e">
        <f>AND('GA55 Entry'!Y257,"AAAAADs2/+c=")</f>
        <v>#VALUE!</v>
      </c>
      <c r="HY97" t="e">
        <f>AND('GA55 Entry'!#REF!,"AAAAADs2/+g=")</f>
        <v>#REF!</v>
      </c>
      <c r="HZ97" t="e">
        <f>AND('GA55 Entry'!#REF!,"AAAAADs2/+k=")</f>
        <v>#REF!</v>
      </c>
      <c r="IA97" t="e">
        <f>AND('GA55 Entry'!#REF!,"AAAAADs2/+o=")</f>
        <v>#REF!</v>
      </c>
      <c r="IB97" t="e">
        <f>AND('GA55 Entry'!#REF!,"AAAAADs2/+s=")</f>
        <v>#REF!</v>
      </c>
      <c r="IC97" t="e">
        <f>AND('GA55 Entry'!#REF!,"AAAAADs2/+w=")</f>
        <v>#REF!</v>
      </c>
      <c r="ID97" t="e">
        <f>AND('GA55 Entry'!#REF!,"AAAAADs2/+0=")</f>
        <v>#REF!</v>
      </c>
      <c r="IE97" t="e">
        <f>AND('GA55 Entry'!#REF!,"AAAAADs2/+4=")</f>
        <v>#REF!</v>
      </c>
      <c r="IF97" t="e">
        <f>AND('GA55 Entry'!#REF!,"AAAAADs2/+8=")</f>
        <v>#REF!</v>
      </c>
      <c r="IG97" t="e">
        <f>AND('GA55 Entry'!#REF!,"AAAAADs2//A=")</f>
        <v>#REF!</v>
      </c>
      <c r="IH97" t="e">
        <f>AND('GA55 Entry'!Z257,"AAAAADs2//E=")</f>
        <v>#VALUE!</v>
      </c>
      <c r="II97" t="e">
        <f>AND('GA55 Entry'!AA257,"AAAAADs2//I=")</f>
        <v>#VALUE!</v>
      </c>
      <c r="IJ97" t="e">
        <f>AND('GA55 Entry'!#REF!,"AAAAADs2//M=")</f>
        <v>#REF!</v>
      </c>
      <c r="IK97" t="e">
        <f>AND('GA55 Entry'!#REF!,"AAAAADs2//Q=")</f>
        <v>#REF!</v>
      </c>
      <c r="IL97" t="e">
        <f>AND('GA55 Entry'!#REF!,"AAAAADs2//U=")</f>
        <v>#REF!</v>
      </c>
      <c r="IM97" t="e">
        <f>AND('GA55 Entry'!AB257,"AAAAADs2//Y=")</f>
        <v>#VALUE!</v>
      </c>
      <c r="IN97" t="e">
        <f>AND('GA55 Entry'!AC257,"AAAAADs2//c=")</f>
        <v>#VALUE!</v>
      </c>
      <c r="IO97" t="e">
        <f>AND('GA55 Entry'!#REF!,"AAAAADs2//g=")</f>
        <v>#REF!</v>
      </c>
      <c r="IP97">
        <f>IF('GA55 Entry'!258:258,"AAAAADs2//k=",0)</f>
        <v>0</v>
      </c>
      <c r="IQ97" t="e">
        <f>AND('GA55 Entry'!B258,"AAAAADs2//o=")</f>
        <v>#VALUE!</v>
      </c>
      <c r="IR97" t="e">
        <f>AND('GA55 Entry'!#REF!,"AAAAADs2//s=")</f>
        <v>#REF!</v>
      </c>
      <c r="IS97" t="e">
        <f>AND('GA55 Entry'!C258,"AAAAADs2//w=")</f>
        <v>#VALUE!</v>
      </c>
      <c r="IT97" t="e">
        <f>AND('GA55 Entry'!#REF!,"AAAAADs2//0=")</f>
        <v>#REF!</v>
      </c>
      <c r="IU97" t="e">
        <f>AND('GA55 Entry'!#REF!,"AAAAADs2//4=")</f>
        <v>#REF!</v>
      </c>
      <c r="IV97" t="e">
        <f>AND('GA55 Entry'!#REF!,"AAAAADs2//8=")</f>
        <v>#REF!</v>
      </c>
    </row>
    <row r="98" spans="1:256">
      <c r="A98" t="e">
        <f>AND('GA55 Entry'!#REF!,"AAAAAC61vgA=")</f>
        <v>#REF!</v>
      </c>
      <c r="B98" t="e">
        <f>AND('GA55 Entry'!#REF!,"AAAAAC61vgE=")</f>
        <v>#REF!</v>
      </c>
      <c r="C98" t="e">
        <f>AND('GA55 Entry'!D258,"AAAAAC61vgI=")</f>
        <v>#VALUE!</v>
      </c>
      <c r="D98" t="e">
        <f>AND('GA55 Entry'!#REF!,"AAAAAC61vgM=")</f>
        <v>#REF!</v>
      </c>
      <c r="E98" t="e">
        <f>AND('GA55 Entry'!E258,"AAAAAC61vgQ=")</f>
        <v>#VALUE!</v>
      </c>
      <c r="F98" t="e">
        <f>AND('GA55 Entry'!F258,"AAAAAC61vgU=")</f>
        <v>#VALUE!</v>
      </c>
      <c r="G98" t="e">
        <f>AND('GA55 Entry'!G258,"AAAAAC61vgY=")</f>
        <v>#VALUE!</v>
      </c>
      <c r="H98" t="e">
        <f>AND('GA55 Entry'!H258,"AAAAAC61vgc=")</f>
        <v>#VALUE!</v>
      </c>
      <c r="I98" t="e">
        <f>AND('GA55 Entry'!I258,"AAAAAC61vgg=")</f>
        <v>#VALUE!</v>
      </c>
      <c r="J98" t="e">
        <f>AND('GA55 Entry'!J258,"AAAAAC61vgk=")</f>
        <v>#VALUE!</v>
      </c>
      <c r="K98" t="e">
        <f>AND('GA55 Entry'!#REF!,"AAAAAC61vgo=")</f>
        <v>#REF!</v>
      </c>
      <c r="L98" t="e">
        <f>AND('GA55 Entry'!K258,"AAAAAC61vgs=")</f>
        <v>#VALUE!</v>
      </c>
      <c r="M98" t="e">
        <f>AND('GA55 Entry'!L258,"AAAAAC61vgw=")</f>
        <v>#VALUE!</v>
      </c>
      <c r="N98" t="e">
        <f>AND('GA55 Entry'!M258,"AAAAAC61vg0=")</f>
        <v>#VALUE!</v>
      </c>
      <c r="O98" t="e">
        <f>AND('GA55 Entry'!N258,"AAAAAC61vg4=")</f>
        <v>#VALUE!</v>
      </c>
      <c r="P98" t="e">
        <f>AND('GA55 Entry'!O258,"AAAAAC61vg8=")</f>
        <v>#VALUE!</v>
      </c>
      <c r="Q98" t="e">
        <f>AND('GA55 Entry'!P258,"AAAAAC61vhA=")</f>
        <v>#VALUE!</v>
      </c>
      <c r="R98" t="e">
        <f>AND('GA55 Entry'!Q258,"AAAAAC61vhE=")</f>
        <v>#VALUE!</v>
      </c>
      <c r="S98" t="e">
        <f>AND('GA55 Entry'!S258,"AAAAAC61vhI=")</f>
        <v>#VALUE!</v>
      </c>
      <c r="T98" t="e">
        <f>AND('GA55 Entry'!#REF!,"AAAAAC61vhM=")</f>
        <v>#REF!</v>
      </c>
      <c r="U98" t="e">
        <f>AND('GA55 Entry'!T258,"AAAAAC61vhQ=")</f>
        <v>#VALUE!</v>
      </c>
      <c r="V98" t="e">
        <f>AND('GA55 Entry'!U258,"AAAAAC61vhU=")</f>
        <v>#VALUE!</v>
      </c>
      <c r="W98" t="e">
        <f>AND('GA55 Entry'!V258,"AAAAAC61vhY=")</f>
        <v>#VALUE!</v>
      </c>
      <c r="X98" t="e">
        <f>AND('GA55 Entry'!#REF!,"AAAAAC61vhc=")</f>
        <v>#REF!</v>
      </c>
      <c r="Y98" t="e">
        <f>AND('GA55 Entry'!#REF!,"AAAAAC61vhg=")</f>
        <v>#REF!</v>
      </c>
      <c r="Z98" t="e">
        <f>AND('GA55 Entry'!X258,"AAAAAC61vhk=")</f>
        <v>#VALUE!</v>
      </c>
      <c r="AA98" t="e">
        <f>AND('GA55 Entry'!Y258,"AAAAAC61vho=")</f>
        <v>#VALUE!</v>
      </c>
      <c r="AB98" t="e">
        <f>AND('GA55 Entry'!#REF!,"AAAAAC61vhs=")</f>
        <v>#REF!</v>
      </c>
      <c r="AC98" t="e">
        <f>AND('GA55 Entry'!#REF!,"AAAAAC61vhw=")</f>
        <v>#REF!</v>
      </c>
      <c r="AD98" t="e">
        <f>AND('GA55 Entry'!#REF!,"AAAAAC61vh0=")</f>
        <v>#REF!</v>
      </c>
      <c r="AE98" t="e">
        <f>AND('GA55 Entry'!#REF!,"AAAAAC61vh4=")</f>
        <v>#REF!</v>
      </c>
      <c r="AF98" t="e">
        <f>AND('GA55 Entry'!#REF!,"AAAAAC61vh8=")</f>
        <v>#REF!</v>
      </c>
      <c r="AG98" t="e">
        <f>AND('GA55 Entry'!#REF!,"AAAAAC61viA=")</f>
        <v>#REF!</v>
      </c>
      <c r="AH98" t="e">
        <f>AND('GA55 Entry'!#REF!,"AAAAAC61viE=")</f>
        <v>#REF!</v>
      </c>
      <c r="AI98" t="e">
        <f>AND('GA55 Entry'!#REF!,"AAAAAC61viI=")</f>
        <v>#REF!</v>
      </c>
      <c r="AJ98" t="e">
        <f>AND('GA55 Entry'!#REF!,"AAAAAC61viM=")</f>
        <v>#REF!</v>
      </c>
      <c r="AK98" t="e">
        <f>AND('GA55 Entry'!Z258,"AAAAAC61viQ=")</f>
        <v>#VALUE!</v>
      </c>
      <c r="AL98" t="e">
        <f>AND('GA55 Entry'!AA258,"AAAAAC61viU=")</f>
        <v>#VALUE!</v>
      </c>
      <c r="AM98" t="e">
        <f>AND('GA55 Entry'!#REF!,"AAAAAC61viY=")</f>
        <v>#REF!</v>
      </c>
      <c r="AN98" t="e">
        <f>AND('GA55 Entry'!#REF!,"AAAAAC61vic=")</f>
        <v>#REF!</v>
      </c>
      <c r="AO98" t="e">
        <f>AND('GA55 Entry'!#REF!,"AAAAAC61vig=")</f>
        <v>#REF!</v>
      </c>
      <c r="AP98" t="e">
        <f>AND('GA55 Entry'!AB258,"AAAAAC61vik=")</f>
        <v>#VALUE!</v>
      </c>
      <c r="AQ98" t="e">
        <f>AND('GA55 Entry'!AC258,"AAAAAC61vio=")</f>
        <v>#VALUE!</v>
      </c>
      <c r="AR98" t="e">
        <f>AND('GA55 Entry'!#REF!,"AAAAAC61vis=")</f>
        <v>#REF!</v>
      </c>
      <c r="AS98">
        <f>IF('GA55 Entry'!259:259,"AAAAAC61viw=",0)</f>
        <v>0</v>
      </c>
      <c r="AT98" t="e">
        <f>AND('GA55 Entry'!B259,"AAAAAC61vi0=")</f>
        <v>#VALUE!</v>
      </c>
      <c r="AU98" t="e">
        <f>AND('GA55 Entry'!#REF!,"AAAAAC61vi4=")</f>
        <v>#REF!</v>
      </c>
      <c r="AV98" t="e">
        <f>AND('GA55 Entry'!C259,"AAAAAC61vi8=")</f>
        <v>#VALUE!</v>
      </c>
      <c r="AW98" t="e">
        <f>AND('GA55 Entry'!#REF!,"AAAAAC61vjA=")</f>
        <v>#REF!</v>
      </c>
      <c r="AX98" t="e">
        <f>AND('GA55 Entry'!#REF!,"AAAAAC61vjE=")</f>
        <v>#REF!</v>
      </c>
      <c r="AY98" t="e">
        <f>AND('GA55 Entry'!#REF!,"AAAAAC61vjI=")</f>
        <v>#REF!</v>
      </c>
      <c r="AZ98" t="e">
        <f>AND('GA55 Entry'!#REF!,"AAAAAC61vjM=")</f>
        <v>#REF!</v>
      </c>
      <c r="BA98" t="e">
        <f>AND('GA55 Entry'!#REF!,"AAAAAC61vjQ=")</f>
        <v>#REF!</v>
      </c>
      <c r="BB98" t="e">
        <f>AND('GA55 Entry'!D259,"AAAAAC61vjU=")</f>
        <v>#VALUE!</v>
      </c>
      <c r="BC98" t="e">
        <f>AND('GA55 Entry'!#REF!,"AAAAAC61vjY=")</f>
        <v>#REF!</v>
      </c>
      <c r="BD98" t="e">
        <f>AND('GA55 Entry'!E259,"AAAAAC61vjc=")</f>
        <v>#VALUE!</v>
      </c>
      <c r="BE98" t="e">
        <f>AND('GA55 Entry'!F259,"AAAAAC61vjg=")</f>
        <v>#VALUE!</v>
      </c>
      <c r="BF98" t="e">
        <f>AND('GA55 Entry'!G259,"AAAAAC61vjk=")</f>
        <v>#VALUE!</v>
      </c>
      <c r="BG98" t="e">
        <f>AND('GA55 Entry'!H259,"AAAAAC61vjo=")</f>
        <v>#VALUE!</v>
      </c>
      <c r="BH98" t="e">
        <f>AND('GA55 Entry'!I259,"AAAAAC61vjs=")</f>
        <v>#VALUE!</v>
      </c>
      <c r="BI98" t="e">
        <f>AND('GA55 Entry'!J259,"AAAAAC61vjw=")</f>
        <v>#VALUE!</v>
      </c>
      <c r="BJ98" t="e">
        <f>AND('GA55 Entry'!#REF!,"AAAAAC61vj0=")</f>
        <v>#REF!</v>
      </c>
      <c r="BK98" t="e">
        <f>AND('GA55 Entry'!K259,"AAAAAC61vj4=")</f>
        <v>#VALUE!</v>
      </c>
      <c r="BL98" t="e">
        <f>AND('GA55 Entry'!L259,"AAAAAC61vj8=")</f>
        <v>#VALUE!</v>
      </c>
      <c r="BM98" t="e">
        <f>AND('GA55 Entry'!M259,"AAAAAC61vkA=")</f>
        <v>#VALUE!</v>
      </c>
      <c r="BN98" t="e">
        <f>AND('GA55 Entry'!N259,"AAAAAC61vkE=")</f>
        <v>#VALUE!</v>
      </c>
      <c r="BO98" t="e">
        <f>AND('GA55 Entry'!O259,"AAAAAC61vkI=")</f>
        <v>#VALUE!</v>
      </c>
      <c r="BP98" t="e">
        <f>AND('GA55 Entry'!P259,"AAAAAC61vkM=")</f>
        <v>#VALUE!</v>
      </c>
      <c r="BQ98" t="e">
        <f>AND('GA55 Entry'!Q259,"AAAAAC61vkQ=")</f>
        <v>#VALUE!</v>
      </c>
      <c r="BR98" t="e">
        <f>AND('GA55 Entry'!S259,"AAAAAC61vkU=")</f>
        <v>#VALUE!</v>
      </c>
      <c r="BS98" t="e">
        <f>AND('GA55 Entry'!#REF!,"AAAAAC61vkY=")</f>
        <v>#REF!</v>
      </c>
      <c r="BT98" t="e">
        <f>AND('GA55 Entry'!T259,"AAAAAC61vkc=")</f>
        <v>#VALUE!</v>
      </c>
      <c r="BU98" t="e">
        <f>AND('GA55 Entry'!U259,"AAAAAC61vkg=")</f>
        <v>#VALUE!</v>
      </c>
      <c r="BV98" t="e">
        <f>AND('GA55 Entry'!V259,"AAAAAC61vkk=")</f>
        <v>#VALUE!</v>
      </c>
      <c r="BW98" t="e">
        <f>AND('GA55 Entry'!#REF!,"AAAAAC61vko=")</f>
        <v>#REF!</v>
      </c>
      <c r="BX98" t="e">
        <f>AND('GA55 Entry'!#REF!,"AAAAAC61vks=")</f>
        <v>#REF!</v>
      </c>
      <c r="BY98" t="e">
        <f>AND('GA55 Entry'!X259,"AAAAAC61vkw=")</f>
        <v>#VALUE!</v>
      </c>
      <c r="BZ98" t="e">
        <f>AND('GA55 Entry'!Y259,"AAAAAC61vk0=")</f>
        <v>#VALUE!</v>
      </c>
      <c r="CA98" t="e">
        <f>AND('GA55 Entry'!#REF!,"AAAAAC61vk4=")</f>
        <v>#REF!</v>
      </c>
      <c r="CB98" t="e">
        <f>AND('GA55 Entry'!#REF!,"AAAAAC61vk8=")</f>
        <v>#REF!</v>
      </c>
      <c r="CC98" t="e">
        <f>AND('GA55 Entry'!#REF!,"AAAAAC61vlA=")</f>
        <v>#REF!</v>
      </c>
      <c r="CD98" t="e">
        <f>AND('GA55 Entry'!#REF!,"AAAAAC61vlE=")</f>
        <v>#REF!</v>
      </c>
      <c r="CE98" t="e">
        <f>AND('GA55 Entry'!#REF!,"AAAAAC61vlI=")</f>
        <v>#REF!</v>
      </c>
      <c r="CF98" t="e">
        <f>AND('GA55 Entry'!#REF!,"AAAAAC61vlM=")</f>
        <v>#REF!</v>
      </c>
      <c r="CG98" t="e">
        <f>AND('GA55 Entry'!#REF!,"AAAAAC61vlQ=")</f>
        <v>#REF!</v>
      </c>
      <c r="CH98" t="e">
        <f>AND('GA55 Entry'!#REF!,"AAAAAC61vlU=")</f>
        <v>#REF!</v>
      </c>
      <c r="CI98" t="e">
        <f>AND('GA55 Entry'!#REF!,"AAAAAC61vlY=")</f>
        <v>#REF!</v>
      </c>
      <c r="CJ98" t="e">
        <f>AND('GA55 Entry'!Z259,"AAAAAC61vlc=")</f>
        <v>#VALUE!</v>
      </c>
      <c r="CK98" t="e">
        <f>AND('GA55 Entry'!AA259,"AAAAAC61vlg=")</f>
        <v>#VALUE!</v>
      </c>
      <c r="CL98" t="e">
        <f>AND('GA55 Entry'!#REF!,"AAAAAC61vlk=")</f>
        <v>#REF!</v>
      </c>
      <c r="CM98" t="e">
        <f>AND('GA55 Entry'!#REF!,"AAAAAC61vlo=")</f>
        <v>#REF!</v>
      </c>
      <c r="CN98" t="e">
        <f>AND('GA55 Entry'!#REF!,"AAAAAC61vls=")</f>
        <v>#REF!</v>
      </c>
      <c r="CO98" t="e">
        <f>AND('GA55 Entry'!AB259,"AAAAAC61vlw=")</f>
        <v>#VALUE!</v>
      </c>
      <c r="CP98" t="e">
        <f>AND('GA55 Entry'!AC259,"AAAAAC61vl0=")</f>
        <v>#VALUE!</v>
      </c>
      <c r="CQ98" t="e">
        <f>AND('GA55 Entry'!#REF!,"AAAAAC61vl4=")</f>
        <v>#REF!</v>
      </c>
      <c r="CR98">
        <f>IF('GA55 Entry'!260:260,"AAAAAC61vl8=",0)</f>
        <v>0</v>
      </c>
      <c r="CS98" t="e">
        <f>AND('GA55 Entry'!B260,"AAAAAC61vmA=")</f>
        <v>#VALUE!</v>
      </c>
      <c r="CT98" t="e">
        <f>AND('GA55 Entry'!#REF!,"AAAAAC61vmE=")</f>
        <v>#REF!</v>
      </c>
      <c r="CU98" t="e">
        <f>AND('GA55 Entry'!C260,"AAAAAC61vmI=")</f>
        <v>#VALUE!</v>
      </c>
      <c r="CV98" t="e">
        <f>AND('GA55 Entry'!#REF!,"AAAAAC61vmM=")</f>
        <v>#REF!</v>
      </c>
      <c r="CW98" t="e">
        <f>AND('GA55 Entry'!#REF!,"AAAAAC61vmQ=")</f>
        <v>#REF!</v>
      </c>
      <c r="CX98" t="e">
        <f>AND('GA55 Entry'!#REF!,"AAAAAC61vmU=")</f>
        <v>#REF!</v>
      </c>
      <c r="CY98" t="e">
        <f>AND('GA55 Entry'!#REF!,"AAAAAC61vmY=")</f>
        <v>#REF!</v>
      </c>
      <c r="CZ98" t="e">
        <f>AND('GA55 Entry'!#REF!,"AAAAAC61vmc=")</f>
        <v>#REF!</v>
      </c>
      <c r="DA98" t="e">
        <f>AND('GA55 Entry'!D260,"AAAAAC61vmg=")</f>
        <v>#VALUE!</v>
      </c>
      <c r="DB98" t="e">
        <f>AND('GA55 Entry'!#REF!,"AAAAAC61vmk=")</f>
        <v>#REF!</v>
      </c>
      <c r="DC98" t="e">
        <f>AND('GA55 Entry'!E260,"AAAAAC61vmo=")</f>
        <v>#VALUE!</v>
      </c>
      <c r="DD98" t="e">
        <f>AND('GA55 Entry'!F260,"AAAAAC61vms=")</f>
        <v>#VALUE!</v>
      </c>
      <c r="DE98" t="e">
        <f>AND('GA55 Entry'!G260,"AAAAAC61vmw=")</f>
        <v>#VALUE!</v>
      </c>
      <c r="DF98" t="e">
        <f>AND('GA55 Entry'!H260,"AAAAAC61vm0=")</f>
        <v>#VALUE!</v>
      </c>
      <c r="DG98" t="e">
        <f>AND('GA55 Entry'!I260,"AAAAAC61vm4=")</f>
        <v>#VALUE!</v>
      </c>
      <c r="DH98" t="e">
        <f>AND('GA55 Entry'!J260,"AAAAAC61vm8=")</f>
        <v>#VALUE!</v>
      </c>
      <c r="DI98" t="e">
        <f>AND('GA55 Entry'!#REF!,"AAAAAC61vnA=")</f>
        <v>#REF!</v>
      </c>
      <c r="DJ98" t="e">
        <f>AND('GA55 Entry'!K260,"AAAAAC61vnE=")</f>
        <v>#VALUE!</v>
      </c>
      <c r="DK98" t="e">
        <f>AND('GA55 Entry'!L260,"AAAAAC61vnI=")</f>
        <v>#VALUE!</v>
      </c>
      <c r="DL98" t="e">
        <f>AND('GA55 Entry'!M260,"AAAAAC61vnM=")</f>
        <v>#VALUE!</v>
      </c>
      <c r="DM98" t="e">
        <f>AND('GA55 Entry'!N260,"AAAAAC61vnQ=")</f>
        <v>#VALUE!</v>
      </c>
      <c r="DN98" t="e">
        <f>AND('GA55 Entry'!O260,"AAAAAC61vnU=")</f>
        <v>#VALUE!</v>
      </c>
      <c r="DO98" t="e">
        <f>AND('GA55 Entry'!P260,"AAAAAC61vnY=")</f>
        <v>#VALUE!</v>
      </c>
      <c r="DP98" t="e">
        <f>AND('GA55 Entry'!Q260,"AAAAAC61vnc=")</f>
        <v>#VALUE!</v>
      </c>
      <c r="DQ98" t="e">
        <f>AND('GA55 Entry'!S260,"AAAAAC61vng=")</f>
        <v>#VALUE!</v>
      </c>
      <c r="DR98" t="e">
        <f>AND('GA55 Entry'!#REF!,"AAAAAC61vnk=")</f>
        <v>#REF!</v>
      </c>
      <c r="DS98" t="e">
        <f>AND('GA55 Entry'!T260,"AAAAAC61vno=")</f>
        <v>#VALUE!</v>
      </c>
      <c r="DT98" t="e">
        <f>AND('GA55 Entry'!U260,"AAAAAC61vns=")</f>
        <v>#VALUE!</v>
      </c>
      <c r="DU98" t="e">
        <f>AND('GA55 Entry'!V260,"AAAAAC61vnw=")</f>
        <v>#VALUE!</v>
      </c>
      <c r="DV98" t="e">
        <f>AND('GA55 Entry'!#REF!,"AAAAAC61vn0=")</f>
        <v>#REF!</v>
      </c>
      <c r="DW98" t="e">
        <f>AND('GA55 Entry'!#REF!,"AAAAAC61vn4=")</f>
        <v>#REF!</v>
      </c>
      <c r="DX98" t="e">
        <f>AND('GA55 Entry'!X260,"AAAAAC61vn8=")</f>
        <v>#VALUE!</v>
      </c>
      <c r="DY98" t="e">
        <f>AND('GA55 Entry'!Y260,"AAAAAC61voA=")</f>
        <v>#VALUE!</v>
      </c>
      <c r="DZ98" t="e">
        <f>AND('GA55 Entry'!#REF!,"AAAAAC61voE=")</f>
        <v>#REF!</v>
      </c>
      <c r="EA98" t="e">
        <f>AND('GA55 Entry'!#REF!,"AAAAAC61voI=")</f>
        <v>#REF!</v>
      </c>
      <c r="EB98" t="e">
        <f>AND('GA55 Entry'!#REF!,"AAAAAC61voM=")</f>
        <v>#REF!</v>
      </c>
      <c r="EC98" t="e">
        <f>AND('GA55 Entry'!#REF!,"AAAAAC61voQ=")</f>
        <v>#REF!</v>
      </c>
      <c r="ED98" t="e">
        <f>AND('GA55 Entry'!#REF!,"AAAAAC61voU=")</f>
        <v>#REF!</v>
      </c>
      <c r="EE98" t="e">
        <f>AND('GA55 Entry'!#REF!,"AAAAAC61voY=")</f>
        <v>#REF!</v>
      </c>
      <c r="EF98" t="e">
        <f>AND('GA55 Entry'!#REF!,"AAAAAC61voc=")</f>
        <v>#REF!</v>
      </c>
      <c r="EG98" t="e">
        <f>AND('GA55 Entry'!#REF!,"AAAAAC61vog=")</f>
        <v>#REF!</v>
      </c>
      <c r="EH98" t="e">
        <f>AND('GA55 Entry'!#REF!,"AAAAAC61vok=")</f>
        <v>#REF!</v>
      </c>
      <c r="EI98" t="e">
        <f>AND('GA55 Entry'!Z260,"AAAAAC61voo=")</f>
        <v>#VALUE!</v>
      </c>
      <c r="EJ98" t="e">
        <f>AND('GA55 Entry'!AA260,"AAAAAC61vos=")</f>
        <v>#VALUE!</v>
      </c>
      <c r="EK98" t="e">
        <f>AND('GA55 Entry'!#REF!,"AAAAAC61vow=")</f>
        <v>#REF!</v>
      </c>
      <c r="EL98" t="e">
        <f>AND('GA55 Entry'!#REF!,"AAAAAC61vo0=")</f>
        <v>#REF!</v>
      </c>
      <c r="EM98" t="e">
        <f>AND('GA55 Entry'!#REF!,"AAAAAC61vo4=")</f>
        <v>#REF!</v>
      </c>
      <c r="EN98" t="e">
        <f>AND('GA55 Entry'!AB260,"AAAAAC61vo8=")</f>
        <v>#VALUE!</v>
      </c>
      <c r="EO98" t="e">
        <f>AND('GA55 Entry'!AC260,"AAAAAC61vpA=")</f>
        <v>#VALUE!</v>
      </c>
      <c r="EP98" t="e">
        <f>AND('GA55 Entry'!#REF!,"AAAAAC61vpE=")</f>
        <v>#REF!</v>
      </c>
      <c r="EQ98">
        <f>IF('GA55 Entry'!261:261,"AAAAAC61vpI=",0)</f>
        <v>0</v>
      </c>
      <c r="ER98" t="e">
        <f>AND('GA55 Entry'!B261,"AAAAAC61vpM=")</f>
        <v>#VALUE!</v>
      </c>
      <c r="ES98" t="e">
        <f>AND('GA55 Entry'!#REF!,"AAAAAC61vpQ=")</f>
        <v>#REF!</v>
      </c>
      <c r="ET98" t="e">
        <f>AND('GA55 Entry'!C261,"AAAAAC61vpU=")</f>
        <v>#VALUE!</v>
      </c>
      <c r="EU98" t="e">
        <f>AND('GA55 Entry'!#REF!,"AAAAAC61vpY=")</f>
        <v>#REF!</v>
      </c>
      <c r="EV98" t="e">
        <f>AND('GA55 Entry'!#REF!,"AAAAAC61vpc=")</f>
        <v>#REF!</v>
      </c>
      <c r="EW98" t="e">
        <f>AND('GA55 Entry'!#REF!,"AAAAAC61vpg=")</f>
        <v>#REF!</v>
      </c>
      <c r="EX98" t="e">
        <f>AND('GA55 Entry'!#REF!,"AAAAAC61vpk=")</f>
        <v>#REF!</v>
      </c>
      <c r="EY98" t="e">
        <f>AND('GA55 Entry'!#REF!,"AAAAAC61vpo=")</f>
        <v>#REF!</v>
      </c>
      <c r="EZ98" t="e">
        <f>AND('GA55 Entry'!D261,"AAAAAC61vps=")</f>
        <v>#VALUE!</v>
      </c>
      <c r="FA98" t="e">
        <f>AND('GA55 Entry'!#REF!,"AAAAAC61vpw=")</f>
        <v>#REF!</v>
      </c>
      <c r="FB98" t="e">
        <f>AND('GA55 Entry'!E261,"AAAAAC61vp0=")</f>
        <v>#VALUE!</v>
      </c>
      <c r="FC98" t="e">
        <f>AND('GA55 Entry'!F261,"AAAAAC61vp4=")</f>
        <v>#VALUE!</v>
      </c>
      <c r="FD98" t="e">
        <f>AND('GA55 Entry'!G261,"AAAAAC61vp8=")</f>
        <v>#VALUE!</v>
      </c>
      <c r="FE98" t="e">
        <f>AND('GA55 Entry'!H261,"AAAAAC61vqA=")</f>
        <v>#VALUE!</v>
      </c>
      <c r="FF98" t="e">
        <f>AND('GA55 Entry'!I261,"AAAAAC61vqE=")</f>
        <v>#VALUE!</v>
      </c>
      <c r="FG98" t="e">
        <f>AND('GA55 Entry'!J261,"AAAAAC61vqI=")</f>
        <v>#VALUE!</v>
      </c>
      <c r="FH98" t="e">
        <f>AND('GA55 Entry'!#REF!,"AAAAAC61vqM=")</f>
        <v>#REF!</v>
      </c>
      <c r="FI98" t="e">
        <f>AND('GA55 Entry'!K261,"AAAAAC61vqQ=")</f>
        <v>#VALUE!</v>
      </c>
      <c r="FJ98" t="e">
        <f>AND('GA55 Entry'!L261,"AAAAAC61vqU=")</f>
        <v>#VALUE!</v>
      </c>
      <c r="FK98" t="e">
        <f>AND('GA55 Entry'!M261,"AAAAAC61vqY=")</f>
        <v>#VALUE!</v>
      </c>
      <c r="FL98" t="e">
        <f>AND('GA55 Entry'!N261,"AAAAAC61vqc=")</f>
        <v>#VALUE!</v>
      </c>
      <c r="FM98" t="e">
        <f>AND('GA55 Entry'!O261,"AAAAAC61vqg=")</f>
        <v>#VALUE!</v>
      </c>
      <c r="FN98" t="e">
        <f>AND('GA55 Entry'!P261,"AAAAAC61vqk=")</f>
        <v>#VALUE!</v>
      </c>
      <c r="FO98" t="e">
        <f>AND('GA55 Entry'!Q261,"AAAAAC61vqo=")</f>
        <v>#VALUE!</v>
      </c>
      <c r="FP98" t="e">
        <f>AND('GA55 Entry'!S261,"AAAAAC61vqs=")</f>
        <v>#VALUE!</v>
      </c>
      <c r="FQ98" t="e">
        <f>AND('GA55 Entry'!#REF!,"AAAAAC61vqw=")</f>
        <v>#REF!</v>
      </c>
      <c r="FR98" t="e">
        <f>AND('GA55 Entry'!T261,"AAAAAC61vq0=")</f>
        <v>#VALUE!</v>
      </c>
      <c r="FS98" t="e">
        <f>AND('GA55 Entry'!U261,"AAAAAC61vq4=")</f>
        <v>#VALUE!</v>
      </c>
      <c r="FT98" t="e">
        <f>AND('GA55 Entry'!V261,"AAAAAC61vq8=")</f>
        <v>#VALUE!</v>
      </c>
      <c r="FU98" t="e">
        <f>AND('GA55 Entry'!#REF!,"AAAAAC61vrA=")</f>
        <v>#REF!</v>
      </c>
      <c r="FV98" t="e">
        <f>AND('GA55 Entry'!#REF!,"AAAAAC61vrE=")</f>
        <v>#REF!</v>
      </c>
      <c r="FW98" t="e">
        <f>AND('GA55 Entry'!X261,"AAAAAC61vrI=")</f>
        <v>#VALUE!</v>
      </c>
      <c r="FX98" t="e">
        <f>AND('GA55 Entry'!Y261,"AAAAAC61vrM=")</f>
        <v>#VALUE!</v>
      </c>
      <c r="FY98" t="e">
        <f>AND('GA55 Entry'!#REF!,"AAAAAC61vrQ=")</f>
        <v>#REF!</v>
      </c>
      <c r="FZ98" t="e">
        <f>AND('GA55 Entry'!#REF!,"AAAAAC61vrU=")</f>
        <v>#REF!</v>
      </c>
      <c r="GA98" t="e">
        <f>AND('GA55 Entry'!#REF!,"AAAAAC61vrY=")</f>
        <v>#REF!</v>
      </c>
      <c r="GB98" t="e">
        <f>AND('GA55 Entry'!#REF!,"AAAAAC61vrc=")</f>
        <v>#REF!</v>
      </c>
      <c r="GC98" t="e">
        <f>AND('GA55 Entry'!#REF!,"AAAAAC61vrg=")</f>
        <v>#REF!</v>
      </c>
      <c r="GD98" t="e">
        <f>AND('GA55 Entry'!#REF!,"AAAAAC61vrk=")</f>
        <v>#REF!</v>
      </c>
      <c r="GE98" t="e">
        <f>AND('GA55 Entry'!#REF!,"AAAAAC61vro=")</f>
        <v>#REF!</v>
      </c>
      <c r="GF98" t="e">
        <f>AND('GA55 Entry'!#REF!,"AAAAAC61vrs=")</f>
        <v>#REF!</v>
      </c>
      <c r="GG98" t="e">
        <f>AND('GA55 Entry'!#REF!,"AAAAAC61vrw=")</f>
        <v>#REF!</v>
      </c>
      <c r="GH98" t="e">
        <f>AND('GA55 Entry'!Z261,"AAAAAC61vr0=")</f>
        <v>#VALUE!</v>
      </c>
      <c r="GI98" t="e">
        <f>AND('GA55 Entry'!AA261,"AAAAAC61vr4=")</f>
        <v>#VALUE!</v>
      </c>
      <c r="GJ98" t="e">
        <f>AND('GA55 Entry'!#REF!,"AAAAAC61vr8=")</f>
        <v>#REF!</v>
      </c>
      <c r="GK98" t="e">
        <f>AND('GA55 Entry'!#REF!,"AAAAAC61vsA=")</f>
        <v>#REF!</v>
      </c>
      <c r="GL98" t="e">
        <f>AND('GA55 Entry'!#REF!,"AAAAAC61vsE=")</f>
        <v>#REF!</v>
      </c>
      <c r="GM98" t="e">
        <f>AND('GA55 Entry'!AB261,"AAAAAC61vsI=")</f>
        <v>#VALUE!</v>
      </c>
      <c r="GN98" t="e">
        <f>AND('GA55 Entry'!AC261,"AAAAAC61vsM=")</f>
        <v>#VALUE!</v>
      </c>
      <c r="GO98" t="e">
        <f>AND('GA55 Entry'!#REF!,"AAAAAC61vsQ=")</f>
        <v>#REF!</v>
      </c>
      <c r="GP98">
        <f>IF('GA55 Entry'!262:262,"AAAAAC61vsU=",0)</f>
        <v>0</v>
      </c>
      <c r="GQ98" t="e">
        <f>AND('GA55 Entry'!B262,"AAAAAC61vsY=")</f>
        <v>#VALUE!</v>
      </c>
      <c r="GR98" t="e">
        <f>AND('GA55 Entry'!#REF!,"AAAAAC61vsc=")</f>
        <v>#REF!</v>
      </c>
      <c r="GS98" t="e">
        <f>AND('GA55 Entry'!C262,"AAAAAC61vsg=")</f>
        <v>#VALUE!</v>
      </c>
      <c r="GT98" t="e">
        <f>AND('GA55 Entry'!#REF!,"AAAAAC61vsk=")</f>
        <v>#REF!</v>
      </c>
      <c r="GU98" t="e">
        <f>AND('GA55 Entry'!#REF!,"AAAAAC61vso=")</f>
        <v>#REF!</v>
      </c>
      <c r="GV98" t="e">
        <f>AND('GA55 Entry'!#REF!,"AAAAAC61vss=")</f>
        <v>#REF!</v>
      </c>
      <c r="GW98" t="e">
        <f>AND('GA55 Entry'!#REF!,"AAAAAC61vsw=")</f>
        <v>#REF!</v>
      </c>
      <c r="GX98" t="e">
        <f>AND('GA55 Entry'!#REF!,"AAAAAC61vs0=")</f>
        <v>#REF!</v>
      </c>
      <c r="GY98" t="e">
        <f>AND('GA55 Entry'!D262,"AAAAAC61vs4=")</f>
        <v>#VALUE!</v>
      </c>
      <c r="GZ98" t="e">
        <f>AND('GA55 Entry'!#REF!,"AAAAAC61vs8=")</f>
        <v>#REF!</v>
      </c>
      <c r="HA98" t="e">
        <f>AND('GA55 Entry'!E262,"AAAAAC61vtA=")</f>
        <v>#VALUE!</v>
      </c>
      <c r="HB98" t="e">
        <f>AND('GA55 Entry'!F262,"AAAAAC61vtE=")</f>
        <v>#VALUE!</v>
      </c>
      <c r="HC98" t="e">
        <f>AND('GA55 Entry'!G262,"AAAAAC61vtI=")</f>
        <v>#VALUE!</v>
      </c>
      <c r="HD98" t="e">
        <f>AND('GA55 Entry'!H262,"AAAAAC61vtM=")</f>
        <v>#VALUE!</v>
      </c>
      <c r="HE98" t="e">
        <f>AND('GA55 Entry'!I262,"AAAAAC61vtQ=")</f>
        <v>#VALUE!</v>
      </c>
      <c r="HF98" t="e">
        <f>AND('GA55 Entry'!J262,"AAAAAC61vtU=")</f>
        <v>#VALUE!</v>
      </c>
      <c r="HG98" t="e">
        <f>AND('GA55 Entry'!#REF!,"AAAAAC61vtY=")</f>
        <v>#REF!</v>
      </c>
      <c r="HH98" t="e">
        <f>AND('GA55 Entry'!K262,"AAAAAC61vtc=")</f>
        <v>#VALUE!</v>
      </c>
      <c r="HI98" t="e">
        <f>AND('GA55 Entry'!L262,"AAAAAC61vtg=")</f>
        <v>#VALUE!</v>
      </c>
      <c r="HJ98" t="e">
        <f>AND('GA55 Entry'!M262,"AAAAAC61vtk=")</f>
        <v>#VALUE!</v>
      </c>
      <c r="HK98" t="e">
        <f>AND('GA55 Entry'!N262,"AAAAAC61vto=")</f>
        <v>#VALUE!</v>
      </c>
      <c r="HL98" t="e">
        <f>AND('GA55 Entry'!O262,"AAAAAC61vts=")</f>
        <v>#VALUE!</v>
      </c>
      <c r="HM98" t="e">
        <f>AND('GA55 Entry'!P262,"AAAAAC61vtw=")</f>
        <v>#VALUE!</v>
      </c>
      <c r="HN98" t="e">
        <f>AND('GA55 Entry'!Q262,"AAAAAC61vt0=")</f>
        <v>#VALUE!</v>
      </c>
      <c r="HO98" t="e">
        <f>AND('GA55 Entry'!S262,"AAAAAC61vt4=")</f>
        <v>#VALUE!</v>
      </c>
      <c r="HP98" t="e">
        <f>AND('GA55 Entry'!#REF!,"AAAAAC61vt8=")</f>
        <v>#REF!</v>
      </c>
      <c r="HQ98" t="e">
        <f>AND('GA55 Entry'!T262,"AAAAAC61vuA=")</f>
        <v>#VALUE!</v>
      </c>
      <c r="HR98" t="e">
        <f>AND('GA55 Entry'!U262,"AAAAAC61vuE=")</f>
        <v>#VALUE!</v>
      </c>
      <c r="HS98" t="e">
        <f>AND('GA55 Entry'!V262,"AAAAAC61vuI=")</f>
        <v>#VALUE!</v>
      </c>
      <c r="HT98" t="e">
        <f>AND('GA55 Entry'!#REF!,"AAAAAC61vuM=")</f>
        <v>#REF!</v>
      </c>
      <c r="HU98" t="e">
        <f>AND('GA55 Entry'!#REF!,"AAAAAC61vuQ=")</f>
        <v>#REF!</v>
      </c>
      <c r="HV98" t="e">
        <f>AND('GA55 Entry'!X262,"AAAAAC61vuU=")</f>
        <v>#VALUE!</v>
      </c>
      <c r="HW98" t="e">
        <f>AND('GA55 Entry'!Y262,"AAAAAC61vuY=")</f>
        <v>#VALUE!</v>
      </c>
      <c r="HX98" t="e">
        <f>AND('GA55 Entry'!#REF!,"AAAAAC61vuc=")</f>
        <v>#REF!</v>
      </c>
      <c r="HY98" t="e">
        <f>AND('GA55 Entry'!#REF!,"AAAAAC61vug=")</f>
        <v>#REF!</v>
      </c>
      <c r="HZ98" t="e">
        <f>AND('GA55 Entry'!#REF!,"AAAAAC61vuk=")</f>
        <v>#REF!</v>
      </c>
      <c r="IA98" t="e">
        <f>AND('GA55 Entry'!#REF!,"AAAAAC61vuo=")</f>
        <v>#REF!</v>
      </c>
      <c r="IB98" t="e">
        <f>AND('GA55 Entry'!#REF!,"AAAAAC61vus=")</f>
        <v>#REF!</v>
      </c>
      <c r="IC98" t="e">
        <f>AND('GA55 Entry'!#REF!,"AAAAAC61vuw=")</f>
        <v>#REF!</v>
      </c>
      <c r="ID98" t="e">
        <f>AND('GA55 Entry'!#REF!,"AAAAAC61vu0=")</f>
        <v>#REF!</v>
      </c>
      <c r="IE98" t="e">
        <f>AND('GA55 Entry'!#REF!,"AAAAAC61vu4=")</f>
        <v>#REF!</v>
      </c>
      <c r="IF98" t="e">
        <f>AND('GA55 Entry'!#REF!,"AAAAAC61vu8=")</f>
        <v>#REF!</v>
      </c>
      <c r="IG98" t="e">
        <f>AND('GA55 Entry'!Z262,"AAAAAC61vvA=")</f>
        <v>#VALUE!</v>
      </c>
      <c r="IH98" t="e">
        <f>AND('GA55 Entry'!AA262,"AAAAAC61vvE=")</f>
        <v>#VALUE!</v>
      </c>
      <c r="II98" t="e">
        <f>AND('GA55 Entry'!#REF!,"AAAAAC61vvI=")</f>
        <v>#REF!</v>
      </c>
      <c r="IJ98" t="e">
        <f>AND('GA55 Entry'!#REF!,"AAAAAC61vvM=")</f>
        <v>#REF!</v>
      </c>
      <c r="IK98" t="e">
        <f>AND('GA55 Entry'!#REF!,"AAAAAC61vvQ=")</f>
        <v>#REF!</v>
      </c>
      <c r="IL98" t="e">
        <f>AND('GA55 Entry'!AB262,"AAAAAC61vvU=")</f>
        <v>#VALUE!</v>
      </c>
      <c r="IM98" t="e">
        <f>AND('GA55 Entry'!AC262,"AAAAAC61vvY=")</f>
        <v>#VALUE!</v>
      </c>
      <c r="IN98" t="e">
        <f>AND('GA55 Entry'!#REF!,"AAAAAC61vvc=")</f>
        <v>#REF!</v>
      </c>
      <c r="IO98">
        <f>IF('GA55 Entry'!263:263,"AAAAAC61vvg=",0)</f>
        <v>0</v>
      </c>
      <c r="IP98" t="e">
        <f>AND('GA55 Entry'!B263,"AAAAAC61vvk=")</f>
        <v>#VALUE!</v>
      </c>
      <c r="IQ98" t="e">
        <f>AND('GA55 Entry'!#REF!,"AAAAAC61vvo=")</f>
        <v>#REF!</v>
      </c>
      <c r="IR98" t="e">
        <f>AND('GA55 Entry'!C263,"AAAAAC61vvs=")</f>
        <v>#VALUE!</v>
      </c>
      <c r="IS98" t="e">
        <f>AND('GA55 Entry'!#REF!,"AAAAAC61vvw=")</f>
        <v>#REF!</v>
      </c>
      <c r="IT98" t="e">
        <f>AND('GA55 Entry'!#REF!,"AAAAAC61vv0=")</f>
        <v>#REF!</v>
      </c>
      <c r="IU98" t="e">
        <f>AND('GA55 Entry'!#REF!,"AAAAAC61vv4=")</f>
        <v>#REF!</v>
      </c>
      <c r="IV98" t="e">
        <f>AND('GA55 Entry'!#REF!,"AAAAAC61vv8=")</f>
        <v>#REF!</v>
      </c>
    </row>
    <row r="99" spans="1:256">
      <c r="A99" t="e">
        <f>AND('GA55 Entry'!#REF!,"AAAAAGK/7AA=")</f>
        <v>#REF!</v>
      </c>
      <c r="B99" t="e">
        <f>AND('GA55 Entry'!D263,"AAAAAGK/7AE=")</f>
        <v>#VALUE!</v>
      </c>
      <c r="C99" t="e">
        <f>AND('GA55 Entry'!#REF!,"AAAAAGK/7AI=")</f>
        <v>#REF!</v>
      </c>
      <c r="D99" t="e">
        <f>AND('GA55 Entry'!E263,"AAAAAGK/7AM=")</f>
        <v>#VALUE!</v>
      </c>
      <c r="E99" t="e">
        <f>AND('GA55 Entry'!F263,"AAAAAGK/7AQ=")</f>
        <v>#VALUE!</v>
      </c>
      <c r="F99" t="e">
        <f>AND('GA55 Entry'!G263,"AAAAAGK/7AU=")</f>
        <v>#VALUE!</v>
      </c>
      <c r="G99" t="e">
        <f>AND('GA55 Entry'!H263,"AAAAAGK/7AY=")</f>
        <v>#VALUE!</v>
      </c>
      <c r="H99" t="e">
        <f>AND('GA55 Entry'!I263,"AAAAAGK/7Ac=")</f>
        <v>#VALUE!</v>
      </c>
      <c r="I99" t="e">
        <f>AND('GA55 Entry'!J263,"AAAAAGK/7Ag=")</f>
        <v>#VALUE!</v>
      </c>
      <c r="J99" t="e">
        <f>AND('GA55 Entry'!#REF!,"AAAAAGK/7Ak=")</f>
        <v>#REF!</v>
      </c>
      <c r="K99" t="e">
        <f>AND('GA55 Entry'!K263,"AAAAAGK/7Ao=")</f>
        <v>#VALUE!</v>
      </c>
      <c r="L99" t="e">
        <f>AND('GA55 Entry'!L263,"AAAAAGK/7As=")</f>
        <v>#VALUE!</v>
      </c>
      <c r="M99" t="e">
        <f>AND('GA55 Entry'!M263,"AAAAAGK/7Aw=")</f>
        <v>#VALUE!</v>
      </c>
      <c r="N99" t="e">
        <f>AND('GA55 Entry'!N263,"AAAAAGK/7A0=")</f>
        <v>#VALUE!</v>
      </c>
      <c r="O99" t="e">
        <f>AND('GA55 Entry'!O263,"AAAAAGK/7A4=")</f>
        <v>#VALUE!</v>
      </c>
      <c r="P99" t="e">
        <f>AND('GA55 Entry'!P263,"AAAAAGK/7A8=")</f>
        <v>#VALUE!</v>
      </c>
      <c r="Q99" t="e">
        <f>AND('GA55 Entry'!Q263,"AAAAAGK/7BA=")</f>
        <v>#VALUE!</v>
      </c>
      <c r="R99" t="e">
        <f>AND('GA55 Entry'!S263,"AAAAAGK/7BE=")</f>
        <v>#VALUE!</v>
      </c>
      <c r="S99" t="e">
        <f>AND('GA55 Entry'!#REF!,"AAAAAGK/7BI=")</f>
        <v>#REF!</v>
      </c>
      <c r="T99" t="e">
        <f>AND('GA55 Entry'!T263,"AAAAAGK/7BM=")</f>
        <v>#VALUE!</v>
      </c>
      <c r="U99" t="e">
        <f>AND('GA55 Entry'!U263,"AAAAAGK/7BQ=")</f>
        <v>#VALUE!</v>
      </c>
      <c r="V99" t="e">
        <f>AND('GA55 Entry'!V263,"AAAAAGK/7BU=")</f>
        <v>#VALUE!</v>
      </c>
      <c r="W99" t="e">
        <f>AND('GA55 Entry'!#REF!,"AAAAAGK/7BY=")</f>
        <v>#REF!</v>
      </c>
      <c r="X99" t="e">
        <f>AND('GA55 Entry'!#REF!,"AAAAAGK/7Bc=")</f>
        <v>#REF!</v>
      </c>
      <c r="Y99" t="e">
        <f>AND('GA55 Entry'!X263,"AAAAAGK/7Bg=")</f>
        <v>#VALUE!</v>
      </c>
      <c r="Z99" t="e">
        <f>AND('GA55 Entry'!Y263,"AAAAAGK/7Bk=")</f>
        <v>#VALUE!</v>
      </c>
      <c r="AA99" t="e">
        <f>AND('GA55 Entry'!#REF!,"AAAAAGK/7Bo=")</f>
        <v>#REF!</v>
      </c>
      <c r="AB99" t="e">
        <f>AND('GA55 Entry'!#REF!,"AAAAAGK/7Bs=")</f>
        <v>#REF!</v>
      </c>
      <c r="AC99" t="e">
        <f>AND('GA55 Entry'!#REF!,"AAAAAGK/7Bw=")</f>
        <v>#REF!</v>
      </c>
      <c r="AD99" t="e">
        <f>AND('GA55 Entry'!#REF!,"AAAAAGK/7B0=")</f>
        <v>#REF!</v>
      </c>
      <c r="AE99" t="e">
        <f>AND('GA55 Entry'!#REF!,"AAAAAGK/7B4=")</f>
        <v>#REF!</v>
      </c>
      <c r="AF99" t="e">
        <f>AND('GA55 Entry'!#REF!,"AAAAAGK/7B8=")</f>
        <v>#REF!</v>
      </c>
      <c r="AG99" t="e">
        <f>AND('GA55 Entry'!#REF!,"AAAAAGK/7CA=")</f>
        <v>#REF!</v>
      </c>
      <c r="AH99" t="e">
        <f>AND('GA55 Entry'!#REF!,"AAAAAGK/7CE=")</f>
        <v>#REF!</v>
      </c>
      <c r="AI99" t="e">
        <f>AND('GA55 Entry'!#REF!,"AAAAAGK/7CI=")</f>
        <v>#REF!</v>
      </c>
      <c r="AJ99" t="e">
        <f>AND('GA55 Entry'!Z263,"AAAAAGK/7CM=")</f>
        <v>#VALUE!</v>
      </c>
      <c r="AK99" t="e">
        <f>AND('GA55 Entry'!AA263,"AAAAAGK/7CQ=")</f>
        <v>#VALUE!</v>
      </c>
      <c r="AL99" t="e">
        <f>AND('GA55 Entry'!#REF!,"AAAAAGK/7CU=")</f>
        <v>#REF!</v>
      </c>
      <c r="AM99" t="e">
        <f>AND('GA55 Entry'!#REF!,"AAAAAGK/7CY=")</f>
        <v>#REF!</v>
      </c>
      <c r="AN99" t="e">
        <f>AND('GA55 Entry'!#REF!,"AAAAAGK/7Cc=")</f>
        <v>#REF!</v>
      </c>
      <c r="AO99" t="e">
        <f>AND('GA55 Entry'!AB263,"AAAAAGK/7Cg=")</f>
        <v>#VALUE!</v>
      </c>
      <c r="AP99" t="e">
        <f>AND('GA55 Entry'!AC263,"AAAAAGK/7Ck=")</f>
        <v>#VALUE!</v>
      </c>
      <c r="AQ99" t="e">
        <f>AND('GA55 Entry'!#REF!,"AAAAAGK/7Co=")</f>
        <v>#REF!</v>
      </c>
      <c r="AR99">
        <f>IF('GA55 Entry'!264:264,"AAAAAGK/7Cs=",0)</f>
        <v>0</v>
      </c>
      <c r="AS99" t="e">
        <f>AND('GA55 Entry'!B264,"AAAAAGK/7Cw=")</f>
        <v>#VALUE!</v>
      </c>
      <c r="AT99" t="e">
        <f>AND('GA55 Entry'!#REF!,"AAAAAGK/7C0=")</f>
        <v>#REF!</v>
      </c>
      <c r="AU99" t="e">
        <f>AND('GA55 Entry'!C264,"AAAAAGK/7C4=")</f>
        <v>#VALUE!</v>
      </c>
      <c r="AV99" t="e">
        <f>AND('GA55 Entry'!#REF!,"AAAAAGK/7C8=")</f>
        <v>#REF!</v>
      </c>
      <c r="AW99" t="e">
        <f>AND('GA55 Entry'!#REF!,"AAAAAGK/7DA=")</f>
        <v>#REF!</v>
      </c>
      <c r="AX99" t="e">
        <f>AND('GA55 Entry'!#REF!,"AAAAAGK/7DE=")</f>
        <v>#REF!</v>
      </c>
      <c r="AY99" t="e">
        <f>AND('GA55 Entry'!#REF!,"AAAAAGK/7DI=")</f>
        <v>#REF!</v>
      </c>
      <c r="AZ99" t="e">
        <f>AND('GA55 Entry'!#REF!,"AAAAAGK/7DM=")</f>
        <v>#REF!</v>
      </c>
      <c r="BA99" t="e">
        <f>AND('GA55 Entry'!D264,"AAAAAGK/7DQ=")</f>
        <v>#VALUE!</v>
      </c>
      <c r="BB99" t="e">
        <f>AND('GA55 Entry'!#REF!,"AAAAAGK/7DU=")</f>
        <v>#REF!</v>
      </c>
      <c r="BC99" t="e">
        <f>AND('GA55 Entry'!E264,"AAAAAGK/7DY=")</f>
        <v>#VALUE!</v>
      </c>
      <c r="BD99" t="e">
        <f>AND('GA55 Entry'!F264,"AAAAAGK/7Dc=")</f>
        <v>#VALUE!</v>
      </c>
      <c r="BE99" t="e">
        <f>AND('GA55 Entry'!G264,"AAAAAGK/7Dg=")</f>
        <v>#VALUE!</v>
      </c>
      <c r="BF99" t="e">
        <f>AND('GA55 Entry'!H264,"AAAAAGK/7Dk=")</f>
        <v>#VALUE!</v>
      </c>
      <c r="BG99" t="e">
        <f>AND('GA55 Entry'!I264,"AAAAAGK/7Do=")</f>
        <v>#VALUE!</v>
      </c>
      <c r="BH99" t="e">
        <f>AND('GA55 Entry'!J264,"AAAAAGK/7Ds=")</f>
        <v>#VALUE!</v>
      </c>
      <c r="BI99" t="e">
        <f>AND('GA55 Entry'!#REF!,"AAAAAGK/7Dw=")</f>
        <v>#REF!</v>
      </c>
      <c r="BJ99" t="e">
        <f>AND('GA55 Entry'!K264,"AAAAAGK/7D0=")</f>
        <v>#VALUE!</v>
      </c>
      <c r="BK99" t="e">
        <f>AND('GA55 Entry'!L264,"AAAAAGK/7D4=")</f>
        <v>#VALUE!</v>
      </c>
      <c r="BL99" t="e">
        <f>AND('GA55 Entry'!M264,"AAAAAGK/7D8=")</f>
        <v>#VALUE!</v>
      </c>
      <c r="BM99" t="e">
        <f>AND('GA55 Entry'!N264,"AAAAAGK/7EA=")</f>
        <v>#VALUE!</v>
      </c>
      <c r="BN99" t="e">
        <f>AND('GA55 Entry'!O264,"AAAAAGK/7EE=")</f>
        <v>#VALUE!</v>
      </c>
      <c r="BO99" t="e">
        <f>AND('GA55 Entry'!P264,"AAAAAGK/7EI=")</f>
        <v>#VALUE!</v>
      </c>
      <c r="BP99" t="e">
        <f>AND('GA55 Entry'!Q264,"AAAAAGK/7EM=")</f>
        <v>#VALUE!</v>
      </c>
      <c r="BQ99" t="e">
        <f>AND('GA55 Entry'!S264,"AAAAAGK/7EQ=")</f>
        <v>#VALUE!</v>
      </c>
      <c r="BR99" t="e">
        <f>AND('GA55 Entry'!#REF!,"AAAAAGK/7EU=")</f>
        <v>#REF!</v>
      </c>
      <c r="BS99" t="e">
        <f>AND('GA55 Entry'!T264,"AAAAAGK/7EY=")</f>
        <v>#VALUE!</v>
      </c>
      <c r="BT99" t="e">
        <f>AND('GA55 Entry'!U264,"AAAAAGK/7Ec=")</f>
        <v>#VALUE!</v>
      </c>
      <c r="BU99" t="e">
        <f>AND('GA55 Entry'!V264,"AAAAAGK/7Eg=")</f>
        <v>#VALUE!</v>
      </c>
      <c r="BV99" t="e">
        <f>AND('GA55 Entry'!#REF!,"AAAAAGK/7Ek=")</f>
        <v>#REF!</v>
      </c>
      <c r="BW99" t="e">
        <f>AND('GA55 Entry'!#REF!,"AAAAAGK/7Eo=")</f>
        <v>#REF!</v>
      </c>
      <c r="BX99" t="e">
        <f>AND('GA55 Entry'!X264,"AAAAAGK/7Es=")</f>
        <v>#VALUE!</v>
      </c>
      <c r="BY99" t="e">
        <f>AND('GA55 Entry'!Y264,"AAAAAGK/7Ew=")</f>
        <v>#VALUE!</v>
      </c>
      <c r="BZ99" t="e">
        <f>AND('GA55 Entry'!#REF!,"AAAAAGK/7E0=")</f>
        <v>#REF!</v>
      </c>
      <c r="CA99" t="e">
        <f>AND('GA55 Entry'!#REF!,"AAAAAGK/7E4=")</f>
        <v>#REF!</v>
      </c>
      <c r="CB99" t="e">
        <f>AND('GA55 Entry'!#REF!,"AAAAAGK/7E8=")</f>
        <v>#REF!</v>
      </c>
      <c r="CC99" t="e">
        <f>AND('GA55 Entry'!#REF!,"AAAAAGK/7FA=")</f>
        <v>#REF!</v>
      </c>
      <c r="CD99" t="e">
        <f>AND('GA55 Entry'!#REF!,"AAAAAGK/7FE=")</f>
        <v>#REF!</v>
      </c>
      <c r="CE99" t="e">
        <f>AND('GA55 Entry'!#REF!,"AAAAAGK/7FI=")</f>
        <v>#REF!</v>
      </c>
      <c r="CF99" t="e">
        <f>AND('GA55 Entry'!#REF!,"AAAAAGK/7FM=")</f>
        <v>#REF!</v>
      </c>
      <c r="CG99" t="e">
        <f>AND('GA55 Entry'!#REF!,"AAAAAGK/7FQ=")</f>
        <v>#REF!</v>
      </c>
      <c r="CH99" t="e">
        <f>AND('GA55 Entry'!#REF!,"AAAAAGK/7FU=")</f>
        <v>#REF!</v>
      </c>
      <c r="CI99" t="e">
        <f>AND('GA55 Entry'!Z264,"AAAAAGK/7FY=")</f>
        <v>#VALUE!</v>
      </c>
      <c r="CJ99" t="e">
        <f>AND('GA55 Entry'!AA264,"AAAAAGK/7Fc=")</f>
        <v>#VALUE!</v>
      </c>
      <c r="CK99" t="e">
        <f>AND('GA55 Entry'!#REF!,"AAAAAGK/7Fg=")</f>
        <v>#REF!</v>
      </c>
      <c r="CL99" t="e">
        <f>AND('GA55 Entry'!#REF!,"AAAAAGK/7Fk=")</f>
        <v>#REF!</v>
      </c>
      <c r="CM99" t="e">
        <f>AND('GA55 Entry'!#REF!,"AAAAAGK/7Fo=")</f>
        <v>#REF!</v>
      </c>
      <c r="CN99" t="e">
        <f>AND('GA55 Entry'!AB264,"AAAAAGK/7Fs=")</f>
        <v>#VALUE!</v>
      </c>
      <c r="CO99" t="e">
        <f>AND('GA55 Entry'!AC264,"AAAAAGK/7Fw=")</f>
        <v>#VALUE!</v>
      </c>
      <c r="CP99" t="e">
        <f>AND('GA55 Entry'!#REF!,"AAAAAGK/7F0=")</f>
        <v>#REF!</v>
      </c>
      <c r="CQ99">
        <f>IF('GA55 Entry'!265:265,"AAAAAGK/7F4=",0)</f>
        <v>0</v>
      </c>
      <c r="CR99" t="e">
        <f>AND('GA55 Entry'!B265,"AAAAAGK/7F8=")</f>
        <v>#VALUE!</v>
      </c>
      <c r="CS99" t="e">
        <f>AND('GA55 Entry'!#REF!,"AAAAAGK/7GA=")</f>
        <v>#REF!</v>
      </c>
      <c r="CT99" t="e">
        <f>AND('GA55 Entry'!C265,"AAAAAGK/7GE=")</f>
        <v>#VALUE!</v>
      </c>
      <c r="CU99" t="e">
        <f>AND('GA55 Entry'!#REF!,"AAAAAGK/7GI=")</f>
        <v>#REF!</v>
      </c>
      <c r="CV99" t="e">
        <f>AND('GA55 Entry'!#REF!,"AAAAAGK/7GM=")</f>
        <v>#REF!</v>
      </c>
      <c r="CW99" t="e">
        <f>AND('GA55 Entry'!#REF!,"AAAAAGK/7GQ=")</f>
        <v>#REF!</v>
      </c>
      <c r="CX99" t="e">
        <f>AND('GA55 Entry'!#REF!,"AAAAAGK/7GU=")</f>
        <v>#REF!</v>
      </c>
      <c r="CY99" t="e">
        <f>AND('GA55 Entry'!#REF!,"AAAAAGK/7GY=")</f>
        <v>#REF!</v>
      </c>
      <c r="CZ99" t="e">
        <f>AND('GA55 Entry'!D265,"AAAAAGK/7Gc=")</f>
        <v>#VALUE!</v>
      </c>
      <c r="DA99" t="e">
        <f>AND('GA55 Entry'!#REF!,"AAAAAGK/7Gg=")</f>
        <v>#REF!</v>
      </c>
      <c r="DB99" t="e">
        <f>AND('GA55 Entry'!E265,"AAAAAGK/7Gk=")</f>
        <v>#VALUE!</v>
      </c>
      <c r="DC99" t="e">
        <f>AND('GA55 Entry'!F265,"AAAAAGK/7Go=")</f>
        <v>#VALUE!</v>
      </c>
      <c r="DD99" t="e">
        <f>AND('GA55 Entry'!G265,"AAAAAGK/7Gs=")</f>
        <v>#VALUE!</v>
      </c>
      <c r="DE99" t="e">
        <f>AND('GA55 Entry'!H265,"AAAAAGK/7Gw=")</f>
        <v>#VALUE!</v>
      </c>
      <c r="DF99" t="e">
        <f>AND('GA55 Entry'!I265,"AAAAAGK/7G0=")</f>
        <v>#VALUE!</v>
      </c>
      <c r="DG99" t="e">
        <f>AND('GA55 Entry'!J265,"AAAAAGK/7G4=")</f>
        <v>#VALUE!</v>
      </c>
      <c r="DH99" t="e">
        <f>AND('GA55 Entry'!#REF!,"AAAAAGK/7G8=")</f>
        <v>#REF!</v>
      </c>
      <c r="DI99" t="e">
        <f>AND('GA55 Entry'!K265,"AAAAAGK/7HA=")</f>
        <v>#VALUE!</v>
      </c>
      <c r="DJ99" t="e">
        <f>AND('GA55 Entry'!L265,"AAAAAGK/7HE=")</f>
        <v>#VALUE!</v>
      </c>
      <c r="DK99" t="e">
        <f>AND('GA55 Entry'!M265,"AAAAAGK/7HI=")</f>
        <v>#VALUE!</v>
      </c>
      <c r="DL99" t="e">
        <f>AND('GA55 Entry'!N265,"AAAAAGK/7HM=")</f>
        <v>#VALUE!</v>
      </c>
      <c r="DM99" t="e">
        <f>AND('GA55 Entry'!O265,"AAAAAGK/7HQ=")</f>
        <v>#VALUE!</v>
      </c>
      <c r="DN99" t="e">
        <f>AND('GA55 Entry'!P265,"AAAAAGK/7HU=")</f>
        <v>#VALUE!</v>
      </c>
      <c r="DO99" t="e">
        <f>AND('GA55 Entry'!Q265,"AAAAAGK/7HY=")</f>
        <v>#VALUE!</v>
      </c>
      <c r="DP99" t="e">
        <f>AND('GA55 Entry'!S265,"AAAAAGK/7Hc=")</f>
        <v>#VALUE!</v>
      </c>
      <c r="DQ99" t="e">
        <f>AND('GA55 Entry'!#REF!,"AAAAAGK/7Hg=")</f>
        <v>#REF!</v>
      </c>
      <c r="DR99" t="e">
        <f>AND('GA55 Entry'!T265,"AAAAAGK/7Hk=")</f>
        <v>#VALUE!</v>
      </c>
      <c r="DS99" t="e">
        <f>AND('GA55 Entry'!U265,"AAAAAGK/7Ho=")</f>
        <v>#VALUE!</v>
      </c>
      <c r="DT99" t="e">
        <f>AND('GA55 Entry'!V265,"AAAAAGK/7Hs=")</f>
        <v>#VALUE!</v>
      </c>
      <c r="DU99" t="e">
        <f>AND('GA55 Entry'!#REF!,"AAAAAGK/7Hw=")</f>
        <v>#REF!</v>
      </c>
      <c r="DV99" t="e">
        <f>AND('GA55 Entry'!#REF!,"AAAAAGK/7H0=")</f>
        <v>#REF!</v>
      </c>
      <c r="DW99" t="e">
        <f>AND('GA55 Entry'!X265,"AAAAAGK/7H4=")</f>
        <v>#VALUE!</v>
      </c>
      <c r="DX99" t="e">
        <f>AND('GA55 Entry'!Y265,"AAAAAGK/7H8=")</f>
        <v>#VALUE!</v>
      </c>
      <c r="DY99" t="e">
        <f>AND('GA55 Entry'!#REF!,"AAAAAGK/7IA=")</f>
        <v>#REF!</v>
      </c>
      <c r="DZ99" t="e">
        <f>AND('GA55 Entry'!#REF!,"AAAAAGK/7IE=")</f>
        <v>#REF!</v>
      </c>
      <c r="EA99" t="e">
        <f>AND('GA55 Entry'!#REF!,"AAAAAGK/7II=")</f>
        <v>#REF!</v>
      </c>
      <c r="EB99" t="e">
        <f>AND('GA55 Entry'!#REF!,"AAAAAGK/7IM=")</f>
        <v>#REF!</v>
      </c>
      <c r="EC99" t="e">
        <f>AND('GA55 Entry'!#REF!,"AAAAAGK/7IQ=")</f>
        <v>#REF!</v>
      </c>
      <c r="ED99" t="e">
        <f>AND('GA55 Entry'!#REF!,"AAAAAGK/7IU=")</f>
        <v>#REF!</v>
      </c>
      <c r="EE99" t="e">
        <f>AND('GA55 Entry'!#REF!,"AAAAAGK/7IY=")</f>
        <v>#REF!</v>
      </c>
      <c r="EF99" t="e">
        <f>AND('GA55 Entry'!#REF!,"AAAAAGK/7Ic=")</f>
        <v>#REF!</v>
      </c>
      <c r="EG99" t="e">
        <f>AND('GA55 Entry'!#REF!,"AAAAAGK/7Ig=")</f>
        <v>#REF!</v>
      </c>
      <c r="EH99" t="e">
        <f>AND('GA55 Entry'!Z265,"AAAAAGK/7Ik=")</f>
        <v>#VALUE!</v>
      </c>
      <c r="EI99" t="e">
        <f>AND('GA55 Entry'!AA265,"AAAAAGK/7Io=")</f>
        <v>#VALUE!</v>
      </c>
      <c r="EJ99" t="e">
        <f>AND('GA55 Entry'!#REF!,"AAAAAGK/7Is=")</f>
        <v>#REF!</v>
      </c>
      <c r="EK99" t="e">
        <f>AND('GA55 Entry'!#REF!,"AAAAAGK/7Iw=")</f>
        <v>#REF!</v>
      </c>
      <c r="EL99" t="e">
        <f>AND('GA55 Entry'!#REF!,"AAAAAGK/7I0=")</f>
        <v>#REF!</v>
      </c>
      <c r="EM99" t="e">
        <f>AND('GA55 Entry'!AB265,"AAAAAGK/7I4=")</f>
        <v>#VALUE!</v>
      </c>
      <c r="EN99" t="e">
        <f>AND('GA55 Entry'!AC265,"AAAAAGK/7I8=")</f>
        <v>#VALUE!</v>
      </c>
      <c r="EO99" t="e">
        <f>AND('GA55 Entry'!#REF!,"AAAAAGK/7JA=")</f>
        <v>#REF!</v>
      </c>
      <c r="EP99">
        <f>IF('GA55 Entry'!266:266,"AAAAAGK/7JE=",0)</f>
        <v>0</v>
      </c>
      <c r="EQ99" t="e">
        <f>AND('GA55 Entry'!B266,"AAAAAGK/7JI=")</f>
        <v>#VALUE!</v>
      </c>
      <c r="ER99" t="e">
        <f>AND('GA55 Entry'!#REF!,"AAAAAGK/7JM=")</f>
        <v>#REF!</v>
      </c>
      <c r="ES99" t="e">
        <f>AND('GA55 Entry'!C266,"AAAAAGK/7JQ=")</f>
        <v>#VALUE!</v>
      </c>
      <c r="ET99" t="e">
        <f>AND('GA55 Entry'!#REF!,"AAAAAGK/7JU=")</f>
        <v>#REF!</v>
      </c>
      <c r="EU99" t="e">
        <f>AND('GA55 Entry'!#REF!,"AAAAAGK/7JY=")</f>
        <v>#REF!</v>
      </c>
      <c r="EV99" t="e">
        <f>AND('GA55 Entry'!#REF!,"AAAAAGK/7Jc=")</f>
        <v>#REF!</v>
      </c>
      <c r="EW99" t="e">
        <f>AND('GA55 Entry'!#REF!,"AAAAAGK/7Jg=")</f>
        <v>#REF!</v>
      </c>
      <c r="EX99" t="e">
        <f>AND('GA55 Entry'!#REF!,"AAAAAGK/7Jk=")</f>
        <v>#REF!</v>
      </c>
      <c r="EY99" t="e">
        <f>AND('GA55 Entry'!D266,"AAAAAGK/7Jo=")</f>
        <v>#VALUE!</v>
      </c>
      <c r="EZ99" t="e">
        <f>AND('GA55 Entry'!#REF!,"AAAAAGK/7Js=")</f>
        <v>#REF!</v>
      </c>
      <c r="FA99" t="e">
        <f>AND('GA55 Entry'!E266,"AAAAAGK/7Jw=")</f>
        <v>#VALUE!</v>
      </c>
      <c r="FB99" t="e">
        <f>AND('GA55 Entry'!F266,"AAAAAGK/7J0=")</f>
        <v>#VALUE!</v>
      </c>
      <c r="FC99" t="e">
        <f>AND('GA55 Entry'!G266,"AAAAAGK/7J4=")</f>
        <v>#VALUE!</v>
      </c>
      <c r="FD99" t="e">
        <f>AND('GA55 Entry'!H266,"AAAAAGK/7J8=")</f>
        <v>#VALUE!</v>
      </c>
      <c r="FE99" t="e">
        <f>AND('GA55 Entry'!I266,"AAAAAGK/7KA=")</f>
        <v>#VALUE!</v>
      </c>
      <c r="FF99" t="e">
        <f>AND('GA55 Entry'!J266,"AAAAAGK/7KE=")</f>
        <v>#VALUE!</v>
      </c>
      <c r="FG99" t="e">
        <f>AND('GA55 Entry'!#REF!,"AAAAAGK/7KI=")</f>
        <v>#REF!</v>
      </c>
      <c r="FH99" t="e">
        <f>AND('GA55 Entry'!K266,"AAAAAGK/7KM=")</f>
        <v>#VALUE!</v>
      </c>
      <c r="FI99" t="e">
        <f>AND('GA55 Entry'!L266,"AAAAAGK/7KQ=")</f>
        <v>#VALUE!</v>
      </c>
      <c r="FJ99" t="e">
        <f>AND('GA55 Entry'!M266,"AAAAAGK/7KU=")</f>
        <v>#VALUE!</v>
      </c>
      <c r="FK99" t="e">
        <f>AND('GA55 Entry'!N266,"AAAAAGK/7KY=")</f>
        <v>#VALUE!</v>
      </c>
      <c r="FL99" t="e">
        <f>AND('GA55 Entry'!O266,"AAAAAGK/7Kc=")</f>
        <v>#VALUE!</v>
      </c>
      <c r="FM99" t="e">
        <f>AND('GA55 Entry'!P266,"AAAAAGK/7Kg=")</f>
        <v>#VALUE!</v>
      </c>
      <c r="FN99" t="e">
        <f>AND('GA55 Entry'!Q266,"AAAAAGK/7Kk=")</f>
        <v>#VALUE!</v>
      </c>
      <c r="FO99" t="e">
        <f>AND('GA55 Entry'!S266,"AAAAAGK/7Ko=")</f>
        <v>#VALUE!</v>
      </c>
      <c r="FP99" t="e">
        <f>AND('GA55 Entry'!#REF!,"AAAAAGK/7Ks=")</f>
        <v>#REF!</v>
      </c>
      <c r="FQ99" t="e">
        <f>AND('GA55 Entry'!T266,"AAAAAGK/7Kw=")</f>
        <v>#VALUE!</v>
      </c>
      <c r="FR99" t="e">
        <f>AND('GA55 Entry'!U266,"AAAAAGK/7K0=")</f>
        <v>#VALUE!</v>
      </c>
      <c r="FS99" t="e">
        <f>AND('GA55 Entry'!V266,"AAAAAGK/7K4=")</f>
        <v>#VALUE!</v>
      </c>
      <c r="FT99" t="e">
        <f>AND('GA55 Entry'!#REF!,"AAAAAGK/7K8=")</f>
        <v>#REF!</v>
      </c>
      <c r="FU99" t="e">
        <f>AND('GA55 Entry'!#REF!,"AAAAAGK/7LA=")</f>
        <v>#REF!</v>
      </c>
      <c r="FV99" t="e">
        <f>AND('GA55 Entry'!X266,"AAAAAGK/7LE=")</f>
        <v>#VALUE!</v>
      </c>
      <c r="FW99" t="e">
        <f>AND('GA55 Entry'!Y266,"AAAAAGK/7LI=")</f>
        <v>#VALUE!</v>
      </c>
      <c r="FX99" t="e">
        <f>AND('GA55 Entry'!#REF!,"AAAAAGK/7LM=")</f>
        <v>#REF!</v>
      </c>
      <c r="FY99" t="e">
        <f>AND('GA55 Entry'!#REF!,"AAAAAGK/7LQ=")</f>
        <v>#REF!</v>
      </c>
      <c r="FZ99" t="e">
        <f>AND('GA55 Entry'!#REF!,"AAAAAGK/7LU=")</f>
        <v>#REF!</v>
      </c>
      <c r="GA99" t="e">
        <f>AND('GA55 Entry'!#REF!,"AAAAAGK/7LY=")</f>
        <v>#REF!</v>
      </c>
      <c r="GB99" t="e">
        <f>AND('GA55 Entry'!#REF!,"AAAAAGK/7Lc=")</f>
        <v>#REF!</v>
      </c>
      <c r="GC99" t="e">
        <f>AND('GA55 Entry'!#REF!,"AAAAAGK/7Lg=")</f>
        <v>#REF!</v>
      </c>
      <c r="GD99" t="e">
        <f>AND('GA55 Entry'!#REF!,"AAAAAGK/7Lk=")</f>
        <v>#REF!</v>
      </c>
      <c r="GE99" t="e">
        <f>AND('GA55 Entry'!#REF!,"AAAAAGK/7Lo=")</f>
        <v>#REF!</v>
      </c>
      <c r="GF99" t="e">
        <f>AND('GA55 Entry'!#REF!,"AAAAAGK/7Ls=")</f>
        <v>#REF!</v>
      </c>
      <c r="GG99" t="e">
        <f>AND('GA55 Entry'!Z266,"AAAAAGK/7Lw=")</f>
        <v>#VALUE!</v>
      </c>
      <c r="GH99" t="e">
        <f>AND('GA55 Entry'!AA266,"AAAAAGK/7L0=")</f>
        <v>#VALUE!</v>
      </c>
      <c r="GI99" t="e">
        <f>AND('GA55 Entry'!#REF!,"AAAAAGK/7L4=")</f>
        <v>#REF!</v>
      </c>
      <c r="GJ99" t="e">
        <f>AND('GA55 Entry'!#REF!,"AAAAAGK/7L8=")</f>
        <v>#REF!</v>
      </c>
      <c r="GK99" t="e">
        <f>AND('GA55 Entry'!#REF!,"AAAAAGK/7MA=")</f>
        <v>#REF!</v>
      </c>
      <c r="GL99" t="e">
        <f>AND('GA55 Entry'!AB266,"AAAAAGK/7ME=")</f>
        <v>#VALUE!</v>
      </c>
      <c r="GM99" t="e">
        <f>AND('GA55 Entry'!AC266,"AAAAAGK/7MI=")</f>
        <v>#VALUE!</v>
      </c>
      <c r="GN99" t="e">
        <f>AND('GA55 Entry'!#REF!,"AAAAAGK/7MM=")</f>
        <v>#REF!</v>
      </c>
      <c r="GO99">
        <f>IF('GA55 Entry'!267:267,"AAAAAGK/7MQ=",0)</f>
        <v>0</v>
      </c>
      <c r="GP99" t="e">
        <f>AND('GA55 Entry'!B267,"AAAAAGK/7MU=")</f>
        <v>#VALUE!</v>
      </c>
      <c r="GQ99" t="e">
        <f>AND('GA55 Entry'!#REF!,"AAAAAGK/7MY=")</f>
        <v>#REF!</v>
      </c>
      <c r="GR99" t="e">
        <f>AND('GA55 Entry'!C267,"AAAAAGK/7Mc=")</f>
        <v>#VALUE!</v>
      </c>
      <c r="GS99" t="e">
        <f>AND('GA55 Entry'!#REF!,"AAAAAGK/7Mg=")</f>
        <v>#REF!</v>
      </c>
      <c r="GT99" t="e">
        <f>AND('GA55 Entry'!#REF!,"AAAAAGK/7Mk=")</f>
        <v>#REF!</v>
      </c>
      <c r="GU99" t="e">
        <f>AND('GA55 Entry'!#REF!,"AAAAAGK/7Mo=")</f>
        <v>#REF!</v>
      </c>
      <c r="GV99" t="e">
        <f>AND('GA55 Entry'!#REF!,"AAAAAGK/7Ms=")</f>
        <v>#REF!</v>
      </c>
      <c r="GW99" t="e">
        <f>AND('GA55 Entry'!#REF!,"AAAAAGK/7Mw=")</f>
        <v>#REF!</v>
      </c>
      <c r="GX99" t="e">
        <f>AND('GA55 Entry'!D267,"AAAAAGK/7M0=")</f>
        <v>#VALUE!</v>
      </c>
      <c r="GY99" t="e">
        <f>AND('GA55 Entry'!#REF!,"AAAAAGK/7M4=")</f>
        <v>#REF!</v>
      </c>
      <c r="GZ99" t="e">
        <f>AND('GA55 Entry'!E267,"AAAAAGK/7M8=")</f>
        <v>#VALUE!</v>
      </c>
      <c r="HA99" t="e">
        <f>AND('GA55 Entry'!F267,"AAAAAGK/7NA=")</f>
        <v>#VALUE!</v>
      </c>
      <c r="HB99" t="e">
        <f>AND('GA55 Entry'!G267,"AAAAAGK/7NE=")</f>
        <v>#VALUE!</v>
      </c>
      <c r="HC99" t="e">
        <f>AND('GA55 Entry'!H267,"AAAAAGK/7NI=")</f>
        <v>#VALUE!</v>
      </c>
      <c r="HD99" t="e">
        <f>AND('GA55 Entry'!I267,"AAAAAGK/7NM=")</f>
        <v>#VALUE!</v>
      </c>
      <c r="HE99" t="e">
        <f>AND('GA55 Entry'!J267,"AAAAAGK/7NQ=")</f>
        <v>#VALUE!</v>
      </c>
      <c r="HF99" t="e">
        <f>AND('GA55 Entry'!#REF!,"AAAAAGK/7NU=")</f>
        <v>#REF!</v>
      </c>
      <c r="HG99" t="e">
        <f>AND('GA55 Entry'!K267,"AAAAAGK/7NY=")</f>
        <v>#VALUE!</v>
      </c>
      <c r="HH99" t="e">
        <f>AND('GA55 Entry'!L267,"AAAAAGK/7Nc=")</f>
        <v>#VALUE!</v>
      </c>
      <c r="HI99" t="e">
        <f>AND('GA55 Entry'!M267,"AAAAAGK/7Ng=")</f>
        <v>#VALUE!</v>
      </c>
      <c r="HJ99" t="e">
        <f>AND('GA55 Entry'!N267,"AAAAAGK/7Nk=")</f>
        <v>#VALUE!</v>
      </c>
      <c r="HK99" t="e">
        <f>AND('GA55 Entry'!O267,"AAAAAGK/7No=")</f>
        <v>#VALUE!</v>
      </c>
      <c r="HL99" t="e">
        <f>AND('GA55 Entry'!P267,"AAAAAGK/7Ns=")</f>
        <v>#VALUE!</v>
      </c>
      <c r="HM99" t="e">
        <f>AND('GA55 Entry'!Q267,"AAAAAGK/7Nw=")</f>
        <v>#VALUE!</v>
      </c>
      <c r="HN99" t="e">
        <f>AND('GA55 Entry'!S267,"AAAAAGK/7N0=")</f>
        <v>#VALUE!</v>
      </c>
      <c r="HO99" t="e">
        <f>AND('GA55 Entry'!#REF!,"AAAAAGK/7N4=")</f>
        <v>#REF!</v>
      </c>
      <c r="HP99" t="e">
        <f>AND('GA55 Entry'!T267,"AAAAAGK/7N8=")</f>
        <v>#VALUE!</v>
      </c>
      <c r="HQ99" t="e">
        <f>AND('GA55 Entry'!U267,"AAAAAGK/7OA=")</f>
        <v>#VALUE!</v>
      </c>
      <c r="HR99" t="e">
        <f>AND('GA55 Entry'!V267,"AAAAAGK/7OE=")</f>
        <v>#VALUE!</v>
      </c>
      <c r="HS99" t="e">
        <f>AND('GA55 Entry'!#REF!,"AAAAAGK/7OI=")</f>
        <v>#REF!</v>
      </c>
      <c r="HT99" t="e">
        <f>AND('GA55 Entry'!#REF!,"AAAAAGK/7OM=")</f>
        <v>#REF!</v>
      </c>
      <c r="HU99" t="e">
        <f>AND('GA55 Entry'!X267,"AAAAAGK/7OQ=")</f>
        <v>#VALUE!</v>
      </c>
      <c r="HV99" t="e">
        <f>AND('GA55 Entry'!Y267,"AAAAAGK/7OU=")</f>
        <v>#VALUE!</v>
      </c>
      <c r="HW99" t="e">
        <f>AND('GA55 Entry'!#REF!,"AAAAAGK/7OY=")</f>
        <v>#REF!</v>
      </c>
      <c r="HX99" t="e">
        <f>AND('GA55 Entry'!#REF!,"AAAAAGK/7Oc=")</f>
        <v>#REF!</v>
      </c>
      <c r="HY99" t="e">
        <f>AND('GA55 Entry'!#REF!,"AAAAAGK/7Og=")</f>
        <v>#REF!</v>
      </c>
      <c r="HZ99" t="e">
        <f>AND('GA55 Entry'!#REF!,"AAAAAGK/7Ok=")</f>
        <v>#REF!</v>
      </c>
      <c r="IA99" t="e">
        <f>AND('GA55 Entry'!#REF!,"AAAAAGK/7Oo=")</f>
        <v>#REF!</v>
      </c>
      <c r="IB99" t="e">
        <f>AND('GA55 Entry'!#REF!,"AAAAAGK/7Os=")</f>
        <v>#REF!</v>
      </c>
      <c r="IC99" t="e">
        <f>AND('GA55 Entry'!#REF!,"AAAAAGK/7Ow=")</f>
        <v>#REF!</v>
      </c>
      <c r="ID99" t="e">
        <f>AND('GA55 Entry'!#REF!,"AAAAAGK/7O0=")</f>
        <v>#REF!</v>
      </c>
      <c r="IE99" t="e">
        <f>AND('GA55 Entry'!#REF!,"AAAAAGK/7O4=")</f>
        <v>#REF!</v>
      </c>
      <c r="IF99" t="e">
        <f>AND('GA55 Entry'!Z267,"AAAAAGK/7O8=")</f>
        <v>#VALUE!</v>
      </c>
      <c r="IG99" t="e">
        <f>AND('GA55 Entry'!AA267,"AAAAAGK/7PA=")</f>
        <v>#VALUE!</v>
      </c>
      <c r="IH99" t="e">
        <f>AND('GA55 Entry'!#REF!,"AAAAAGK/7PE=")</f>
        <v>#REF!</v>
      </c>
      <c r="II99" t="e">
        <f>AND('GA55 Entry'!#REF!,"AAAAAGK/7PI=")</f>
        <v>#REF!</v>
      </c>
      <c r="IJ99" t="e">
        <f>AND('GA55 Entry'!#REF!,"AAAAAGK/7PM=")</f>
        <v>#REF!</v>
      </c>
      <c r="IK99" t="e">
        <f>AND('GA55 Entry'!AB267,"AAAAAGK/7PQ=")</f>
        <v>#VALUE!</v>
      </c>
      <c r="IL99" t="e">
        <f>AND('GA55 Entry'!AC267,"AAAAAGK/7PU=")</f>
        <v>#VALUE!</v>
      </c>
      <c r="IM99" t="e">
        <f>AND('GA55 Entry'!#REF!,"AAAAAGK/7PY=")</f>
        <v>#REF!</v>
      </c>
      <c r="IN99">
        <f>IF('GA55 Entry'!268:268,"AAAAAGK/7Pc=",0)</f>
        <v>0</v>
      </c>
      <c r="IO99" t="e">
        <f>AND('GA55 Entry'!B268,"AAAAAGK/7Pg=")</f>
        <v>#VALUE!</v>
      </c>
      <c r="IP99" t="e">
        <f>AND('GA55 Entry'!#REF!,"AAAAAGK/7Pk=")</f>
        <v>#REF!</v>
      </c>
      <c r="IQ99" t="e">
        <f>AND('GA55 Entry'!C268,"AAAAAGK/7Po=")</f>
        <v>#VALUE!</v>
      </c>
      <c r="IR99" t="e">
        <f>AND('GA55 Entry'!#REF!,"AAAAAGK/7Ps=")</f>
        <v>#REF!</v>
      </c>
      <c r="IS99" t="e">
        <f>AND('GA55 Entry'!#REF!,"AAAAAGK/7Pw=")</f>
        <v>#REF!</v>
      </c>
      <c r="IT99" t="e">
        <f>AND('GA55 Entry'!#REF!,"AAAAAGK/7P0=")</f>
        <v>#REF!</v>
      </c>
      <c r="IU99" t="e">
        <f>AND('GA55 Entry'!#REF!,"AAAAAGK/7P4=")</f>
        <v>#REF!</v>
      </c>
      <c r="IV99" t="e">
        <f>AND('GA55 Entry'!#REF!,"AAAAAGK/7P8=")</f>
        <v>#REF!</v>
      </c>
    </row>
    <row r="100" spans="1:256">
      <c r="A100" t="e">
        <f>AND('GA55 Entry'!D268,"AAAAAD/06wA=")</f>
        <v>#VALUE!</v>
      </c>
      <c r="B100" t="e">
        <f>AND('GA55 Entry'!#REF!,"AAAAAD/06wE=")</f>
        <v>#REF!</v>
      </c>
      <c r="C100" t="e">
        <f>AND('GA55 Entry'!E268,"AAAAAD/06wI=")</f>
        <v>#VALUE!</v>
      </c>
      <c r="D100" t="e">
        <f>AND('GA55 Entry'!F268,"AAAAAD/06wM=")</f>
        <v>#VALUE!</v>
      </c>
      <c r="E100" t="e">
        <f>AND('GA55 Entry'!G268,"AAAAAD/06wQ=")</f>
        <v>#VALUE!</v>
      </c>
      <c r="F100" t="e">
        <f>AND('GA55 Entry'!H268,"AAAAAD/06wU=")</f>
        <v>#VALUE!</v>
      </c>
      <c r="G100" t="e">
        <f>AND('GA55 Entry'!I268,"AAAAAD/06wY=")</f>
        <v>#VALUE!</v>
      </c>
      <c r="H100" t="e">
        <f>AND('GA55 Entry'!J268,"AAAAAD/06wc=")</f>
        <v>#VALUE!</v>
      </c>
      <c r="I100" t="e">
        <f>AND('GA55 Entry'!#REF!,"AAAAAD/06wg=")</f>
        <v>#REF!</v>
      </c>
      <c r="J100" t="e">
        <f>AND('GA55 Entry'!K268,"AAAAAD/06wk=")</f>
        <v>#VALUE!</v>
      </c>
      <c r="K100" t="e">
        <f>AND('GA55 Entry'!L268,"AAAAAD/06wo=")</f>
        <v>#VALUE!</v>
      </c>
      <c r="L100" t="e">
        <f>AND('GA55 Entry'!M268,"AAAAAD/06ws=")</f>
        <v>#VALUE!</v>
      </c>
      <c r="M100" t="e">
        <f>AND('GA55 Entry'!N268,"AAAAAD/06ww=")</f>
        <v>#VALUE!</v>
      </c>
      <c r="N100" t="e">
        <f>AND('GA55 Entry'!O268,"AAAAAD/06w0=")</f>
        <v>#VALUE!</v>
      </c>
      <c r="O100" t="e">
        <f>AND('GA55 Entry'!P268,"AAAAAD/06w4=")</f>
        <v>#VALUE!</v>
      </c>
      <c r="P100" t="e">
        <f>AND('GA55 Entry'!Q268,"AAAAAD/06w8=")</f>
        <v>#VALUE!</v>
      </c>
      <c r="Q100" t="e">
        <f>AND('GA55 Entry'!S268,"AAAAAD/06xA=")</f>
        <v>#VALUE!</v>
      </c>
      <c r="R100" t="e">
        <f>AND('GA55 Entry'!#REF!,"AAAAAD/06xE=")</f>
        <v>#REF!</v>
      </c>
      <c r="S100" t="e">
        <f>AND('GA55 Entry'!T268,"AAAAAD/06xI=")</f>
        <v>#VALUE!</v>
      </c>
      <c r="T100" t="e">
        <f>AND('GA55 Entry'!U268,"AAAAAD/06xM=")</f>
        <v>#VALUE!</v>
      </c>
      <c r="U100" t="e">
        <f>AND('GA55 Entry'!V268,"AAAAAD/06xQ=")</f>
        <v>#VALUE!</v>
      </c>
      <c r="V100" t="e">
        <f>AND('GA55 Entry'!#REF!,"AAAAAD/06xU=")</f>
        <v>#REF!</v>
      </c>
      <c r="W100" t="e">
        <f>AND('GA55 Entry'!#REF!,"AAAAAD/06xY=")</f>
        <v>#REF!</v>
      </c>
      <c r="X100" t="e">
        <f>AND('GA55 Entry'!X268,"AAAAAD/06xc=")</f>
        <v>#VALUE!</v>
      </c>
      <c r="Y100" t="e">
        <f>AND('GA55 Entry'!Y268,"AAAAAD/06xg=")</f>
        <v>#VALUE!</v>
      </c>
      <c r="Z100" t="e">
        <f>AND('GA55 Entry'!#REF!,"AAAAAD/06xk=")</f>
        <v>#REF!</v>
      </c>
      <c r="AA100" t="e">
        <f>AND('GA55 Entry'!#REF!,"AAAAAD/06xo=")</f>
        <v>#REF!</v>
      </c>
      <c r="AB100" t="e">
        <f>AND('GA55 Entry'!#REF!,"AAAAAD/06xs=")</f>
        <v>#REF!</v>
      </c>
      <c r="AC100" t="e">
        <f>AND('GA55 Entry'!#REF!,"AAAAAD/06xw=")</f>
        <v>#REF!</v>
      </c>
      <c r="AD100" t="e">
        <f>AND('GA55 Entry'!#REF!,"AAAAAD/06x0=")</f>
        <v>#REF!</v>
      </c>
      <c r="AE100" t="e">
        <f>AND('GA55 Entry'!#REF!,"AAAAAD/06x4=")</f>
        <v>#REF!</v>
      </c>
      <c r="AF100" t="e">
        <f>AND('GA55 Entry'!#REF!,"AAAAAD/06x8=")</f>
        <v>#REF!</v>
      </c>
      <c r="AG100" t="e">
        <f>AND('GA55 Entry'!#REF!,"AAAAAD/06yA=")</f>
        <v>#REF!</v>
      </c>
      <c r="AH100" t="e">
        <f>AND('GA55 Entry'!#REF!,"AAAAAD/06yE=")</f>
        <v>#REF!</v>
      </c>
      <c r="AI100" t="e">
        <f>AND('GA55 Entry'!Z268,"AAAAAD/06yI=")</f>
        <v>#VALUE!</v>
      </c>
      <c r="AJ100" t="e">
        <f>AND('GA55 Entry'!AA268,"AAAAAD/06yM=")</f>
        <v>#VALUE!</v>
      </c>
      <c r="AK100" t="e">
        <f>AND('GA55 Entry'!#REF!,"AAAAAD/06yQ=")</f>
        <v>#REF!</v>
      </c>
      <c r="AL100" t="e">
        <f>AND('GA55 Entry'!#REF!,"AAAAAD/06yU=")</f>
        <v>#REF!</v>
      </c>
      <c r="AM100" t="e">
        <f>AND('GA55 Entry'!#REF!,"AAAAAD/06yY=")</f>
        <v>#REF!</v>
      </c>
      <c r="AN100" t="e">
        <f>AND('GA55 Entry'!AB268,"AAAAAD/06yc=")</f>
        <v>#VALUE!</v>
      </c>
      <c r="AO100" t="e">
        <f>AND('GA55 Entry'!AC268,"AAAAAD/06yg=")</f>
        <v>#VALUE!</v>
      </c>
      <c r="AP100" t="e">
        <f>AND('GA55 Entry'!#REF!,"AAAAAD/06yk=")</f>
        <v>#REF!</v>
      </c>
      <c r="AQ100">
        <f>IF('GA55 Entry'!269:269,"AAAAAD/06yo=",0)</f>
        <v>0</v>
      </c>
      <c r="AR100" t="e">
        <f>AND('GA55 Entry'!B269,"AAAAAD/06ys=")</f>
        <v>#VALUE!</v>
      </c>
      <c r="AS100" t="e">
        <f>AND('GA55 Entry'!#REF!,"AAAAAD/06yw=")</f>
        <v>#REF!</v>
      </c>
      <c r="AT100" t="e">
        <f>AND('GA55 Entry'!C269,"AAAAAD/06y0=")</f>
        <v>#VALUE!</v>
      </c>
      <c r="AU100" t="e">
        <f>AND('GA55 Entry'!#REF!,"AAAAAD/06y4=")</f>
        <v>#REF!</v>
      </c>
      <c r="AV100" t="e">
        <f>AND('GA55 Entry'!#REF!,"AAAAAD/06y8=")</f>
        <v>#REF!</v>
      </c>
      <c r="AW100" t="e">
        <f>AND('GA55 Entry'!#REF!,"AAAAAD/06zA=")</f>
        <v>#REF!</v>
      </c>
      <c r="AX100" t="e">
        <f>AND('GA55 Entry'!#REF!,"AAAAAD/06zE=")</f>
        <v>#REF!</v>
      </c>
      <c r="AY100" t="e">
        <f>AND('GA55 Entry'!#REF!,"AAAAAD/06zI=")</f>
        <v>#REF!</v>
      </c>
      <c r="AZ100" t="e">
        <f>AND('GA55 Entry'!D269,"AAAAAD/06zM=")</f>
        <v>#VALUE!</v>
      </c>
      <c r="BA100" t="e">
        <f>AND('GA55 Entry'!#REF!,"AAAAAD/06zQ=")</f>
        <v>#REF!</v>
      </c>
      <c r="BB100" t="e">
        <f>AND('GA55 Entry'!E269,"AAAAAD/06zU=")</f>
        <v>#VALUE!</v>
      </c>
      <c r="BC100" t="e">
        <f>AND('GA55 Entry'!F269,"AAAAAD/06zY=")</f>
        <v>#VALUE!</v>
      </c>
      <c r="BD100" t="e">
        <f>AND('GA55 Entry'!G269,"AAAAAD/06zc=")</f>
        <v>#VALUE!</v>
      </c>
      <c r="BE100" t="e">
        <f>AND('GA55 Entry'!H269,"AAAAAD/06zg=")</f>
        <v>#VALUE!</v>
      </c>
      <c r="BF100" t="e">
        <f>AND('GA55 Entry'!I269,"AAAAAD/06zk=")</f>
        <v>#VALUE!</v>
      </c>
      <c r="BG100" t="e">
        <f>AND('GA55 Entry'!J269,"AAAAAD/06zo=")</f>
        <v>#VALUE!</v>
      </c>
      <c r="BH100" t="e">
        <f>AND('GA55 Entry'!#REF!,"AAAAAD/06zs=")</f>
        <v>#REF!</v>
      </c>
      <c r="BI100" t="e">
        <f>AND('GA55 Entry'!K269,"AAAAAD/06zw=")</f>
        <v>#VALUE!</v>
      </c>
      <c r="BJ100" t="e">
        <f>AND('GA55 Entry'!L269,"AAAAAD/06z0=")</f>
        <v>#VALUE!</v>
      </c>
      <c r="BK100" t="e">
        <f>AND('GA55 Entry'!M269,"AAAAAD/06z4=")</f>
        <v>#VALUE!</v>
      </c>
      <c r="BL100" t="e">
        <f>AND('GA55 Entry'!N269,"AAAAAD/06z8=")</f>
        <v>#VALUE!</v>
      </c>
      <c r="BM100" t="e">
        <f>AND('GA55 Entry'!O269,"AAAAAD/060A=")</f>
        <v>#VALUE!</v>
      </c>
      <c r="BN100" t="e">
        <f>AND('GA55 Entry'!P269,"AAAAAD/060E=")</f>
        <v>#VALUE!</v>
      </c>
      <c r="BO100" t="e">
        <f>AND('GA55 Entry'!Q269,"AAAAAD/060I=")</f>
        <v>#VALUE!</v>
      </c>
      <c r="BP100" t="e">
        <f>AND('GA55 Entry'!S269,"AAAAAD/060M=")</f>
        <v>#VALUE!</v>
      </c>
      <c r="BQ100" t="e">
        <f>AND('GA55 Entry'!#REF!,"AAAAAD/060Q=")</f>
        <v>#REF!</v>
      </c>
      <c r="BR100" t="e">
        <f>AND('GA55 Entry'!T269,"AAAAAD/060U=")</f>
        <v>#VALUE!</v>
      </c>
      <c r="BS100" t="e">
        <f>AND('GA55 Entry'!U269,"AAAAAD/060Y=")</f>
        <v>#VALUE!</v>
      </c>
      <c r="BT100" t="e">
        <f>AND('GA55 Entry'!V269,"AAAAAD/060c=")</f>
        <v>#VALUE!</v>
      </c>
      <c r="BU100" t="e">
        <f>AND('GA55 Entry'!#REF!,"AAAAAD/060g=")</f>
        <v>#REF!</v>
      </c>
      <c r="BV100" t="e">
        <f>AND('GA55 Entry'!#REF!,"AAAAAD/060k=")</f>
        <v>#REF!</v>
      </c>
      <c r="BW100" t="e">
        <f>AND('GA55 Entry'!X269,"AAAAAD/060o=")</f>
        <v>#VALUE!</v>
      </c>
      <c r="BX100" t="e">
        <f>AND('GA55 Entry'!Y269,"AAAAAD/060s=")</f>
        <v>#VALUE!</v>
      </c>
      <c r="BY100" t="e">
        <f>AND('GA55 Entry'!#REF!,"AAAAAD/060w=")</f>
        <v>#REF!</v>
      </c>
      <c r="BZ100" t="e">
        <f>AND('GA55 Entry'!#REF!,"AAAAAD/0600=")</f>
        <v>#REF!</v>
      </c>
      <c r="CA100" t="e">
        <f>AND('GA55 Entry'!#REF!,"AAAAAD/0604=")</f>
        <v>#REF!</v>
      </c>
      <c r="CB100" t="e">
        <f>AND('GA55 Entry'!#REF!,"AAAAAD/0608=")</f>
        <v>#REF!</v>
      </c>
      <c r="CC100" t="e">
        <f>AND('GA55 Entry'!#REF!,"AAAAAD/061A=")</f>
        <v>#REF!</v>
      </c>
      <c r="CD100" t="e">
        <f>AND('GA55 Entry'!#REF!,"AAAAAD/061E=")</f>
        <v>#REF!</v>
      </c>
      <c r="CE100" t="e">
        <f>AND('GA55 Entry'!#REF!,"AAAAAD/061I=")</f>
        <v>#REF!</v>
      </c>
      <c r="CF100" t="e">
        <f>AND('GA55 Entry'!#REF!,"AAAAAD/061M=")</f>
        <v>#REF!</v>
      </c>
      <c r="CG100" t="e">
        <f>AND('GA55 Entry'!#REF!,"AAAAAD/061Q=")</f>
        <v>#REF!</v>
      </c>
      <c r="CH100" t="e">
        <f>AND('GA55 Entry'!Z269,"AAAAAD/061U=")</f>
        <v>#VALUE!</v>
      </c>
      <c r="CI100" t="e">
        <f>AND('GA55 Entry'!AA269,"AAAAAD/061Y=")</f>
        <v>#VALUE!</v>
      </c>
      <c r="CJ100" t="e">
        <f>AND('GA55 Entry'!#REF!,"AAAAAD/061c=")</f>
        <v>#REF!</v>
      </c>
      <c r="CK100" t="e">
        <f>AND('GA55 Entry'!#REF!,"AAAAAD/061g=")</f>
        <v>#REF!</v>
      </c>
      <c r="CL100" t="e">
        <f>AND('GA55 Entry'!#REF!,"AAAAAD/061k=")</f>
        <v>#REF!</v>
      </c>
      <c r="CM100" t="e">
        <f>AND('GA55 Entry'!AB269,"AAAAAD/061o=")</f>
        <v>#VALUE!</v>
      </c>
      <c r="CN100" t="e">
        <f>AND('GA55 Entry'!AC269,"AAAAAD/061s=")</f>
        <v>#VALUE!</v>
      </c>
      <c r="CO100" t="e">
        <f>AND('GA55 Entry'!#REF!,"AAAAAD/061w=")</f>
        <v>#REF!</v>
      </c>
      <c r="CP100">
        <f>IF('GA55 Entry'!270:270,"AAAAAD/0610=",0)</f>
        <v>0</v>
      </c>
      <c r="CQ100" t="e">
        <f>AND('GA55 Entry'!B270,"AAAAAD/0614=")</f>
        <v>#VALUE!</v>
      </c>
      <c r="CR100" t="e">
        <f>AND('GA55 Entry'!#REF!,"AAAAAD/0618=")</f>
        <v>#REF!</v>
      </c>
      <c r="CS100" t="e">
        <f>AND('GA55 Entry'!C270,"AAAAAD/062A=")</f>
        <v>#VALUE!</v>
      </c>
      <c r="CT100" t="e">
        <f>AND('GA55 Entry'!#REF!,"AAAAAD/062E=")</f>
        <v>#REF!</v>
      </c>
      <c r="CU100" t="e">
        <f>AND('GA55 Entry'!#REF!,"AAAAAD/062I=")</f>
        <v>#REF!</v>
      </c>
      <c r="CV100" t="e">
        <f>AND('GA55 Entry'!#REF!,"AAAAAD/062M=")</f>
        <v>#REF!</v>
      </c>
      <c r="CW100" t="e">
        <f>AND('GA55 Entry'!#REF!,"AAAAAD/062Q=")</f>
        <v>#REF!</v>
      </c>
      <c r="CX100" t="e">
        <f>AND('GA55 Entry'!#REF!,"AAAAAD/062U=")</f>
        <v>#REF!</v>
      </c>
      <c r="CY100" t="e">
        <f>AND('GA55 Entry'!D270,"AAAAAD/062Y=")</f>
        <v>#VALUE!</v>
      </c>
      <c r="CZ100" t="e">
        <f>AND('GA55 Entry'!#REF!,"AAAAAD/062c=")</f>
        <v>#REF!</v>
      </c>
      <c r="DA100" t="e">
        <f>AND('GA55 Entry'!E270,"AAAAAD/062g=")</f>
        <v>#VALUE!</v>
      </c>
      <c r="DB100" t="e">
        <f>AND('GA55 Entry'!F270,"AAAAAD/062k=")</f>
        <v>#VALUE!</v>
      </c>
      <c r="DC100" t="e">
        <f>AND('GA55 Entry'!G270,"AAAAAD/062o=")</f>
        <v>#VALUE!</v>
      </c>
      <c r="DD100" t="e">
        <f>AND('GA55 Entry'!H270,"AAAAAD/062s=")</f>
        <v>#VALUE!</v>
      </c>
      <c r="DE100" t="e">
        <f>AND('GA55 Entry'!I270,"AAAAAD/062w=")</f>
        <v>#VALUE!</v>
      </c>
      <c r="DF100" t="e">
        <f>AND('GA55 Entry'!J270,"AAAAAD/0620=")</f>
        <v>#VALUE!</v>
      </c>
      <c r="DG100" t="e">
        <f>AND('GA55 Entry'!#REF!,"AAAAAD/0624=")</f>
        <v>#REF!</v>
      </c>
      <c r="DH100" t="e">
        <f>AND('GA55 Entry'!K270,"AAAAAD/0628=")</f>
        <v>#VALUE!</v>
      </c>
      <c r="DI100" t="e">
        <f>AND('GA55 Entry'!L270,"AAAAAD/063A=")</f>
        <v>#VALUE!</v>
      </c>
      <c r="DJ100" t="e">
        <f>AND('GA55 Entry'!M270,"AAAAAD/063E=")</f>
        <v>#VALUE!</v>
      </c>
      <c r="DK100" t="e">
        <f>AND('GA55 Entry'!N270,"AAAAAD/063I=")</f>
        <v>#VALUE!</v>
      </c>
      <c r="DL100" t="e">
        <f>AND('GA55 Entry'!O270,"AAAAAD/063M=")</f>
        <v>#VALUE!</v>
      </c>
      <c r="DM100" t="e">
        <f>AND('GA55 Entry'!P270,"AAAAAD/063Q=")</f>
        <v>#VALUE!</v>
      </c>
      <c r="DN100" t="e">
        <f>AND('GA55 Entry'!Q270,"AAAAAD/063U=")</f>
        <v>#VALUE!</v>
      </c>
      <c r="DO100" t="e">
        <f>AND('GA55 Entry'!S270,"AAAAAD/063Y=")</f>
        <v>#VALUE!</v>
      </c>
      <c r="DP100" t="e">
        <f>AND('GA55 Entry'!#REF!,"AAAAAD/063c=")</f>
        <v>#REF!</v>
      </c>
      <c r="DQ100" t="e">
        <f>AND('GA55 Entry'!T270,"AAAAAD/063g=")</f>
        <v>#VALUE!</v>
      </c>
      <c r="DR100" t="e">
        <f>AND('GA55 Entry'!U270,"AAAAAD/063k=")</f>
        <v>#VALUE!</v>
      </c>
      <c r="DS100" t="e">
        <f>AND('GA55 Entry'!V270,"AAAAAD/063o=")</f>
        <v>#VALUE!</v>
      </c>
      <c r="DT100" t="e">
        <f>AND('GA55 Entry'!#REF!,"AAAAAD/063s=")</f>
        <v>#REF!</v>
      </c>
      <c r="DU100" t="e">
        <f>AND('GA55 Entry'!#REF!,"AAAAAD/063w=")</f>
        <v>#REF!</v>
      </c>
      <c r="DV100" t="e">
        <f>AND('GA55 Entry'!X270,"AAAAAD/0630=")</f>
        <v>#VALUE!</v>
      </c>
      <c r="DW100" t="e">
        <f>AND('GA55 Entry'!Y270,"AAAAAD/0634=")</f>
        <v>#VALUE!</v>
      </c>
      <c r="DX100" t="e">
        <f>AND('GA55 Entry'!#REF!,"AAAAAD/0638=")</f>
        <v>#REF!</v>
      </c>
      <c r="DY100" t="e">
        <f>AND('GA55 Entry'!#REF!,"AAAAAD/064A=")</f>
        <v>#REF!</v>
      </c>
      <c r="DZ100" t="e">
        <f>AND('GA55 Entry'!#REF!,"AAAAAD/064E=")</f>
        <v>#REF!</v>
      </c>
      <c r="EA100" t="e">
        <f>AND('GA55 Entry'!#REF!,"AAAAAD/064I=")</f>
        <v>#REF!</v>
      </c>
      <c r="EB100" t="e">
        <f>AND('GA55 Entry'!#REF!,"AAAAAD/064M=")</f>
        <v>#REF!</v>
      </c>
      <c r="EC100" t="e">
        <f>AND('GA55 Entry'!#REF!,"AAAAAD/064Q=")</f>
        <v>#REF!</v>
      </c>
      <c r="ED100" t="e">
        <f>AND('GA55 Entry'!#REF!,"AAAAAD/064U=")</f>
        <v>#REF!</v>
      </c>
      <c r="EE100" t="e">
        <f>AND('GA55 Entry'!#REF!,"AAAAAD/064Y=")</f>
        <v>#REF!</v>
      </c>
      <c r="EF100" t="e">
        <f>AND('GA55 Entry'!#REF!,"AAAAAD/064c=")</f>
        <v>#REF!</v>
      </c>
      <c r="EG100" t="e">
        <f>AND('GA55 Entry'!Z270,"AAAAAD/064g=")</f>
        <v>#VALUE!</v>
      </c>
      <c r="EH100" t="e">
        <f>AND('GA55 Entry'!AA270,"AAAAAD/064k=")</f>
        <v>#VALUE!</v>
      </c>
      <c r="EI100" t="e">
        <f>AND('GA55 Entry'!#REF!,"AAAAAD/064o=")</f>
        <v>#REF!</v>
      </c>
      <c r="EJ100" t="e">
        <f>AND('GA55 Entry'!#REF!,"AAAAAD/064s=")</f>
        <v>#REF!</v>
      </c>
      <c r="EK100" t="e">
        <f>AND('GA55 Entry'!#REF!,"AAAAAD/064w=")</f>
        <v>#REF!</v>
      </c>
      <c r="EL100" t="e">
        <f>AND('GA55 Entry'!AB270,"AAAAAD/0640=")</f>
        <v>#VALUE!</v>
      </c>
      <c r="EM100" t="e">
        <f>AND('GA55 Entry'!AC270,"AAAAAD/0644=")</f>
        <v>#VALUE!</v>
      </c>
      <c r="EN100" t="e">
        <f>AND('GA55 Entry'!#REF!,"AAAAAD/0648=")</f>
        <v>#REF!</v>
      </c>
      <c r="EO100">
        <f>IF('GA55 Entry'!271:271,"AAAAAD/065A=",0)</f>
        <v>0</v>
      </c>
      <c r="EP100" t="e">
        <f>AND('GA55 Entry'!B271,"AAAAAD/065E=")</f>
        <v>#VALUE!</v>
      </c>
      <c r="EQ100" t="e">
        <f>AND('GA55 Entry'!#REF!,"AAAAAD/065I=")</f>
        <v>#REF!</v>
      </c>
      <c r="ER100" t="e">
        <f>AND('GA55 Entry'!C271,"AAAAAD/065M=")</f>
        <v>#VALUE!</v>
      </c>
      <c r="ES100" t="e">
        <f>AND('GA55 Entry'!#REF!,"AAAAAD/065Q=")</f>
        <v>#REF!</v>
      </c>
      <c r="ET100" t="e">
        <f>AND('GA55 Entry'!#REF!,"AAAAAD/065U=")</f>
        <v>#REF!</v>
      </c>
      <c r="EU100" t="e">
        <f>AND('GA55 Entry'!#REF!,"AAAAAD/065Y=")</f>
        <v>#REF!</v>
      </c>
      <c r="EV100" t="e">
        <f>AND('GA55 Entry'!#REF!,"AAAAAD/065c=")</f>
        <v>#REF!</v>
      </c>
      <c r="EW100" t="e">
        <f>AND('GA55 Entry'!#REF!,"AAAAAD/065g=")</f>
        <v>#REF!</v>
      </c>
      <c r="EX100" t="e">
        <f>AND('GA55 Entry'!D271,"AAAAAD/065k=")</f>
        <v>#VALUE!</v>
      </c>
      <c r="EY100" t="e">
        <f>AND('GA55 Entry'!#REF!,"AAAAAD/065o=")</f>
        <v>#REF!</v>
      </c>
      <c r="EZ100" t="e">
        <f>AND('GA55 Entry'!E271,"AAAAAD/065s=")</f>
        <v>#VALUE!</v>
      </c>
      <c r="FA100" t="e">
        <f>AND('GA55 Entry'!F271,"AAAAAD/065w=")</f>
        <v>#VALUE!</v>
      </c>
      <c r="FB100" t="e">
        <f>AND('GA55 Entry'!G271,"AAAAAD/0650=")</f>
        <v>#VALUE!</v>
      </c>
      <c r="FC100" t="e">
        <f>AND('GA55 Entry'!H271,"AAAAAD/0654=")</f>
        <v>#VALUE!</v>
      </c>
      <c r="FD100" t="e">
        <f>AND('GA55 Entry'!I271,"AAAAAD/0658=")</f>
        <v>#VALUE!</v>
      </c>
      <c r="FE100" t="e">
        <f>AND('GA55 Entry'!J271,"AAAAAD/066A=")</f>
        <v>#VALUE!</v>
      </c>
      <c r="FF100" t="e">
        <f>AND('GA55 Entry'!#REF!,"AAAAAD/066E=")</f>
        <v>#REF!</v>
      </c>
      <c r="FG100" t="e">
        <f>AND('GA55 Entry'!K271,"AAAAAD/066I=")</f>
        <v>#VALUE!</v>
      </c>
      <c r="FH100" t="e">
        <f>AND('GA55 Entry'!L271,"AAAAAD/066M=")</f>
        <v>#VALUE!</v>
      </c>
      <c r="FI100" t="e">
        <f>AND('GA55 Entry'!M271,"AAAAAD/066Q=")</f>
        <v>#VALUE!</v>
      </c>
      <c r="FJ100" t="e">
        <f>AND('GA55 Entry'!N271,"AAAAAD/066U=")</f>
        <v>#VALUE!</v>
      </c>
      <c r="FK100" t="e">
        <f>AND('GA55 Entry'!O271,"AAAAAD/066Y=")</f>
        <v>#VALUE!</v>
      </c>
      <c r="FL100" t="e">
        <f>AND('GA55 Entry'!P271,"AAAAAD/066c=")</f>
        <v>#VALUE!</v>
      </c>
      <c r="FM100" t="e">
        <f>AND('GA55 Entry'!Q271,"AAAAAD/066g=")</f>
        <v>#VALUE!</v>
      </c>
      <c r="FN100" t="e">
        <f>AND('GA55 Entry'!S271,"AAAAAD/066k=")</f>
        <v>#VALUE!</v>
      </c>
      <c r="FO100" t="e">
        <f>AND('GA55 Entry'!#REF!,"AAAAAD/066o=")</f>
        <v>#REF!</v>
      </c>
      <c r="FP100" t="e">
        <f>AND('GA55 Entry'!T271,"AAAAAD/066s=")</f>
        <v>#VALUE!</v>
      </c>
      <c r="FQ100" t="e">
        <f>AND('GA55 Entry'!U271,"AAAAAD/066w=")</f>
        <v>#VALUE!</v>
      </c>
      <c r="FR100" t="e">
        <f>AND('GA55 Entry'!V271,"AAAAAD/0660=")</f>
        <v>#VALUE!</v>
      </c>
      <c r="FS100" t="e">
        <f>AND('GA55 Entry'!#REF!,"AAAAAD/0664=")</f>
        <v>#REF!</v>
      </c>
      <c r="FT100" t="e">
        <f>AND('GA55 Entry'!#REF!,"AAAAAD/0668=")</f>
        <v>#REF!</v>
      </c>
      <c r="FU100" t="e">
        <f>AND('GA55 Entry'!X271,"AAAAAD/067A=")</f>
        <v>#VALUE!</v>
      </c>
      <c r="FV100" t="e">
        <f>AND('GA55 Entry'!Y271,"AAAAAD/067E=")</f>
        <v>#VALUE!</v>
      </c>
      <c r="FW100" t="e">
        <f>AND('GA55 Entry'!#REF!,"AAAAAD/067I=")</f>
        <v>#REF!</v>
      </c>
      <c r="FX100" t="e">
        <f>AND('GA55 Entry'!#REF!,"AAAAAD/067M=")</f>
        <v>#REF!</v>
      </c>
      <c r="FY100" t="e">
        <f>AND('GA55 Entry'!#REF!,"AAAAAD/067Q=")</f>
        <v>#REF!</v>
      </c>
      <c r="FZ100" t="e">
        <f>AND('GA55 Entry'!#REF!,"AAAAAD/067U=")</f>
        <v>#REF!</v>
      </c>
      <c r="GA100" t="e">
        <f>AND('GA55 Entry'!#REF!,"AAAAAD/067Y=")</f>
        <v>#REF!</v>
      </c>
      <c r="GB100" t="e">
        <f>AND('GA55 Entry'!#REF!,"AAAAAD/067c=")</f>
        <v>#REF!</v>
      </c>
      <c r="GC100" t="e">
        <f>AND('GA55 Entry'!#REF!,"AAAAAD/067g=")</f>
        <v>#REF!</v>
      </c>
      <c r="GD100" t="e">
        <f>AND('GA55 Entry'!#REF!,"AAAAAD/067k=")</f>
        <v>#REF!</v>
      </c>
      <c r="GE100" t="e">
        <f>AND('GA55 Entry'!#REF!,"AAAAAD/067o=")</f>
        <v>#REF!</v>
      </c>
      <c r="GF100" t="e">
        <f>AND('GA55 Entry'!Z271,"AAAAAD/067s=")</f>
        <v>#VALUE!</v>
      </c>
      <c r="GG100" t="e">
        <f>AND('GA55 Entry'!AA271,"AAAAAD/067w=")</f>
        <v>#VALUE!</v>
      </c>
      <c r="GH100" t="e">
        <f>AND('GA55 Entry'!#REF!,"AAAAAD/0670=")</f>
        <v>#REF!</v>
      </c>
      <c r="GI100" t="e">
        <f>AND('GA55 Entry'!#REF!,"AAAAAD/0674=")</f>
        <v>#REF!</v>
      </c>
      <c r="GJ100" t="e">
        <f>AND('GA55 Entry'!#REF!,"AAAAAD/0678=")</f>
        <v>#REF!</v>
      </c>
      <c r="GK100" t="e">
        <f>AND('GA55 Entry'!AB271,"AAAAAD/068A=")</f>
        <v>#VALUE!</v>
      </c>
      <c r="GL100" t="e">
        <f>AND('GA55 Entry'!AC271,"AAAAAD/068E=")</f>
        <v>#VALUE!</v>
      </c>
      <c r="GM100" t="e">
        <f>AND('GA55 Entry'!#REF!,"AAAAAD/068I=")</f>
        <v>#REF!</v>
      </c>
      <c r="GN100">
        <f>IF('GA55 Entry'!272:272,"AAAAAD/068M=",0)</f>
        <v>0</v>
      </c>
      <c r="GO100" t="e">
        <f>AND('GA55 Entry'!B272,"AAAAAD/068Q=")</f>
        <v>#VALUE!</v>
      </c>
      <c r="GP100" t="e">
        <f>AND('GA55 Entry'!#REF!,"AAAAAD/068U=")</f>
        <v>#REF!</v>
      </c>
      <c r="GQ100" t="e">
        <f>AND('GA55 Entry'!C272,"AAAAAD/068Y=")</f>
        <v>#VALUE!</v>
      </c>
      <c r="GR100" t="e">
        <f>AND('GA55 Entry'!#REF!,"AAAAAD/068c=")</f>
        <v>#REF!</v>
      </c>
      <c r="GS100" t="e">
        <f>AND('GA55 Entry'!#REF!,"AAAAAD/068g=")</f>
        <v>#REF!</v>
      </c>
      <c r="GT100" t="e">
        <f>AND('GA55 Entry'!#REF!,"AAAAAD/068k=")</f>
        <v>#REF!</v>
      </c>
      <c r="GU100" t="e">
        <f>AND('GA55 Entry'!#REF!,"AAAAAD/068o=")</f>
        <v>#REF!</v>
      </c>
      <c r="GV100" t="e">
        <f>AND('GA55 Entry'!#REF!,"AAAAAD/068s=")</f>
        <v>#REF!</v>
      </c>
      <c r="GW100" t="e">
        <f>AND('GA55 Entry'!D272,"AAAAAD/068w=")</f>
        <v>#VALUE!</v>
      </c>
      <c r="GX100" t="e">
        <f>AND('GA55 Entry'!#REF!,"AAAAAD/0680=")</f>
        <v>#REF!</v>
      </c>
      <c r="GY100" t="e">
        <f>AND('GA55 Entry'!E272,"AAAAAD/0684=")</f>
        <v>#VALUE!</v>
      </c>
      <c r="GZ100" t="e">
        <f>AND('GA55 Entry'!F272,"AAAAAD/0688=")</f>
        <v>#VALUE!</v>
      </c>
      <c r="HA100" t="e">
        <f>AND('GA55 Entry'!G272,"AAAAAD/069A=")</f>
        <v>#VALUE!</v>
      </c>
      <c r="HB100" t="e">
        <f>AND('GA55 Entry'!H272,"AAAAAD/069E=")</f>
        <v>#VALUE!</v>
      </c>
      <c r="HC100" t="e">
        <f>AND('GA55 Entry'!I272,"AAAAAD/069I=")</f>
        <v>#VALUE!</v>
      </c>
      <c r="HD100" t="e">
        <f>AND('GA55 Entry'!J272,"AAAAAD/069M=")</f>
        <v>#VALUE!</v>
      </c>
      <c r="HE100" t="e">
        <f>AND('GA55 Entry'!#REF!,"AAAAAD/069Q=")</f>
        <v>#REF!</v>
      </c>
      <c r="HF100" t="e">
        <f>AND('GA55 Entry'!K272,"AAAAAD/069U=")</f>
        <v>#VALUE!</v>
      </c>
      <c r="HG100" t="e">
        <f>AND('GA55 Entry'!L272,"AAAAAD/069Y=")</f>
        <v>#VALUE!</v>
      </c>
      <c r="HH100" t="e">
        <f>AND('GA55 Entry'!M272,"AAAAAD/069c=")</f>
        <v>#VALUE!</v>
      </c>
      <c r="HI100" t="e">
        <f>AND('GA55 Entry'!N272,"AAAAAD/069g=")</f>
        <v>#VALUE!</v>
      </c>
      <c r="HJ100" t="e">
        <f>AND('GA55 Entry'!O272,"AAAAAD/069k=")</f>
        <v>#VALUE!</v>
      </c>
      <c r="HK100" t="e">
        <f>AND('GA55 Entry'!P272,"AAAAAD/069o=")</f>
        <v>#VALUE!</v>
      </c>
      <c r="HL100" t="e">
        <f>AND('GA55 Entry'!Q272,"AAAAAD/069s=")</f>
        <v>#VALUE!</v>
      </c>
      <c r="HM100" t="e">
        <f>AND('GA55 Entry'!S272,"AAAAAD/069w=")</f>
        <v>#VALUE!</v>
      </c>
      <c r="HN100" t="e">
        <f>AND('GA55 Entry'!#REF!,"AAAAAD/0690=")</f>
        <v>#REF!</v>
      </c>
      <c r="HO100" t="e">
        <f>AND('GA55 Entry'!T272,"AAAAAD/0694=")</f>
        <v>#VALUE!</v>
      </c>
      <c r="HP100" t="e">
        <f>AND('GA55 Entry'!U272,"AAAAAD/0698=")</f>
        <v>#VALUE!</v>
      </c>
      <c r="HQ100" t="e">
        <f>AND('GA55 Entry'!V272,"AAAAAD/06+A=")</f>
        <v>#VALUE!</v>
      </c>
      <c r="HR100" t="e">
        <f>AND('GA55 Entry'!#REF!,"AAAAAD/06+E=")</f>
        <v>#REF!</v>
      </c>
      <c r="HS100" t="e">
        <f>AND('GA55 Entry'!#REF!,"AAAAAD/06+I=")</f>
        <v>#REF!</v>
      </c>
      <c r="HT100" t="e">
        <f>AND('GA55 Entry'!X272,"AAAAAD/06+M=")</f>
        <v>#VALUE!</v>
      </c>
      <c r="HU100" t="e">
        <f>AND('GA55 Entry'!Y272,"AAAAAD/06+Q=")</f>
        <v>#VALUE!</v>
      </c>
      <c r="HV100" t="e">
        <f>AND('GA55 Entry'!#REF!,"AAAAAD/06+U=")</f>
        <v>#REF!</v>
      </c>
      <c r="HW100" t="e">
        <f>AND('GA55 Entry'!#REF!,"AAAAAD/06+Y=")</f>
        <v>#REF!</v>
      </c>
      <c r="HX100" t="e">
        <f>AND('GA55 Entry'!#REF!,"AAAAAD/06+c=")</f>
        <v>#REF!</v>
      </c>
      <c r="HY100" t="e">
        <f>AND('GA55 Entry'!#REF!,"AAAAAD/06+g=")</f>
        <v>#REF!</v>
      </c>
      <c r="HZ100" t="e">
        <f>AND('GA55 Entry'!#REF!,"AAAAAD/06+k=")</f>
        <v>#REF!</v>
      </c>
      <c r="IA100" t="e">
        <f>AND('GA55 Entry'!#REF!,"AAAAAD/06+o=")</f>
        <v>#REF!</v>
      </c>
      <c r="IB100" t="e">
        <f>AND('GA55 Entry'!#REF!,"AAAAAD/06+s=")</f>
        <v>#REF!</v>
      </c>
      <c r="IC100" t="e">
        <f>AND('GA55 Entry'!#REF!,"AAAAAD/06+w=")</f>
        <v>#REF!</v>
      </c>
      <c r="ID100" t="e">
        <f>AND('GA55 Entry'!#REF!,"AAAAAD/06+0=")</f>
        <v>#REF!</v>
      </c>
      <c r="IE100" t="e">
        <f>AND('GA55 Entry'!Z272,"AAAAAD/06+4=")</f>
        <v>#VALUE!</v>
      </c>
      <c r="IF100" t="e">
        <f>AND('GA55 Entry'!AA272,"AAAAAD/06+8=")</f>
        <v>#VALUE!</v>
      </c>
      <c r="IG100" t="e">
        <f>AND('GA55 Entry'!#REF!,"AAAAAD/06/A=")</f>
        <v>#REF!</v>
      </c>
      <c r="IH100" t="e">
        <f>AND('GA55 Entry'!#REF!,"AAAAAD/06/E=")</f>
        <v>#REF!</v>
      </c>
      <c r="II100" t="e">
        <f>AND('GA55 Entry'!#REF!,"AAAAAD/06/I=")</f>
        <v>#REF!</v>
      </c>
      <c r="IJ100" t="e">
        <f>AND('GA55 Entry'!AB272,"AAAAAD/06/M=")</f>
        <v>#VALUE!</v>
      </c>
      <c r="IK100" t="e">
        <f>AND('GA55 Entry'!AC272,"AAAAAD/06/Q=")</f>
        <v>#VALUE!</v>
      </c>
      <c r="IL100" t="e">
        <f>AND('GA55 Entry'!#REF!,"AAAAAD/06/U=")</f>
        <v>#REF!</v>
      </c>
      <c r="IM100">
        <f>IF('GA55 Entry'!273:273,"AAAAAD/06/Y=",0)</f>
        <v>0</v>
      </c>
      <c r="IN100" t="e">
        <f>AND('GA55 Entry'!B273,"AAAAAD/06/c=")</f>
        <v>#VALUE!</v>
      </c>
      <c r="IO100" t="e">
        <f>AND('GA55 Entry'!#REF!,"AAAAAD/06/g=")</f>
        <v>#REF!</v>
      </c>
      <c r="IP100" t="e">
        <f>AND('GA55 Entry'!C273,"AAAAAD/06/k=")</f>
        <v>#VALUE!</v>
      </c>
      <c r="IQ100" t="e">
        <f>AND('GA55 Entry'!#REF!,"AAAAAD/06/o=")</f>
        <v>#REF!</v>
      </c>
      <c r="IR100" t="e">
        <f>AND('GA55 Entry'!#REF!,"AAAAAD/06/s=")</f>
        <v>#REF!</v>
      </c>
      <c r="IS100" t="e">
        <f>AND('GA55 Entry'!#REF!,"AAAAAD/06/w=")</f>
        <v>#REF!</v>
      </c>
      <c r="IT100" t="e">
        <f>AND('GA55 Entry'!#REF!,"AAAAAD/06/0=")</f>
        <v>#REF!</v>
      </c>
      <c r="IU100" t="e">
        <f>AND('GA55 Entry'!#REF!,"AAAAAD/06/4=")</f>
        <v>#REF!</v>
      </c>
      <c r="IV100" t="e">
        <f>AND('GA55 Entry'!D273,"AAAAAD/06/8=")</f>
        <v>#VALUE!</v>
      </c>
    </row>
    <row r="101" spans="1:256">
      <c r="A101" t="e">
        <f>AND('GA55 Entry'!#REF!,"AAAAAHbv/AA=")</f>
        <v>#REF!</v>
      </c>
      <c r="B101" t="e">
        <f>AND('GA55 Entry'!E273,"AAAAAHbv/AE=")</f>
        <v>#VALUE!</v>
      </c>
      <c r="C101" t="e">
        <f>AND('GA55 Entry'!F273,"AAAAAHbv/AI=")</f>
        <v>#VALUE!</v>
      </c>
      <c r="D101" t="e">
        <f>AND('GA55 Entry'!G273,"AAAAAHbv/AM=")</f>
        <v>#VALUE!</v>
      </c>
      <c r="E101" t="e">
        <f>AND('GA55 Entry'!H273,"AAAAAHbv/AQ=")</f>
        <v>#VALUE!</v>
      </c>
      <c r="F101" t="e">
        <f>AND('GA55 Entry'!I273,"AAAAAHbv/AU=")</f>
        <v>#VALUE!</v>
      </c>
      <c r="G101" t="e">
        <f>AND('GA55 Entry'!J273,"AAAAAHbv/AY=")</f>
        <v>#VALUE!</v>
      </c>
      <c r="H101" t="e">
        <f>AND('GA55 Entry'!#REF!,"AAAAAHbv/Ac=")</f>
        <v>#REF!</v>
      </c>
      <c r="I101" t="e">
        <f>AND('GA55 Entry'!K273,"AAAAAHbv/Ag=")</f>
        <v>#VALUE!</v>
      </c>
      <c r="J101" t="e">
        <f>AND('GA55 Entry'!L273,"AAAAAHbv/Ak=")</f>
        <v>#VALUE!</v>
      </c>
      <c r="K101" t="e">
        <f>AND('GA55 Entry'!M273,"AAAAAHbv/Ao=")</f>
        <v>#VALUE!</v>
      </c>
      <c r="L101" t="e">
        <f>AND('GA55 Entry'!N273,"AAAAAHbv/As=")</f>
        <v>#VALUE!</v>
      </c>
      <c r="M101" t="e">
        <f>AND('GA55 Entry'!O273,"AAAAAHbv/Aw=")</f>
        <v>#VALUE!</v>
      </c>
      <c r="N101" t="e">
        <f>AND('GA55 Entry'!P273,"AAAAAHbv/A0=")</f>
        <v>#VALUE!</v>
      </c>
      <c r="O101" t="e">
        <f>AND('GA55 Entry'!Q273,"AAAAAHbv/A4=")</f>
        <v>#VALUE!</v>
      </c>
      <c r="P101" t="e">
        <f>AND('GA55 Entry'!S273,"AAAAAHbv/A8=")</f>
        <v>#VALUE!</v>
      </c>
      <c r="Q101" t="e">
        <f>AND('GA55 Entry'!#REF!,"AAAAAHbv/BA=")</f>
        <v>#REF!</v>
      </c>
      <c r="R101" t="e">
        <f>AND('GA55 Entry'!T273,"AAAAAHbv/BE=")</f>
        <v>#VALUE!</v>
      </c>
      <c r="S101" t="e">
        <f>AND('GA55 Entry'!U273,"AAAAAHbv/BI=")</f>
        <v>#VALUE!</v>
      </c>
      <c r="T101" t="e">
        <f>AND('GA55 Entry'!V273,"AAAAAHbv/BM=")</f>
        <v>#VALUE!</v>
      </c>
      <c r="U101" t="e">
        <f>AND('GA55 Entry'!#REF!,"AAAAAHbv/BQ=")</f>
        <v>#REF!</v>
      </c>
      <c r="V101" t="e">
        <f>AND('GA55 Entry'!#REF!,"AAAAAHbv/BU=")</f>
        <v>#REF!</v>
      </c>
      <c r="W101" t="e">
        <f>AND('GA55 Entry'!X273,"AAAAAHbv/BY=")</f>
        <v>#VALUE!</v>
      </c>
      <c r="X101" t="e">
        <f>AND('GA55 Entry'!Y273,"AAAAAHbv/Bc=")</f>
        <v>#VALUE!</v>
      </c>
      <c r="Y101" t="e">
        <f>AND('GA55 Entry'!#REF!,"AAAAAHbv/Bg=")</f>
        <v>#REF!</v>
      </c>
      <c r="Z101" t="e">
        <f>AND('GA55 Entry'!#REF!,"AAAAAHbv/Bk=")</f>
        <v>#REF!</v>
      </c>
      <c r="AA101" t="e">
        <f>AND('GA55 Entry'!#REF!,"AAAAAHbv/Bo=")</f>
        <v>#REF!</v>
      </c>
      <c r="AB101" t="e">
        <f>AND('GA55 Entry'!#REF!,"AAAAAHbv/Bs=")</f>
        <v>#REF!</v>
      </c>
      <c r="AC101" t="e">
        <f>AND('GA55 Entry'!#REF!,"AAAAAHbv/Bw=")</f>
        <v>#REF!</v>
      </c>
      <c r="AD101" t="e">
        <f>AND('GA55 Entry'!#REF!,"AAAAAHbv/B0=")</f>
        <v>#REF!</v>
      </c>
      <c r="AE101" t="e">
        <f>AND('GA55 Entry'!#REF!,"AAAAAHbv/B4=")</f>
        <v>#REF!</v>
      </c>
      <c r="AF101" t="e">
        <f>AND('GA55 Entry'!#REF!,"AAAAAHbv/B8=")</f>
        <v>#REF!</v>
      </c>
      <c r="AG101" t="e">
        <f>AND('GA55 Entry'!#REF!,"AAAAAHbv/CA=")</f>
        <v>#REF!</v>
      </c>
      <c r="AH101" t="e">
        <f>AND('GA55 Entry'!Z273,"AAAAAHbv/CE=")</f>
        <v>#VALUE!</v>
      </c>
      <c r="AI101" t="e">
        <f>AND('GA55 Entry'!AA273,"AAAAAHbv/CI=")</f>
        <v>#VALUE!</v>
      </c>
      <c r="AJ101" t="e">
        <f>AND('GA55 Entry'!#REF!,"AAAAAHbv/CM=")</f>
        <v>#REF!</v>
      </c>
      <c r="AK101" t="e">
        <f>AND('GA55 Entry'!#REF!,"AAAAAHbv/CQ=")</f>
        <v>#REF!</v>
      </c>
      <c r="AL101" t="e">
        <f>AND('GA55 Entry'!#REF!,"AAAAAHbv/CU=")</f>
        <v>#REF!</v>
      </c>
      <c r="AM101" t="e">
        <f>AND('GA55 Entry'!AB273,"AAAAAHbv/CY=")</f>
        <v>#VALUE!</v>
      </c>
      <c r="AN101" t="e">
        <f>AND('GA55 Entry'!AC273,"AAAAAHbv/Cc=")</f>
        <v>#VALUE!</v>
      </c>
      <c r="AO101" t="e">
        <f>AND('GA55 Entry'!#REF!,"AAAAAHbv/Cg=")</f>
        <v>#REF!</v>
      </c>
      <c r="AP101">
        <f>IF('GA55 Entry'!274:274,"AAAAAHbv/Ck=",0)</f>
        <v>0</v>
      </c>
      <c r="AQ101" t="e">
        <f>AND('GA55 Entry'!B274,"AAAAAHbv/Co=")</f>
        <v>#VALUE!</v>
      </c>
      <c r="AR101" t="e">
        <f>AND('GA55 Entry'!#REF!,"AAAAAHbv/Cs=")</f>
        <v>#REF!</v>
      </c>
      <c r="AS101" t="e">
        <f>AND('GA55 Entry'!C274,"AAAAAHbv/Cw=")</f>
        <v>#VALUE!</v>
      </c>
      <c r="AT101" t="e">
        <f>AND('GA55 Entry'!#REF!,"AAAAAHbv/C0=")</f>
        <v>#REF!</v>
      </c>
      <c r="AU101" t="e">
        <f>AND('GA55 Entry'!#REF!,"AAAAAHbv/C4=")</f>
        <v>#REF!</v>
      </c>
      <c r="AV101" t="e">
        <f>AND('GA55 Entry'!#REF!,"AAAAAHbv/C8=")</f>
        <v>#REF!</v>
      </c>
      <c r="AW101" t="e">
        <f>AND('GA55 Entry'!#REF!,"AAAAAHbv/DA=")</f>
        <v>#REF!</v>
      </c>
      <c r="AX101" t="e">
        <f>AND('GA55 Entry'!#REF!,"AAAAAHbv/DE=")</f>
        <v>#REF!</v>
      </c>
      <c r="AY101" t="e">
        <f>AND('GA55 Entry'!D274,"AAAAAHbv/DI=")</f>
        <v>#VALUE!</v>
      </c>
      <c r="AZ101" t="e">
        <f>AND('GA55 Entry'!#REF!,"AAAAAHbv/DM=")</f>
        <v>#REF!</v>
      </c>
      <c r="BA101" t="e">
        <f>AND('GA55 Entry'!E274,"AAAAAHbv/DQ=")</f>
        <v>#VALUE!</v>
      </c>
      <c r="BB101" t="e">
        <f>AND('GA55 Entry'!F274,"AAAAAHbv/DU=")</f>
        <v>#VALUE!</v>
      </c>
      <c r="BC101" t="e">
        <f>AND('GA55 Entry'!G274,"AAAAAHbv/DY=")</f>
        <v>#VALUE!</v>
      </c>
      <c r="BD101" t="e">
        <f>AND('GA55 Entry'!H274,"AAAAAHbv/Dc=")</f>
        <v>#VALUE!</v>
      </c>
      <c r="BE101" t="e">
        <f>AND('GA55 Entry'!I274,"AAAAAHbv/Dg=")</f>
        <v>#VALUE!</v>
      </c>
      <c r="BF101" t="e">
        <f>AND('GA55 Entry'!J274,"AAAAAHbv/Dk=")</f>
        <v>#VALUE!</v>
      </c>
      <c r="BG101" t="e">
        <f>AND('GA55 Entry'!#REF!,"AAAAAHbv/Do=")</f>
        <v>#REF!</v>
      </c>
      <c r="BH101" t="e">
        <f>AND('GA55 Entry'!K274,"AAAAAHbv/Ds=")</f>
        <v>#VALUE!</v>
      </c>
      <c r="BI101" t="e">
        <f>AND('GA55 Entry'!L274,"AAAAAHbv/Dw=")</f>
        <v>#VALUE!</v>
      </c>
      <c r="BJ101" t="e">
        <f>AND('GA55 Entry'!M274,"AAAAAHbv/D0=")</f>
        <v>#VALUE!</v>
      </c>
      <c r="BK101" t="e">
        <f>AND('GA55 Entry'!N274,"AAAAAHbv/D4=")</f>
        <v>#VALUE!</v>
      </c>
      <c r="BL101" t="e">
        <f>AND('GA55 Entry'!O274,"AAAAAHbv/D8=")</f>
        <v>#VALUE!</v>
      </c>
      <c r="BM101" t="e">
        <f>AND('GA55 Entry'!P274,"AAAAAHbv/EA=")</f>
        <v>#VALUE!</v>
      </c>
      <c r="BN101" t="e">
        <f>AND('GA55 Entry'!Q274,"AAAAAHbv/EE=")</f>
        <v>#VALUE!</v>
      </c>
      <c r="BO101" t="e">
        <f>AND('GA55 Entry'!S274,"AAAAAHbv/EI=")</f>
        <v>#VALUE!</v>
      </c>
      <c r="BP101" t="e">
        <f>AND('GA55 Entry'!#REF!,"AAAAAHbv/EM=")</f>
        <v>#REF!</v>
      </c>
      <c r="BQ101" t="e">
        <f>AND('GA55 Entry'!T274,"AAAAAHbv/EQ=")</f>
        <v>#VALUE!</v>
      </c>
      <c r="BR101" t="e">
        <f>AND('GA55 Entry'!U274,"AAAAAHbv/EU=")</f>
        <v>#VALUE!</v>
      </c>
      <c r="BS101" t="e">
        <f>AND('GA55 Entry'!V274,"AAAAAHbv/EY=")</f>
        <v>#VALUE!</v>
      </c>
      <c r="BT101" t="e">
        <f>AND('GA55 Entry'!#REF!,"AAAAAHbv/Ec=")</f>
        <v>#REF!</v>
      </c>
      <c r="BU101" t="e">
        <f>AND('GA55 Entry'!#REF!,"AAAAAHbv/Eg=")</f>
        <v>#REF!</v>
      </c>
      <c r="BV101" t="e">
        <f>AND('GA55 Entry'!X274,"AAAAAHbv/Ek=")</f>
        <v>#VALUE!</v>
      </c>
      <c r="BW101" t="e">
        <f>AND('GA55 Entry'!Y274,"AAAAAHbv/Eo=")</f>
        <v>#VALUE!</v>
      </c>
      <c r="BX101" t="e">
        <f>AND('GA55 Entry'!#REF!,"AAAAAHbv/Es=")</f>
        <v>#REF!</v>
      </c>
      <c r="BY101" t="e">
        <f>AND('GA55 Entry'!#REF!,"AAAAAHbv/Ew=")</f>
        <v>#REF!</v>
      </c>
      <c r="BZ101" t="e">
        <f>AND('GA55 Entry'!#REF!,"AAAAAHbv/E0=")</f>
        <v>#REF!</v>
      </c>
      <c r="CA101" t="e">
        <f>AND('GA55 Entry'!#REF!,"AAAAAHbv/E4=")</f>
        <v>#REF!</v>
      </c>
      <c r="CB101" t="e">
        <f>AND('GA55 Entry'!#REF!,"AAAAAHbv/E8=")</f>
        <v>#REF!</v>
      </c>
      <c r="CC101" t="e">
        <f>AND('GA55 Entry'!#REF!,"AAAAAHbv/FA=")</f>
        <v>#REF!</v>
      </c>
      <c r="CD101" t="e">
        <f>AND('GA55 Entry'!#REF!,"AAAAAHbv/FE=")</f>
        <v>#REF!</v>
      </c>
      <c r="CE101" t="e">
        <f>AND('GA55 Entry'!#REF!,"AAAAAHbv/FI=")</f>
        <v>#REF!</v>
      </c>
      <c r="CF101" t="e">
        <f>AND('GA55 Entry'!#REF!,"AAAAAHbv/FM=")</f>
        <v>#REF!</v>
      </c>
      <c r="CG101" t="e">
        <f>AND('GA55 Entry'!Z274,"AAAAAHbv/FQ=")</f>
        <v>#VALUE!</v>
      </c>
      <c r="CH101" t="e">
        <f>AND('GA55 Entry'!AA274,"AAAAAHbv/FU=")</f>
        <v>#VALUE!</v>
      </c>
      <c r="CI101" t="e">
        <f>AND('GA55 Entry'!#REF!,"AAAAAHbv/FY=")</f>
        <v>#REF!</v>
      </c>
      <c r="CJ101" t="e">
        <f>AND('GA55 Entry'!#REF!,"AAAAAHbv/Fc=")</f>
        <v>#REF!</v>
      </c>
      <c r="CK101" t="e">
        <f>AND('GA55 Entry'!#REF!,"AAAAAHbv/Fg=")</f>
        <v>#REF!</v>
      </c>
      <c r="CL101" t="e">
        <f>AND('GA55 Entry'!AB274,"AAAAAHbv/Fk=")</f>
        <v>#VALUE!</v>
      </c>
      <c r="CM101" t="e">
        <f>AND('GA55 Entry'!AC274,"AAAAAHbv/Fo=")</f>
        <v>#VALUE!</v>
      </c>
      <c r="CN101" t="e">
        <f>AND('GA55 Entry'!#REF!,"AAAAAHbv/Fs=")</f>
        <v>#REF!</v>
      </c>
      <c r="CO101">
        <f>IF('GA55 Entry'!275:275,"AAAAAHbv/Fw=",0)</f>
        <v>0</v>
      </c>
      <c r="CP101" t="e">
        <f>AND('GA55 Entry'!B275,"AAAAAHbv/F0=")</f>
        <v>#VALUE!</v>
      </c>
      <c r="CQ101" t="e">
        <f>AND('GA55 Entry'!#REF!,"AAAAAHbv/F4=")</f>
        <v>#REF!</v>
      </c>
      <c r="CR101" t="e">
        <f>AND('GA55 Entry'!C275,"AAAAAHbv/F8=")</f>
        <v>#VALUE!</v>
      </c>
      <c r="CS101" t="e">
        <f>AND('GA55 Entry'!#REF!,"AAAAAHbv/GA=")</f>
        <v>#REF!</v>
      </c>
      <c r="CT101" t="e">
        <f>AND('GA55 Entry'!#REF!,"AAAAAHbv/GE=")</f>
        <v>#REF!</v>
      </c>
      <c r="CU101" t="e">
        <f>AND('GA55 Entry'!#REF!,"AAAAAHbv/GI=")</f>
        <v>#REF!</v>
      </c>
      <c r="CV101" t="e">
        <f>AND('GA55 Entry'!#REF!,"AAAAAHbv/GM=")</f>
        <v>#REF!</v>
      </c>
      <c r="CW101" t="e">
        <f>AND('GA55 Entry'!#REF!,"AAAAAHbv/GQ=")</f>
        <v>#REF!</v>
      </c>
      <c r="CX101" t="e">
        <f>AND('GA55 Entry'!D275,"AAAAAHbv/GU=")</f>
        <v>#VALUE!</v>
      </c>
      <c r="CY101" t="e">
        <f>AND('GA55 Entry'!#REF!,"AAAAAHbv/GY=")</f>
        <v>#REF!</v>
      </c>
      <c r="CZ101" t="e">
        <f>AND('GA55 Entry'!E275,"AAAAAHbv/Gc=")</f>
        <v>#VALUE!</v>
      </c>
      <c r="DA101" t="e">
        <f>AND('GA55 Entry'!F275,"AAAAAHbv/Gg=")</f>
        <v>#VALUE!</v>
      </c>
      <c r="DB101" t="e">
        <f>AND('GA55 Entry'!G275,"AAAAAHbv/Gk=")</f>
        <v>#VALUE!</v>
      </c>
      <c r="DC101" t="e">
        <f>AND('GA55 Entry'!H275,"AAAAAHbv/Go=")</f>
        <v>#VALUE!</v>
      </c>
      <c r="DD101" t="e">
        <f>AND('GA55 Entry'!I275,"AAAAAHbv/Gs=")</f>
        <v>#VALUE!</v>
      </c>
      <c r="DE101" t="e">
        <f>AND('GA55 Entry'!J275,"AAAAAHbv/Gw=")</f>
        <v>#VALUE!</v>
      </c>
      <c r="DF101" t="e">
        <f>AND('GA55 Entry'!#REF!,"AAAAAHbv/G0=")</f>
        <v>#REF!</v>
      </c>
      <c r="DG101" t="e">
        <f>AND('GA55 Entry'!K275,"AAAAAHbv/G4=")</f>
        <v>#VALUE!</v>
      </c>
      <c r="DH101" t="e">
        <f>AND('GA55 Entry'!L275,"AAAAAHbv/G8=")</f>
        <v>#VALUE!</v>
      </c>
      <c r="DI101" t="e">
        <f>AND('GA55 Entry'!M275,"AAAAAHbv/HA=")</f>
        <v>#VALUE!</v>
      </c>
      <c r="DJ101" t="e">
        <f>AND('GA55 Entry'!N275,"AAAAAHbv/HE=")</f>
        <v>#VALUE!</v>
      </c>
      <c r="DK101" t="e">
        <f>AND('GA55 Entry'!O275,"AAAAAHbv/HI=")</f>
        <v>#VALUE!</v>
      </c>
      <c r="DL101" t="e">
        <f>AND('GA55 Entry'!P275,"AAAAAHbv/HM=")</f>
        <v>#VALUE!</v>
      </c>
      <c r="DM101" t="e">
        <f>AND('GA55 Entry'!Q275,"AAAAAHbv/HQ=")</f>
        <v>#VALUE!</v>
      </c>
      <c r="DN101" t="e">
        <f>AND('GA55 Entry'!S275,"AAAAAHbv/HU=")</f>
        <v>#VALUE!</v>
      </c>
      <c r="DO101" t="e">
        <f>AND('GA55 Entry'!#REF!,"AAAAAHbv/HY=")</f>
        <v>#REF!</v>
      </c>
      <c r="DP101" t="e">
        <f>AND('GA55 Entry'!T275,"AAAAAHbv/Hc=")</f>
        <v>#VALUE!</v>
      </c>
      <c r="DQ101" t="e">
        <f>AND('GA55 Entry'!U275,"AAAAAHbv/Hg=")</f>
        <v>#VALUE!</v>
      </c>
      <c r="DR101" t="e">
        <f>AND('GA55 Entry'!V275,"AAAAAHbv/Hk=")</f>
        <v>#VALUE!</v>
      </c>
      <c r="DS101" t="e">
        <f>AND('GA55 Entry'!#REF!,"AAAAAHbv/Ho=")</f>
        <v>#REF!</v>
      </c>
      <c r="DT101" t="e">
        <f>AND('GA55 Entry'!#REF!,"AAAAAHbv/Hs=")</f>
        <v>#REF!</v>
      </c>
      <c r="DU101" t="e">
        <f>AND('GA55 Entry'!X275,"AAAAAHbv/Hw=")</f>
        <v>#VALUE!</v>
      </c>
      <c r="DV101" t="e">
        <f>AND('GA55 Entry'!Y275,"AAAAAHbv/H0=")</f>
        <v>#VALUE!</v>
      </c>
      <c r="DW101" t="e">
        <f>AND('GA55 Entry'!#REF!,"AAAAAHbv/H4=")</f>
        <v>#REF!</v>
      </c>
      <c r="DX101" t="e">
        <f>AND('GA55 Entry'!#REF!,"AAAAAHbv/H8=")</f>
        <v>#REF!</v>
      </c>
      <c r="DY101" t="e">
        <f>AND('GA55 Entry'!#REF!,"AAAAAHbv/IA=")</f>
        <v>#REF!</v>
      </c>
      <c r="DZ101" t="e">
        <f>AND('GA55 Entry'!#REF!,"AAAAAHbv/IE=")</f>
        <v>#REF!</v>
      </c>
      <c r="EA101" t="e">
        <f>AND('GA55 Entry'!#REF!,"AAAAAHbv/II=")</f>
        <v>#REF!</v>
      </c>
      <c r="EB101" t="e">
        <f>AND('GA55 Entry'!#REF!,"AAAAAHbv/IM=")</f>
        <v>#REF!</v>
      </c>
      <c r="EC101" t="e">
        <f>AND('GA55 Entry'!#REF!,"AAAAAHbv/IQ=")</f>
        <v>#REF!</v>
      </c>
      <c r="ED101" t="e">
        <f>AND('GA55 Entry'!#REF!,"AAAAAHbv/IU=")</f>
        <v>#REF!</v>
      </c>
      <c r="EE101" t="e">
        <f>AND('GA55 Entry'!#REF!,"AAAAAHbv/IY=")</f>
        <v>#REF!</v>
      </c>
      <c r="EF101" t="e">
        <f>AND('GA55 Entry'!Z275,"AAAAAHbv/Ic=")</f>
        <v>#VALUE!</v>
      </c>
      <c r="EG101" t="e">
        <f>AND('GA55 Entry'!AA275,"AAAAAHbv/Ig=")</f>
        <v>#VALUE!</v>
      </c>
      <c r="EH101" t="e">
        <f>AND('GA55 Entry'!#REF!,"AAAAAHbv/Ik=")</f>
        <v>#REF!</v>
      </c>
      <c r="EI101" t="e">
        <f>AND('GA55 Entry'!#REF!,"AAAAAHbv/Io=")</f>
        <v>#REF!</v>
      </c>
      <c r="EJ101" t="e">
        <f>AND('GA55 Entry'!#REF!,"AAAAAHbv/Is=")</f>
        <v>#REF!</v>
      </c>
      <c r="EK101" t="e">
        <f>AND('GA55 Entry'!AB275,"AAAAAHbv/Iw=")</f>
        <v>#VALUE!</v>
      </c>
      <c r="EL101" t="e">
        <f>AND('GA55 Entry'!AC275,"AAAAAHbv/I0=")</f>
        <v>#VALUE!</v>
      </c>
      <c r="EM101" t="e">
        <f>AND('GA55 Entry'!#REF!,"AAAAAHbv/I4=")</f>
        <v>#REF!</v>
      </c>
      <c r="EN101">
        <f>IF('GA55 Entry'!276:276,"AAAAAHbv/I8=",0)</f>
        <v>0</v>
      </c>
      <c r="EO101" t="e">
        <f>AND('GA55 Entry'!B276,"AAAAAHbv/JA=")</f>
        <v>#VALUE!</v>
      </c>
      <c r="EP101" t="e">
        <f>AND('GA55 Entry'!#REF!,"AAAAAHbv/JE=")</f>
        <v>#REF!</v>
      </c>
      <c r="EQ101" t="e">
        <f>AND('GA55 Entry'!C276,"AAAAAHbv/JI=")</f>
        <v>#VALUE!</v>
      </c>
      <c r="ER101" t="e">
        <f>AND('GA55 Entry'!#REF!,"AAAAAHbv/JM=")</f>
        <v>#REF!</v>
      </c>
      <c r="ES101" t="e">
        <f>AND('GA55 Entry'!#REF!,"AAAAAHbv/JQ=")</f>
        <v>#REF!</v>
      </c>
      <c r="ET101" t="e">
        <f>AND('GA55 Entry'!#REF!,"AAAAAHbv/JU=")</f>
        <v>#REF!</v>
      </c>
      <c r="EU101" t="e">
        <f>AND('GA55 Entry'!#REF!,"AAAAAHbv/JY=")</f>
        <v>#REF!</v>
      </c>
      <c r="EV101" t="e">
        <f>AND('GA55 Entry'!#REF!,"AAAAAHbv/Jc=")</f>
        <v>#REF!</v>
      </c>
      <c r="EW101" t="e">
        <f>AND('GA55 Entry'!D276,"AAAAAHbv/Jg=")</f>
        <v>#VALUE!</v>
      </c>
      <c r="EX101" t="e">
        <f>AND('GA55 Entry'!#REF!,"AAAAAHbv/Jk=")</f>
        <v>#REF!</v>
      </c>
      <c r="EY101" t="e">
        <f>AND('GA55 Entry'!E276,"AAAAAHbv/Jo=")</f>
        <v>#VALUE!</v>
      </c>
      <c r="EZ101" t="e">
        <f>AND('GA55 Entry'!F276,"AAAAAHbv/Js=")</f>
        <v>#VALUE!</v>
      </c>
      <c r="FA101" t="e">
        <f>AND('GA55 Entry'!G276,"AAAAAHbv/Jw=")</f>
        <v>#VALUE!</v>
      </c>
      <c r="FB101" t="e">
        <f>AND('GA55 Entry'!H276,"AAAAAHbv/J0=")</f>
        <v>#VALUE!</v>
      </c>
      <c r="FC101" t="e">
        <f>AND('GA55 Entry'!I276,"AAAAAHbv/J4=")</f>
        <v>#VALUE!</v>
      </c>
      <c r="FD101" t="e">
        <f>AND('GA55 Entry'!J276,"AAAAAHbv/J8=")</f>
        <v>#VALUE!</v>
      </c>
      <c r="FE101" t="e">
        <f>AND('GA55 Entry'!#REF!,"AAAAAHbv/KA=")</f>
        <v>#REF!</v>
      </c>
      <c r="FF101" t="e">
        <f>AND('GA55 Entry'!K276,"AAAAAHbv/KE=")</f>
        <v>#VALUE!</v>
      </c>
      <c r="FG101" t="e">
        <f>AND('GA55 Entry'!L276,"AAAAAHbv/KI=")</f>
        <v>#VALUE!</v>
      </c>
      <c r="FH101" t="e">
        <f>AND('GA55 Entry'!M276,"AAAAAHbv/KM=")</f>
        <v>#VALUE!</v>
      </c>
      <c r="FI101" t="e">
        <f>AND('GA55 Entry'!N276,"AAAAAHbv/KQ=")</f>
        <v>#VALUE!</v>
      </c>
      <c r="FJ101" t="e">
        <f>AND('GA55 Entry'!O276,"AAAAAHbv/KU=")</f>
        <v>#VALUE!</v>
      </c>
      <c r="FK101" t="e">
        <f>AND('GA55 Entry'!P276,"AAAAAHbv/KY=")</f>
        <v>#VALUE!</v>
      </c>
      <c r="FL101" t="e">
        <f>AND('GA55 Entry'!Q276,"AAAAAHbv/Kc=")</f>
        <v>#VALUE!</v>
      </c>
      <c r="FM101" t="e">
        <f>AND('GA55 Entry'!S276,"AAAAAHbv/Kg=")</f>
        <v>#VALUE!</v>
      </c>
      <c r="FN101" t="e">
        <f>AND('GA55 Entry'!#REF!,"AAAAAHbv/Kk=")</f>
        <v>#REF!</v>
      </c>
      <c r="FO101" t="e">
        <f>AND('GA55 Entry'!T276,"AAAAAHbv/Ko=")</f>
        <v>#VALUE!</v>
      </c>
      <c r="FP101" t="e">
        <f>AND('GA55 Entry'!U276,"AAAAAHbv/Ks=")</f>
        <v>#VALUE!</v>
      </c>
      <c r="FQ101" t="e">
        <f>AND('GA55 Entry'!V276,"AAAAAHbv/Kw=")</f>
        <v>#VALUE!</v>
      </c>
      <c r="FR101" t="e">
        <f>AND('GA55 Entry'!#REF!,"AAAAAHbv/K0=")</f>
        <v>#REF!</v>
      </c>
      <c r="FS101" t="e">
        <f>AND('GA55 Entry'!#REF!,"AAAAAHbv/K4=")</f>
        <v>#REF!</v>
      </c>
      <c r="FT101" t="e">
        <f>AND('GA55 Entry'!X276,"AAAAAHbv/K8=")</f>
        <v>#VALUE!</v>
      </c>
      <c r="FU101" t="e">
        <f>AND('GA55 Entry'!Y276,"AAAAAHbv/LA=")</f>
        <v>#VALUE!</v>
      </c>
      <c r="FV101" t="e">
        <f>AND('GA55 Entry'!#REF!,"AAAAAHbv/LE=")</f>
        <v>#REF!</v>
      </c>
      <c r="FW101" t="e">
        <f>AND('GA55 Entry'!#REF!,"AAAAAHbv/LI=")</f>
        <v>#REF!</v>
      </c>
      <c r="FX101" t="e">
        <f>AND('GA55 Entry'!#REF!,"AAAAAHbv/LM=")</f>
        <v>#REF!</v>
      </c>
      <c r="FY101" t="e">
        <f>AND('GA55 Entry'!#REF!,"AAAAAHbv/LQ=")</f>
        <v>#REF!</v>
      </c>
      <c r="FZ101" t="e">
        <f>AND('GA55 Entry'!#REF!,"AAAAAHbv/LU=")</f>
        <v>#REF!</v>
      </c>
      <c r="GA101" t="e">
        <f>AND('GA55 Entry'!#REF!,"AAAAAHbv/LY=")</f>
        <v>#REF!</v>
      </c>
      <c r="GB101" t="e">
        <f>AND('GA55 Entry'!#REF!,"AAAAAHbv/Lc=")</f>
        <v>#REF!</v>
      </c>
      <c r="GC101" t="e">
        <f>AND('GA55 Entry'!#REF!,"AAAAAHbv/Lg=")</f>
        <v>#REF!</v>
      </c>
      <c r="GD101" t="e">
        <f>AND('GA55 Entry'!#REF!,"AAAAAHbv/Lk=")</f>
        <v>#REF!</v>
      </c>
      <c r="GE101" t="e">
        <f>AND('GA55 Entry'!Z276,"AAAAAHbv/Lo=")</f>
        <v>#VALUE!</v>
      </c>
      <c r="GF101" t="e">
        <f>AND('GA55 Entry'!AA276,"AAAAAHbv/Ls=")</f>
        <v>#VALUE!</v>
      </c>
      <c r="GG101" t="e">
        <f>AND('GA55 Entry'!#REF!,"AAAAAHbv/Lw=")</f>
        <v>#REF!</v>
      </c>
      <c r="GH101" t="e">
        <f>AND('GA55 Entry'!#REF!,"AAAAAHbv/L0=")</f>
        <v>#REF!</v>
      </c>
      <c r="GI101" t="e">
        <f>AND('GA55 Entry'!#REF!,"AAAAAHbv/L4=")</f>
        <v>#REF!</v>
      </c>
      <c r="GJ101" t="e">
        <f>AND('GA55 Entry'!AB276,"AAAAAHbv/L8=")</f>
        <v>#VALUE!</v>
      </c>
      <c r="GK101" t="e">
        <f>AND('GA55 Entry'!AC276,"AAAAAHbv/MA=")</f>
        <v>#VALUE!</v>
      </c>
      <c r="GL101" t="e">
        <f>AND('GA55 Entry'!#REF!,"AAAAAHbv/ME=")</f>
        <v>#REF!</v>
      </c>
      <c r="GM101">
        <f>IF('GA55 Entry'!277:277,"AAAAAHbv/MI=",0)</f>
        <v>0</v>
      </c>
      <c r="GN101" t="e">
        <f>AND('GA55 Entry'!B277,"AAAAAHbv/MM=")</f>
        <v>#VALUE!</v>
      </c>
      <c r="GO101" t="e">
        <f>AND('GA55 Entry'!#REF!,"AAAAAHbv/MQ=")</f>
        <v>#REF!</v>
      </c>
      <c r="GP101" t="e">
        <f>AND('GA55 Entry'!C277,"AAAAAHbv/MU=")</f>
        <v>#VALUE!</v>
      </c>
      <c r="GQ101" t="e">
        <f>AND('GA55 Entry'!#REF!,"AAAAAHbv/MY=")</f>
        <v>#REF!</v>
      </c>
      <c r="GR101" t="e">
        <f>AND('GA55 Entry'!#REF!,"AAAAAHbv/Mc=")</f>
        <v>#REF!</v>
      </c>
      <c r="GS101" t="e">
        <f>AND('GA55 Entry'!#REF!,"AAAAAHbv/Mg=")</f>
        <v>#REF!</v>
      </c>
      <c r="GT101" t="e">
        <f>AND('GA55 Entry'!#REF!,"AAAAAHbv/Mk=")</f>
        <v>#REF!</v>
      </c>
      <c r="GU101" t="e">
        <f>AND('GA55 Entry'!#REF!,"AAAAAHbv/Mo=")</f>
        <v>#REF!</v>
      </c>
      <c r="GV101" t="e">
        <f>AND('GA55 Entry'!D277,"AAAAAHbv/Ms=")</f>
        <v>#VALUE!</v>
      </c>
      <c r="GW101" t="e">
        <f>AND('GA55 Entry'!#REF!,"AAAAAHbv/Mw=")</f>
        <v>#REF!</v>
      </c>
      <c r="GX101" t="e">
        <f>AND('GA55 Entry'!E277,"AAAAAHbv/M0=")</f>
        <v>#VALUE!</v>
      </c>
      <c r="GY101" t="e">
        <f>AND('GA55 Entry'!F277,"AAAAAHbv/M4=")</f>
        <v>#VALUE!</v>
      </c>
      <c r="GZ101" t="e">
        <f>AND('GA55 Entry'!G277,"AAAAAHbv/M8=")</f>
        <v>#VALUE!</v>
      </c>
      <c r="HA101" t="e">
        <f>AND('GA55 Entry'!H277,"AAAAAHbv/NA=")</f>
        <v>#VALUE!</v>
      </c>
      <c r="HB101" t="e">
        <f>AND('GA55 Entry'!I277,"AAAAAHbv/NE=")</f>
        <v>#VALUE!</v>
      </c>
      <c r="HC101" t="e">
        <f>AND('GA55 Entry'!J277,"AAAAAHbv/NI=")</f>
        <v>#VALUE!</v>
      </c>
      <c r="HD101" t="e">
        <f>AND('GA55 Entry'!#REF!,"AAAAAHbv/NM=")</f>
        <v>#REF!</v>
      </c>
      <c r="HE101" t="e">
        <f>AND('GA55 Entry'!K277,"AAAAAHbv/NQ=")</f>
        <v>#VALUE!</v>
      </c>
      <c r="HF101" t="e">
        <f>AND('GA55 Entry'!L277,"AAAAAHbv/NU=")</f>
        <v>#VALUE!</v>
      </c>
      <c r="HG101" t="e">
        <f>AND('GA55 Entry'!M277,"AAAAAHbv/NY=")</f>
        <v>#VALUE!</v>
      </c>
      <c r="HH101" t="e">
        <f>AND('GA55 Entry'!N277,"AAAAAHbv/Nc=")</f>
        <v>#VALUE!</v>
      </c>
      <c r="HI101" t="e">
        <f>AND('GA55 Entry'!O277,"AAAAAHbv/Ng=")</f>
        <v>#VALUE!</v>
      </c>
      <c r="HJ101" t="e">
        <f>AND('GA55 Entry'!P277,"AAAAAHbv/Nk=")</f>
        <v>#VALUE!</v>
      </c>
      <c r="HK101" t="e">
        <f>AND('GA55 Entry'!Q277,"AAAAAHbv/No=")</f>
        <v>#VALUE!</v>
      </c>
      <c r="HL101" t="e">
        <f>AND('GA55 Entry'!S277,"AAAAAHbv/Ns=")</f>
        <v>#VALUE!</v>
      </c>
      <c r="HM101" t="e">
        <f>AND('GA55 Entry'!#REF!,"AAAAAHbv/Nw=")</f>
        <v>#REF!</v>
      </c>
      <c r="HN101" t="e">
        <f>AND('GA55 Entry'!T277,"AAAAAHbv/N0=")</f>
        <v>#VALUE!</v>
      </c>
      <c r="HO101" t="e">
        <f>AND('GA55 Entry'!U277,"AAAAAHbv/N4=")</f>
        <v>#VALUE!</v>
      </c>
      <c r="HP101" t="e">
        <f>AND('GA55 Entry'!V277,"AAAAAHbv/N8=")</f>
        <v>#VALUE!</v>
      </c>
      <c r="HQ101" t="e">
        <f>AND('GA55 Entry'!#REF!,"AAAAAHbv/OA=")</f>
        <v>#REF!</v>
      </c>
      <c r="HR101" t="e">
        <f>AND('GA55 Entry'!#REF!,"AAAAAHbv/OE=")</f>
        <v>#REF!</v>
      </c>
      <c r="HS101" t="e">
        <f>AND('GA55 Entry'!X277,"AAAAAHbv/OI=")</f>
        <v>#VALUE!</v>
      </c>
      <c r="HT101" t="e">
        <f>AND('GA55 Entry'!Y277,"AAAAAHbv/OM=")</f>
        <v>#VALUE!</v>
      </c>
      <c r="HU101" t="e">
        <f>AND('GA55 Entry'!#REF!,"AAAAAHbv/OQ=")</f>
        <v>#REF!</v>
      </c>
      <c r="HV101" t="e">
        <f>AND('GA55 Entry'!#REF!,"AAAAAHbv/OU=")</f>
        <v>#REF!</v>
      </c>
      <c r="HW101" t="e">
        <f>AND('GA55 Entry'!#REF!,"AAAAAHbv/OY=")</f>
        <v>#REF!</v>
      </c>
      <c r="HX101" t="e">
        <f>AND('GA55 Entry'!#REF!,"AAAAAHbv/Oc=")</f>
        <v>#REF!</v>
      </c>
      <c r="HY101" t="e">
        <f>AND('GA55 Entry'!#REF!,"AAAAAHbv/Og=")</f>
        <v>#REF!</v>
      </c>
      <c r="HZ101" t="e">
        <f>AND('GA55 Entry'!#REF!,"AAAAAHbv/Ok=")</f>
        <v>#REF!</v>
      </c>
      <c r="IA101" t="e">
        <f>AND('GA55 Entry'!#REF!,"AAAAAHbv/Oo=")</f>
        <v>#REF!</v>
      </c>
      <c r="IB101" t="e">
        <f>AND('GA55 Entry'!#REF!,"AAAAAHbv/Os=")</f>
        <v>#REF!</v>
      </c>
      <c r="IC101" t="e">
        <f>AND('GA55 Entry'!#REF!,"AAAAAHbv/Ow=")</f>
        <v>#REF!</v>
      </c>
      <c r="ID101" t="e">
        <f>AND('GA55 Entry'!Z277,"AAAAAHbv/O0=")</f>
        <v>#VALUE!</v>
      </c>
      <c r="IE101" t="e">
        <f>AND('GA55 Entry'!AA277,"AAAAAHbv/O4=")</f>
        <v>#VALUE!</v>
      </c>
      <c r="IF101" t="e">
        <f>AND('GA55 Entry'!#REF!,"AAAAAHbv/O8=")</f>
        <v>#REF!</v>
      </c>
      <c r="IG101" t="e">
        <f>AND('GA55 Entry'!#REF!,"AAAAAHbv/PA=")</f>
        <v>#REF!</v>
      </c>
      <c r="IH101" t="e">
        <f>AND('GA55 Entry'!#REF!,"AAAAAHbv/PE=")</f>
        <v>#REF!</v>
      </c>
      <c r="II101" t="e">
        <f>AND('GA55 Entry'!AB277,"AAAAAHbv/PI=")</f>
        <v>#VALUE!</v>
      </c>
      <c r="IJ101" t="e">
        <f>AND('GA55 Entry'!AC277,"AAAAAHbv/PM=")</f>
        <v>#VALUE!</v>
      </c>
      <c r="IK101" t="e">
        <f>AND('GA55 Entry'!#REF!,"AAAAAHbv/PQ=")</f>
        <v>#REF!</v>
      </c>
      <c r="IL101">
        <f>IF('GA55 Entry'!278:278,"AAAAAHbv/PU=",0)</f>
        <v>0</v>
      </c>
      <c r="IM101" t="e">
        <f>AND('GA55 Entry'!B278,"AAAAAHbv/PY=")</f>
        <v>#VALUE!</v>
      </c>
      <c r="IN101" t="e">
        <f>AND('GA55 Entry'!#REF!,"AAAAAHbv/Pc=")</f>
        <v>#REF!</v>
      </c>
      <c r="IO101" t="e">
        <f>AND('GA55 Entry'!C278,"AAAAAHbv/Pg=")</f>
        <v>#VALUE!</v>
      </c>
      <c r="IP101" t="e">
        <f>AND('GA55 Entry'!#REF!,"AAAAAHbv/Pk=")</f>
        <v>#REF!</v>
      </c>
      <c r="IQ101" t="e">
        <f>AND('GA55 Entry'!#REF!,"AAAAAHbv/Po=")</f>
        <v>#REF!</v>
      </c>
      <c r="IR101" t="e">
        <f>AND('GA55 Entry'!#REF!,"AAAAAHbv/Ps=")</f>
        <v>#REF!</v>
      </c>
      <c r="IS101" t="e">
        <f>AND('GA55 Entry'!#REF!,"AAAAAHbv/Pw=")</f>
        <v>#REF!</v>
      </c>
      <c r="IT101" t="e">
        <f>AND('GA55 Entry'!#REF!,"AAAAAHbv/P0=")</f>
        <v>#REF!</v>
      </c>
      <c r="IU101" t="e">
        <f>AND('GA55 Entry'!D278,"AAAAAHbv/P4=")</f>
        <v>#VALUE!</v>
      </c>
      <c r="IV101" t="e">
        <f>AND('GA55 Entry'!#REF!,"AAAAAHbv/P8=")</f>
        <v>#REF!</v>
      </c>
    </row>
    <row r="102" spans="1:256">
      <c r="A102" t="e">
        <f>AND('GA55 Entry'!E278,"AAAAAH9vjQA=")</f>
        <v>#VALUE!</v>
      </c>
      <c r="B102" t="e">
        <f>AND('GA55 Entry'!F278,"AAAAAH9vjQE=")</f>
        <v>#VALUE!</v>
      </c>
      <c r="C102" t="e">
        <f>AND('GA55 Entry'!G278,"AAAAAH9vjQI=")</f>
        <v>#VALUE!</v>
      </c>
      <c r="D102" t="e">
        <f>AND('GA55 Entry'!H278,"AAAAAH9vjQM=")</f>
        <v>#VALUE!</v>
      </c>
      <c r="E102" t="e">
        <f>AND('GA55 Entry'!I278,"AAAAAH9vjQQ=")</f>
        <v>#VALUE!</v>
      </c>
      <c r="F102" t="e">
        <f>AND('GA55 Entry'!J278,"AAAAAH9vjQU=")</f>
        <v>#VALUE!</v>
      </c>
      <c r="G102" t="e">
        <f>AND('GA55 Entry'!#REF!,"AAAAAH9vjQY=")</f>
        <v>#REF!</v>
      </c>
      <c r="H102" t="e">
        <f>AND('GA55 Entry'!K278,"AAAAAH9vjQc=")</f>
        <v>#VALUE!</v>
      </c>
      <c r="I102" t="e">
        <f>AND('GA55 Entry'!L278,"AAAAAH9vjQg=")</f>
        <v>#VALUE!</v>
      </c>
      <c r="J102" t="e">
        <f>AND('GA55 Entry'!M278,"AAAAAH9vjQk=")</f>
        <v>#VALUE!</v>
      </c>
      <c r="K102" t="e">
        <f>AND('GA55 Entry'!N278,"AAAAAH9vjQo=")</f>
        <v>#VALUE!</v>
      </c>
      <c r="L102" t="e">
        <f>AND('GA55 Entry'!O278,"AAAAAH9vjQs=")</f>
        <v>#VALUE!</v>
      </c>
      <c r="M102" t="e">
        <f>AND('GA55 Entry'!P278,"AAAAAH9vjQw=")</f>
        <v>#VALUE!</v>
      </c>
      <c r="N102" t="e">
        <f>AND('GA55 Entry'!Q278,"AAAAAH9vjQ0=")</f>
        <v>#VALUE!</v>
      </c>
      <c r="O102" t="e">
        <f>AND('GA55 Entry'!S278,"AAAAAH9vjQ4=")</f>
        <v>#VALUE!</v>
      </c>
      <c r="P102" t="e">
        <f>AND('GA55 Entry'!#REF!,"AAAAAH9vjQ8=")</f>
        <v>#REF!</v>
      </c>
      <c r="Q102" t="e">
        <f>AND('GA55 Entry'!T278,"AAAAAH9vjRA=")</f>
        <v>#VALUE!</v>
      </c>
      <c r="R102" t="e">
        <f>AND('GA55 Entry'!U278,"AAAAAH9vjRE=")</f>
        <v>#VALUE!</v>
      </c>
      <c r="S102" t="e">
        <f>AND('GA55 Entry'!V278,"AAAAAH9vjRI=")</f>
        <v>#VALUE!</v>
      </c>
      <c r="T102" t="e">
        <f>AND('GA55 Entry'!#REF!,"AAAAAH9vjRM=")</f>
        <v>#REF!</v>
      </c>
      <c r="U102" t="e">
        <f>AND('GA55 Entry'!#REF!,"AAAAAH9vjRQ=")</f>
        <v>#REF!</v>
      </c>
      <c r="V102" t="e">
        <f>AND('GA55 Entry'!X278,"AAAAAH9vjRU=")</f>
        <v>#VALUE!</v>
      </c>
      <c r="W102" t="e">
        <f>AND('GA55 Entry'!Y278,"AAAAAH9vjRY=")</f>
        <v>#VALUE!</v>
      </c>
      <c r="X102" t="e">
        <f>AND('GA55 Entry'!#REF!,"AAAAAH9vjRc=")</f>
        <v>#REF!</v>
      </c>
      <c r="Y102" t="e">
        <f>AND('GA55 Entry'!#REF!,"AAAAAH9vjRg=")</f>
        <v>#REF!</v>
      </c>
      <c r="Z102" t="e">
        <f>AND('GA55 Entry'!#REF!,"AAAAAH9vjRk=")</f>
        <v>#REF!</v>
      </c>
      <c r="AA102" t="e">
        <f>AND('GA55 Entry'!#REF!,"AAAAAH9vjRo=")</f>
        <v>#REF!</v>
      </c>
      <c r="AB102" t="e">
        <f>AND('GA55 Entry'!#REF!,"AAAAAH9vjRs=")</f>
        <v>#REF!</v>
      </c>
      <c r="AC102" t="e">
        <f>AND('GA55 Entry'!#REF!,"AAAAAH9vjRw=")</f>
        <v>#REF!</v>
      </c>
      <c r="AD102" t="e">
        <f>AND('GA55 Entry'!#REF!,"AAAAAH9vjR0=")</f>
        <v>#REF!</v>
      </c>
      <c r="AE102" t="e">
        <f>AND('GA55 Entry'!#REF!,"AAAAAH9vjR4=")</f>
        <v>#REF!</v>
      </c>
      <c r="AF102" t="e">
        <f>AND('GA55 Entry'!#REF!,"AAAAAH9vjR8=")</f>
        <v>#REF!</v>
      </c>
      <c r="AG102" t="e">
        <f>AND('GA55 Entry'!Z278,"AAAAAH9vjSA=")</f>
        <v>#VALUE!</v>
      </c>
      <c r="AH102" t="e">
        <f>AND('GA55 Entry'!AA278,"AAAAAH9vjSE=")</f>
        <v>#VALUE!</v>
      </c>
      <c r="AI102" t="e">
        <f>AND('GA55 Entry'!#REF!,"AAAAAH9vjSI=")</f>
        <v>#REF!</v>
      </c>
      <c r="AJ102" t="e">
        <f>AND('GA55 Entry'!#REF!,"AAAAAH9vjSM=")</f>
        <v>#REF!</v>
      </c>
      <c r="AK102" t="e">
        <f>AND('GA55 Entry'!#REF!,"AAAAAH9vjSQ=")</f>
        <v>#REF!</v>
      </c>
      <c r="AL102" t="e">
        <f>AND('GA55 Entry'!AB278,"AAAAAH9vjSU=")</f>
        <v>#VALUE!</v>
      </c>
      <c r="AM102" t="e">
        <f>AND('GA55 Entry'!AC278,"AAAAAH9vjSY=")</f>
        <v>#VALUE!</v>
      </c>
      <c r="AN102" t="e">
        <f>AND('GA55 Entry'!#REF!,"AAAAAH9vjSc=")</f>
        <v>#REF!</v>
      </c>
      <c r="AO102">
        <f>IF('GA55 Entry'!279:279,"AAAAAH9vjSg=",0)</f>
        <v>0</v>
      </c>
      <c r="AP102" t="e">
        <f>AND('GA55 Entry'!B279,"AAAAAH9vjSk=")</f>
        <v>#VALUE!</v>
      </c>
      <c r="AQ102" t="e">
        <f>AND('GA55 Entry'!#REF!,"AAAAAH9vjSo=")</f>
        <v>#REF!</v>
      </c>
      <c r="AR102" t="e">
        <f>AND('GA55 Entry'!C279,"AAAAAH9vjSs=")</f>
        <v>#VALUE!</v>
      </c>
      <c r="AS102" t="e">
        <f>AND('GA55 Entry'!#REF!,"AAAAAH9vjSw=")</f>
        <v>#REF!</v>
      </c>
      <c r="AT102" t="e">
        <f>AND('GA55 Entry'!#REF!,"AAAAAH9vjS0=")</f>
        <v>#REF!</v>
      </c>
      <c r="AU102" t="e">
        <f>AND('GA55 Entry'!#REF!,"AAAAAH9vjS4=")</f>
        <v>#REF!</v>
      </c>
      <c r="AV102" t="e">
        <f>AND('GA55 Entry'!#REF!,"AAAAAH9vjS8=")</f>
        <v>#REF!</v>
      </c>
      <c r="AW102" t="e">
        <f>AND('GA55 Entry'!#REF!,"AAAAAH9vjTA=")</f>
        <v>#REF!</v>
      </c>
      <c r="AX102" t="e">
        <f>AND('GA55 Entry'!D279,"AAAAAH9vjTE=")</f>
        <v>#VALUE!</v>
      </c>
      <c r="AY102" t="e">
        <f>AND('GA55 Entry'!#REF!,"AAAAAH9vjTI=")</f>
        <v>#REF!</v>
      </c>
      <c r="AZ102" t="e">
        <f>AND('GA55 Entry'!E279,"AAAAAH9vjTM=")</f>
        <v>#VALUE!</v>
      </c>
      <c r="BA102" t="e">
        <f>AND('GA55 Entry'!F279,"AAAAAH9vjTQ=")</f>
        <v>#VALUE!</v>
      </c>
      <c r="BB102" t="e">
        <f>AND('GA55 Entry'!G279,"AAAAAH9vjTU=")</f>
        <v>#VALUE!</v>
      </c>
      <c r="BC102" t="e">
        <f>AND('GA55 Entry'!H279,"AAAAAH9vjTY=")</f>
        <v>#VALUE!</v>
      </c>
      <c r="BD102" t="e">
        <f>AND('GA55 Entry'!I279,"AAAAAH9vjTc=")</f>
        <v>#VALUE!</v>
      </c>
      <c r="BE102" t="e">
        <f>AND('GA55 Entry'!J279,"AAAAAH9vjTg=")</f>
        <v>#VALUE!</v>
      </c>
      <c r="BF102" t="e">
        <f>AND('GA55 Entry'!#REF!,"AAAAAH9vjTk=")</f>
        <v>#REF!</v>
      </c>
      <c r="BG102" t="e">
        <f>AND('GA55 Entry'!K279,"AAAAAH9vjTo=")</f>
        <v>#VALUE!</v>
      </c>
      <c r="BH102" t="e">
        <f>AND('GA55 Entry'!L279,"AAAAAH9vjTs=")</f>
        <v>#VALUE!</v>
      </c>
      <c r="BI102" t="e">
        <f>AND('GA55 Entry'!M279,"AAAAAH9vjTw=")</f>
        <v>#VALUE!</v>
      </c>
      <c r="BJ102" t="e">
        <f>AND('GA55 Entry'!N279,"AAAAAH9vjT0=")</f>
        <v>#VALUE!</v>
      </c>
      <c r="BK102" t="e">
        <f>AND('GA55 Entry'!O279,"AAAAAH9vjT4=")</f>
        <v>#VALUE!</v>
      </c>
      <c r="BL102" t="e">
        <f>AND('GA55 Entry'!P279,"AAAAAH9vjT8=")</f>
        <v>#VALUE!</v>
      </c>
      <c r="BM102" t="e">
        <f>AND('GA55 Entry'!Q279,"AAAAAH9vjUA=")</f>
        <v>#VALUE!</v>
      </c>
      <c r="BN102" t="e">
        <f>AND('GA55 Entry'!S279,"AAAAAH9vjUE=")</f>
        <v>#VALUE!</v>
      </c>
      <c r="BO102" t="e">
        <f>AND('GA55 Entry'!#REF!,"AAAAAH9vjUI=")</f>
        <v>#REF!</v>
      </c>
      <c r="BP102" t="e">
        <f>AND('GA55 Entry'!T279,"AAAAAH9vjUM=")</f>
        <v>#VALUE!</v>
      </c>
      <c r="BQ102" t="e">
        <f>AND('GA55 Entry'!U279,"AAAAAH9vjUQ=")</f>
        <v>#VALUE!</v>
      </c>
      <c r="BR102" t="e">
        <f>AND('GA55 Entry'!V279,"AAAAAH9vjUU=")</f>
        <v>#VALUE!</v>
      </c>
      <c r="BS102" t="e">
        <f>AND('GA55 Entry'!#REF!,"AAAAAH9vjUY=")</f>
        <v>#REF!</v>
      </c>
      <c r="BT102" t="e">
        <f>AND('GA55 Entry'!#REF!,"AAAAAH9vjUc=")</f>
        <v>#REF!</v>
      </c>
      <c r="BU102" t="e">
        <f>AND('GA55 Entry'!X279,"AAAAAH9vjUg=")</f>
        <v>#VALUE!</v>
      </c>
      <c r="BV102" t="e">
        <f>AND('GA55 Entry'!Y279,"AAAAAH9vjUk=")</f>
        <v>#VALUE!</v>
      </c>
      <c r="BW102" t="e">
        <f>AND('GA55 Entry'!#REF!,"AAAAAH9vjUo=")</f>
        <v>#REF!</v>
      </c>
      <c r="BX102" t="e">
        <f>AND('GA55 Entry'!#REF!,"AAAAAH9vjUs=")</f>
        <v>#REF!</v>
      </c>
      <c r="BY102" t="e">
        <f>AND('GA55 Entry'!#REF!,"AAAAAH9vjUw=")</f>
        <v>#REF!</v>
      </c>
      <c r="BZ102" t="e">
        <f>AND('GA55 Entry'!#REF!,"AAAAAH9vjU0=")</f>
        <v>#REF!</v>
      </c>
      <c r="CA102" t="e">
        <f>AND('GA55 Entry'!#REF!,"AAAAAH9vjU4=")</f>
        <v>#REF!</v>
      </c>
      <c r="CB102" t="e">
        <f>AND('GA55 Entry'!#REF!,"AAAAAH9vjU8=")</f>
        <v>#REF!</v>
      </c>
      <c r="CC102" t="e">
        <f>AND('GA55 Entry'!#REF!,"AAAAAH9vjVA=")</f>
        <v>#REF!</v>
      </c>
      <c r="CD102" t="e">
        <f>AND('GA55 Entry'!#REF!,"AAAAAH9vjVE=")</f>
        <v>#REF!</v>
      </c>
      <c r="CE102" t="e">
        <f>AND('GA55 Entry'!#REF!,"AAAAAH9vjVI=")</f>
        <v>#REF!</v>
      </c>
      <c r="CF102" t="e">
        <f>AND('GA55 Entry'!Z279,"AAAAAH9vjVM=")</f>
        <v>#VALUE!</v>
      </c>
      <c r="CG102" t="e">
        <f>AND('GA55 Entry'!AA279,"AAAAAH9vjVQ=")</f>
        <v>#VALUE!</v>
      </c>
      <c r="CH102" t="e">
        <f>AND('GA55 Entry'!#REF!,"AAAAAH9vjVU=")</f>
        <v>#REF!</v>
      </c>
      <c r="CI102" t="e">
        <f>AND('GA55 Entry'!#REF!,"AAAAAH9vjVY=")</f>
        <v>#REF!</v>
      </c>
      <c r="CJ102" t="e">
        <f>AND('GA55 Entry'!#REF!,"AAAAAH9vjVc=")</f>
        <v>#REF!</v>
      </c>
      <c r="CK102" t="e">
        <f>AND('GA55 Entry'!AB279,"AAAAAH9vjVg=")</f>
        <v>#VALUE!</v>
      </c>
      <c r="CL102" t="e">
        <f>AND('GA55 Entry'!AC279,"AAAAAH9vjVk=")</f>
        <v>#VALUE!</v>
      </c>
      <c r="CM102" t="e">
        <f>AND('GA55 Entry'!#REF!,"AAAAAH9vjVo=")</f>
        <v>#REF!</v>
      </c>
      <c r="CN102">
        <f>IF('GA55 Entry'!280:280,"AAAAAH9vjVs=",0)</f>
        <v>0</v>
      </c>
      <c r="CO102" t="e">
        <f>AND('GA55 Entry'!B280,"AAAAAH9vjVw=")</f>
        <v>#VALUE!</v>
      </c>
      <c r="CP102" t="e">
        <f>AND('GA55 Entry'!#REF!,"AAAAAH9vjV0=")</f>
        <v>#REF!</v>
      </c>
      <c r="CQ102" t="e">
        <f>AND('GA55 Entry'!C280,"AAAAAH9vjV4=")</f>
        <v>#VALUE!</v>
      </c>
      <c r="CR102" t="e">
        <f>AND('GA55 Entry'!#REF!,"AAAAAH9vjV8=")</f>
        <v>#REF!</v>
      </c>
      <c r="CS102" t="e">
        <f>AND('GA55 Entry'!#REF!,"AAAAAH9vjWA=")</f>
        <v>#REF!</v>
      </c>
      <c r="CT102" t="e">
        <f>AND('GA55 Entry'!#REF!,"AAAAAH9vjWE=")</f>
        <v>#REF!</v>
      </c>
      <c r="CU102" t="e">
        <f>AND('GA55 Entry'!#REF!,"AAAAAH9vjWI=")</f>
        <v>#REF!</v>
      </c>
      <c r="CV102" t="e">
        <f>AND('GA55 Entry'!#REF!,"AAAAAH9vjWM=")</f>
        <v>#REF!</v>
      </c>
      <c r="CW102" t="e">
        <f>AND('GA55 Entry'!D280,"AAAAAH9vjWQ=")</f>
        <v>#VALUE!</v>
      </c>
      <c r="CX102" t="e">
        <f>AND('GA55 Entry'!#REF!,"AAAAAH9vjWU=")</f>
        <v>#REF!</v>
      </c>
      <c r="CY102" t="e">
        <f>AND('GA55 Entry'!E280,"AAAAAH9vjWY=")</f>
        <v>#VALUE!</v>
      </c>
      <c r="CZ102" t="e">
        <f>AND('GA55 Entry'!F280,"AAAAAH9vjWc=")</f>
        <v>#VALUE!</v>
      </c>
      <c r="DA102" t="e">
        <f>AND('GA55 Entry'!G280,"AAAAAH9vjWg=")</f>
        <v>#VALUE!</v>
      </c>
      <c r="DB102" t="e">
        <f>AND('GA55 Entry'!H280,"AAAAAH9vjWk=")</f>
        <v>#VALUE!</v>
      </c>
      <c r="DC102" t="e">
        <f>AND('GA55 Entry'!I280,"AAAAAH9vjWo=")</f>
        <v>#VALUE!</v>
      </c>
      <c r="DD102" t="e">
        <f>AND('GA55 Entry'!J280,"AAAAAH9vjWs=")</f>
        <v>#VALUE!</v>
      </c>
      <c r="DE102" t="e">
        <f>AND('GA55 Entry'!#REF!,"AAAAAH9vjWw=")</f>
        <v>#REF!</v>
      </c>
      <c r="DF102" t="e">
        <f>AND('GA55 Entry'!K280,"AAAAAH9vjW0=")</f>
        <v>#VALUE!</v>
      </c>
      <c r="DG102" t="e">
        <f>AND('GA55 Entry'!L280,"AAAAAH9vjW4=")</f>
        <v>#VALUE!</v>
      </c>
      <c r="DH102" t="e">
        <f>AND('GA55 Entry'!M280,"AAAAAH9vjW8=")</f>
        <v>#VALUE!</v>
      </c>
      <c r="DI102" t="e">
        <f>AND('GA55 Entry'!N280,"AAAAAH9vjXA=")</f>
        <v>#VALUE!</v>
      </c>
      <c r="DJ102" t="e">
        <f>AND('GA55 Entry'!O280,"AAAAAH9vjXE=")</f>
        <v>#VALUE!</v>
      </c>
      <c r="DK102" t="e">
        <f>AND('GA55 Entry'!P280,"AAAAAH9vjXI=")</f>
        <v>#VALUE!</v>
      </c>
      <c r="DL102" t="e">
        <f>AND('GA55 Entry'!Q280,"AAAAAH9vjXM=")</f>
        <v>#VALUE!</v>
      </c>
      <c r="DM102" t="e">
        <f>AND('GA55 Entry'!S280,"AAAAAH9vjXQ=")</f>
        <v>#VALUE!</v>
      </c>
      <c r="DN102" t="e">
        <f>AND('GA55 Entry'!#REF!,"AAAAAH9vjXU=")</f>
        <v>#REF!</v>
      </c>
      <c r="DO102" t="e">
        <f>AND('GA55 Entry'!T280,"AAAAAH9vjXY=")</f>
        <v>#VALUE!</v>
      </c>
      <c r="DP102" t="e">
        <f>AND('GA55 Entry'!U280,"AAAAAH9vjXc=")</f>
        <v>#VALUE!</v>
      </c>
      <c r="DQ102" t="e">
        <f>AND('GA55 Entry'!V280,"AAAAAH9vjXg=")</f>
        <v>#VALUE!</v>
      </c>
      <c r="DR102" t="e">
        <f>AND('GA55 Entry'!#REF!,"AAAAAH9vjXk=")</f>
        <v>#REF!</v>
      </c>
      <c r="DS102" t="e">
        <f>AND('GA55 Entry'!#REF!,"AAAAAH9vjXo=")</f>
        <v>#REF!</v>
      </c>
      <c r="DT102" t="e">
        <f>AND('GA55 Entry'!X280,"AAAAAH9vjXs=")</f>
        <v>#VALUE!</v>
      </c>
      <c r="DU102" t="e">
        <f>AND('GA55 Entry'!Y280,"AAAAAH9vjXw=")</f>
        <v>#VALUE!</v>
      </c>
      <c r="DV102" t="e">
        <f>AND('GA55 Entry'!#REF!,"AAAAAH9vjX0=")</f>
        <v>#REF!</v>
      </c>
      <c r="DW102" t="e">
        <f>AND('GA55 Entry'!#REF!,"AAAAAH9vjX4=")</f>
        <v>#REF!</v>
      </c>
      <c r="DX102" t="e">
        <f>AND('GA55 Entry'!#REF!,"AAAAAH9vjX8=")</f>
        <v>#REF!</v>
      </c>
      <c r="DY102" t="e">
        <f>AND('GA55 Entry'!#REF!,"AAAAAH9vjYA=")</f>
        <v>#REF!</v>
      </c>
      <c r="DZ102" t="e">
        <f>AND('GA55 Entry'!#REF!,"AAAAAH9vjYE=")</f>
        <v>#REF!</v>
      </c>
      <c r="EA102" t="e">
        <f>AND('GA55 Entry'!#REF!,"AAAAAH9vjYI=")</f>
        <v>#REF!</v>
      </c>
      <c r="EB102" t="e">
        <f>AND('GA55 Entry'!#REF!,"AAAAAH9vjYM=")</f>
        <v>#REF!</v>
      </c>
      <c r="EC102" t="e">
        <f>AND('GA55 Entry'!#REF!,"AAAAAH9vjYQ=")</f>
        <v>#REF!</v>
      </c>
      <c r="ED102" t="e">
        <f>AND('GA55 Entry'!#REF!,"AAAAAH9vjYU=")</f>
        <v>#REF!</v>
      </c>
      <c r="EE102" t="e">
        <f>AND('GA55 Entry'!Z280,"AAAAAH9vjYY=")</f>
        <v>#VALUE!</v>
      </c>
      <c r="EF102" t="e">
        <f>AND('GA55 Entry'!AA280,"AAAAAH9vjYc=")</f>
        <v>#VALUE!</v>
      </c>
      <c r="EG102" t="e">
        <f>AND('GA55 Entry'!#REF!,"AAAAAH9vjYg=")</f>
        <v>#REF!</v>
      </c>
      <c r="EH102" t="e">
        <f>AND('GA55 Entry'!#REF!,"AAAAAH9vjYk=")</f>
        <v>#REF!</v>
      </c>
      <c r="EI102" t="e">
        <f>AND('GA55 Entry'!#REF!,"AAAAAH9vjYo=")</f>
        <v>#REF!</v>
      </c>
      <c r="EJ102" t="e">
        <f>AND('GA55 Entry'!AB280,"AAAAAH9vjYs=")</f>
        <v>#VALUE!</v>
      </c>
      <c r="EK102" t="e">
        <f>AND('GA55 Entry'!AC280,"AAAAAH9vjYw=")</f>
        <v>#VALUE!</v>
      </c>
      <c r="EL102" t="e">
        <f>AND('GA55 Entry'!#REF!,"AAAAAH9vjY0=")</f>
        <v>#REF!</v>
      </c>
      <c r="EM102">
        <f>IF('GA55 Entry'!281:281,"AAAAAH9vjY4=",0)</f>
        <v>0</v>
      </c>
      <c r="EN102" t="e">
        <f>AND('GA55 Entry'!B281,"AAAAAH9vjY8=")</f>
        <v>#VALUE!</v>
      </c>
      <c r="EO102" t="e">
        <f>AND('GA55 Entry'!#REF!,"AAAAAH9vjZA=")</f>
        <v>#REF!</v>
      </c>
      <c r="EP102" t="e">
        <f>AND('GA55 Entry'!C281,"AAAAAH9vjZE=")</f>
        <v>#VALUE!</v>
      </c>
      <c r="EQ102" t="e">
        <f>AND('GA55 Entry'!#REF!,"AAAAAH9vjZI=")</f>
        <v>#REF!</v>
      </c>
      <c r="ER102" t="e">
        <f>AND('GA55 Entry'!#REF!,"AAAAAH9vjZM=")</f>
        <v>#REF!</v>
      </c>
      <c r="ES102" t="e">
        <f>AND('GA55 Entry'!#REF!,"AAAAAH9vjZQ=")</f>
        <v>#REF!</v>
      </c>
      <c r="ET102" t="e">
        <f>AND('GA55 Entry'!#REF!,"AAAAAH9vjZU=")</f>
        <v>#REF!</v>
      </c>
      <c r="EU102" t="e">
        <f>AND('GA55 Entry'!#REF!,"AAAAAH9vjZY=")</f>
        <v>#REF!</v>
      </c>
      <c r="EV102" t="e">
        <f>AND('GA55 Entry'!D281,"AAAAAH9vjZc=")</f>
        <v>#VALUE!</v>
      </c>
      <c r="EW102" t="e">
        <f>AND('GA55 Entry'!#REF!,"AAAAAH9vjZg=")</f>
        <v>#REF!</v>
      </c>
      <c r="EX102" t="e">
        <f>AND('GA55 Entry'!E281,"AAAAAH9vjZk=")</f>
        <v>#VALUE!</v>
      </c>
      <c r="EY102" t="e">
        <f>AND('GA55 Entry'!F281,"AAAAAH9vjZo=")</f>
        <v>#VALUE!</v>
      </c>
      <c r="EZ102" t="e">
        <f>AND('GA55 Entry'!G281,"AAAAAH9vjZs=")</f>
        <v>#VALUE!</v>
      </c>
      <c r="FA102" t="e">
        <f>AND('GA55 Entry'!H281,"AAAAAH9vjZw=")</f>
        <v>#VALUE!</v>
      </c>
      <c r="FB102" t="e">
        <f>AND('GA55 Entry'!I281,"AAAAAH9vjZ0=")</f>
        <v>#VALUE!</v>
      </c>
      <c r="FC102" t="e">
        <f>AND('GA55 Entry'!J281,"AAAAAH9vjZ4=")</f>
        <v>#VALUE!</v>
      </c>
      <c r="FD102" t="e">
        <f>AND('GA55 Entry'!#REF!,"AAAAAH9vjZ8=")</f>
        <v>#REF!</v>
      </c>
      <c r="FE102" t="e">
        <f>AND('GA55 Entry'!K281,"AAAAAH9vjaA=")</f>
        <v>#VALUE!</v>
      </c>
      <c r="FF102" t="e">
        <f>AND('GA55 Entry'!L281,"AAAAAH9vjaE=")</f>
        <v>#VALUE!</v>
      </c>
      <c r="FG102" t="e">
        <f>AND('GA55 Entry'!M281,"AAAAAH9vjaI=")</f>
        <v>#VALUE!</v>
      </c>
      <c r="FH102" t="e">
        <f>AND('GA55 Entry'!N281,"AAAAAH9vjaM=")</f>
        <v>#VALUE!</v>
      </c>
      <c r="FI102" t="e">
        <f>AND('GA55 Entry'!O281,"AAAAAH9vjaQ=")</f>
        <v>#VALUE!</v>
      </c>
      <c r="FJ102" t="e">
        <f>AND('GA55 Entry'!P281,"AAAAAH9vjaU=")</f>
        <v>#VALUE!</v>
      </c>
      <c r="FK102" t="e">
        <f>AND('GA55 Entry'!Q281,"AAAAAH9vjaY=")</f>
        <v>#VALUE!</v>
      </c>
      <c r="FL102" t="e">
        <f>AND('GA55 Entry'!S281,"AAAAAH9vjac=")</f>
        <v>#VALUE!</v>
      </c>
      <c r="FM102" t="e">
        <f>AND('GA55 Entry'!#REF!,"AAAAAH9vjag=")</f>
        <v>#REF!</v>
      </c>
      <c r="FN102" t="e">
        <f>AND('GA55 Entry'!T281,"AAAAAH9vjak=")</f>
        <v>#VALUE!</v>
      </c>
      <c r="FO102" t="e">
        <f>AND('GA55 Entry'!U281,"AAAAAH9vjao=")</f>
        <v>#VALUE!</v>
      </c>
      <c r="FP102" t="e">
        <f>AND('GA55 Entry'!V281,"AAAAAH9vjas=")</f>
        <v>#VALUE!</v>
      </c>
      <c r="FQ102" t="e">
        <f>AND('GA55 Entry'!#REF!,"AAAAAH9vjaw=")</f>
        <v>#REF!</v>
      </c>
      <c r="FR102" t="e">
        <f>AND('GA55 Entry'!#REF!,"AAAAAH9vja0=")</f>
        <v>#REF!</v>
      </c>
      <c r="FS102" t="e">
        <f>AND('GA55 Entry'!X281,"AAAAAH9vja4=")</f>
        <v>#VALUE!</v>
      </c>
      <c r="FT102" t="e">
        <f>AND('GA55 Entry'!Y281,"AAAAAH9vja8=")</f>
        <v>#VALUE!</v>
      </c>
      <c r="FU102" t="e">
        <f>AND('GA55 Entry'!#REF!,"AAAAAH9vjbA=")</f>
        <v>#REF!</v>
      </c>
      <c r="FV102" t="e">
        <f>AND('GA55 Entry'!#REF!,"AAAAAH9vjbE=")</f>
        <v>#REF!</v>
      </c>
      <c r="FW102" t="e">
        <f>AND('GA55 Entry'!#REF!,"AAAAAH9vjbI=")</f>
        <v>#REF!</v>
      </c>
      <c r="FX102" t="e">
        <f>AND('GA55 Entry'!#REF!,"AAAAAH9vjbM=")</f>
        <v>#REF!</v>
      </c>
      <c r="FY102" t="e">
        <f>AND('GA55 Entry'!#REF!,"AAAAAH9vjbQ=")</f>
        <v>#REF!</v>
      </c>
      <c r="FZ102" t="e">
        <f>AND('GA55 Entry'!#REF!,"AAAAAH9vjbU=")</f>
        <v>#REF!</v>
      </c>
      <c r="GA102" t="e">
        <f>AND('GA55 Entry'!#REF!,"AAAAAH9vjbY=")</f>
        <v>#REF!</v>
      </c>
      <c r="GB102" t="e">
        <f>AND('GA55 Entry'!#REF!,"AAAAAH9vjbc=")</f>
        <v>#REF!</v>
      </c>
      <c r="GC102" t="e">
        <f>AND('GA55 Entry'!#REF!,"AAAAAH9vjbg=")</f>
        <v>#REF!</v>
      </c>
      <c r="GD102" t="e">
        <f>AND('GA55 Entry'!Z281,"AAAAAH9vjbk=")</f>
        <v>#VALUE!</v>
      </c>
      <c r="GE102" t="e">
        <f>AND('GA55 Entry'!AA281,"AAAAAH9vjbo=")</f>
        <v>#VALUE!</v>
      </c>
      <c r="GF102" t="e">
        <f>AND('GA55 Entry'!#REF!,"AAAAAH9vjbs=")</f>
        <v>#REF!</v>
      </c>
      <c r="GG102" t="e">
        <f>AND('GA55 Entry'!#REF!,"AAAAAH9vjbw=")</f>
        <v>#REF!</v>
      </c>
      <c r="GH102" t="e">
        <f>AND('GA55 Entry'!#REF!,"AAAAAH9vjb0=")</f>
        <v>#REF!</v>
      </c>
      <c r="GI102" t="e">
        <f>AND('GA55 Entry'!AB281,"AAAAAH9vjb4=")</f>
        <v>#VALUE!</v>
      </c>
      <c r="GJ102" t="e">
        <f>AND('GA55 Entry'!AC281,"AAAAAH9vjb8=")</f>
        <v>#VALUE!</v>
      </c>
      <c r="GK102" t="e">
        <f>AND('GA55 Entry'!#REF!,"AAAAAH9vjcA=")</f>
        <v>#REF!</v>
      </c>
      <c r="GL102">
        <f>IF('GA55 Entry'!282:282,"AAAAAH9vjcE=",0)</f>
        <v>0</v>
      </c>
      <c r="GM102" t="e">
        <f>AND('GA55 Entry'!B282,"AAAAAH9vjcI=")</f>
        <v>#VALUE!</v>
      </c>
      <c r="GN102" t="e">
        <f>AND('GA55 Entry'!#REF!,"AAAAAH9vjcM=")</f>
        <v>#REF!</v>
      </c>
      <c r="GO102" t="e">
        <f>AND('GA55 Entry'!C282,"AAAAAH9vjcQ=")</f>
        <v>#VALUE!</v>
      </c>
      <c r="GP102" t="e">
        <f>AND('GA55 Entry'!#REF!,"AAAAAH9vjcU=")</f>
        <v>#REF!</v>
      </c>
      <c r="GQ102" t="e">
        <f>AND('GA55 Entry'!#REF!,"AAAAAH9vjcY=")</f>
        <v>#REF!</v>
      </c>
      <c r="GR102" t="e">
        <f>AND('GA55 Entry'!#REF!,"AAAAAH9vjcc=")</f>
        <v>#REF!</v>
      </c>
      <c r="GS102" t="e">
        <f>AND('GA55 Entry'!#REF!,"AAAAAH9vjcg=")</f>
        <v>#REF!</v>
      </c>
      <c r="GT102" t="e">
        <f>AND('GA55 Entry'!#REF!,"AAAAAH9vjck=")</f>
        <v>#REF!</v>
      </c>
      <c r="GU102" t="e">
        <f>AND('GA55 Entry'!D282,"AAAAAH9vjco=")</f>
        <v>#VALUE!</v>
      </c>
      <c r="GV102" t="e">
        <f>AND('GA55 Entry'!#REF!,"AAAAAH9vjcs=")</f>
        <v>#REF!</v>
      </c>
      <c r="GW102" t="e">
        <f>AND('GA55 Entry'!E282,"AAAAAH9vjcw=")</f>
        <v>#VALUE!</v>
      </c>
      <c r="GX102" t="e">
        <f>AND('GA55 Entry'!F282,"AAAAAH9vjc0=")</f>
        <v>#VALUE!</v>
      </c>
      <c r="GY102" t="e">
        <f>AND('GA55 Entry'!G282,"AAAAAH9vjc4=")</f>
        <v>#VALUE!</v>
      </c>
      <c r="GZ102" t="e">
        <f>AND('GA55 Entry'!H282,"AAAAAH9vjc8=")</f>
        <v>#VALUE!</v>
      </c>
      <c r="HA102" t="e">
        <f>AND('GA55 Entry'!I282,"AAAAAH9vjdA=")</f>
        <v>#VALUE!</v>
      </c>
      <c r="HB102" t="e">
        <f>AND('GA55 Entry'!J282,"AAAAAH9vjdE=")</f>
        <v>#VALUE!</v>
      </c>
      <c r="HC102" t="e">
        <f>AND('GA55 Entry'!#REF!,"AAAAAH9vjdI=")</f>
        <v>#REF!</v>
      </c>
      <c r="HD102" t="e">
        <f>AND('GA55 Entry'!K282,"AAAAAH9vjdM=")</f>
        <v>#VALUE!</v>
      </c>
      <c r="HE102" t="e">
        <f>AND('GA55 Entry'!L282,"AAAAAH9vjdQ=")</f>
        <v>#VALUE!</v>
      </c>
      <c r="HF102" t="e">
        <f>AND('GA55 Entry'!M282,"AAAAAH9vjdU=")</f>
        <v>#VALUE!</v>
      </c>
      <c r="HG102" t="e">
        <f>AND('GA55 Entry'!N282,"AAAAAH9vjdY=")</f>
        <v>#VALUE!</v>
      </c>
      <c r="HH102" t="e">
        <f>AND('GA55 Entry'!O282,"AAAAAH9vjdc=")</f>
        <v>#VALUE!</v>
      </c>
      <c r="HI102" t="e">
        <f>AND('GA55 Entry'!P282,"AAAAAH9vjdg=")</f>
        <v>#VALUE!</v>
      </c>
      <c r="HJ102" t="e">
        <f>AND('GA55 Entry'!Q282,"AAAAAH9vjdk=")</f>
        <v>#VALUE!</v>
      </c>
      <c r="HK102" t="e">
        <f>AND('GA55 Entry'!S282,"AAAAAH9vjdo=")</f>
        <v>#VALUE!</v>
      </c>
      <c r="HL102" t="e">
        <f>AND('GA55 Entry'!#REF!,"AAAAAH9vjds=")</f>
        <v>#REF!</v>
      </c>
      <c r="HM102" t="e">
        <f>AND('GA55 Entry'!T282,"AAAAAH9vjdw=")</f>
        <v>#VALUE!</v>
      </c>
      <c r="HN102" t="e">
        <f>AND('GA55 Entry'!U282,"AAAAAH9vjd0=")</f>
        <v>#VALUE!</v>
      </c>
      <c r="HO102" t="e">
        <f>AND('GA55 Entry'!V282,"AAAAAH9vjd4=")</f>
        <v>#VALUE!</v>
      </c>
      <c r="HP102" t="e">
        <f>AND('GA55 Entry'!#REF!,"AAAAAH9vjd8=")</f>
        <v>#REF!</v>
      </c>
      <c r="HQ102" t="e">
        <f>AND('GA55 Entry'!#REF!,"AAAAAH9vjeA=")</f>
        <v>#REF!</v>
      </c>
      <c r="HR102" t="e">
        <f>AND('GA55 Entry'!X282,"AAAAAH9vjeE=")</f>
        <v>#VALUE!</v>
      </c>
      <c r="HS102" t="e">
        <f>AND('GA55 Entry'!Y282,"AAAAAH9vjeI=")</f>
        <v>#VALUE!</v>
      </c>
      <c r="HT102" t="e">
        <f>AND('GA55 Entry'!#REF!,"AAAAAH9vjeM=")</f>
        <v>#REF!</v>
      </c>
      <c r="HU102" t="e">
        <f>AND('GA55 Entry'!#REF!,"AAAAAH9vjeQ=")</f>
        <v>#REF!</v>
      </c>
      <c r="HV102" t="e">
        <f>AND('GA55 Entry'!#REF!,"AAAAAH9vjeU=")</f>
        <v>#REF!</v>
      </c>
      <c r="HW102" t="e">
        <f>AND('GA55 Entry'!#REF!,"AAAAAH9vjeY=")</f>
        <v>#REF!</v>
      </c>
      <c r="HX102" t="e">
        <f>AND('GA55 Entry'!#REF!,"AAAAAH9vjec=")</f>
        <v>#REF!</v>
      </c>
      <c r="HY102" t="e">
        <f>AND('GA55 Entry'!#REF!,"AAAAAH9vjeg=")</f>
        <v>#REF!</v>
      </c>
      <c r="HZ102" t="e">
        <f>AND('GA55 Entry'!#REF!,"AAAAAH9vjek=")</f>
        <v>#REF!</v>
      </c>
      <c r="IA102" t="e">
        <f>AND('GA55 Entry'!#REF!,"AAAAAH9vjeo=")</f>
        <v>#REF!</v>
      </c>
      <c r="IB102" t="e">
        <f>AND('GA55 Entry'!#REF!,"AAAAAH9vjes=")</f>
        <v>#REF!</v>
      </c>
      <c r="IC102" t="e">
        <f>AND('GA55 Entry'!Z282,"AAAAAH9vjew=")</f>
        <v>#VALUE!</v>
      </c>
      <c r="ID102" t="e">
        <f>AND('GA55 Entry'!AA282,"AAAAAH9vje0=")</f>
        <v>#VALUE!</v>
      </c>
      <c r="IE102" t="e">
        <f>AND('GA55 Entry'!#REF!,"AAAAAH9vje4=")</f>
        <v>#REF!</v>
      </c>
      <c r="IF102" t="e">
        <f>AND('GA55 Entry'!#REF!,"AAAAAH9vje8=")</f>
        <v>#REF!</v>
      </c>
      <c r="IG102" t="e">
        <f>AND('GA55 Entry'!#REF!,"AAAAAH9vjfA=")</f>
        <v>#REF!</v>
      </c>
      <c r="IH102" t="e">
        <f>AND('GA55 Entry'!AB282,"AAAAAH9vjfE=")</f>
        <v>#VALUE!</v>
      </c>
      <c r="II102" t="e">
        <f>AND('GA55 Entry'!AC282,"AAAAAH9vjfI=")</f>
        <v>#VALUE!</v>
      </c>
      <c r="IJ102" t="e">
        <f>AND('GA55 Entry'!#REF!,"AAAAAH9vjfM=")</f>
        <v>#REF!</v>
      </c>
      <c r="IK102">
        <f>IF('GA55 Entry'!283:283,"AAAAAH9vjfQ=",0)</f>
        <v>0</v>
      </c>
      <c r="IL102" t="e">
        <f>AND('GA55 Entry'!B283,"AAAAAH9vjfU=")</f>
        <v>#VALUE!</v>
      </c>
      <c r="IM102" t="e">
        <f>AND('GA55 Entry'!#REF!,"AAAAAH9vjfY=")</f>
        <v>#REF!</v>
      </c>
      <c r="IN102" t="e">
        <f>AND('GA55 Entry'!C283,"AAAAAH9vjfc=")</f>
        <v>#VALUE!</v>
      </c>
      <c r="IO102" t="e">
        <f>AND('GA55 Entry'!#REF!,"AAAAAH9vjfg=")</f>
        <v>#REF!</v>
      </c>
      <c r="IP102" t="e">
        <f>AND('GA55 Entry'!#REF!,"AAAAAH9vjfk=")</f>
        <v>#REF!</v>
      </c>
      <c r="IQ102" t="e">
        <f>AND('GA55 Entry'!#REF!,"AAAAAH9vjfo=")</f>
        <v>#REF!</v>
      </c>
      <c r="IR102" t="e">
        <f>AND('GA55 Entry'!#REF!,"AAAAAH9vjfs=")</f>
        <v>#REF!</v>
      </c>
      <c r="IS102" t="e">
        <f>AND('GA55 Entry'!#REF!,"AAAAAH9vjfw=")</f>
        <v>#REF!</v>
      </c>
      <c r="IT102" t="e">
        <f>AND('GA55 Entry'!D283,"AAAAAH9vjf0=")</f>
        <v>#VALUE!</v>
      </c>
      <c r="IU102" t="e">
        <f>AND('GA55 Entry'!#REF!,"AAAAAH9vjf4=")</f>
        <v>#REF!</v>
      </c>
      <c r="IV102" t="e">
        <f>AND('GA55 Entry'!E283,"AAAAAH9vjf8=")</f>
        <v>#VALUE!</v>
      </c>
    </row>
    <row r="103" spans="1:256">
      <c r="A103" t="e">
        <f>AND('GA55 Entry'!F283,"AAAAAD/+7wA=")</f>
        <v>#VALUE!</v>
      </c>
      <c r="B103" t="e">
        <f>AND('GA55 Entry'!G283,"AAAAAD/+7wE=")</f>
        <v>#VALUE!</v>
      </c>
      <c r="C103" t="e">
        <f>AND('GA55 Entry'!H283,"AAAAAD/+7wI=")</f>
        <v>#VALUE!</v>
      </c>
      <c r="D103" t="e">
        <f>AND('GA55 Entry'!I283,"AAAAAD/+7wM=")</f>
        <v>#VALUE!</v>
      </c>
      <c r="E103" t="e">
        <f>AND('GA55 Entry'!J283,"AAAAAD/+7wQ=")</f>
        <v>#VALUE!</v>
      </c>
      <c r="F103" t="e">
        <f>AND('GA55 Entry'!#REF!,"AAAAAD/+7wU=")</f>
        <v>#REF!</v>
      </c>
      <c r="G103" t="e">
        <f>AND('GA55 Entry'!K283,"AAAAAD/+7wY=")</f>
        <v>#VALUE!</v>
      </c>
      <c r="H103" t="e">
        <f>AND('GA55 Entry'!L283,"AAAAAD/+7wc=")</f>
        <v>#VALUE!</v>
      </c>
      <c r="I103" t="e">
        <f>AND('GA55 Entry'!M283,"AAAAAD/+7wg=")</f>
        <v>#VALUE!</v>
      </c>
      <c r="J103" t="e">
        <f>AND('GA55 Entry'!N283,"AAAAAD/+7wk=")</f>
        <v>#VALUE!</v>
      </c>
      <c r="K103" t="e">
        <f>AND('GA55 Entry'!O283,"AAAAAD/+7wo=")</f>
        <v>#VALUE!</v>
      </c>
      <c r="L103" t="e">
        <f>AND('GA55 Entry'!P283,"AAAAAD/+7ws=")</f>
        <v>#VALUE!</v>
      </c>
      <c r="M103" t="e">
        <f>AND('GA55 Entry'!Q283,"AAAAAD/+7ww=")</f>
        <v>#VALUE!</v>
      </c>
      <c r="N103" t="e">
        <f>AND('GA55 Entry'!S283,"AAAAAD/+7w0=")</f>
        <v>#VALUE!</v>
      </c>
      <c r="O103" t="e">
        <f>AND('GA55 Entry'!#REF!,"AAAAAD/+7w4=")</f>
        <v>#REF!</v>
      </c>
      <c r="P103" t="e">
        <f>AND('GA55 Entry'!T283,"AAAAAD/+7w8=")</f>
        <v>#VALUE!</v>
      </c>
      <c r="Q103" t="e">
        <f>AND('GA55 Entry'!U283,"AAAAAD/+7xA=")</f>
        <v>#VALUE!</v>
      </c>
      <c r="R103" t="e">
        <f>AND('GA55 Entry'!V283,"AAAAAD/+7xE=")</f>
        <v>#VALUE!</v>
      </c>
      <c r="S103" t="e">
        <f>AND('GA55 Entry'!#REF!,"AAAAAD/+7xI=")</f>
        <v>#REF!</v>
      </c>
      <c r="T103" t="e">
        <f>AND('GA55 Entry'!#REF!,"AAAAAD/+7xM=")</f>
        <v>#REF!</v>
      </c>
      <c r="U103" t="e">
        <f>AND('GA55 Entry'!X283,"AAAAAD/+7xQ=")</f>
        <v>#VALUE!</v>
      </c>
      <c r="V103" t="e">
        <f>AND('GA55 Entry'!Y283,"AAAAAD/+7xU=")</f>
        <v>#VALUE!</v>
      </c>
      <c r="W103" t="e">
        <f>AND('GA55 Entry'!#REF!,"AAAAAD/+7xY=")</f>
        <v>#REF!</v>
      </c>
      <c r="X103" t="e">
        <f>AND('GA55 Entry'!#REF!,"AAAAAD/+7xc=")</f>
        <v>#REF!</v>
      </c>
      <c r="Y103" t="e">
        <f>AND('GA55 Entry'!#REF!,"AAAAAD/+7xg=")</f>
        <v>#REF!</v>
      </c>
      <c r="Z103" t="e">
        <f>AND('GA55 Entry'!#REF!,"AAAAAD/+7xk=")</f>
        <v>#REF!</v>
      </c>
      <c r="AA103" t="e">
        <f>AND('GA55 Entry'!#REF!,"AAAAAD/+7xo=")</f>
        <v>#REF!</v>
      </c>
      <c r="AB103" t="e">
        <f>AND('GA55 Entry'!#REF!,"AAAAAD/+7xs=")</f>
        <v>#REF!</v>
      </c>
      <c r="AC103" t="e">
        <f>AND('GA55 Entry'!#REF!,"AAAAAD/+7xw=")</f>
        <v>#REF!</v>
      </c>
      <c r="AD103" t="e">
        <f>AND('GA55 Entry'!#REF!,"AAAAAD/+7x0=")</f>
        <v>#REF!</v>
      </c>
      <c r="AE103" t="e">
        <f>AND('GA55 Entry'!#REF!,"AAAAAD/+7x4=")</f>
        <v>#REF!</v>
      </c>
      <c r="AF103" t="e">
        <f>AND('GA55 Entry'!Z283,"AAAAAD/+7x8=")</f>
        <v>#VALUE!</v>
      </c>
      <c r="AG103" t="e">
        <f>AND('GA55 Entry'!AA283,"AAAAAD/+7yA=")</f>
        <v>#VALUE!</v>
      </c>
      <c r="AH103" t="e">
        <f>AND('GA55 Entry'!#REF!,"AAAAAD/+7yE=")</f>
        <v>#REF!</v>
      </c>
      <c r="AI103" t="e">
        <f>AND('GA55 Entry'!#REF!,"AAAAAD/+7yI=")</f>
        <v>#REF!</v>
      </c>
      <c r="AJ103" t="e">
        <f>AND('GA55 Entry'!#REF!,"AAAAAD/+7yM=")</f>
        <v>#REF!</v>
      </c>
      <c r="AK103" t="e">
        <f>AND('GA55 Entry'!AB283,"AAAAAD/+7yQ=")</f>
        <v>#VALUE!</v>
      </c>
      <c r="AL103" t="e">
        <f>AND('GA55 Entry'!AC283,"AAAAAD/+7yU=")</f>
        <v>#VALUE!</v>
      </c>
      <c r="AM103" t="e">
        <f>AND('GA55 Entry'!#REF!,"AAAAAD/+7yY=")</f>
        <v>#REF!</v>
      </c>
      <c r="AN103">
        <f>IF('GA55 Entry'!284:284,"AAAAAD/+7yc=",0)</f>
        <v>0</v>
      </c>
      <c r="AO103" t="e">
        <f>AND('GA55 Entry'!B284,"AAAAAD/+7yg=")</f>
        <v>#VALUE!</v>
      </c>
      <c r="AP103" t="e">
        <f>AND('GA55 Entry'!#REF!,"AAAAAD/+7yk=")</f>
        <v>#REF!</v>
      </c>
      <c r="AQ103" t="e">
        <f>AND('GA55 Entry'!C284,"AAAAAD/+7yo=")</f>
        <v>#VALUE!</v>
      </c>
      <c r="AR103" t="e">
        <f>AND('GA55 Entry'!#REF!,"AAAAAD/+7ys=")</f>
        <v>#REF!</v>
      </c>
      <c r="AS103" t="e">
        <f>AND('GA55 Entry'!#REF!,"AAAAAD/+7yw=")</f>
        <v>#REF!</v>
      </c>
      <c r="AT103" t="e">
        <f>AND('GA55 Entry'!#REF!,"AAAAAD/+7y0=")</f>
        <v>#REF!</v>
      </c>
      <c r="AU103" t="e">
        <f>AND('GA55 Entry'!#REF!,"AAAAAD/+7y4=")</f>
        <v>#REF!</v>
      </c>
      <c r="AV103" t="e">
        <f>AND('GA55 Entry'!#REF!,"AAAAAD/+7y8=")</f>
        <v>#REF!</v>
      </c>
      <c r="AW103" t="e">
        <f>AND('GA55 Entry'!D284,"AAAAAD/+7zA=")</f>
        <v>#VALUE!</v>
      </c>
      <c r="AX103" t="e">
        <f>AND('GA55 Entry'!#REF!,"AAAAAD/+7zE=")</f>
        <v>#REF!</v>
      </c>
      <c r="AY103" t="e">
        <f>AND('GA55 Entry'!E284,"AAAAAD/+7zI=")</f>
        <v>#VALUE!</v>
      </c>
      <c r="AZ103" t="e">
        <f>AND('GA55 Entry'!F284,"AAAAAD/+7zM=")</f>
        <v>#VALUE!</v>
      </c>
      <c r="BA103" t="e">
        <f>AND('GA55 Entry'!G284,"AAAAAD/+7zQ=")</f>
        <v>#VALUE!</v>
      </c>
      <c r="BB103" t="e">
        <f>AND('GA55 Entry'!H284,"AAAAAD/+7zU=")</f>
        <v>#VALUE!</v>
      </c>
      <c r="BC103" t="e">
        <f>AND('GA55 Entry'!I284,"AAAAAD/+7zY=")</f>
        <v>#VALUE!</v>
      </c>
      <c r="BD103" t="e">
        <f>AND('GA55 Entry'!J284,"AAAAAD/+7zc=")</f>
        <v>#VALUE!</v>
      </c>
      <c r="BE103" t="e">
        <f>AND('GA55 Entry'!#REF!,"AAAAAD/+7zg=")</f>
        <v>#REF!</v>
      </c>
      <c r="BF103" t="e">
        <f>AND('GA55 Entry'!K284,"AAAAAD/+7zk=")</f>
        <v>#VALUE!</v>
      </c>
      <c r="BG103" t="e">
        <f>AND('GA55 Entry'!L284,"AAAAAD/+7zo=")</f>
        <v>#VALUE!</v>
      </c>
      <c r="BH103" t="e">
        <f>AND('GA55 Entry'!M284,"AAAAAD/+7zs=")</f>
        <v>#VALUE!</v>
      </c>
      <c r="BI103" t="e">
        <f>AND('GA55 Entry'!N284,"AAAAAD/+7zw=")</f>
        <v>#VALUE!</v>
      </c>
      <c r="BJ103" t="e">
        <f>AND('GA55 Entry'!O284,"AAAAAD/+7z0=")</f>
        <v>#VALUE!</v>
      </c>
      <c r="BK103" t="e">
        <f>AND('GA55 Entry'!P284,"AAAAAD/+7z4=")</f>
        <v>#VALUE!</v>
      </c>
      <c r="BL103" t="e">
        <f>AND('GA55 Entry'!Q284,"AAAAAD/+7z8=")</f>
        <v>#VALUE!</v>
      </c>
      <c r="BM103" t="e">
        <f>AND('GA55 Entry'!S284,"AAAAAD/+70A=")</f>
        <v>#VALUE!</v>
      </c>
      <c r="BN103" t="e">
        <f>AND('GA55 Entry'!#REF!,"AAAAAD/+70E=")</f>
        <v>#REF!</v>
      </c>
      <c r="BO103" t="e">
        <f>AND('GA55 Entry'!T284,"AAAAAD/+70I=")</f>
        <v>#VALUE!</v>
      </c>
      <c r="BP103" t="e">
        <f>AND('GA55 Entry'!U284,"AAAAAD/+70M=")</f>
        <v>#VALUE!</v>
      </c>
      <c r="BQ103" t="e">
        <f>AND('GA55 Entry'!V284,"AAAAAD/+70Q=")</f>
        <v>#VALUE!</v>
      </c>
      <c r="BR103" t="e">
        <f>AND('GA55 Entry'!#REF!,"AAAAAD/+70U=")</f>
        <v>#REF!</v>
      </c>
      <c r="BS103" t="e">
        <f>AND('GA55 Entry'!#REF!,"AAAAAD/+70Y=")</f>
        <v>#REF!</v>
      </c>
      <c r="BT103" t="e">
        <f>AND('GA55 Entry'!X284,"AAAAAD/+70c=")</f>
        <v>#VALUE!</v>
      </c>
      <c r="BU103" t="e">
        <f>AND('GA55 Entry'!Y284,"AAAAAD/+70g=")</f>
        <v>#VALUE!</v>
      </c>
      <c r="BV103" t="e">
        <f>AND('GA55 Entry'!#REF!,"AAAAAD/+70k=")</f>
        <v>#REF!</v>
      </c>
      <c r="BW103" t="e">
        <f>AND('GA55 Entry'!#REF!,"AAAAAD/+70o=")</f>
        <v>#REF!</v>
      </c>
      <c r="BX103" t="e">
        <f>AND('GA55 Entry'!#REF!,"AAAAAD/+70s=")</f>
        <v>#REF!</v>
      </c>
      <c r="BY103" t="e">
        <f>AND('GA55 Entry'!#REF!,"AAAAAD/+70w=")</f>
        <v>#REF!</v>
      </c>
      <c r="BZ103" t="e">
        <f>AND('GA55 Entry'!#REF!,"AAAAAD/+700=")</f>
        <v>#REF!</v>
      </c>
      <c r="CA103" t="e">
        <f>AND('GA55 Entry'!#REF!,"AAAAAD/+704=")</f>
        <v>#REF!</v>
      </c>
      <c r="CB103" t="e">
        <f>AND('GA55 Entry'!#REF!,"AAAAAD/+708=")</f>
        <v>#REF!</v>
      </c>
      <c r="CC103" t="e">
        <f>AND('GA55 Entry'!#REF!,"AAAAAD/+71A=")</f>
        <v>#REF!</v>
      </c>
      <c r="CD103" t="e">
        <f>AND('GA55 Entry'!#REF!,"AAAAAD/+71E=")</f>
        <v>#REF!</v>
      </c>
      <c r="CE103" t="e">
        <f>AND('GA55 Entry'!Z284,"AAAAAD/+71I=")</f>
        <v>#VALUE!</v>
      </c>
      <c r="CF103" t="e">
        <f>AND('GA55 Entry'!AA284,"AAAAAD/+71M=")</f>
        <v>#VALUE!</v>
      </c>
      <c r="CG103" t="e">
        <f>AND('GA55 Entry'!#REF!,"AAAAAD/+71Q=")</f>
        <v>#REF!</v>
      </c>
      <c r="CH103" t="e">
        <f>AND('GA55 Entry'!#REF!,"AAAAAD/+71U=")</f>
        <v>#REF!</v>
      </c>
      <c r="CI103" t="e">
        <f>AND('GA55 Entry'!#REF!,"AAAAAD/+71Y=")</f>
        <v>#REF!</v>
      </c>
      <c r="CJ103" t="e">
        <f>AND('GA55 Entry'!AB284,"AAAAAD/+71c=")</f>
        <v>#VALUE!</v>
      </c>
      <c r="CK103" t="e">
        <f>AND('GA55 Entry'!AC284,"AAAAAD/+71g=")</f>
        <v>#VALUE!</v>
      </c>
      <c r="CL103" t="e">
        <f>AND('GA55 Entry'!#REF!,"AAAAAD/+71k=")</f>
        <v>#REF!</v>
      </c>
      <c r="CM103">
        <f>IF('GA55 Entry'!285:285,"AAAAAD/+71o=",0)</f>
        <v>0</v>
      </c>
      <c r="CN103" t="e">
        <f>AND('GA55 Entry'!B285,"AAAAAD/+71s=")</f>
        <v>#VALUE!</v>
      </c>
      <c r="CO103" t="e">
        <f>AND('GA55 Entry'!#REF!,"AAAAAD/+71w=")</f>
        <v>#REF!</v>
      </c>
      <c r="CP103" t="e">
        <f>AND('GA55 Entry'!C285,"AAAAAD/+710=")</f>
        <v>#VALUE!</v>
      </c>
      <c r="CQ103" t="e">
        <f>AND('GA55 Entry'!#REF!,"AAAAAD/+714=")</f>
        <v>#REF!</v>
      </c>
      <c r="CR103" t="e">
        <f>AND('GA55 Entry'!#REF!,"AAAAAD/+718=")</f>
        <v>#REF!</v>
      </c>
      <c r="CS103" t="e">
        <f>AND('GA55 Entry'!#REF!,"AAAAAD/+72A=")</f>
        <v>#REF!</v>
      </c>
      <c r="CT103" t="e">
        <f>AND('GA55 Entry'!#REF!,"AAAAAD/+72E=")</f>
        <v>#REF!</v>
      </c>
      <c r="CU103" t="e">
        <f>AND('GA55 Entry'!#REF!,"AAAAAD/+72I=")</f>
        <v>#REF!</v>
      </c>
      <c r="CV103" t="e">
        <f>AND('GA55 Entry'!D285,"AAAAAD/+72M=")</f>
        <v>#VALUE!</v>
      </c>
      <c r="CW103" t="e">
        <f>AND('GA55 Entry'!#REF!,"AAAAAD/+72Q=")</f>
        <v>#REF!</v>
      </c>
      <c r="CX103" t="e">
        <f>AND('GA55 Entry'!E285,"AAAAAD/+72U=")</f>
        <v>#VALUE!</v>
      </c>
      <c r="CY103" t="e">
        <f>AND('GA55 Entry'!F285,"AAAAAD/+72Y=")</f>
        <v>#VALUE!</v>
      </c>
      <c r="CZ103" t="e">
        <f>AND('GA55 Entry'!G285,"AAAAAD/+72c=")</f>
        <v>#VALUE!</v>
      </c>
      <c r="DA103" t="e">
        <f>AND('GA55 Entry'!H285,"AAAAAD/+72g=")</f>
        <v>#VALUE!</v>
      </c>
      <c r="DB103" t="e">
        <f>AND('GA55 Entry'!I285,"AAAAAD/+72k=")</f>
        <v>#VALUE!</v>
      </c>
      <c r="DC103" t="e">
        <f>AND('GA55 Entry'!J285,"AAAAAD/+72o=")</f>
        <v>#VALUE!</v>
      </c>
      <c r="DD103" t="e">
        <f>AND('GA55 Entry'!#REF!,"AAAAAD/+72s=")</f>
        <v>#REF!</v>
      </c>
      <c r="DE103" t="e">
        <f>AND('GA55 Entry'!K285,"AAAAAD/+72w=")</f>
        <v>#VALUE!</v>
      </c>
      <c r="DF103" t="e">
        <f>AND('GA55 Entry'!L285,"AAAAAD/+720=")</f>
        <v>#VALUE!</v>
      </c>
      <c r="DG103" t="e">
        <f>AND('GA55 Entry'!M285,"AAAAAD/+724=")</f>
        <v>#VALUE!</v>
      </c>
      <c r="DH103" t="e">
        <f>AND('GA55 Entry'!N285,"AAAAAD/+728=")</f>
        <v>#VALUE!</v>
      </c>
      <c r="DI103" t="e">
        <f>AND('GA55 Entry'!O285,"AAAAAD/+73A=")</f>
        <v>#VALUE!</v>
      </c>
      <c r="DJ103" t="e">
        <f>AND('GA55 Entry'!P285,"AAAAAD/+73E=")</f>
        <v>#VALUE!</v>
      </c>
      <c r="DK103" t="e">
        <f>AND('GA55 Entry'!Q285,"AAAAAD/+73I=")</f>
        <v>#VALUE!</v>
      </c>
      <c r="DL103" t="e">
        <f>AND('GA55 Entry'!S285,"AAAAAD/+73M=")</f>
        <v>#VALUE!</v>
      </c>
      <c r="DM103" t="e">
        <f>AND('GA55 Entry'!#REF!,"AAAAAD/+73Q=")</f>
        <v>#REF!</v>
      </c>
      <c r="DN103" t="e">
        <f>AND('GA55 Entry'!T285,"AAAAAD/+73U=")</f>
        <v>#VALUE!</v>
      </c>
      <c r="DO103" t="e">
        <f>AND('GA55 Entry'!U285,"AAAAAD/+73Y=")</f>
        <v>#VALUE!</v>
      </c>
      <c r="DP103" t="e">
        <f>AND('GA55 Entry'!V285,"AAAAAD/+73c=")</f>
        <v>#VALUE!</v>
      </c>
      <c r="DQ103" t="e">
        <f>AND('GA55 Entry'!#REF!,"AAAAAD/+73g=")</f>
        <v>#REF!</v>
      </c>
      <c r="DR103" t="e">
        <f>AND('GA55 Entry'!#REF!,"AAAAAD/+73k=")</f>
        <v>#REF!</v>
      </c>
      <c r="DS103" t="e">
        <f>AND('GA55 Entry'!X285,"AAAAAD/+73o=")</f>
        <v>#VALUE!</v>
      </c>
      <c r="DT103" t="e">
        <f>AND('GA55 Entry'!Y285,"AAAAAD/+73s=")</f>
        <v>#VALUE!</v>
      </c>
      <c r="DU103" t="e">
        <f>AND('GA55 Entry'!#REF!,"AAAAAD/+73w=")</f>
        <v>#REF!</v>
      </c>
      <c r="DV103" t="e">
        <f>AND('GA55 Entry'!#REF!,"AAAAAD/+730=")</f>
        <v>#REF!</v>
      </c>
      <c r="DW103" t="e">
        <f>AND('GA55 Entry'!#REF!,"AAAAAD/+734=")</f>
        <v>#REF!</v>
      </c>
      <c r="DX103" t="e">
        <f>AND('GA55 Entry'!#REF!,"AAAAAD/+738=")</f>
        <v>#REF!</v>
      </c>
      <c r="DY103" t="e">
        <f>AND('GA55 Entry'!#REF!,"AAAAAD/+74A=")</f>
        <v>#REF!</v>
      </c>
      <c r="DZ103" t="e">
        <f>AND('GA55 Entry'!#REF!,"AAAAAD/+74E=")</f>
        <v>#REF!</v>
      </c>
      <c r="EA103" t="e">
        <f>AND('GA55 Entry'!#REF!,"AAAAAD/+74I=")</f>
        <v>#REF!</v>
      </c>
      <c r="EB103" t="e">
        <f>AND('GA55 Entry'!#REF!,"AAAAAD/+74M=")</f>
        <v>#REF!</v>
      </c>
      <c r="EC103" t="e">
        <f>AND('GA55 Entry'!#REF!,"AAAAAD/+74Q=")</f>
        <v>#REF!</v>
      </c>
      <c r="ED103" t="e">
        <f>AND('GA55 Entry'!Z285,"AAAAAD/+74U=")</f>
        <v>#VALUE!</v>
      </c>
      <c r="EE103" t="e">
        <f>AND('GA55 Entry'!AA285,"AAAAAD/+74Y=")</f>
        <v>#VALUE!</v>
      </c>
      <c r="EF103" t="e">
        <f>AND('GA55 Entry'!#REF!,"AAAAAD/+74c=")</f>
        <v>#REF!</v>
      </c>
      <c r="EG103" t="e">
        <f>AND('GA55 Entry'!#REF!,"AAAAAD/+74g=")</f>
        <v>#REF!</v>
      </c>
      <c r="EH103" t="e">
        <f>AND('GA55 Entry'!#REF!,"AAAAAD/+74k=")</f>
        <v>#REF!</v>
      </c>
      <c r="EI103" t="e">
        <f>AND('GA55 Entry'!AB285,"AAAAAD/+74o=")</f>
        <v>#VALUE!</v>
      </c>
      <c r="EJ103" t="e">
        <f>AND('GA55 Entry'!AC285,"AAAAAD/+74s=")</f>
        <v>#VALUE!</v>
      </c>
      <c r="EK103" t="e">
        <f>AND('GA55 Entry'!#REF!,"AAAAAD/+74w=")</f>
        <v>#REF!</v>
      </c>
      <c r="EL103">
        <f>IF('GA55 Entry'!286:286,"AAAAAD/+740=",0)</f>
        <v>0</v>
      </c>
      <c r="EM103" t="e">
        <f>AND('GA55 Entry'!B286,"AAAAAD/+744=")</f>
        <v>#VALUE!</v>
      </c>
      <c r="EN103" t="e">
        <f>AND('GA55 Entry'!#REF!,"AAAAAD/+748=")</f>
        <v>#REF!</v>
      </c>
      <c r="EO103" t="e">
        <f>AND('GA55 Entry'!C286,"AAAAAD/+75A=")</f>
        <v>#VALUE!</v>
      </c>
      <c r="EP103" t="e">
        <f>AND('GA55 Entry'!#REF!,"AAAAAD/+75E=")</f>
        <v>#REF!</v>
      </c>
      <c r="EQ103" t="e">
        <f>AND('GA55 Entry'!#REF!,"AAAAAD/+75I=")</f>
        <v>#REF!</v>
      </c>
      <c r="ER103" t="e">
        <f>AND('GA55 Entry'!#REF!,"AAAAAD/+75M=")</f>
        <v>#REF!</v>
      </c>
      <c r="ES103" t="e">
        <f>AND('GA55 Entry'!#REF!,"AAAAAD/+75Q=")</f>
        <v>#REF!</v>
      </c>
      <c r="ET103" t="e">
        <f>AND('GA55 Entry'!#REF!,"AAAAAD/+75U=")</f>
        <v>#REF!</v>
      </c>
      <c r="EU103" t="e">
        <f>AND('GA55 Entry'!D286,"AAAAAD/+75Y=")</f>
        <v>#VALUE!</v>
      </c>
      <c r="EV103" t="e">
        <f>AND('GA55 Entry'!#REF!,"AAAAAD/+75c=")</f>
        <v>#REF!</v>
      </c>
      <c r="EW103" t="e">
        <f>AND('GA55 Entry'!E286,"AAAAAD/+75g=")</f>
        <v>#VALUE!</v>
      </c>
      <c r="EX103" t="e">
        <f>AND('GA55 Entry'!F286,"AAAAAD/+75k=")</f>
        <v>#VALUE!</v>
      </c>
      <c r="EY103" t="e">
        <f>AND('GA55 Entry'!G286,"AAAAAD/+75o=")</f>
        <v>#VALUE!</v>
      </c>
      <c r="EZ103" t="e">
        <f>AND('GA55 Entry'!H286,"AAAAAD/+75s=")</f>
        <v>#VALUE!</v>
      </c>
      <c r="FA103" t="e">
        <f>AND('GA55 Entry'!I286,"AAAAAD/+75w=")</f>
        <v>#VALUE!</v>
      </c>
      <c r="FB103" t="e">
        <f>AND('GA55 Entry'!J286,"AAAAAD/+750=")</f>
        <v>#VALUE!</v>
      </c>
      <c r="FC103" t="e">
        <f>AND('GA55 Entry'!#REF!,"AAAAAD/+754=")</f>
        <v>#REF!</v>
      </c>
      <c r="FD103" t="e">
        <f>AND('GA55 Entry'!K286,"AAAAAD/+758=")</f>
        <v>#VALUE!</v>
      </c>
      <c r="FE103" t="e">
        <f>AND('GA55 Entry'!L286,"AAAAAD/+76A=")</f>
        <v>#VALUE!</v>
      </c>
      <c r="FF103" t="e">
        <f>AND('GA55 Entry'!M286,"AAAAAD/+76E=")</f>
        <v>#VALUE!</v>
      </c>
      <c r="FG103" t="e">
        <f>AND('GA55 Entry'!N286,"AAAAAD/+76I=")</f>
        <v>#VALUE!</v>
      </c>
      <c r="FH103" t="e">
        <f>AND('GA55 Entry'!O286,"AAAAAD/+76M=")</f>
        <v>#VALUE!</v>
      </c>
      <c r="FI103" t="e">
        <f>AND('GA55 Entry'!P286,"AAAAAD/+76Q=")</f>
        <v>#VALUE!</v>
      </c>
      <c r="FJ103" t="e">
        <f>AND('GA55 Entry'!Q286,"AAAAAD/+76U=")</f>
        <v>#VALUE!</v>
      </c>
      <c r="FK103" t="e">
        <f>AND('GA55 Entry'!S286,"AAAAAD/+76Y=")</f>
        <v>#VALUE!</v>
      </c>
      <c r="FL103" t="e">
        <f>AND('GA55 Entry'!#REF!,"AAAAAD/+76c=")</f>
        <v>#REF!</v>
      </c>
      <c r="FM103" t="e">
        <f>AND('GA55 Entry'!T286,"AAAAAD/+76g=")</f>
        <v>#VALUE!</v>
      </c>
      <c r="FN103" t="e">
        <f>AND('GA55 Entry'!U286,"AAAAAD/+76k=")</f>
        <v>#VALUE!</v>
      </c>
      <c r="FO103" t="e">
        <f>AND('GA55 Entry'!V286,"AAAAAD/+76o=")</f>
        <v>#VALUE!</v>
      </c>
      <c r="FP103" t="e">
        <f>AND('GA55 Entry'!#REF!,"AAAAAD/+76s=")</f>
        <v>#REF!</v>
      </c>
      <c r="FQ103" t="e">
        <f>AND('GA55 Entry'!#REF!,"AAAAAD/+76w=")</f>
        <v>#REF!</v>
      </c>
      <c r="FR103" t="e">
        <f>AND('GA55 Entry'!X286,"AAAAAD/+760=")</f>
        <v>#VALUE!</v>
      </c>
      <c r="FS103" t="e">
        <f>AND('GA55 Entry'!Y286,"AAAAAD/+764=")</f>
        <v>#VALUE!</v>
      </c>
      <c r="FT103" t="e">
        <f>AND('GA55 Entry'!#REF!,"AAAAAD/+768=")</f>
        <v>#REF!</v>
      </c>
      <c r="FU103" t="e">
        <f>AND('GA55 Entry'!#REF!,"AAAAAD/+77A=")</f>
        <v>#REF!</v>
      </c>
      <c r="FV103" t="e">
        <f>AND('GA55 Entry'!#REF!,"AAAAAD/+77E=")</f>
        <v>#REF!</v>
      </c>
      <c r="FW103" t="e">
        <f>AND('GA55 Entry'!#REF!,"AAAAAD/+77I=")</f>
        <v>#REF!</v>
      </c>
      <c r="FX103" t="e">
        <f>AND('GA55 Entry'!#REF!,"AAAAAD/+77M=")</f>
        <v>#REF!</v>
      </c>
      <c r="FY103" t="e">
        <f>AND('GA55 Entry'!#REF!,"AAAAAD/+77Q=")</f>
        <v>#REF!</v>
      </c>
      <c r="FZ103" t="e">
        <f>AND('GA55 Entry'!#REF!,"AAAAAD/+77U=")</f>
        <v>#REF!</v>
      </c>
      <c r="GA103" t="e">
        <f>AND('GA55 Entry'!#REF!,"AAAAAD/+77Y=")</f>
        <v>#REF!</v>
      </c>
      <c r="GB103" t="e">
        <f>AND('GA55 Entry'!#REF!,"AAAAAD/+77c=")</f>
        <v>#REF!</v>
      </c>
      <c r="GC103" t="e">
        <f>AND('GA55 Entry'!Z286,"AAAAAD/+77g=")</f>
        <v>#VALUE!</v>
      </c>
      <c r="GD103" t="e">
        <f>AND('GA55 Entry'!AA286,"AAAAAD/+77k=")</f>
        <v>#VALUE!</v>
      </c>
      <c r="GE103" t="e">
        <f>AND('GA55 Entry'!#REF!,"AAAAAD/+77o=")</f>
        <v>#REF!</v>
      </c>
      <c r="GF103" t="e">
        <f>AND('GA55 Entry'!#REF!,"AAAAAD/+77s=")</f>
        <v>#REF!</v>
      </c>
      <c r="GG103" t="e">
        <f>AND('GA55 Entry'!#REF!,"AAAAAD/+77w=")</f>
        <v>#REF!</v>
      </c>
      <c r="GH103" t="e">
        <f>AND('GA55 Entry'!AB286,"AAAAAD/+770=")</f>
        <v>#VALUE!</v>
      </c>
      <c r="GI103" t="e">
        <f>AND('GA55 Entry'!AC286,"AAAAAD/+774=")</f>
        <v>#VALUE!</v>
      </c>
      <c r="GJ103" t="e">
        <f>AND('GA55 Entry'!#REF!,"AAAAAD/+778=")</f>
        <v>#REF!</v>
      </c>
      <c r="GK103">
        <f>IF('GA55 Entry'!287:287,"AAAAAD/+78A=",0)</f>
        <v>0</v>
      </c>
      <c r="GL103" t="e">
        <f>AND('GA55 Entry'!B287,"AAAAAD/+78E=")</f>
        <v>#VALUE!</v>
      </c>
      <c r="GM103" t="e">
        <f>AND('GA55 Entry'!#REF!,"AAAAAD/+78I=")</f>
        <v>#REF!</v>
      </c>
      <c r="GN103" t="e">
        <f>AND('GA55 Entry'!C287,"AAAAAD/+78M=")</f>
        <v>#VALUE!</v>
      </c>
      <c r="GO103" t="e">
        <f>AND('GA55 Entry'!#REF!,"AAAAAD/+78Q=")</f>
        <v>#REF!</v>
      </c>
      <c r="GP103" t="e">
        <f>AND('GA55 Entry'!#REF!,"AAAAAD/+78U=")</f>
        <v>#REF!</v>
      </c>
      <c r="GQ103" t="e">
        <f>AND('GA55 Entry'!#REF!,"AAAAAD/+78Y=")</f>
        <v>#REF!</v>
      </c>
      <c r="GR103" t="e">
        <f>AND('GA55 Entry'!#REF!,"AAAAAD/+78c=")</f>
        <v>#REF!</v>
      </c>
      <c r="GS103" t="e">
        <f>AND('GA55 Entry'!#REF!,"AAAAAD/+78g=")</f>
        <v>#REF!</v>
      </c>
      <c r="GT103" t="e">
        <f>AND('GA55 Entry'!D287,"AAAAAD/+78k=")</f>
        <v>#VALUE!</v>
      </c>
      <c r="GU103" t="e">
        <f>AND('GA55 Entry'!#REF!,"AAAAAD/+78o=")</f>
        <v>#REF!</v>
      </c>
      <c r="GV103" t="e">
        <f>AND('GA55 Entry'!E287,"AAAAAD/+78s=")</f>
        <v>#VALUE!</v>
      </c>
      <c r="GW103" t="e">
        <f>AND('GA55 Entry'!F287,"AAAAAD/+78w=")</f>
        <v>#VALUE!</v>
      </c>
      <c r="GX103" t="e">
        <f>AND('GA55 Entry'!G287,"AAAAAD/+780=")</f>
        <v>#VALUE!</v>
      </c>
      <c r="GY103" t="e">
        <f>AND('GA55 Entry'!H287,"AAAAAD/+784=")</f>
        <v>#VALUE!</v>
      </c>
      <c r="GZ103" t="e">
        <f>AND('GA55 Entry'!I287,"AAAAAD/+788=")</f>
        <v>#VALUE!</v>
      </c>
      <c r="HA103" t="e">
        <f>AND('GA55 Entry'!J287,"AAAAAD/+79A=")</f>
        <v>#VALUE!</v>
      </c>
      <c r="HB103" t="e">
        <f>AND('GA55 Entry'!#REF!,"AAAAAD/+79E=")</f>
        <v>#REF!</v>
      </c>
      <c r="HC103" t="e">
        <f>AND('GA55 Entry'!K287,"AAAAAD/+79I=")</f>
        <v>#VALUE!</v>
      </c>
      <c r="HD103" t="e">
        <f>AND('GA55 Entry'!L287,"AAAAAD/+79M=")</f>
        <v>#VALUE!</v>
      </c>
      <c r="HE103" t="e">
        <f>AND('GA55 Entry'!M287,"AAAAAD/+79Q=")</f>
        <v>#VALUE!</v>
      </c>
      <c r="HF103" t="e">
        <f>AND('GA55 Entry'!N287,"AAAAAD/+79U=")</f>
        <v>#VALUE!</v>
      </c>
      <c r="HG103" t="e">
        <f>AND('GA55 Entry'!O287,"AAAAAD/+79Y=")</f>
        <v>#VALUE!</v>
      </c>
      <c r="HH103" t="e">
        <f>AND('GA55 Entry'!P287,"AAAAAD/+79c=")</f>
        <v>#VALUE!</v>
      </c>
      <c r="HI103" t="e">
        <f>AND('GA55 Entry'!Q287,"AAAAAD/+79g=")</f>
        <v>#VALUE!</v>
      </c>
      <c r="HJ103" t="e">
        <f>AND('GA55 Entry'!S287,"AAAAAD/+79k=")</f>
        <v>#VALUE!</v>
      </c>
      <c r="HK103" t="e">
        <f>AND('GA55 Entry'!#REF!,"AAAAAD/+79o=")</f>
        <v>#REF!</v>
      </c>
      <c r="HL103" t="e">
        <f>AND('GA55 Entry'!T287,"AAAAAD/+79s=")</f>
        <v>#VALUE!</v>
      </c>
      <c r="HM103" t="e">
        <f>AND('GA55 Entry'!U287,"AAAAAD/+79w=")</f>
        <v>#VALUE!</v>
      </c>
      <c r="HN103" t="e">
        <f>AND('GA55 Entry'!V287,"AAAAAD/+790=")</f>
        <v>#VALUE!</v>
      </c>
      <c r="HO103" t="e">
        <f>AND('GA55 Entry'!#REF!,"AAAAAD/+794=")</f>
        <v>#REF!</v>
      </c>
      <c r="HP103" t="e">
        <f>AND('GA55 Entry'!#REF!,"AAAAAD/+798=")</f>
        <v>#REF!</v>
      </c>
      <c r="HQ103" t="e">
        <f>AND('GA55 Entry'!X287,"AAAAAD/+7+A=")</f>
        <v>#VALUE!</v>
      </c>
      <c r="HR103" t="e">
        <f>AND('GA55 Entry'!Y287,"AAAAAD/+7+E=")</f>
        <v>#VALUE!</v>
      </c>
      <c r="HS103" t="e">
        <f>AND('GA55 Entry'!#REF!,"AAAAAD/+7+I=")</f>
        <v>#REF!</v>
      </c>
      <c r="HT103" t="e">
        <f>AND('GA55 Entry'!#REF!,"AAAAAD/+7+M=")</f>
        <v>#REF!</v>
      </c>
      <c r="HU103" t="e">
        <f>AND('GA55 Entry'!#REF!,"AAAAAD/+7+Q=")</f>
        <v>#REF!</v>
      </c>
      <c r="HV103" t="e">
        <f>AND('GA55 Entry'!#REF!,"AAAAAD/+7+U=")</f>
        <v>#REF!</v>
      </c>
      <c r="HW103" t="e">
        <f>AND('GA55 Entry'!#REF!,"AAAAAD/+7+Y=")</f>
        <v>#REF!</v>
      </c>
      <c r="HX103" t="e">
        <f>AND('GA55 Entry'!#REF!,"AAAAAD/+7+c=")</f>
        <v>#REF!</v>
      </c>
      <c r="HY103" t="e">
        <f>AND('GA55 Entry'!#REF!,"AAAAAD/+7+g=")</f>
        <v>#REF!</v>
      </c>
      <c r="HZ103" t="e">
        <f>AND('GA55 Entry'!#REF!,"AAAAAD/+7+k=")</f>
        <v>#REF!</v>
      </c>
      <c r="IA103" t="e">
        <f>AND('GA55 Entry'!#REF!,"AAAAAD/+7+o=")</f>
        <v>#REF!</v>
      </c>
      <c r="IB103" t="e">
        <f>AND('GA55 Entry'!Z287,"AAAAAD/+7+s=")</f>
        <v>#VALUE!</v>
      </c>
      <c r="IC103" t="e">
        <f>AND('GA55 Entry'!AA287,"AAAAAD/+7+w=")</f>
        <v>#VALUE!</v>
      </c>
      <c r="ID103" t="e">
        <f>AND('GA55 Entry'!#REF!,"AAAAAD/+7+0=")</f>
        <v>#REF!</v>
      </c>
      <c r="IE103" t="e">
        <f>AND('GA55 Entry'!#REF!,"AAAAAD/+7+4=")</f>
        <v>#REF!</v>
      </c>
      <c r="IF103" t="e">
        <f>AND('GA55 Entry'!#REF!,"AAAAAD/+7+8=")</f>
        <v>#REF!</v>
      </c>
      <c r="IG103" t="e">
        <f>AND('GA55 Entry'!AB287,"AAAAAD/+7/A=")</f>
        <v>#VALUE!</v>
      </c>
      <c r="IH103" t="e">
        <f>AND('GA55 Entry'!AC287,"AAAAAD/+7/E=")</f>
        <v>#VALUE!</v>
      </c>
      <c r="II103" t="e">
        <f>AND('GA55 Entry'!#REF!,"AAAAAD/+7/I=")</f>
        <v>#REF!</v>
      </c>
      <c r="IJ103">
        <f>IF('GA55 Entry'!288:288,"AAAAAD/+7/M=",0)</f>
        <v>0</v>
      </c>
      <c r="IK103" t="e">
        <f>AND('GA55 Entry'!B288,"AAAAAD/+7/Q=")</f>
        <v>#VALUE!</v>
      </c>
      <c r="IL103" t="e">
        <f>AND('GA55 Entry'!#REF!,"AAAAAD/+7/U=")</f>
        <v>#REF!</v>
      </c>
      <c r="IM103" t="e">
        <f>AND('GA55 Entry'!C288,"AAAAAD/+7/Y=")</f>
        <v>#VALUE!</v>
      </c>
      <c r="IN103" t="e">
        <f>AND('GA55 Entry'!#REF!,"AAAAAD/+7/c=")</f>
        <v>#REF!</v>
      </c>
      <c r="IO103" t="e">
        <f>AND('GA55 Entry'!#REF!,"AAAAAD/+7/g=")</f>
        <v>#REF!</v>
      </c>
      <c r="IP103" t="e">
        <f>AND('GA55 Entry'!#REF!,"AAAAAD/+7/k=")</f>
        <v>#REF!</v>
      </c>
      <c r="IQ103" t="e">
        <f>AND('GA55 Entry'!#REF!,"AAAAAD/+7/o=")</f>
        <v>#REF!</v>
      </c>
      <c r="IR103" t="e">
        <f>AND('GA55 Entry'!#REF!,"AAAAAD/+7/s=")</f>
        <v>#REF!</v>
      </c>
      <c r="IS103" t="e">
        <f>AND('GA55 Entry'!D288,"AAAAAD/+7/w=")</f>
        <v>#VALUE!</v>
      </c>
      <c r="IT103" t="e">
        <f>AND('GA55 Entry'!#REF!,"AAAAAD/+7/0=")</f>
        <v>#REF!</v>
      </c>
      <c r="IU103" t="e">
        <f>AND('GA55 Entry'!E288,"AAAAAD/+7/4=")</f>
        <v>#VALUE!</v>
      </c>
      <c r="IV103" t="e">
        <f>AND('GA55 Entry'!F288,"AAAAAD/+7/8=")</f>
        <v>#VALUE!</v>
      </c>
    </row>
    <row r="104" spans="1:256">
      <c r="A104" t="e">
        <f>AND('GA55 Entry'!G288,"AAAAAD++vwA=")</f>
        <v>#VALUE!</v>
      </c>
      <c r="B104" t="e">
        <f>AND('GA55 Entry'!H288,"AAAAAD++vwE=")</f>
        <v>#VALUE!</v>
      </c>
      <c r="C104" t="e">
        <f>AND('GA55 Entry'!I288,"AAAAAD++vwI=")</f>
        <v>#VALUE!</v>
      </c>
      <c r="D104" t="e">
        <f>AND('GA55 Entry'!J288,"AAAAAD++vwM=")</f>
        <v>#VALUE!</v>
      </c>
      <c r="E104" t="e">
        <f>AND('GA55 Entry'!#REF!,"AAAAAD++vwQ=")</f>
        <v>#REF!</v>
      </c>
      <c r="F104" t="e">
        <f>AND('GA55 Entry'!K288,"AAAAAD++vwU=")</f>
        <v>#VALUE!</v>
      </c>
      <c r="G104" t="e">
        <f>AND('GA55 Entry'!L288,"AAAAAD++vwY=")</f>
        <v>#VALUE!</v>
      </c>
      <c r="H104" t="e">
        <f>AND('GA55 Entry'!M288,"AAAAAD++vwc=")</f>
        <v>#VALUE!</v>
      </c>
      <c r="I104" t="e">
        <f>AND('GA55 Entry'!N288,"AAAAAD++vwg=")</f>
        <v>#VALUE!</v>
      </c>
      <c r="J104" t="e">
        <f>AND('GA55 Entry'!O288,"AAAAAD++vwk=")</f>
        <v>#VALUE!</v>
      </c>
      <c r="K104" t="e">
        <f>AND('GA55 Entry'!P288,"AAAAAD++vwo=")</f>
        <v>#VALUE!</v>
      </c>
      <c r="L104" t="e">
        <f>AND('GA55 Entry'!Q288,"AAAAAD++vws=")</f>
        <v>#VALUE!</v>
      </c>
      <c r="M104" t="e">
        <f>AND('GA55 Entry'!S288,"AAAAAD++vww=")</f>
        <v>#VALUE!</v>
      </c>
      <c r="N104" t="e">
        <f>AND('GA55 Entry'!#REF!,"AAAAAD++vw0=")</f>
        <v>#REF!</v>
      </c>
      <c r="O104" t="e">
        <f>AND('GA55 Entry'!T288,"AAAAAD++vw4=")</f>
        <v>#VALUE!</v>
      </c>
      <c r="P104" t="e">
        <f>AND('GA55 Entry'!U288,"AAAAAD++vw8=")</f>
        <v>#VALUE!</v>
      </c>
      <c r="Q104" t="e">
        <f>AND('GA55 Entry'!V288,"AAAAAD++vxA=")</f>
        <v>#VALUE!</v>
      </c>
      <c r="R104" t="e">
        <f>AND('GA55 Entry'!#REF!,"AAAAAD++vxE=")</f>
        <v>#REF!</v>
      </c>
      <c r="S104" t="e">
        <f>AND('GA55 Entry'!#REF!,"AAAAAD++vxI=")</f>
        <v>#REF!</v>
      </c>
      <c r="T104" t="e">
        <f>AND('GA55 Entry'!X288,"AAAAAD++vxM=")</f>
        <v>#VALUE!</v>
      </c>
      <c r="U104" t="e">
        <f>AND('GA55 Entry'!Y288,"AAAAAD++vxQ=")</f>
        <v>#VALUE!</v>
      </c>
      <c r="V104" t="e">
        <f>AND('GA55 Entry'!#REF!,"AAAAAD++vxU=")</f>
        <v>#REF!</v>
      </c>
      <c r="W104" t="e">
        <f>AND('GA55 Entry'!#REF!,"AAAAAD++vxY=")</f>
        <v>#REF!</v>
      </c>
      <c r="X104" t="e">
        <f>AND('GA55 Entry'!#REF!,"AAAAAD++vxc=")</f>
        <v>#REF!</v>
      </c>
      <c r="Y104" t="e">
        <f>AND('GA55 Entry'!#REF!,"AAAAAD++vxg=")</f>
        <v>#REF!</v>
      </c>
      <c r="Z104" t="e">
        <f>AND('GA55 Entry'!#REF!,"AAAAAD++vxk=")</f>
        <v>#REF!</v>
      </c>
      <c r="AA104" t="e">
        <f>AND('GA55 Entry'!#REF!,"AAAAAD++vxo=")</f>
        <v>#REF!</v>
      </c>
      <c r="AB104" t="e">
        <f>AND('GA55 Entry'!#REF!,"AAAAAD++vxs=")</f>
        <v>#REF!</v>
      </c>
      <c r="AC104" t="e">
        <f>AND('GA55 Entry'!#REF!,"AAAAAD++vxw=")</f>
        <v>#REF!</v>
      </c>
      <c r="AD104" t="e">
        <f>AND('GA55 Entry'!#REF!,"AAAAAD++vx0=")</f>
        <v>#REF!</v>
      </c>
      <c r="AE104" t="e">
        <f>AND('GA55 Entry'!Z288,"AAAAAD++vx4=")</f>
        <v>#VALUE!</v>
      </c>
      <c r="AF104" t="e">
        <f>AND('GA55 Entry'!AA288,"AAAAAD++vx8=")</f>
        <v>#VALUE!</v>
      </c>
      <c r="AG104" t="e">
        <f>AND('GA55 Entry'!#REF!,"AAAAAD++vyA=")</f>
        <v>#REF!</v>
      </c>
      <c r="AH104" t="e">
        <f>AND('GA55 Entry'!#REF!,"AAAAAD++vyE=")</f>
        <v>#REF!</v>
      </c>
      <c r="AI104" t="e">
        <f>AND('GA55 Entry'!#REF!,"AAAAAD++vyI=")</f>
        <v>#REF!</v>
      </c>
      <c r="AJ104" t="e">
        <f>AND('GA55 Entry'!AB288,"AAAAAD++vyM=")</f>
        <v>#VALUE!</v>
      </c>
      <c r="AK104" t="e">
        <f>AND('GA55 Entry'!AC288,"AAAAAD++vyQ=")</f>
        <v>#VALUE!</v>
      </c>
      <c r="AL104" t="e">
        <f>AND('GA55 Entry'!#REF!,"AAAAAD++vyU=")</f>
        <v>#REF!</v>
      </c>
      <c r="AM104">
        <f>IF('GA55 Entry'!289:289,"AAAAAD++vyY=",0)</f>
        <v>0</v>
      </c>
      <c r="AN104" t="e">
        <f>AND('GA55 Entry'!B289,"AAAAAD++vyc=")</f>
        <v>#VALUE!</v>
      </c>
      <c r="AO104" t="e">
        <f>AND('GA55 Entry'!#REF!,"AAAAAD++vyg=")</f>
        <v>#REF!</v>
      </c>
      <c r="AP104" t="e">
        <f>AND('GA55 Entry'!C289,"AAAAAD++vyk=")</f>
        <v>#VALUE!</v>
      </c>
      <c r="AQ104" t="e">
        <f>AND('GA55 Entry'!#REF!,"AAAAAD++vyo=")</f>
        <v>#REF!</v>
      </c>
      <c r="AR104" t="e">
        <f>AND('GA55 Entry'!#REF!,"AAAAAD++vys=")</f>
        <v>#REF!</v>
      </c>
      <c r="AS104" t="e">
        <f>AND('GA55 Entry'!#REF!,"AAAAAD++vyw=")</f>
        <v>#REF!</v>
      </c>
      <c r="AT104" t="e">
        <f>AND('GA55 Entry'!#REF!,"AAAAAD++vy0=")</f>
        <v>#REF!</v>
      </c>
      <c r="AU104" t="e">
        <f>AND('GA55 Entry'!#REF!,"AAAAAD++vy4=")</f>
        <v>#REF!</v>
      </c>
      <c r="AV104" t="e">
        <f>AND('GA55 Entry'!D289,"AAAAAD++vy8=")</f>
        <v>#VALUE!</v>
      </c>
      <c r="AW104" t="e">
        <f>AND('GA55 Entry'!#REF!,"AAAAAD++vzA=")</f>
        <v>#REF!</v>
      </c>
      <c r="AX104" t="e">
        <f>AND('GA55 Entry'!E289,"AAAAAD++vzE=")</f>
        <v>#VALUE!</v>
      </c>
      <c r="AY104" t="e">
        <f>AND('GA55 Entry'!F289,"AAAAAD++vzI=")</f>
        <v>#VALUE!</v>
      </c>
      <c r="AZ104" t="e">
        <f>AND('GA55 Entry'!G289,"AAAAAD++vzM=")</f>
        <v>#VALUE!</v>
      </c>
      <c r="BA104" t="e">
        <f>AND('GA55 Entry'!H289,"AAAAAD++vzQ=")</f>
        <v>#VALUE!</v>
      </c>
      <c r="BB104" t="e">
        <f>AND('GA55 Entry'!I289,"AAAAAD++vzU=")</f>
        <v>#VALUE!</v>
      </c>
      <c r="BC104" t="e">
        <f>AND('GA55 Entry'!J289,"AAAAAD++vzY=")</f>
        <v>#VALUE!</v>
      </c>
      <c r="BD104" t="e">
        <f>AND('GA55 Entry'!#REF!,"AAAAAD++vzc=")</f>
        <v>#REF!</v>
      </c>
      <c r="BE104" t="e">
        <f>AND('GA55 Entry'!K289,"AAAAAD++vzg=")</f>
        <v>#VALUE!</v>
      </c>
      <c r="BF104" t="e">
        <f>AND('GA55 Entry'!L289,"AAAAAD++vzk=")</f>
        <v>#VALUE!</v>
      </c>
      <c r="BG104" t="e">
        <f>AND('GA55 Entry'!M289,"AAAAAD++vzo=")</f>
        <v>#VALUE!</v>
      </c>
      <c r="BH104" t="e">
        <f>AND('GA55 Entry'!N289,"AAAAAD++vzs=")</f>
        <v>#VALUE!</v>
      </c>
      <c r="BI104" t="e">
        <f>AND('GA55 Entry'!O289,"AAAAAD++vzw=")</f>
        <v>#VALUE!</v>
      </c>
      <c r="BJ104" t="e">
        <f>AND('GA55 Entry'!P289,"AAAAAD++vz0=")</f>
        <v>#VALUE!</v>
      </c>
      <c r="BK104" t="e">
        <f>AND('GA55 Entry'!Q289,"AAAAAD++vz4=")</f>
        <v>#VALUE!</v>
      </c>
      <c r="BL104" t="e">
        <f>AND('GA55 Entry'!S289,"AAAAAD++vz8=")</f>
        <v>#VALUE!</v>
      </c>
      <c r="BM104" t="e">
        <f>AND('GA55 Entry'!#REF!,"AAAAAD++v0A=")</f>
        <v>#REF!</v>
      </c>
      <c r="BN104" t="e">
        <f>AND('GA55 Entry'!T289,"AAAAAD++v0E=")</f>
        <v>#VALUE!</v>
      </c>
      <c r="BO104" t="e">
        <f>AND('GA55 Entry'!U289,"AAAAAD++v0I=")</f>
        <v>#VALUE!</v>
      </c>
      <c r="BP104" t="e">
        <f>AND('GA55 Entry'!V289,"AAAAAD++v0M=")</f>
        <v>#VALUE!</v>
      </c>
      <c r="BQ104" t="e">
        <f>AND('GA55 Entry'!#REF!,"AAAAAD++v0Q=")</f>
        <v>#REF!</v>
      </c>
      <c r="BR104" t="e">
        <f>AND('GA55 Entry'!#REF!,"AAAAAD++v0U=")</f>
        <v>#REF!</v>
      </c>
      <c r="BS104" t="e">
        <f>AND('GA55 Entry'!X289,"AAAAAD++v0Y=")</f>
        <v>#VALUE!</v>
      </c>
      <c r="BT104" t="e">
        <f>AND('GA55 Entry'!Y289,"AAAAAD++v0c=")</f>
        <v>#VALUE!</v>
      </c>
      <c r="BU104" t="e">
        <f>AND('GA55 Entry'!#REF!,"AAAAAD++v0g=")</f>
        <v>#REF!</v>
      </c>
      <c r="BV104" t="e">
        <f>AND('GA55 Entry'!#REF!,"AAAAAD++v0k=")</f>
        <v>#REF!</v>
      </c>
      <c r="BW104" t="e">
        <f>AND('GA55 Entry'!#REF!,"AAAAAD++v0o=")</f>
        <v>#REF!</v>
      </c>
      <c r="BX104" t="e">
        <f>AND('GA55 Entry'!#REF!,"AAAAAD++v0s=")</f>
        <v>#REF!</v>
      </c>
      <c r="BY104" t="e">
        <f>AND('GA55 Entry'!#REF!,"AAAAAD++v0w=")</f>
        <v>#REF!</v>
      </c>
      <c r="BZ104" t="e">
        <f>AND('GA55 Entry'!#REF!,"AAAAAD++v00=")</f>
        <v>#REF!</v>
      </c>
      <c r="CA104" t="e">
        <f>AND('GA55 Entry'!#REF!,"AAAAAD++v04=")</f>
        <v>#REF!</v>
      </c>
      <c r="CB104" t="e">
        <f>AND('GA55 Entry'!#REF!,"AAAAAD++v08=")</f>
        <v>#REF!</v>
      </c>
      <c r="CC104" t="e">
        <f>AND('GA55 Entry'!#REF!,"AAAAAD++v1A=")</f>
        <v>#REF!</v>
      </c>
      <c r="CD104" t="e">
        <f>AND('GA55 Entry'!Z289,"AAAAAD++v1E=")</f>
        <v>#VALUE!</v>
      </c>
      <c r="CE104" t="e">
        <f>AND('GA55 Entry'!AA289,"AAAAAD++v1I=")</f>
        <v>#VALUE!</v>
      </c>
      <c r="CF104" t="e">
        <f>AND('GA55 Entry'!#REF!,"AAAAAD++v1M=")</f>
        <v>#REF!</v>
      </c>
      <c r="CG104" t="e">
        <f>AND('GA55 Entry'!#REF!,"AAAAAD++v1Q=")</f>
        <v>#REF!</v>
      </c>
      <c r="CH104" t="e">
        <f>AND('GA55 Entry'!#REF!,"AAAAAD++v1U=")</f>
        <v>#REF!</v>
      </c>
      <c r="CI104" t="e">
        <f>AND('GA55 Entry'!AB289,"AAAAAD++v1Y=")</f>
        <v>#VALUE!</v>
      </c>
      <c r="CJ104" t="e">
        <f>AND('GA55 Entry'!AC289,"AAAAAD++v1c=")</f>
        <v>#VALUE!</v>
      </c>
      <c r="CK104" t="e">
        <f>AND('GA55 Entry'!#REF!,"AAAAAD++v1g=")</f>
        <v>#REF!</v>
      </c>
      <c r="CL104">
        <f>IF('GA55 Entry'!290:290,"AAAAAD++v1k=",0)</f>
        <v>0</v>
      </c>
      <c r="CM104" t="e">
        <f>AND('GA55 Entry'!B290,"AAAAAD++v1o=")</f>
        <v>#VALUE!</v>
      </c>
      <c r="CN104" t="e">
        <f>AND('GA55 Entry'!#REF!,"AAAAAD++v1s=")</f>
        <v>#REF!</v>
      </c>
      <c r="CO104" t="e">
        <f>AND('GA55 Entry'!C290,"AAAAAD++v1w=")</f>
        <v>#VALUE!</v>
      </c>
      <c r="CP104" t="e">
        <f>AND('GA55 Entry'!#REF!,"AAAAAD++v10=")</f>
        <v>#REF!</v>
      </c>
      <c r="CQ104" t="e">
        <f>AND('GA55 Entry'!#REF!,"AAAAAD++v14=")</f>
        <v>#REF!</v>
      </c>
      <c r="CR104" t="e">
        <f>AND('GA55 Entry'!#REF!,"AAAAAD++v18=")</f>
        <v>#REF!</v>
      </c>
      <c r="CS104" t="e">
        <f>AND('GA55 Entry'!#REF!,"AAAAAD++v2A=")</f>
        <v>#REF!</v>
      </c>
      <c r="CT104" t="e">
        <f>AND('GA55 Entry'!#REF!,"AAAAAD++v2E=")</f>
        <v>#REF!</v>
      </c>
      <c r="CU104" t="e">
        <f>AND('GA55 Entry'!D290,"AAAAAD++v2I=")</f>
        <v>#VALUE!</v>
      </c>
      <c r="CV104" t="e">
        <f>AND('GA55 Entry'!#REF!,"AAAAAD++v2M=")</f>
        <v>#REF!</v>
      </c>
      <c r="CW104" t="e">
        <f>AND('GA55 Entry'!E290,"AAAAAD++v2Q=")</f>
        <v>#VALUE!</v>
      </c>
      <c r="CX104" t="e">
        <f>AND('GA55 Entry'!F290,"AAAAAD++v2U=")</f>
        <v>#VALUE!</v>
      </c>
      <c r="CY104" t="e">
        <f>AND('GA55 Entry'!G290,"AAAAAD++v2Y=")</f>
        <v>#VALUE!</v>
      </c>
      <c r="CZ104" t="e">
        <f>AND('GA55 Entry'!H290,"AAAAAD++v2c=")</f>
        <v>#VALUE!</v>
      </c>
      <c r="DA104" t="e">
        <f>AND('GA55 Entry'!I290,"AAAAAD++v2g=")</f>
        <v>#VALUE!</v>
      </c>
      <c r="DB104" t="e">
        <f>AND('GA55 Entry'!J290,"AAAAAD++v2k=")</f>
        <v>#VALUE!</v>
      </c>
      <c r="DC104" t="e">
        <f>AND('GA55 Entry'!#REF!,"AAAAAD++v2o=")</f>
        <v>#REF!</v>
      </c>
      <c r="DD104" t="e">
        <f>AND('GA55 Entry'!K290,"AAAAAD++v2s=")</f>
        <v>#VALUE!</v>
      </c>
      <c r="DE104" t="e">
        <f>AND('GA55 Entry'!L290,"AAAAAD++v2w=")</f>
        <v>#VALUE!</v>
      </c>
      <c r="DF104" t="e">
        <f>AND('GA55 Entry'!M290,"AAAAAD++v20=")</f>
        <v>#VALUE!</v>
      </c>
      <c r="DG104" t="e">
        <f>AND('GA55 Entry'!N290,"AAAAAD++v24=")</f>
        <v>#VALUE!</v>
      </c>
      <c r="DH104" t="e">
        <f>AND('GA55 Entry'!O290,"AAAAAD++v28=")</f>
        <v>#VALUE!</v>
      </c>
      <c r="DI104" t="e">
        <f>AND('GA55 Entry'!P290,"AAAAAD++v3A=")</f>
        <v>#VALUE!</v>
      </c>
      <c r="DJ104" t="e">
        <f>AND('GA55 Entry'!Q290,"AAAAAD++v3E=")</f>
        <v>#VALUE!</v>
      </c>
      <c r="DK104" t="e">
        <f>AND('GA55 Entry'!S290,"AAAAAD++v3I=")</f>
        <v>#VALUE!</v>
      </c>
      <c r="DL104" t="e">
        <f>AND('GA55 Entry'!#REF!,"AAAAAD++v3M=")</f>
        <v>#REF!</v>
      </c>
      <c r="DM104" t="e">
        <f>AND('GA55 Entry'!T290,"AAAAAD++v3Q=")</f>
        <v>#VALUE!</v>
      </c>
      <c r="DN104" t="e">
        <f>AND('GA55 Entry'!U290,"AAAAAD++v3U=")</f>
        <v>#VALUE!</v>
      </c>
      <c r="DO104" t="e">
        <f>AND('GA55 Entry'!V290,"AAAAAD++v3Y=")</f>
        <v>#VALUE!</v>
      </c>
      <c r="DP104" t="e">
        <f>AND('GA55 Entry'!#REF!,"AAAAAD++v3c=")</f>
        <v>#REF!</v>
      </c>
      <c r="DQ104" t="e">
        <f>AND('GA55 Entry'!#REF!,"AAAAAD++v3g=")</f>
        <v>#REF!</v>
      </c>
      <c r="DR104" t="e">
        <f>AND('GA55 Entry'!X290,"AAAAAD++v3k=")</f>
        <v>#VALUE!</v>
      </c>
      <c r="DS104" t="e">
        <f>AND('GA55 Entry'!Y290,"AAAAAD++v3o=")</f>
        <v>#VALUE!</v>
      </c>
      <c r="DT104" t="e">
        <f>AND('GA55 Entry'!#REF!,"AAAAAD++v3s=")</f>
        <v>#REF!</v>
      </c>
      <c r="DU104" t="e">
        <f>AND('GA55 Entry'!#REF!,"AAAAAD++v3w=")</f>
        <v>#REF!</v>
      </c>
      <c r="DV104" t="e">
        <f>AND('GA55 Entry'!#REF!,"AAAAAD++v30=")</f>
        <v>#REF!</v>
      </c>
      <c r="DW104" t="e">
        <f>AND('GA55 Entry'!#REF!,"AAAAAD++v34=")</f>
        <v>#REF!</v>
      </c>
      <c r="DX104" t="e">
        <f>AND('GA55 Entry'!#REF!,"AAAAAD++v38=")</f>
        <v>#REF!</v>
      </c>
      <c r="DY104" t="e">
        <f>AND('GA55 Entry'!#REF!,"AAAAAD++v4A=")</f>
        <v>#REF!</v>
      </c>
      <c r="DZ104" t="e">
        <f>AND('GA55 Entry'!#REF!,"AAAAAD++v4E=")</f>
        <v>#REF!</v>
      </c>
      <c r="EA104" t="e">
        <f>AND('GA55 Entry'!#REF!,"AAAAAD++v4I=")</f>
        <v>#REF!</v>
      </c>
      <c r="EB104" t="e">
        <f>AND('GA55 Entry'!#REF!,"AAAAAD++v4M=")</f>
        <v>#REF!</v>
      </c>
      <c r="EC104" t="e">
        <f>AND('GA55 Entry'!Z290,"AAAAAD++v4Q=")</f>
        <v>#VALUE!</v>
      </c>
      <c r="ED104" t="e">
        <f>AND('GA55 Entry'!AA290,"AAAAAD++v4U=")</f>
        <v>#VALUE!</v>
      </c>
      <c r="EE104" t="e">
        <f>AND('GA55 Entry'!#REF!,"AAAAAD++v4Y=")</f>
        <v>#REF!</v>
      </c>
      <c r="EF104" t="e">
        <f>AND('GA55 Entry'!#REF!,"AAAAAD++v4c=")</f>
        <v>#REF!</v>
      </c>
      <c r="EG104" t="e">
        <f>AND('GA55 Entry'!#REF!,"AAAAAD++v4g=")</f>
        <v>#REF!</v>
      </c>
      <c r="EH104" t="e">
        <f>AND('GA55 Entry'!AB290,"AAAAAD++v4k=")</f>
        <v>#VALUE!</v>
      </c>
      <c r="EI104" t="e">
        <f>AND('GA55 Entry'!AC290,"AAAAAD++v4o=")</f>
        <v>#VALUE!</v>
      </c>
      <c r="EJ104" t="e">
        <f>AND('GA55 Entry'!#REF!,"AAAAAD++v4s=")</f>
        <v>#REF!</v>
      </c>
      <c r="EK104">
        <f>IF('GA55 Entry'!291:291,"AAAAAD++v4w=",0)</f>
        <v>0</v>
      </c>
      <c r="EL104" t="e">
        <f>AND('GA55 Entry'!B291,"AAAAAD++v40=")</f>
        <v>#VALUE!</v>
      </c>
      <c r="EM104" t="e">
        <f>AND('GA55 Entry'!#REF!,"AAAAAD++v44=")</f>
        <v>#REF!</v>
      </c>
      <c r="EN104" t="e">
        <f>AND('GA55 Entry'!C291,"AAAAAD++v48=")</f>
        <v>#VALUE!</v>
      </c>
      <c r="EO104" t="e">
        <f>AND('GA55 Entry'!#REF!,"AAAAAD++v5A=")</f>
        <v>#REF!</v>
      </c>
      <c r="EP104" t="e">
        <f>AND('GA55 Entry'!#REF!,"AAAAAD++v5E=")</f>
        <v>#REF!</v>
      </c>
      <c r="EQ104" t="e">
        <f>AND('GA55 Entry'!#REF!,"AAAAAD++v5I=")</f>
        <v>#REF!</v>
      </c>
      <c r="ER104" t="e">
        <f>AND('GA55 Entry'!#REF!,"AAAAAD++v5M=")</f>
        <v>#REF!</v>
      </c>
      <c r="ES104" t="e">
        <f>AND('GA55 Entry'!#REF!,"AAAAAD++v5Q=")</f>
        <v>#REF!</v>
      </c>
      <c r="ET104" t="e">
        <f>AND('GA55 Entry'!D291,"AAAAAD++v5U=")</f>
        <v>#VALUE!</v>
      </c>
      <c r="EU104" t="e">
        <f>AND('GA55 Entry'!#REF!,"AAAAAD++v5Y=")</f>
        <v>#REF!</v>
      </c>
      <c r="EV104" t="e">
        <f>AND('GA55 Entry'!E291,"AAAAAD++v5c=")</f>
        <v>#VALUE!</v>
      </c>
      <c r="EW104" t="e">
        <f>AND('GA55 Entry'!F291,"AAAAAD++v5g=")</f>
        <v>#VALUE!</v>
      </c>
      <c r="EX104" t="e">
        <f>AND('GA55 Entry'!G291,"AAAAAD++v5k=")</f>
        <v>#VALUE!</v>
      </c>
      <c r="EY104" t="e">
        <f>AND('GA55 Entry'!H291,"AAAAAD++v5o=")</f>
        <v>#VALUE!</v>
      </c>
      <c r="EZ104" t="e">
        <f>AND('GA55 Entry'!I291,"AAAAAD++v5s=")</f>
        <v>#VALUE!</v>
      </c>
      <c r="FA104" t="e">
        <f>AND('GA55 Entry'!J291,"AAAAAD++v5w=")</f>
        <v>#VALUE!</v>
      </c>
      <c r="FB104" t="e">
        <f>AND('GA55 Entry'!#REF!,"AAAAAD++v50=")</f>
        <v>#REF!</v>
      </c>
      <c r="FC104" t="e">
        <f>AND('GA55 Entry'!K291,"AAAAAD++v54=")</f>
        <v>#VALUE!</v>
      </c>
      <c r="FD104" t="e">
        <f>AND('GA55 Entry'!L291,"AAAAAD++v58=")</f>
        <v>#VALUE!</v>
      </c>
      <c r="FE104" t="e">
        <f>AND('GA55 Entry'!M291,"AAAAAD++v6A=")</f>
        <v>#VALUE!</v>
      </c>
      <c r="FF104" t="e">
        <f>AND('GA55 Entry'!N291,"AAAAAD++v6E=")</f>
        <v>#VALUE!</v>
      </c>
      <c r="FG104" t="e">
        <f>AND('GA55 Entry'!O291,"AAAAAD++v6I=")</f>
        <v>#VALUE!</v>
      </c>
      <c r="FH104" t="e">
        <f>AND('GA55 Entry'!P291,"AAAAAD++v6M=")</f>
        <v>#VALUE!</v>
      </c>
      <c r="FI104" t="e">
        <f>AND('GA55 Entry'!Q291,"AAAAAD++v6Q=")</f>
        <v>#VALUE!</v>
      </c>
      <c r="FJ104" t="e">
        <f>AND('GA55 Entry'!S291,"AAAAAD++v6U=")</f>
        <v>#VALUE!</v>
      </c>
      <c r="FK104" t="e">
        <f>AND('GA55 Entry'!#REF!,"AAAAAD++v6Y=")</f>
        <v>#REF!</v>
      </c>
      <c r="FL104" t="e">
        <f>AND('GA55 Entry'!T291,"AAAAAD++v6c=")</f>
        <v>#VALUE!</v>
      </c>
      <c r="FM104" t="e">
        <f>AND('GA55 Entry'!U291,"AAAAAD++v6g=")</f>
        <v>#VALUE!</v>
      </c>
      <c r="FN104" t="e">
        <f>AND('GA55 Entry'!V291,"AAAAAD++v6k=")</f>
        <v>#VALUE!</v>
      </c>
      <c r="FO104" t="e">
        <f>AND('GA55 Entry'!#REF!,"AAAAAD++v6o=")</f>
        <v>#REF!</v>
      </c>
      <c r="FP104" t="e">
        <f>AND('GA55 Entry'!#REF!,"AAAAAD++v6s=")</f>
        <v>#REF!</v>
      </c>
      <c r="FQ104" t="e">
        <f>AND('GA55 Entry'!X291,"AAAAAD++v6w=")</f>
        <v>#VALUE!</v>
      </c>
      <c r="FR104" t="e">
        <f>AND('GA55 Entry'!Y291,"AAAAAD++v60=")</f>
        <v>#VALUE!</v>
      </c>
      <c r="FS104" t="e">
        <f>AND('GA55 Entry'!#REF!,"AAAAAD++v64=")</f>
        <v>#REF!</v>
      </c>
      <c r="FT104" t="e">
        <f>AND('GA55 Entry'!#REF!,"AAAAAD++v68=")</f>
        <v>#REF!</v>
      </c>
      <c r="FU104" t="e">
        <f>AND('GA55 Entry'!#REF!,"AAAAAD++v7A=")</f>
        <v>#REF!</v>
      </c>
      <c r="FV104" t="e">
        <f>AND('GA55 Entry'!#REF!,"AAAAAD++v7E=")</f>
        <v>#REF!</v>
      </c>
      <c r="FW104" t="e">
        <f>AND('GA55 Entry'!#REF!,"AAAAAD++v7I=")</f>
        <v>#REF!</v>
      </c>
      <c r="FX104" t="e">
        <f>AND('GA55 Entry'!#REF!,"AAAAAD++v7M=")</f>
        <v>#REF!</v>
      </c>
      <c r="FY104" t="e">
        <f>AND('GA55 Entry'!#REF!,"AAAAAD++v7Q=")</f>
        <v>#REF!</v>
      </c>
      <c r="FZ104" t="e">
        <f>AND('GA55 Entry'!#REF!,"AAAAAD++v7U=")</f>
        <v>#REF!</v>
      </c>
      <c r="GA104" t="e">
        <f>AND('GA55 Entry'!#REF!,"AAAAAD++v7Y=")</f>
        <v>#REF!</v>
      </c>
      <c r="GB104" t="e">
        <f>AND('GA55 Entry'!Z291,"AAAAAD++v7c=")</f>
        <v>#VALUE!</v>
      </c>
      <c r="GC104" t="e">
        <f>AND('GA55 Entry'!AA291,"AAAAAD++v7g=")</f>
        <v>#VALUE!</v>
      </c>
      <c r="GD104" t="e">
        <f>AND('GA55 Entry'!#REF!,"AAAAAD++v7k=")</f>
        <v>#REF!</v>
      </c>
      <c r="GE104" t="e">
        <f>AND('GA55 Entry'!#REF!,"AAAAAD++v7o=")</f>
        <v>#REF!</v>
      </c>
      <c r="GF104" t="e">
        <f>AND('GA55 Entry'!#REF!,"AAAAAD++v7s=")</f>
        <v>#REF!</v>
      </c>
      <c r="GG104" t="e">
        <f>AND('GA55 Entry'!AB291,"AAAAAD++v7w=")</f>
        <v>#VALUE!</v>
      </c>
      <c r="GH104" t="e">
        <f>AND('GA55 Entry'!AC291,"AAAAAD++v70=")</f>
        <v>#VALUE!</v>
      </c>
      <c r="GI104" t="e">
        <f>AND('GA55 Entry'!#REF!,"AAAAAD++v74=")</f>
        <v>#REF!</v>
      </c>
      <c r="GJ104">
        <f>IF('GA55 Entry'!292:292,"AAAAAD++v78=",0)</f>
        <v>0</v>
      </c>
      <c r="GK104" t="e">
        <f>AND('GA55 Entry'!B292,"AAAAAD++v8A=")</f>
        <v>#VALUE!</v>
      </c>
      <c r="GL104" t="e">
        <f>AND('GA55 Entry'!#REF!,"AAAAAD++v8E=")</f>
        <v>#REF!</v>
      </c>
      <c r="GM104" t="e">
        <f>AND('GA55 Entry'!C292,"AAAAAD++v8I=")</f>
        <v>#VALUE!</v>
      </c>
      <c r="GN104" t="e">
        <f>AND('GA55 Entry'!#REF!,"AAAAAD++v8M=")</f>
        <v>#REF!</v>
      </c>
      <c r="GO104" t="e">
        <f>AND('GA55 Entry'!#REF!,"AAAAAD++v8Q=")</f>
        <v>#REF!</v>
      </c>
      <c r="GP104" t="e">
        <f>AND('GA55 Entry'!#REF!,"AAAAAD++v8U=")</f>
        <v>#REF!</v>
      </c>
      <c r="GQ104" t="e">
        <f>AND('GA55 Entry'!#REF!,"AAAAAD++v8Y=")</f>
        <v>#REF!</v>
      </c>
      <c r="GR104" t="e">
        <f>AND('GA55 Entry'!#REF!,"AAAAAD++v8c=")</f>
        <v>#REF!</v>
      </c>
      <c r="GS104" t="e">
        <f>AND('GA55 Entry'!D292,"AAAAAD++v8g=")</f>
        <v>#VALUE!</v>
      </c>
      <c r="GT104" t="e">
        <f>AND('GA55 Entry'!#REF!,"AAAAAD++v8k=")</f>
        <v>#REF!</v>
      </c>
      <c r="GU104" t="e">
        <f>AND('GA55 Entry'!E292,"AAAAAD++v8o=")</f>
        <v>#VALUE!</v>
      </c>
      <c r="GV104" t="e">
        <f>AND('GA55 Entry'!F292,"AAAAAD++v8s=")</f>
        <v>#VALUE!</v>
      </c>
      <c r="GW104" t="e">
        <f>AND('GA55 Entry'!G292,"AAAAAD++v8w=")</f>
        <v>#VALUE!</v>
      </c>
      <c r="GX104" t="e">
        <f>AND('GA55 Entry'!H292,"AAAAAD++v80=")</f>
        <v>#VALUE!</v>
      </c>
      <c r="GY104" t="e">
        <f>AND('GA55 Entry'!I292,"AAAAAD++v84=")</f>
        <v>#VALUE!</v>
      </c>
      <c r="GZ104" t="e">
        <f>AND('GA55 Entry'!J292,"AAAAAD++v88=")</f>
        <v>#VALUE!</v>
      </c>
      <c r="HA104" t="e">
        <f>AND('GA55 Entry'!#REF!,"AAAAAD++v9A=")</f>
        <v>#REF!</v>
      </c>
      <c r="HB104" t="e">
        <f>AND('GA55 Entry'!K292,"AAAAAD++v9E=")</f>
        <v>#VALUE!</v>
      </c>
      <c r="HC104" t="e">
        <f>AND('GA55 Entry'!L292,"AAAAAD++v9I=")</f>
        <v>#VALUE!</v>
      </c>
      <c r="HD104" t="e">
        <f>AND('GA55 Entry'!M292,"AAAAAD++v9M=")</f>
        <v>#VALUE!</v>
      </c>
      <c r="HE104" t="e">
        <f>AND('GA55 Entry'!N292,"AAAAAD++v9Q=")</f>
        <v>#VALUE!</v>
      </c>
      <c r="HF104" t="e">
        <f>AND('GA55 Entry'!O292,"AAAAAD++v9U=")</f>
        <v>#VALUE!</v>
      </c>
      <c r="HG104" t="e">
        <f>AND('GA55 Entry'!P292,"AAAAAD++v9Y=")</f>
        <v>#VALUE!</v>
      </c>
      <c r="HH104" t="e">
        <f>AND('GA55 Entry'!Q292,"AAAAAD++v9c=")</f>
        <v>#VALUE!</v>
      </c>
      <c r="HI104" t="e">
        <f>AND('GA55 Entry'!S292,"AAAAAD++v9g=")</f>
        <v>#VALUE!</v>
      </c>
      <c r="HJ104" t="e">
        <f>AND('GA55 Entry'!#REF!,"AAAAAD++v9k=")</f>
        <v>#REF!</v>
      </c>
      <c r="HK104" t="e">
        <f>AND('GA55 Entry'!T292,"AAAAAD++v9o=")</f>
        <v>#VALUE!</v>
      </c>
      <c r="HL104" t="e">
        <f>AND('GA55 Entry'!U292,"AAAAAD++v9s=")</f>
        <v>#VALUE!</v>
      </c>
      <c r="HM104" t="e">
        <f>AND('GA55 Entry'!V292,"AAAAAD++v9w=")</f>
        <v>#VALUE!</v>
      </c>
      <c r="HN104" t="e">
        <f>AND('GA55 Entry'!#REF!,"AAAAAD++v90=")</f>
        <v>#REF!</v>
      </c>
      <c r="HO104" t="e">
        <f>AND('GA55 Entry'!#REF!,"AAAAAD++v94=")</f>
        <v>#REF!</v>
      </c>
      <c r="HP104" t="e">
        <f>AND('GA55 Entry'!X292,"AAAAAD++v98=")</f>
        <v>#VALUE!</v>
      </c>
      <c r="HQ104" t="e">
        <f>AND('GA55 Entry'!Y292,"AAAAAD++v+A=")</f>
        <v>#VALUE!</v>
      </c>
      <c r="HR104" t="e">
        <f>AND('GA55 Entry'!#REF!,"AAAAAD++v+E=")</f>
        <v>#REF!</v>
      </c>
      <c r="HS104" t="e">
        <f>AND('GA55 Entry'!#REF!,"AAAAAD++v+I=")</f>
        <v>#REF!</v>
      </c>
      <c r="HT104" t="e">
        <f>AND('GA55 Entry'!#REF!,"AAAAAD++v+M=")</f>
        <v>#REF!</v>
      </c>
      <c r="HU104" t="e">
        <f>AND('GA55 Entry'!#REF!,"AAAAAD++v+Q=")</f>
        <v>#REF!</v>
      </c>
      <c r="HV104" t="e">
        <f>AND('GA55 Entry'!#REF!,"AAAAAD++v+U=")</f>
        <v>#REF!</v>
      </c>
      <c r="HW104" t="e">
        <f>AND('GA55 Entry'!#REF!,"AAAAAD++v+Y=")</f>
        <v>#REF!</v>
      </c>
      <c r="HX104" t="e">
        <f>AND('GA55 Entry'!#REF!,"AAAAAD++v+c=")</f>
        <v>#REF!</v>
      </c>
      <c r="HY104" t="e">
        <f>AND('GA55 Entry'!#REF!,"AAAAAD++v+g=")</f>
        <v>#REF!</v>
      </c>
      <c r="HZ104" t="e">
        <f>AND('GA55 Entry'!#REF!,"AAAAAD++v+k=")</f>
        <v>#REF!</v>
      </c>
      <c r="IA104" t="e">
        <f>AND('GA55 Entry'!Z292,"AAAAAD++v+o=")</f>
        <v>#VALUE!</v>
      </c>
      <c r="IB104" t="e">
        <f>AND('GA55 Entry'!AA292,"AAAAAD++v+s=")</f>
        <v>#VALUE!</v>
      </c>
      <c r="IC104" t="e">
        <f>AND('GA55 Entry'!#REF!,"AAAAAD++v+w=")</f>
        <v>#REF!</v>
      </c>
      <c r="ID104" t="e">
        <f>AND('GA55 Entry'!#REF!,"AAAAAD++v+0=")</f>
        <v>#REF!</v>
      </c>
      <c r="IE104" t="e">
        <f>AND('GA55 Entry'!#REF!,"AAAAAD++v+4=")</f>
        <v>#REF!</v>
      </c>
      <c r="IF104" t="e">
        <f>AND('GA55 Entry'!AB292,"AAAAAD++v+8=")</f>
        <v>#VALUE!</v>
      </c>
      <c r="IG104" t="e">
        <f>AND('GA55 Entry'!AC292,"AAAAAD++v/A=")</f>
        <v>#VALUE!</v>
      </c>
      <c r="IH104" t="e">
        <f>AND('GA55 Entry'!#REF!,"AAAAAD++v/E=")</f>
        <v>#REF!</v>
      </c>
      <c r="II104">
        <f>IF('GA55 Entry'!293:293,"AAAAAD++v/I=",0)</f>
        <v>0</v>
      </c>
      <c r="IJ104" t="e">
        <f>AND('GA55 Entry'!B293,"AAAAAD++v/M=")</f>
        <v>#VALUE!</v>
      </c>
      <c r="IK104" t="e">
        <f>AND('GA55 Entry'!#REF!,"AAAAAD++v/Q=")</f>
        <v>#REF!</v>
      </c>
      <c r="IL104" t="e">
        <f>AND('GA55 Entry'!C293,"AAAAAD++v/U=")</f>
        <v>#VALUE!</v>
      </c>
      <c r="IM104" t="e">
        <f>AND('GA55 Entry'!#REF!,"AAAAAD++v/Y=")</f>
        <v>#REF!</v>
      </c>
      <c r="IN104" t="e">
        <f>AND('GA55 Entry'!#REF!,"AAAAAD++v/c=")</f>
        <v>#REF!</v>
      </c>
      <c r="IO104" t="e">
        <f>AND('GA55 Entry'!#REF!,"AAAAAD++v/g=")</f>
        <v>#REF!</v>
      </c>
      <c r="IP104" t="e">
        <f>AND('GA55 Entry'!#REF!,"AAAAAD++v/k=")</f>
        <v>#REF!</v>
      </c>
      <c r="IQ104" t="e">
        <f>AND('GA55 Entry'!#REF!,"AAAAAD++v/o=")</f>
        <v>#REF!</v>
      </c>
      <c r="IR104" t="e">
        <f>AND('GA55 Entry'!D293,"AAAAAD++v/s=")</f>
        <v>#VALUE!</v>
      </c>
      <c r="IS104" t="e">
        <f>AND('GA55 Entry'!#REF!,"AAAAAD++v/w=")</f>
        <v>#REF!</v>
      </c>
      <c r="IT104" t="e">
        <f>AND('GA55 Entry'!E293,"AAAAAD++v/0=")</f>
        <v>#VALUE!</v>
      </c>
      <c r="IU104" t="e">
        <f>AND('GA55 Entry'!F293,"AAAAAD++v/4=")</f>
        <v>#VALUE!</v>
      </c>
      <c r="IV104" t="e">
        <f>AND('GA55 Entry'!G293,"AAAAAD++v/8=")</f>
        <v>#VALUE!</v>
      </c>
    </row>
    <row r="105" spans="1:256">
      <c r="A105" t="e">
        <f>AND('GA55 Entry'!H293,"AAAAAHv/+QA=")</f>
        <v>#VALUE!</v>
      </c>
      <c r="B105" t="e">
        <f>AND('GA55 Entry'!I293,"AAAAAHv/+QE=")</f>
        <v>#VALUE!</v>
      </c>
      <c r="C105" t="e">
        <f>AND('GA55 Entry'!J293,"AAAAAHv/+QI=")</f>
        <v>#VALUE!</v>
      </c>
      <c r="D105" t="e">
        <f>AND('GA55 Entry'!#REF!,"AAAAAHv/+QM=")</f>
        <v>#REF!</v>
      </c>
      <c r="E105" t="e">
        <f>AND('GA55 Entry'!K293,"AAAAAHv/+QQ=")</f>
        <v>#VALUE!</v>
      </c>
      <c r="F105" t="e">
        <f>AND('GA55 Entry'!L293,"AAAAAHv/+QU=")</f>
        <v>#VALUE!</v>
      </c>
      <c r="G105" t="e">
        <f>AND('GA55 Entry'!M293,"AAAAAHv/+QY=")</f>
        <v>#VALUE!</v>
      </c>
      <c r="H105" t="e">
        <f>AND('GA55 Entry'!N293,"AAAAAHv/+Qc=")</f>
        <v>#VALUE!</v>
      </c>
      <c r="I105" t="e">
        <f>AND('GA55 Entry'!O293,"AAAAAHv/+Qg=")</f>
        <v>#VALUE!</v>
      </c>
      <c r="J105" t="e">
        <f>AND('GA55 Entry'!P293,"AAAAAHv/+Qk=")</f>
        <v>#VALUE!</v>
      </c>
      <c r="K105" t="e">
        <f>AND('GA55 Entry'!Q293,"AAAAAHv/+Qo=")</f>
        <v>#VALUE!</v>
      </c>
      <c r="L105" t="e">
        <f>AND('GA55 Entry'!S293,"AAAAAHv/+Qs=")</f>
        <v>#VALUE!</v>
      </c>
      <c r="M105" t="e">
        <f>AND('GA55 Entry'!#REF!,"AAAAAHv/+Qw=")</f>
        <v>#REF!</v>
      </c>
      <c r="N105" t="e">
        <f>AND('GA55 Entry'!T293,"AAAAAHv/+Q0=")</f>
        <v>#VALUE!</v>
      </c>
      <c r="O105" t="e">
        <f>AND('GA55 Entry'!U293,"AAAAAHv/+Q4=")</f>
        <v>#VALUE!</v>
      </c>
      <c r="P105" t="e">
        <f>AND('GA55 Entry'!V293,"AAAAAHv/+Q8=")</f>
        <v>#VALUE!</v>
      </c>
      <c r="Q105" t="e">
        <f>AND('GA55 Entry'!#REF!,"AAAAAHv/+RA=")</f>
        <v>#REF!</v>
      </c>
      <c r="R105" t="e">
        <f>AND('GA55 Entry'!#REF!,"AAAAAHv/+RE=")</f>
        <v>#REF!</v>
      </c>
      <c r="S105" t="e">
        <f>AND('GA55 Entry'!X293,"AAAAAHv/+RI=")</f>
        <v>#VALUE!</v>
      </c>
      <c r="T105" t="e">
        <f>AND('GA55 Entry'!Y293,"AAAAAHv/+RM=")</f>
        <v>#VALUE!</v>
      </c>
      <c r="U105" t="e">
        <f>AND('GA55 Entry'!#REF!,"AAAAAHv/+RQ=")</f>
        <v>#REF!</v>
      </c>
      <c r="V105" t="e">
        <f>AND('GA55 Entry'!#REF!,"AAAAAHv/+RU=")</f>
        <v>#REF!</v>
      </c>
      <c r="W105" t="e">
        <f>AND('GA55 Entry'!#REF!,"AAAAAHv/+RY=")</f>
        <v>#REF!</v>
      </c>
      <c r="X105" t="e">
        <f>AND('GA55 Entry'!#REF!,"AAAAAHv/+Rc=")</f>
        <v>#REF!</v>
      </c>
      <c r="Y105" t="e">
        <f>AND('GA55 Entry'!#REF!,"AAAAAHv/+Rg=")</f>
        <v>#REF!</v>
      </c>
      <c r="Z105" t="e">
        <f>AND('GA55 Entry'!#REF!,"AAAAAHv/+Rk=")</f>
        <v>#REF!</v>
      </c>
      <c r="AA105" t="e">
        <f>AND('GA55 Entry'!#REF!,"AAAAAHv/+Ro=")</f>
        <v>#REF!</v>
      </c>
      <c r="AB105" t="e">
        <f>AND('GA55 Entry'!#REF!,"AAAAAHv/+Rs=")</f>
        <v>#REF!</v>
      </c>
      <c r="AC105" t="e">
        <f>AND('GA55 Entry'!#REF!,"AAAAAHv/+Rw=")</f>
        <v>#REF!</v>
      </c>
      <c r="AD105" t="e">
        <f>AND('GA55 Entry'!Z293,"AAAAAHv/+R0=")</f>
        <v>#VALUE!</v>
      </c>
      <c r="AE105" t="e">
        <f>AND('GA55 Entry'!AA293,"AAAAAHv/+R4=")</f>
        <v>#VALUE!</v>
      </c>
      <c r="AF105" t="e">
        <f>AND('GA55 Entry'!#REF!,"AAAAAHv/+R8=")</f>
        <v>#REF!</v>
      </c>
      <c r="AG105" t="e">
        <f>AND('GA55 Entry'!#REF!,"AAAAAHv/+SA=")</f>
        <v>#REF!</v>
      </c>
      <c r="AH105" t="e">
        <f>AND('GA55 Entry'!#REF!,"AAAAAHv/+SE=")</f>
        <v>#REF!</v>
      </c>
      <c r="AI105" t="e">
        <f>AND('GA55 Entry'!AB293,"AAAAAHv/+SI=")</f>
        <v>#VALUE!</v>
      </c>
      <c r="AJ105" t="e">
        <f>AND('GA55 Entry'!AC293,"AAAAAHv/+SM=")</f>
        <v>#VALUE!</v>
      </c>
      <c r="AK105" t="e">
        <f>AND('GA55 Entry'!#REF!,"AAAAAHv/+SQ=")</f>
        <v>#REF!</v>
      </c>
      <c r="AL105">
        <f>IF('GA55 Entry'!294:294,"AAAAAHv/+SU=",0)</f>
        <v>0</v>
      </c>
      <c r="AM105" t="e">
        <f>AND('GA55 Entry'!B294,"AAAAAHv/+SY=")</f>
        <v>#VALUE!</v>
      </c>
      <c r="AN105" t="e">
        <f>AND('GA55 Entry'!#REF!,"AAAAAHv/+Sc=")</f>
        <v>#REF!</v>
      </c>
      <c r="AO105" t="e">
        <f>AND('GA55 Entry'!C294,"AAAAAHv/+Sg=")</f>
        <v>#VALUE!</v>
      </c>
      <c r="AP105" t="e">
        <f>AND('GA55 Entry'!#REF!,"AAAAAHv/+Sk=")</f>
        <v>#REF!</v>
      </c>
      <c r="AQ105" t="e">
        <f>AND('GA55 Entry'!#REF!,"AAAAAHv/+So=")</f>
        <v>#REF!</v>
      </c>
      <c r="AR105" t="e">
        <f>AND('GA55 Entry'!#REF!,"AAAAAHv/+Ss=")</f>
        <v>#REF!</v>
      </c>
      <c r="AS105" t="e">
        <f>AND('GA55 Entry'!#REF!,"AAAAAHv/+Sw=")</f>
        <v>#REF!</v>
      </c>
      <c r="AT105" t="e">
        <f>AND('GA55 Entry'!#REF!,"AAAAAHv/+S0=")</f>
        <v>#REF!</v>
      </c>
      <c r="AU105" t="e">
        <f>AND('GA55 Entry'!D294,"AAAAAHv/+S4=")</f>
        <v>#VALUE!</v>
      </c>
      <c r="AV105" t="e">
        <f>AND('GA55 Entry'!#REF!,"AAAAAHv/+S8=")</f>
        <v>#REF!</v>
      </c>
      <c r="AW105" t="e">
        <f>AND('GA55 Entry'!E294,"AAAAAHv/+TA=")</f>
        <v>#VALUE!</v>
      </c>
      <c r="AX105" t="e">
        <f>AND('GA55 Entry'!F294,"AAAAAHv/+TE=")</f>
        <v>#VALUE!</v>
      </c>
      <c r="AY105" t="e">
        <f>AND('GA55 Entry'!G294,"AAAAAHv/+TI=")</f>
        <v>#VALUE!</v>
      </c>
      <c r="AZ105" t="e">
        <f>AND('GA55 Entry'!H294,"AAAAAHv/+TM=")</f>
        <v>#VALUE!</v>
      </c>
      <c r="BA105" t="e">
        <f>AND('GA55 Entry'!I294,"AAAAAHv/+TQ=")</f>
        <v>#VALUE!</v>
      </c>
      <c r="BB105" t="e">
        <f>AND('GA55 Entry'!J294,"AAAAAHv/+TU=")</f>
        <v>#VALUE!</v>
      </c>
      <c r="BC105" t="e">
        <f>AND('GA55 Entry'!#REF!,"AAAAAHv/+TY=")</f>
        <v>#REF!</v>
      </c>
      <c r="BD105" t="e">
        <f>AND('GA55 Entry'!K294,"AAAAAHv/+Tc=")</f>
        <v>#VALUE!</v>
      </c>
      <c r="BE105" t="e">
        <f>AND('GA55 Entry'!L294,"AAAAAHv/+Tg=")</f>
        <v>#VALUE!</v>
      </c>
      <c r="BF105" t="e">
        <f>AND('GA55 Entry'!M294,"AAAAAHv/+Tk=")</f>
        <v>#VALUE!</v>
      </c>
      <c r="BG105" t="e">
        <f>AND('GA55 Entry'!N294,"AAAAAHv/+To=")</f>
        <v>#VALUE!</v>
      </c>
      <c r="BH105" t="e">
        <f>AND('GA55 Entry'!O294,"AAAAAHv/+Ts=")</f>
        <v>#VALUE!</v>
      </c>
      <c r="BI105" t="e">
        <f>AND('GA55 Entry'!P294,"AAAAAHv/+Tw=")</f>
        <v>#VALUE!</v>
      </c>
      <c r="BJ105" t="e">
        <f>AND('GA55 Entry'!Q294,"AAAAAHv/+T0=")</f>
        <v>#VALUE!</v>
      </c>
      <c r="BK105" t="e">
        <f>AND('GA55 Entry'!S294,"AAAAAHv/+T4=")</f>
        <v>#VALUE!</v>
      </c>
      <c r="BL105" t="e">
        <f>AND('GA55 Entry'!#REF!,"AAAAAHv/+T8=")</f>
        <v>#REF!</v>
      </c>
      <c r="BM105" t="e">
        <f>AND('GA55 Entry'!T294,"AAAAAHv/+UA=")</f>
        <v>#VALUE!</v>
      </c>
      <c r="BN105" t="e">
        <f>AND('GA55 Entry'!U294,"AAAAAHv/+UE=")</f>
        <v>#VALUE!</v>
      </c>
      <c r="BO105" t="e">
        <f>AND('GA55 Entry'!V294,"AAAAAHv/+UI=")</f>
        <v>#VALUE!</v>
      </c>
      <c r="BP105" t="e">
        <f>AND('GA55 Entry'!#REF!,"AAAAAHv/+UM=")</f>
        <v>#REF!</v>
      </c>
      <c r="BQ105" t="e">
        <f>AND('GA55 Entry'!#REF!,"AAAAAHv/+UQ=")</f>
        <v>#REF!</v>
      </c>
      <c r="BR105" t="e">
        <f>AND('GA55 Entry'!X294,"AAAAAHv/+UU=")</f>
        <v>#VALUE!</v>
      </c>
      <c r="BS105" t="e">
        <f>AND('GA55 Entry'!Y294,"AAAAAHv/+UY=")</f>
        <v>#VALUE!</v>
      </c>
      <c r="BT105" t="e">
        <f>AND('GA55 Entry'!#REF!,"AAAAAHv/+Uc=")</f>
        <v>#REF!</v>
      </c>
      <c r="BU105" t="e">
        <f>AND('GA55 Entry'!#REF!,"AAAAAHv/+Ug=")</f>
        <v>#REF!</v>
      </c>
      <c r="BV105" t="e">
        <f>AND('GA55 Entry'!#REF!,"AAAAAHv/+Uk=")</f>
        <v>#REF!</v>
      </c>
      <c r="BW105" t="e">
        <f>AND('GA55 Entry'!#REF!,"AAAAAHv/+Uo=")</f>
        <v>#REF!</v>
      </c>
      <c r="BX105" t="e">
        <f>AND('GA55 Entry'!#REF!,"AAAAAHv/+Us=")</f>
        <v>#REF!</v>
      </c>
      <c r="BY105" t="e">
        <f>AND('GA55 Entry'!#REF!,"AAAAAHv/+Uw=")</f>
        <v>#REF!</v>
      </c>
      <c r="BZ105" t="e">
        <f>AND('GA55 Entry'!#REF!,"AAAAAHv/+U0=")</f>
        <v>#REF!</v>
      </c>
      <c r="CA105" t="e">
        <f>AND('GA55 Entry'!#REF!,"AAAAAHv/+U4=")</f>
        <v>#REF!</v>
      </c>
      <c r="CB105" t="e">
        <f>AND('GA55 Entry'!#REF!,"AAAAAHv/+U8=")</f>
        <v>#REF!</v>
      </c>
      <c r="CC105" t="e">
        <f>AND('GA55 Entry'!Z294,"AAAAAHv/+VA=")</f>
        <v>#VALUE!</v>
      </c>
      <c r="CD105" t="e">
        <f>AND('GA55 Entry'!AA294,"AAAAAHv/+VE=")</f>
        <v>#VALUE!</v>
      </c>
      <c r="CE105" t="e">
        <f>AND('GA55 Entry'!#REF!,"AAAAAHv/+VI=")</f>
        <v>#REF!</v>
      </c>
      <c r="CF105" t="e">
        <f>AND('GA55 Entry'!#REF!,"AAAAAHv/+VM=")</f>
        <v>#REF!</v>
      </c>
      <c r="CG105" t="e">
        <f>AND('GA55 Entry'!#REF!,"AAAAAHv/+VQ=")</f>
        <v>#REF!</v>
      </c>
      <c r="CH105" t="e">
        <f>AND('GA55 Entry'!AB294,"AAAAAHv/+VU=")</f>
        <v>#VALUE!</v>
      </c>
      <c r="CI105" t="e">
        <f>AND('GA55 Entry'!AC294,"AAAAAHv/+VY=")</f>
        <v>#VALUE!</v>
      </c>
      <c r="CJ105" t="e">
        <f>AND('GA55 Entry'!#REF!,"AAAAAHv/+Vc=")</f>
        <v>#REF!</v>
      </c>
      <c r="CK105">
        <f>IF('GA55 Entry'!295:295,"AAAAAHv/+Vg=",0)</f>
        <v>0</v>
      </c>
      <c r="CL105" t="e">
        <f>AND('GA55 Entry'!B295,"AAAAAHv/+Vk=")</f>
        <v>#VALUE!</v>
      </c>
      <c r="CM105" t="e">
        <f>AND('GA55 Entry'!#REF!,"AAAAAHv/+Vo=")</f>
        <v>#REF!</v>
      </c>
      <c r="CN105" t="e">
        <f>AND('GA55 Entry'!C295,"AAAAAHv/+Vs=")</f>
        <v>#VALUE!</v>
      </c>
      <c r="CO105" t="e">
        <f>AND('GA55 Entry'!#REF!,"AAAAAHv/+Vw=")</f>
        <v>#REF!</v>
      </c>
      <c r="CP105" t="e">
        <f>AND('GA55 Entry'!#REF!,"AAAAAHv/+V0=")</f>
        <v>#REF!</v>
      </c>
      <c r="CQ105" t="e">
        <f>AND('GA55 Entry'!#REF!,"AAAAAHv/+V4=")</f>
        <v>#REF!</v>
      </c>
      <c r="CR105" t="e">
        <f>AND('GA55 Entry'!#REF!,"AAAAAHv/+V8=")</f>
        <v>#REF!</v>
      </c>
      <c r="CS105" t="e">
        <f>AND('GA55 Entry'!#REF!,"AAAAAHv/+WA=")</f>
        <v>#REF!</v>
      </c>
      <c r="CT105" t="e">
        <f>AND('GA55 Entry'!D295,"AAAAAHv/+WE=")</f>
        <v>#VALUE!</v>
      </c>
      <c r="CU105" t="e">
        <f>AND('GA55 Entry'!#REF!,"AAAAAHv/+WI=")</f>
        <v>#REF!</v>
      </c>
      <c r="CV105" t="e">
        <f>AND('GA55 Entry'!E295,"AAAAAHv/+WM=")</f>
        <v>#VALUE!</v>
      </c>
      <c r="CW105" t="e">
        <f>AND('GA55 Entry'!F295,"AAAAAHv/+WQ=")</f>
        <v>#VALUE!</v>
      </c>
      <c r="CX105" t="e">
        <f>AND('GA55 Entry'!G295,"AAAAAHv/+WU=")</f>
        <v>#VALUE!</v>
      </c>
      <c r="CY105" t="e">
        <f>AND('GA55 Entry'!H295,"AAAAAHv/+WY=")</f>
        <v>#VALUE!</v>
      </c>
      <c r="CZ105" t="e">
        <f>AND('GA55 Entry'!I295,"AAAAAHv/+Wc=")</f>
        <v>#VALUE!</v>
      </c>
      <c r="DA105" t="e">
        <f>AND('GA55 Entry'!J295,"AAAAAHv/+Wg=")</f>
        <v>#VALUE!</v>
      </c>
      <c r="DB105" t="e">
        <f>AND('GA55 Entry'!#REF!,"AAAAAHv/+Wk=")</f>
        <v>#REF!</v>
      </c>
      <c r="DC105" t="e">
        <f>AND('GA55 Entry'!K295,"AAAAAHv/+Wo=")</f>
        <v>#VALUE!</v>
      </c>
      <c r="DD105" t="e">
        <f>AND('GA55 Entry'!L295,"AAAAAHv/+Ws=")</f>
        <v>#VALUE!</v>
      </c>
      <c r="DE105" t="e">
        <f>AND('GA55 Entry'!M295,"AAAAAHv/+Ww=")</f>
        <v>#VALUE!</v>
      </c>
      <c r="DF105" t="e">
        <f>AND('GA55 Entry'!N295,"AAAAAHv/+W0=")</f>
        <v>#VALUE!</v>
      </c>
      <c r="DG105" t="e">
        <f>AND('GA55 Entry'!O295,"AAAAAHv/+W4=")</f>
        <v>#VALUE!</v>
      </c>
      <c r="DH105" t="e">
        <f>AND('GA55 Entry'!P295,"AAAAAHv/+W8=")</f>
        <v>#VALUE!</v>
      </c>
      <c r="DI105" t="e">
        <f>AND('GA55 Entry'!Q295,"AAAAAHv/+XA=")</f>
        <v>#VALUE!</v>
      </c>
      <c r="DJ105" t="e">
        <f>AND('GA55 Entry'!S295,"AAAAAHv/+XE=")</f>
        <v>#VALUE!</v>
      </c>
      <c r="DK105" t="e">
        <f>AND('GA55 Entry'!#REF!,"AAAAAHv/+XI=")</f>
        <v>#REF!</v>
      </c>
      <c r="DL105" t="e">
        <f>AND('GA55 Entry'!T295,"AAAAAHv/+XM=")</f>
        <v>#VALUE!</v>
      </c>
      <c r="DM105" t="e">
        <f>AND('GA55 Entry'!U295,"AAAAAHv/+XQ=")</f>
        <v>#VALUE!</v>
      </c>
      <c r="DN105" t="e">
        <f>AND('GA55 Entry'!V295,"AAAAAHv/+XU=")</f>
        <v>#VALUE!</v>
      </c>
      <c r="DO105" t="e">
        <f>AND('GA55 Entry'!#REF!,"AAAAAHv/+XY=")</f>
        <v>#REF!</v>
      </c>
      <c r="DP105" t="e">
        <f>AND('GA55 Entry'!#REF!,"AAAAAHv/+Xc=")</f>
        <v>#REF!</v>
      </c>
      <c r="DQ105" t="e">
        <f>AND('GA55 Entry'!X295,"AAAAAHv/+Xg=")</f>
        <v>#VALUE!</v>
      </c>
      <c r="DR105" t="e">
        <f>AND('GA55 Entry'!Y295,"AAAAAHv/+Xk=")</f>
        <v>#VALUE!</v>
      </c>
      <c r="DS105" t="e">
        <f>AND('GA55 Entry'!#REF!,"AAAAAHv/+Xo=")</f>
        <v>#REF!</v>
      </c>
      <c r="DT105" t="e">
        <f>AND('GA55 Entry'!#REF!,"AAAAAHv/+Xs=")</f>
        <v>#REF!</v>
      </c>
      <c r="DU105" t="e">
        <f>AND('GA55 Entry'!#REF!,"AAAAAHv/+Xw=")</f>
        <v>#REF!</v>
      </c>
      <c r="DV105" t="e">
        <f>AND('GA55 Entry'!#REF!,"AAAAAHv/+X0=")</f>
        <v>#REF!</v>
      </c>
      <c r="DW105" t="e">
        <f>AND('GA55 Entry'!#REF!,"AAAAAHv/+X4=")</f>
        <v>#REF!</v>
      </c>
      <c r="DX105" t="e">
        <f>AND('GA55 Entry'!#REF!,"AAAAAHv/+X8=")</f>
        <v>#REF!</v>
      </c>
      <c r="DY105" t="e">
        <f>AND('GA55 Entry'!#REF!,"AAAAAHv/+YA=")</f>
        <v>#REF!</v>
      </c>
      <c r="DZ105" t="e">
        <f>AND('GA55 Entry'!#REF!,"AAAAAHv/+YE=")</f>
        <v>#REF!</v>
      </c>
      <c r="EA105" t="e">
        <f>AND('GA55 Entry'!#REF!,"AAAAAHv/+YI=")</f>
        <v>#REF!</v>
      </c>
      <c r="EB105" t="e">
        <f>AND('GA55 Entry'!Z295,"AAAAAHv/+YM=")</f>
        <v>#VALUE!</v>
      </c>
      <c r="EC105" t="e">
        <f>AND('GA55 Entry'!AA295,"AAAAAHv/+YQ=")</f>
        <v>#VALUE!</v>
      </c>
      <c r="ED105" t="e">
        <f>AND('GA55 Entry'!#REF!,"AAAAAHv/+YU=")</f>
        <v>#REF!</v>
      </c>
      <c r="EE105" t="e">
        <f>AND('GA55 Entry'!#REF!,"AAAAAHv/+YY=")</f>
        <v>#REF!</v>
      </c>
      <c r="EF105" t="e">
        <f>AND('GA55 Entry'!#REF!,"AAAAAHv/+Yc=")</f>
        <v>#REF!</v>
      </c>
      <c r="EG105" t="e">
        <f>AND('GA55 Entry'!AB295,"AAAAAHv/+Yg=")</f>
        <v>#VALUE!</v>
      </c>
      <c r="EH105" t="e">
        <f>AND('GA55 Entry'!AC295,"AAAAAHv/+Yk=")</f>
        <v>#VALUE!</v>
      </c>
      <c r="EI105" t="e">
        <f>AND('GA55 Entry'!#REF!,"AAAAAHv/+Yo=")</f>
        <v>#REF!</v>
      </c>
      <c r="EJ105">
        <f>IF('GA55 Entry'!296:296,"AAAAAHv/+Ys=",0)</f>
        <v>0</v>
      </c>
      <c r="EK105" t="e">
        <f>AND('GA55 Entry'!B296,"AAAAAHv/+Yw=")</f>
        <v>#VALUE!</v>
      </c>
      <c r="EL105" t="e">
        <f>AND('GA55 Entry'!#REF!,"AAAAAHv/+Y0=")</f>
        <v>#REF!</v>
      </c>
      <c r="EM105" t="e">
        <f>AND('GA55 Entry'!C296,"AAAAAHv/+Y4=")</f>
        <v>#VALUE!</v>
      </c>
      <c r="EN105" t="e">
        <f>AND('GA55 Entry'!#REF!,"AAAAAHv/+Y8=")</f>
        <v>#REF!</v>
      </c>
      <c r="EO105" t="e">
        <f>AND('GA55 Entry'!#REF!,"AAAAAHv/+ZA=")</f>
        <v>#REF!</v>
      </c>
      <c r="EP105" t="e">
        <f>AND('GA55 Entry'!#REF!,"AAAAAHv/+ZE=")</f>
        <v>#REF!</v>
      </c>
      <c r="EQ105" t="e">
        <f>AND('GA55 Entry'!#REF!,"AAAAAHv/+ZI=")</f>
        <v>#REF!</v>
      </c>
      <c r="ER105" t="e">
        <f>AND('GA55 Entry'!#REF!,"AAAAAHv/+ZM=")</f>
        <v>#REF!</v>
      </c>
      <c r="ES105" t="e">
        <f>AND('GA55 Entry'!D296,"AAAAAHv/+ZQ=")</f>
        <v>#VALUE!</v>
      </c>
      <c r="ET105" t="e">
        <f>AND('GA55 Entry'!#REF!,"AAAAAHv/+ZU=")</f>
        <v>#REF!</v>
      </c>
      <c r="EU105" t="e">
        <f>AND('GA55 Entry'!E296,"AAAAAHv/+ZY=")</f>
        <v>#VALUE!</v>
      </c>
      <c r="EV105" t="e">
        <f>AND('GA55 Entry'!F296,"AAAAAHv/+Zc=")</f>
        <v>#VALUE!</v>
      </c>
      <c r="EW105" t="e">
        <f>AND('GA55 Entry'!G296,"AAAAAHv/+Zg=")</f>
        <v>#VALUE!</v>
      </c>
      <c r="EX105" t="e">
        <f>AND('GA55 Entry'!H296,"AAAAAHv/+Zk=")</f>
        <v>#VALUE!</v>
      </c>
      <c r="EY105" t="e">
        <f>AND('GA55 Entry'!I296,"AAAAAHv/+Zo=")</f>
        <v>#VALUE!</v>
      </c>
      <c r="EZ105" t="e">
        <f>AND('GA55 Entry'!J296,"AAAAAHv/+Zs=")</f>
        <v>#VALUE!</v>
      </c>
      <c r="FA105" t="e">
        <f>AND('GA55 Entry'!#REF!,"AAAAAHv/+Zw=")</f>
        <v>#REF!</v>
      </c>
      <c r="FB105" t="e">
        <f>AND('GA55 Entry'!K296,"AAAAAHv/+Z0=")</f>
        <v>#VALUE!</v>
      </c>
      <c r="FC105" t="e">
        <f>AND('GA55 Entry'!L296,"AAAAAHv/+Z4=")</f>
        <v>#VALUE!</v>
      </c>
      <c r="FD105" t="e">
        <f>AND('GA55 Entry'!M296,"AAAAAHv/+Z8=")</f>
        <v>#VALUE!</v>
      </c>
      <c r="FE105" t="e">
        <f>AND('GA55 Entry'!N296,"AAAAAHv/+aA=")</f>
        <v>#VALUE!</v>
      </c>
      <c r="FF105" t="e">
        <f>AND('GA55 Entry'!O296,"AAAAAHv/+aE=")</f>
        <v>#VALUE!</v>
      </c>
      <c r="FG105" t="e">
        <f>AND('GA55 Entry'!P296,"AAAAAHv/+aI=")</f>
        <v>#VALUE!</v>
      </c>
      <c r="FH105" t="e">
        <f>AND('GA55 Entry'!Q296,"AAAAAHv/+aM=")</f>
        <v>#VALUE!</v>
      </c>
      <c r="FI105" t="e">
        <f>AND('GA55 Entry'!S296,"AAAAAHv/+aQ=")</f>
        <v>#VALUE!</v>
      </c>
      <c r="FJ105" t="e">
        <f>AND('GA55 Entry'!#REF!,"AAAAAHv/+aU=")</f>
        <v>#REF!</v>
      </c>
      <c r="FK105" t="e">
        <f>AND('GA55 Entry'!T296,"AAAAAHv/+aY=")</f>
        <v>#VALUE!</v>
      </c>
      <c r="FL105" t="e">
        <f>AND('GA55 Entry'!U296,"AAAAAHv/+ac=")</f>
        <v>#VALUE!</v>
      </c>
      <c r="FM105" t="e">
        <f>AND('GA55 Entry'!V296,"AAAAAHv/+ag=")</f>
        <v>#VALUE!</v>
      </c>
      <c r="FN105" t="e">
        <f>AND('GA55 Entry'!#REF!,"AAAAAHv/+ak=")</f>
        <v>#REF!</v>
      </c>
      <c r="FO105" t="e">
        <f>AND('GA55 Entry'!#REF!,"AAAAAHv/+ao=")</f>
        <v>#REF!</v>
      </c>
      <c r="FP105" t="e">
        <f>AND('GA55 Entry'!X296,"AAAAAHv/+as=")</f>
        <v>#VALUE!</v>
      </c>
      <c r="FQ105" t="e">
        <f>AND('GA55 Entry'!Y296,"AAAAAHv/+aw=")</f>
        <v>#VALUE!</v>
      </c>
      <c r="FR105" t="e">
        <f>AND('GA55 Entry'!#REF!,"AAAAAHv/+a0=")</f>
        <v>#REF!</v>
      </c>
      <c r="FS105" t="e">
        <f>AND('GA55 Entry'!#REF!,"AAAAAHv/+a4=")</f>
        <v>#REF!</v>
      </c>
      <c r="FT105" t="e">
        <f>AND('GA55 Entry'!#REF!,"AAAAAHv/+a8=")</f>
        <v>#REF!</v>
      </c>
      <c r="FU105" t="e">
        <f>AND('GA55 Entry'!#REF!,"AAAAAHv/+bA=")</f>
        <v>#REF!</v>
      </c>
      <c r="FV105" t="e">
        <f>AND('GA55 Entry'!#REF!,"AAAAAHv/+bE=")</f>
        <v>#REF!</v>
      </c>
      <c r="FW105" t="e">
        <f>AND('GA55 Entry'!#REF!,"AAAAAHv/+bI=")</f>
        <v>#REF!</v>
      </c>
      <c r="FX105" t="e">
        <f>AND('GA55 Entry'!#REF!,"AAAAAHv/+bM=")</f>
        <v>#REF!</v>
      </c>
      <c r="FY105" t="e">
        <f>AND('GA55 Entry'!#REF!,"AAAAAHv/+bQ=")</f>
        <v>#REF!</v>
      </c>
      <c r="FZ105" t="e">
        <f>AND('GA55 Entry'!#REF!,"AAAAAHv/+bU=")</f>
        <v>#REF!</v>
      </c>
      <c r="GA105" t="e">
        <f>AND('GA55 Entry'!Z296,"AAAAAHv/+bY=")</f>
        <v>#VALUE!</v>
      </c>
      <c r="GB105" t="e">
        <f>AND('GA55 Entry'!AA296,"AAAAAHv/+bc=")</f>
        <v>#VALUE!</v>
      </c>
      <c r="GC105" t="e">
        <f>AND('GA55 Entry'!#REF!,"AAAAAHv/+bg=")</f>
        <v>#REF!</v>
      </c>
      <c r="GD105" t="e">
        <f>AND('GA55 Entry'!#REF!,"AAAAAHv/+bk=")</f>
        <v>#REF!</v>
      </c>
      <c r="GE105" t="e">
        <f>AND('GA55 Entry'!#REF!,"AAAAAHv/+bo=")</f>
        <v>#REF!</v>
      </c>
      <c r="GF105" t="e">
        <f>AND('GA55 Entry'!AB296,"AAAAAHv/+bs=")</f>
        <v>#VALUE!</v>
      </c>
      <c r="GG105" t="e">
        <f>AND('GA55 Entry'!AC296,"AAAAAHv/+bw=")</f>
        <v>#VALUE!</v>
      </c>
      <c r="GH105" t="e">
        <f>AND('GA55 Entry'!#REF!,"AAAAAHv/+b0=")</f>
        <v>#REF!</v>
      </c>
      <c r="GI105">
        <f>IF('GA55 Entry'!297:297,"AAAAAHv/+b4=",0)</f>
        <v>0</v>
      </c>
      <c r="GJ105" t="e">
        <f>AND('GA55 Entry'!B297,"AAAAAHv/+b8=")</f>
        <v>#VALUE!</v>
      </c>
      <c r="GK105" t="e">
        <f>AND('GA55 Entry'!#REF!,"AAAAAHv/+cA=")</f>
        <v>#REF!</v>
      </c>
      <c r="GL105" t="e">
        <f>AND('GA55 Entry'!C297,"AAAAAHv/+cE=")</f>
        <v>#VALUE!</v>
      </c>
      <c r="GM105" t="e">
        <f>AND('GA55 Entry'!#REF!,"AAAAAHv/+cI=")</f>
        <v>#REF!</v>
      </c>
      <c r="GN105" t="e">
        <f>AND('GA55 Entry'!#REF!,"AAAAAHv/+cM=")</f>
        <v>#REF!</v>
      </c>
      <c r="GO105" t="e">
        <f>AND('GA55 Entry'!#REF!,"AAAAAHv/+cQ=")</f>
        <v>#REF!</v>
      </c>
      <c r="GP105" t="e">
        <f>AND('GA55 Entry'!#REF!,"AAAAAHv/+cU=")</f>
        <v>#REF!</v>
      </c>
      <c r="GQ105" t="e">
        <f>AND('GA55 Entry'!#REF!,"AAAAAHv/+cY=")</f>
        <v>#REF!</v>
      </c>
      <c r="GR105" t="e">
        <f>AND('GA55 Entry'!D297,"AAAAAHv/+cc=")</f>
        <v>#VALUE!</v>
      </c>
      <c r="GS105" t="e">
        <f>AND('GA55 Entry'!#REF!,"AAAAAHv/+cg=")</f>
        <v>#REF!</v>
      </c>
      <c r="GT105" t="e">
        <f>AND('GA55 Entry'!E297,"AAAAAHv/+ck=")</f>
        <v>#VALUE!</v>
      </c>
      <c r="GU105" t="e">
        <f>AND('GA55 Entry'!F297,"AAAAAHv/+co=")</f>
        <v>#VALUE!</v>
      </c>
      <c r="GV105" t="e">
        <f>AND('GA55 Entry'!G297,"AAAAAHv/+cs=")</f>
        <v>#VALUE!</v>
      </c>
      <c r="GW105" t="e">
        <f>AND('GA55 Entry'!H297,"AAAAAHv/+cw=")</f>
        <v>#VALUE!</v>
      </c>
      <c r="GX105" t="e">
        <f>AND('GA55 Entry'!I297,"AAAAAHv/+c0=")</f>
        <v>#VALUE!</v>
      </c>
      <c r="GY105" t="e">
        <f>AND('GA55 Entry'!J297,"AAAAAHv/+c4=")</f>
        <v>#VALUE!</v>
      </c>
      <c r="GZ105" t="e">
        <f>AND('GA55 Entry'!#REF!,"AAAAAHv/+c8=")</f>
        <v>#REF!</v>
      </c>
      <c r="HA105" t="e">
        <f>AND('GA55 Entry'!K297,"AAAAAHv/+dA=")</f>
        <v>#VALUE!</v>
      </c>
      <c r="HB105" t="e">
        <f>AND('GA55 Entry'!L297,"AAAAAHv/+dE=")</f>
        <v>#VALUE!</v>
      </c>
      <c r="HC105" t="e">
        <f>AND('GA55 Entry'!M297,"AAAAAHv/+dI=")</f>
        <v>#VALUE!</v>
      </c>
      <c r="HD105" t="e">
        <f>AND('GA55 Entry'!N297,"AAAAAHv/+dM=")</f>
        <v>#VALUE!</v>
      </c>
      <c r="HE105" t="e">
        <f>AND('GA55 Entry'!O297,"AAAAAHv/+dQ=")</f>
        <v>#VALUE!</v>
      </c>
      <c r="HF105" t="e">
        <f>AND('GA55 Entry'!P297,"AAAAAHv/+dU=")</f>
        <v>#VALUE!</v>
      </c>
      <c r="HG105" t="e">
        <f>AND('GA55 Entry'!Q297,"AAAAAHv/+dY=")</f>
        <v>#VALUE!</v>
      </c>
      <c r="HH105" t="e">
        <f>AND('GA55 Entry'!S297,"AAAAAHv/+dc=")</f>
        <v>#VALUE!</v>
      </c>
      <c r="HI105" t="e">
        <f>AND('GA55 Entry'!#REF!,"AAAAAHv/+dg=")</f>
        <v>#REF!</v>
      </c>
      <c r="HJ105" t="e">
        <f>AND('GA55 Entry'!T297,"AAAAAHv/+dk=")</f>
        <v>#VALUE!</v>
      </c>
      <c r="HK105" t="e">
        <f>AND('GA55 Entry'!U297,"AAAAAHv/+do=")</f>
        <v>#VALUE!</v>
      </c>
      <c r="HL105" t="e">
        <f>AND('GA55 Entry'!V297,"AAAAAHv/+ds=")</f>
        <v>#VALUE!</v>
      </c>
      <c r="HM105" t="e">
        <f>AND('GA55 Entry'!#REF!,"AAAAAHv/+dw=")</f>
        <v>#REF!</v>
      </c>
      <c r="HN105" t="e">
        <f>AND('GA55 Entry'!#REF!,"AAAAAHv/+d0=")</f>
        <v>#REF!</v>
      </c>
      <c r="HO105" t="e">
        <f>AND('GA55 Entry'!X297,"AAAAAHv/+d4=")</f>
        <v>#VALUE!</v>
      </c>
      <c r="HP105" t="e">
        <f>AND('GA55 Entry'!Y297,"AAAAAHv/+d8=")</f>
        <v>#VALUE!</v>
      </c>
      <c r="HQ105" t="e">
        <f>AND('GA55 Entry'!#REF!,"AAAAAHv/+eA=")</f>
        <v>#REF!</v>
      </c>
      <c r="HR105" t="e">
        <f>AND('GA55 Entry'!#REF!,"AAAAAHv/+eE=")</f>
        <v>#REF!</v>
      </c>
      <c r="HS105" t="e">
        <f>AND('GA55 Entry'!#REF!,"AAAAAHv/+eI=")</f>
        <v>#REF!</v>
      </c>
      <c r="HT105" t="e">
        <f>AND('GA55 Entry'!#REF!,"AAAAAHv/+eM=")</f>
        <v>#REF!</v>
      </c>
      <c r="HU105" t="e">
        <f>AND('GA55 Entry'!#REF!,"AAAAAHv/+eQ=")</f>
        <v>#REF!</v>
      </c>
      <c r="HV105" t="e">
        <f>AND('GA55 Entry'!#REF!,"AAAAAHv/+eU=")</f>
        <v>#REF!</v>
      </c>
      <c r="HW105" t="e">
        <f>AND('GA55 Entry'!#REF!,"AAAAAHv/+eY=")</f>
        <v>#REF!</v>
      </c>
      <c r="HX105" t="e">
        <f>AND('GA55 Entry'!#REF!,"AAAAAHv/+ec=")</f>
        <v>#REF!</v>
      </c>
      <c r="HY105" t="e">
        <f>AND('GA55 Entry'!#REF!,"AAAAAHv/+eg=")</f>
        <v>#REF!</v>
      </c>
      <c r="HZ105" t="e">
        <f>AND('GA55 Entry'!Z297,"AAAAAHv/+ek=")</f>
        <v>#VALUE!</v>
      </c>
      <c r="IA105" t="e">
        <f>AND('GA55 Entry'!AA297,"AAAAAHv/+eo=")</f>
        <v>#VALUE!</v>
      </c>
      <c r="IB105" t="e">
        <f>AND('GA55 Entry'!#REF!,"AAAAAHv/+es=")</f>
        <v>#REF!</v>
      </c>
      <c r="IC105" t="e">
        <f>AND('GA55 Entry'!#REF!,"AAAAAHv/+ew=")</f>
        <v>#REF!</v>
      </c>
      <c r="ID105" t="e">
        <f>AND('GA55 Entry'!#REF!,"AAAAAHv/+e0=")</f>
        <v>#REF!</v>
      </c>
      <c r="IE105" t="e">
        <f>AND('GA55 Entry'!AB297,"AAAAAHv/+e4=")</f>
        <v>#VALUE!</v>
      </c>
      <c r="IF105" t="e">
        <f>AND('GA55 Entry'!AC297,"AAAAAHv/+e8=")</f>
        <v>#VALUE!</v>
      </c>
      <c r="IG105" t="e">
        <f>AND('GA55 Entry'!#REF!,"AAAAAHv/+fA=")</f>
        <v>#REF!</v>
      </c>
      <c r="IH105">
        <f>IF('GA55 Entry'!298:298,"AAAAAHv/+fE=",0)</f>
        <v>0</v>
      </c>
      <c r="II105" t="e">
        <f>AND('GA55 Entry'!B298,"AAAAAHv/+fI=")</f>
        <v>#VALUE!</v>
      </c>
      <c r="IJ105" t="e">
        <f>AND('GA55 Entry'!#REF!,"AAAAAHv/+fM=")</f>
        <v>#REF!</v>
      </c>
      <c r="IK105" t="e">
        <f>AND('GA55 Entry'!C298,"AAAAAHv/+fQ=")</f>
        <v>#VALUE!</v>
      </c>
      <c r="IL105" t="e">
        <f>AND('GA55 Entry'!#REF!,"AAAAAHv/+fU=")</f>
        <v>#REF!</v>
      </c>
      <c r="IM105" t="e">
        <f>AND('GA55 Entry'!#REF!,"AAAAAHv/+fY=")</f>
        <v>#REF!</v>
      </c>
      <c r="IN105" t="e">
        <f>AND('GA55 Entry'!#REF!,"AAAAAHv/+fc=")</f>
        <v>#REF!</v>
      </c>
      <c r="IO105" t="e">
        <f>AND('GA55 Entry'!#REF!,"AAAAAHv/+fg=")</f>
        <v>#REF!</v>
      </c>
      <c r="IP105" t="e">
        <f>AND('GA55 Entry'!#REF!,"AAAAAHv/+fk=")</f>
        <v>#REF!</v>
      </c>
      <c r="IQ105" t="e">
        <f>AND('GA55 Entry'!D298,"AAAAAHv/+fo=")</f>
        <v>#VALUE!</v>
      </c>
      <c r="IR105" t="e">
        <f>AND('GA55 Entry'!#REF!,"AAAAAHv/+fs=")</f>
        <v>#REF!</v>
      </c>
      <c r="IS105" t="e">
        <f>AND('GA55 Entry'!E298,"AAAAAHv/+fw=")</f>
        <v>#VALUE!</v>
      </c>
      <c r="IT105" t="e">
        <f>AND('GA55 Entry'!F298,"AAAAAHv/+f0=")</f>
        <v>#VALUE!</v>
      </c>
      <c r="IU105" t="e">
        <f>AND('GA55 Entry'!G298,"AAAAAHv/+f4=")</f>
        <v>#VALUE!</v>
      </c>
      <c r="IV105" t="e">
        <f>AND('GA55 Entry'!H298,"AAAAAHv/+f8=")</f>
        <v>#VALUE!</v>
      </c>
    </row>
    <row r="106" spans="1:256">
      <c r="A106" t="e">
        <f>AND('GA55 Entry'!I298,"AAAAAH793wA=")</f>
        <v>#VALUE!</v>
      </c>
      <c r="B106" t="e">
        <f>AND('GA55 Entry'!J298,"AAAAAH793wE=")</f>
        <v>#VALUE!</v>
      </c>
      <c r="C106" t="e">
        <f>AND('GA55 Entry'!#REF!,"AAAAAH793wI=")</f>
        <v>#REF!</v>
      </c>
      <c r="D106" t="e">
        <f>AND('GA55 Entry'!K298,"AAAAAH793wM=")</f>
        <v>#VALUE!</v>
      </c>
      <c r="E106" t="e">
        <f>AND('GA55 Entry'!L298,"AAAAAH793wQ=")</f>
        <v>#VALUE!</v>
      </c>
      <c r="F106" t="e">
        <f>AND('GA55 Entry'!M298,"AAAAAH793wU=")</f>
        <v>#VALUE!</v>
      </c>
      <c r="G106" t="e">
        <f>AND('GA55 Entry'!N298,"AAAAAH793wY=")</f>
        <v>#VALUE!</v>
      </c>
      <c r="H106" t="e">
        <f>AND('GA55 Entry'!O298,"AAAAAH793wc=")</f>
        <v>#VALUE!</v>
      </c>
      <c r="I106" t="e">
        <f>AND('GA55 Entry'!P298,"AAAAAH793wg=")</f>
        <v>#VALUE!</v>
      </c>
      <c r="J106" t="e">
        <f>AND('GA55 Entry'!Q298,"AAAAAH793wk=")</f>
        <v>#VALUE!</v>
      </c>
      <c r="K106" t="e">
        <f>AND('GA55 Entry'!S298,"AAAAAH793wo=")</f>
        <v>#VALUE!</v>
      </c>
      <c r="L106" t="e">
        <f>AND('GA55 Entry'!#REF!,"AAAAAH793ws=")</f>
        <v>#REF!</v>
      </c>
      <c r="M106" t="e">
        <f>AND('GA55 Entry'!T298,"AAAAAH793ww=")</f>
        <v>#VALUE!</v>
      </c>
      <c r="N106" t="e">
        <f>AND('GA55 Entry'!U298,"AAAAAH793w0=")</f>
        <v>#VALUE!</v>
      </c>
      <c r="O106" t="e">
        <f>AND('GA55 Entry'!V298,"AAAAAH793w4=")</f>
        <v>#VALUE!</v>
      </c>
      <c r="P106" t="e">
        <f>AND('GA55 Entry'!#REF!,"AAAAAH793w8=")</f>
        <v>#REF!</v>
      </c>
      <c r="Q106" t="e">
        <f>AND('GA55 Entry'!#REF!,"AAAAAH793xA=")</f>
        <v>#REF!</v>
      </c>
      <c r="R106" t="e">
        <f>AND('GA55 Entry'!X298,"AAAAAH793xE=")</f>
        <v>#VALUE!</v>
      </c>
      <c r="S106" t="e">
        <f>AND('GA55 Entry'!Y298,"AAAAAH793xI=")</f>
        <v>#VALUE!</v>
      </c>
      <c r="T106" t="e">
        <f>AND('GA55 Entry'!#REF!,"AAAAAH793xM=")</f>
        <v>#REF!</v>
      </c>
      <c r="U106" t="e">
        <f>AND('GA55 Entry'!#REF!,"AAAAAH793xQ=")</f>
        <v>#REF!</v>
      </c>
      <c r="V106" t="e">
        <f>AND('GA55 Entry'!#REF!,"AAAAAH793xU=")</f>
        <v>#REF!</v>
      </c>
      <c r="W106" t="e">
        <f>AND('GA55 Entry'!#REF!,"AAAAAH793xY=")</f>
        <v>#REF!</v>
      </c>
      <c r="X106" t="e">
        <f>AND('GA55 Entry'!#REF!,"AAAAAH793xc=")</f>
        <v>#REF!</v>
      </c>
      <c r="Y106" t="e">
        <f>AND('GA55 Entry'!#REF!,"AAAAAH793xg=")</f>
        <v>#REF!</v>
      </c>
      <c r="Z106" t="e">
        <f>AND('GA55 Entry'!#REF!,"AAAAAH793xk=")</f>
        <v>#REF!</v>
      </c>
      <c r="AA106" t="e">
        <f>AND('GA55 Entry'!#REF!,"AAAAAH793xo=")</f>
        <v>#REF!</v>
      </c>
      <c r="AB106" t="e">
        <f>AND('GA55 Entry'!#REF!,"AAAAAH793xs=")</f>
        <v>#REF!</v>
      </c>
      <c r="AC106" t="e">
        <f>AND('GA55 Entry'!Z298,"AAAAAH793xw=")</f>
        <v>#VALUE!</v>
      </c>
      <c r="AD106" t="e">
        <f>AND('GA55 Entry'!AA298,"AAAAAH793x0=")</f>
        <v>#VALUE!</v>
      </c>
      <c r="AE106" t="e">
        <f>AND('GA55 Entry'!#REF!,"AAAAAH793x4=")</f>
        <v>#REF!</v>
      </c>
      <c r="AF106" t="e">
        <f>AND('GA55 Entry'!#REF!,"AAAAAH793x8=")</f>
        <v>#REF!</v>
      </c>
      <c r="AG106" t="e">
        <f>AND('GA55 Entry'!#REF!,"AAAAAH793yA=")</f>
        <v>#REF!</v>
      </c>
      <c r="AH106" t="e">
        <f>AND('GA55 Entry'!AB298,"AAAAAH793yE=")</f>
        <v>#VALUE!</v>
      </c>
      <c r="AI106" t="e">
        <f>AND('GA55 Entry'!AC298,"AAAAAH793yI=")</f>
        <v>#VALUE!</v>
      </c>
      <c r="AJ106" t="e">
        <f>AND('GA55 Entry'!#REF!,"AAAAAH793yM=")</f>
        <v>#REF!</v>
      </c>
      <c r="AK106">
        <f>IF('GA55 Entry'!299:299,"AAAAAH793yQ=",0)</f>
        <v>0</v>
      </c>
      <c r="AL106" t="e">
        <f>AND('GA55 Entry'!B299,"AAAAAH793yU=")</f>
        <v>#VALUE!</v>
      </c>
      <c r="AM106" t="e">
        <f>AND('GA55 Entry'!#REF!,"AAAAAH793yY=")</f>
        <v>#REF!</v>
      </c>
      <c r="AN106" t="e">
        <f>AND('GA55 Entry'!C299,"AAAAAH793yc=")</f>
        <v>#VALUE!</v>
      </c>
      <c r="AO106" t="e">
        <f>AND('GA55 Entry'!#REF!,"AAAAAH793yg=")</f>
        <v>#REF!</v>
      </c>
      <c r="AP106" t="e">
        <f>AND('GA55 Entry'!#REF!,"AAAAAH793yk=")</f>
        <v>#REF!</v>
      </c>
      <c r="AQ106" t="e">
        <f>AND('GA55 Entry'!#REF!,"AAAAAH793yo=")</f>
        <v>#REF!</v>
      </c>
      <c r="AR106" t="e">
        <f>AND('GA55 Entry'!#REF!,"AAAAAH793ys=")</f>
        <v>#REF!</v>
      </c>
      <c r="AS106" t="e">
        <f>AND('GA55 Entry'!#REF!,"AAAAAH793yw=")</f>
        <v>#REF!</v>
      </c>
      <c r="AT106" t="e">
        <f>AND('GA55 Entry'!D299,"AAAAAH793y0=")</f>
        <v>#VALUE!</v>
      </c>
      <c r="AU106" t="e">
        <f>AND('GA55 Entry'!#REF!,"AAAAAH793y4=")</f>
        <v>#REF!</v>
      </c>
      <c r="AV106" t="e">
        <f>AND('GA55 Entry'!E299,"AAAAAH793y8=")</f>
        <v>#VALUE!</v>
      </c>
      <c r="AW106" t="e">
        <f>AND('GA55 Entry'!F299,"AAAAAH793zA=")</f>
        <v>#VALUE!</v>
      </c>
      <c r="AX106" t="e">
        <f>AND('GA55 Entry'!G299,"AAAAAH793zE=")</f>
        <v>#VALUE!</v>
      </c>
      <c r="AY106" t="e">
        <f>AND('GA55 Entry'!H299,"AAAAAH793zI=")</f>
        <v>#VALUE!</v>
      </c>
      <c r="AZ106" t="e">
        <f>AND('GA55 Entry'!I299,"AAAAAH793zM=")</f>
        <v>#VALUE!</v>
      </c>
      <c r="BA106" t="e">
        <f>AND('GA55 Entry'!J299,"AAAAAH793zQ=")</f>
        <v>#VALUE!</v>
      </c>
      <c r="BB106" t="e">
        <f>AND('GA55 Entry'!#REF!,"AAAAAH793zU=")</f>
        <v>#REF!</v>
      </c>
      <c r="BC106" t="e">
        <f>AND('GA55 Entry'!K299,"AAAAAH793zY=")</f>
        <v>#VALUE!</v>
      </c>
      <c r="BD106" t="e">
        <f>AND('GA55 Entry'!L299,"AAAAAH793zc=")</f>
        <v>#VALUE!</v>
      </c>
      <c r="BE106" t="e">
        <f>AND('GA55 Entry'!M299,"AAAAAH793zg=")</f>
        <v>#VALUE!</v>
      </c>
      <c r="BF106" t="e">
        <f>AND('GA55 Entry'!N299,"AAAAAH793zk=")</f>
        <v>#VALUE!</v>
      </c>
      <c r="BG106" t="e">
        <f>AND('GA55 Entry'!O299,"AAAAAH793zo=")</f>
        <v>#VALUE!</v>
      </c>
      <c r="BH106" t="e">
        <f>AND('GA55 Entry'!P299,"AAAAAH793zs=")</f>
        <v>#VALUE!</v>
      </c>
      <c r="BI106" t="e">
        <f>AND('GA55 Entry'!Q299,"AAAAAH793zw=")</f>
        <v>#VALUE!</v>
      </c>
      <c r="BJ106" t="e">
        <f>AND('GA55 Entry'!S299,"AAAAAH793z0=")</f>
        <v>#VALUE!</v>
      </c>
      <c r="BK106" t="e">
        <f>AND('GA55 Entry'!#REF!,"AAAAAH793z4=")</f>
        <v>#REF!</v>
      </c>
      <c r="BL106" t="e">
        <f>AND('GA55 Entry'!T299,"AAAAAH793z8=")</f>
        <v>#VALUE!</v>
      </c>
      <c r="BM106" t="e">
        <f>AND('GA55 Entry'!U299,"AAAAAH7930A=")</f>
        <v>#VALUE!</v>
      </c>
      <c r="BN106" t="e">
        <f>AND('GA55 Entry'!V299,"AAAAAH7930E=")</f>
        <v>#VALUE!</v>
      </c>
      <c r="BO106" t="e">
        <f>AND('GA55 Entry'!#REF!,"AAAAAH7930I=")</f>
        <v>#REF!</v>
      </c>
      <c r="BP106" t="e">
        <f>AND('GA55 Entry'!#REF!,"AAAAAH7930M=")</f>
        <v>#REF!</v>
      </c>
      <c r="BQ106" t="e">
        <f>AND('GA55 Entry'!X299,"AAAAAH7930Q=")</f>
        <v>#VALUE!</v>
      </c>
      <c r="BR106" t="e">
        <f>AND('GA55 Entry'!Y299,"AAAAAH7930U=")</f>
        <v>#VALUE!</v>
      </c>
      <c r="BS106" t="e">
        <f>AND('GA55 Entry'!#REF!,"AAAAAH7930Y=")</f>
        <v>#REF!</v>
      </c>
      <c r="BT106" t="e">
        <f>AND('GA55 Entry'!#REF!,"AAAAAH7930c=")</f>
        <v>#REF!</v>
      </c>
      <c r="BU106" t="e">
        <f>AND('GA55 Entry'!#REF!,"AAAAAH7930g=")</f>
        <v>#REF!</v>
      </c>
      <c r="BV106" t="e">
        <f>AND('GA55 Entry'!#REF!,"AAAAAH7930k=")</f>
        <v>#REF!</v>
      </c>
      <c r="BW106" t="e">
        <f>AND('GA55 Entry'!#REF!,"AAAAAH7930o=")</f>
        <v>#REF!</v>
      </c>
      <c r="BX106" t="e">
        <f>AND('GA55 Entry'!#REF!,"AAAAAH7930s=")</f>
        <v>#REF!</v>
      </c>
      <c r="BY106" t="e">
        <f>AND('GA55 Entry'!#REF!,"AAAAAH7930w=")</f>
        <v>#REF!</v>
      </c>
      <c r="BZ106" t="e">
        <f>AND('GA55 Entry'!#REF!,"AAAAAH79300=")</f>
        <v>#REF!</v>
      </c>
      <c r="CA106" t="e">
        <f>AND('GA55 Entry'!#REF!,"AAAAAH79304=")</f>
        <v>#REF!</v>
      </c>
      <c r="CB106" t="e">
        <f>AND('GA55 Entry'!Z299,"AAAAAH79308=")</f>
        <v>#VALUE!</v>
      </c>
      <c r="CC106" t="e">
        <f>AND('GA55 Entry'!AA299,"AAAAAH7931A=")</f>
        <v>#VALUE!</v>
      </c>
      <c r="CD106" t="e">
        <f>AND('GA55 Entry'!#REF!,"AAAAAH7931E=")</f>
        <v>#REF!</v>
      </c>
      <c r="CE106" t="e">
        <f>AND('GA55 Entry'!#REF!,"AAAAAH7931I=")</f>
        <v>#REF!</v>
      </c>
      <c r="CF106" t="e">
        <f>AND('GA55 Entry'!#REF!,"AAAAAH7931M=")</f>
        <v>#REF!</v>
      </c>
      <c r="CG106" t="e">
        <f>AND('GA55 Entry'!AB299,"AAAAAH7931Q=")</f>
        <v>#VALUE!</v>
      </c>
      <c r="CH106" t="e">
        <f>AND('GA55 Entry'!AC299,"AAAAAH7931U=")</f>
        <v>#VALUE!</v>
      </c>
      <c r="CI106" t="e">
        <f>AND('GA55 Entry'!#REF!,"AAAAAH7931Y=")</f>
        <v>#REF!</v>
      </c>
      <c r="CJ106">
        <f>IF('GA55 Entry'!300:300,"AAAAAH7931c=",0)</f>
        <v>0</v>
      </c>
      <c r="CK106" t="e">
        <f>AND('GA55 Entry'!B300,"AAAAAH7931g=")</f>
        <v>#VALUE!</v>
      </c>
      <c r="CL106" t="e">
        <f>AND('GA55 Entry'!#REF!,"AAAAAH7931k=")</f>
        <v>#REF!</v>
      </c>
      <c r="CM106" t="e">
        <f>AND('GA55 Entry'!C300,"AAAAAH7931o=")</f>
        <v>#VALUE!</v>
      </c>
      <c r="CN106" t="e">
        <f>AND('GA55 Entry'!#REF!,"AAAAAH7931s=")</f>
        <v>#REF!</v>
      </c>
      <c r="CO106" t="e">
        <f>AND('GA55 Entry'!#REF!,"AAAAAH7931w=")</f>
        <v>#REF!</v>
      </c>
      <c r="CP106" t="e">
        <f>AND('GA55 Entry'!#REF!,"AAAAAH79310=")</f>
        <v>#REF!</v>
      </c>
      <c r="CQ106" t="e">
        <f>AND('GA55 Entry'!#REF!,"AAAAAH79314=")</f>
        <v>#REF!</v>
      </c>
      <c r="CR106" t="e">
        <f>AND('GA55 Entry'!#REF!,"AAAAAH79318=")</f>
        <v>#REF!</v>
      </c>
      <c r="CS106" t="e">
        <f>AND('GA55 Entry'!D300,"AAAAAH7932A=")</f>
        <v>#VALUE!</v>
      </c>
      <c r="CT106" t="e">
        <f>AND('GA55 Entry'!#REF!,"AAAAAH7932E=")</f>
        <v>#REF!</v>
      </c>
      <c r="CU106" t="e">
        <f>AND('GA55 Entry'!E300,"AAAAAH7932I=")</f>
        <v>#VALUE!</v>
      </c>
      <c r="CV106" t="e">
        <f>AND('GA55 Entry'!F300,"AAAAAH7932M=")</f>
        <v>#VALUE!</v>
      </c>
      <c r="CW106" t="e">
        <f>AND('GA55 Entry'!G300,"AAAAAH7932Q=")</f>
        <v>#VALUE!</v>
      </c>
      <c r="CX106" t="e">
        <f>AND('GA55 Entry'!H300,"AAAAAH7932U=")</f>
        <v>#VALUE!</v>
      </c>
      <c r="CY106" t="e">
        <f>AND('GA55 Entry'!I300,"AAAAAH7932Y=")</f>
        <v>#VALUE!</v>
      </c>
      <c r="CZ106" t="e">
        <f>AND('GA55 Entry'!J300,"AAAAAH7932c=")</f>
        <v>#VALUE!</v>
      </c>
      <c r="DA106" t="e">
        <f>AND('GA55 Entry'!#REF!,"AAAAAH7932g=")</f>
        <v>#REF!</v>
      </c>
      <c r="DB106" t="e">
        <f>AND('GA55 Entry'!K300,"AAAAAH7932k=")</f>
        <v>#VALUE!</v>
      </c>
      <c r="DC106" t="e">
        <f>AND('GA55 Entry'!L300,"AAAAAH7932o=")</f>
        <v>#VALUE!</v>
      </c>
      <c r="DD106" t="e">
        <f>AND('GA55 Entry'!M300,"AAAAAH7932s=")</f>
        <v>#VALUE!</v>
      </c>
      <c r="DE106" t="e">
        <f>AND('GA55 Entry'!N300,"AAAAAH7932w=")</f>
        <v>#VALUE!</v>
      </c>
      <c r="DF106" t="e">
        <f>AND('GA55 Entry'!O300,"AAAAAH79320=")</f>
        <v>#VALUE!</v>
      </c>
      <c r="DG106" t="e">
        <f>AND('GA55 Entry'!P300,"AAAAAH79324=")</f>
        <v>#VALUE!</v>
      </c>
      <c r="DH106" t="e">
        <f>AND('GA55 Entry'!Q300,"AAAAAH79328=")</f>
        <v>#VALUE!</v>
      </c>
      <c r="DI106" t="e">
        <f>AND('GA55 Entry'!S300,"AAAAAH7933A=")</f>
        <v>#VALUE!</v>
      </c>
      <c r="DJ106" t="e">
        <f>AND('GA55 Entry'!#REF!,"AAAAAH7933E=")</f>
        <v>#REF!</v>
      </c>
      <c r="DK106" t="e">
        <f>AND('GA55 Entry'!T300,"AAAAAH7933I=")</f>
        <v>#VALUE!</v>
      </c>
      <c r="DL106" t="e">
        <f>AND('GA55 Entry'!U300,"AAAAAH7933M=")</f>
        <v>#VALUE!</v>
      </c>
      <c r="DM106" t="e">
        <f>AND('GA55 Entry'!V300,"AAAAAH7933Q=")</f>
        <v>#VALUE!</v>
      </c>
      <c r="DN106" t="e">
        <f>AND('GA55 Entry'!#REF!,"AAAAAH7933U=")</f>
        <v>#REF!</v>
      </c>
      <c r="DO106" t="e">
        <f>AND('GA55 Entry'!#REF!,"AAAAAH7933Y=")</f>
        <v>#REF!</v>
      </c>
      <c r="DP106" t="e">
        <f>AND('GA55 Entry'!X300,"AAAAAH7933c=")</f>
        <v>#VALUE!</v>
      </c>
      <c r="DQ106" t="e">
        <f>AND('GA55 Entry'!Y300,"AAAAAH7933g=")</f>
        <v>#VALUE!</v>
      </c>
      <c r="DR106" t="e">
        <f>AND('GA55 Entry'!#REF!,"AAAAAH7933k=")</f>
        <v>#REF!</v>
      </c>
      <c r="DS106" t="e">
        <f>AND('GA55 Entry'!#REF!,"AAAAAH7933o=")</f>
        <v>#REF!</v>
      </c>
      <c r="DT106" t="e">
        <f>AND('GA55 Entry'!#REF!,"AAAAAH7933s=")</f>
        <v>#REF!</v>
      </c>
      <c r="DU106" t="e">
        <f>AND('GA55 Entry'!#REF!,"AAAAAH7933w=")</f>
        <v>#REF!</v>
      </c>
      <c r="DV106" t="e">
        <f>AND('GA55 Entry'!#REF!,"AAAAAH79330=")</f>
        <v>#REF!</v>
      </c>
      <c r="DW106" t="e">
        <f>AND('GA55 Entry'!#REF!,"AAAAAH79334=")</f>
        <v>#REF!</v>
      </c>
      <c r="DX106" t="e">
        <f>AND('GA55 Entry'!#REF!,"AAAAAH79338=")</f>
        <v>#REF!</v>
      </c>
      <c r="DY106" t="e">
        <f>AND('GA55 Entry'!#REF!,"AAAAAH7934A=")</f>
        <v>#REF!</v>
      </c>
      <c r="DZ106" t="e">
        <f>AND('GA55 Entry'!#REF!,"AAAAAH7934E=")</f>
        <v>#REF!</v>
      </c>
      <c r="EA106" t="e">
        <f>AND('GA55 Entry'!Z300,"AAAAAH7934I=")</f>
        <v>#VALUE!</v>
      </c>
      <c r="EB106" t="e">
        <f>AND('GA55 Entry'!AA300,"AAAAAH7934M=")</f>
        <v>#VALUE!</v>
      </c>
      <c r="EC106" t="e">
        <f>AND('GA55 Entry'!#REF!,"AAAAAH7934Q=")</f>
        <v>#REF!</v>
      </c>
      <c r="ED106" t="e">
        <f>AND('GA55 Entry'!#REF!,"AAAAAH7934U=")</f>
        <v>#REF!</v>
      </c>
      <c r="EE106" t="e">
        <f>AND('GA55 Entry'!#REF!,"AAAAAH7934Y=")</f>
        <v>#REF!</v>
      </c>
      <c r="EF106" t="e">
        <f>AND('GA55 Entry'!AB300,"AAAAAH7934c=")</f>
        <v>#VALUE!</v>
      </c>
      <c r="EG106" t="e">
        <f>AND('GA55 Entry'!AC300,"AAAAAH7934g=")</f>
        <v>#VALUE!</v>
      </c>
      <c r="EH106" t="e">
        <f>AND('GA55 Entry'!#REF!,"AAAAAH7934k=")</f>
        <v>#REF!</v>
      </c>
      <c r="EI106">
        <f>IF('GA55 Entry'!301:301,"AAAAAH7934o=",0)</f>
        <v>0</v>
      </c>
      <c r="EJ106" t="e">
        <f>AND('GA55 Entry'!B301,"AAAAAH7934s=")</f>
        <v>#VALUE!</v>
      </c>
      <c r="EK106" t="e">
        <f>AND('GA55 Entry'!#REF!,"AAAAAH7934w=")</f>
        <v>#REF!</v>
      </c>
      <c r="EL106" t="e">
        <f>AND('GA55 Entry'!C301,"AAAAAH79340=")</f>
        <v>#VALUE!</v>
      </c>
      <c r="EM106" t="e">
        <f>AND('GA55 Entry'!#REF!,"AAAAAH79344=")</f>
        <v>#REF!</v>
      </c>
      <c r="EN106" t="e">
        <f>AND('GA55 Entry'!#REF!,"AAAAAH79348=")</f>
        <v>#REF!</v>
      </c>
      <c r="EO106" t="e">
        <f>AND('GA55 Entry'!#REF!,"AAAAAH7935A=")</f>
        <v>#REF!</v>
      </c>
      <c r="EP106" t="e">
        <f>AND('GA55 Entry'!#REF!,"AAAAAH7935E=")</f>
        <v>#REF!</v>
      </c>
      <c r="EQ106" t="e">
        <f>AND('GA55 Entry'!#REF!,"AAAAAH7935I=")</f>
        <v>#REF!</v>
      </c>
      <c r="ER106" t="e">
        <f>AND('GA55 Entry'!D301,"AAAAAH7935M=")</f>
        <v>#VALUE!</v>
      </c>
      <c r="ES106" t="e">
        <f>AND('GA55 Entry'!#REF!,"AAAAAH7935Q=")</f>
        <v>#REF!</v>
      </c>
      <c r="ET106" t="e">
        <f>AND('GA55 Entry'!E301,"AAAAAH7935U=")</f>
        <v>#VALUE!</v>
      </c>
      <c r="EU106" t="e">
        <f>AND('GA55 Entry'!F301,"AAAAAH7935Y=")</f>
        <v>#VALUE!</v>
      </c>
      <c r="EV106" t="e">
        <f>AND('GA55 Entry'!G301,"AAAAAH7935c=")</f>
        <v>#VALUE!</v>
      </c>
      <c r="EW106" t="e">
        <f>AND('GA55 Entry'!H301,"AAAAAH7935g=")</f>
        <v>#VALUE!</v>
      </c>
      <c r="EX106" t="e">
        <f>AND('GA55 Entry'!I301,"AAAAAH7935k=")</f>
        <v>#VALUE!</v>
      </c>
      <c r="EY106" t="e">
        <f>AND('GA55 Entry'!J301,"AAAAAH7935o=")</f>
        <v>#VALUE!</v>
      </c>
      <c r="EZ106" t="e">
        <f>AND('GA55 Entry'!#REF!,"AAAAAH7935s=")</f>
        <v>#REF!</v>
      </c>
      <c r="FA106" t="e">
        <f>AND('GA55 Entry'!K301,"AAAAAH7935w=")</f>
        <v>#VALUE!</v>
      </c>
      <c r="FB106" t="e">
        <f>AND('GA55 Entry'!L301,"AAAAAH79350=")</f>
        <v>#VALUE!</v>
      </c>
      <c r="FC106" t="e">
        <f>AND('GA55 Entry'!M301,"AAAAAH79354=")</f>
        <v>#VALUE!</v>
      </c>
      <c r="FD106" t="e">
        <f>AND('GA55 Entry'!N301,"AAAAAH79358=")</f>
        <v>#VALUE!</v>
      </c>
      <c r="FE106" t="e">
        <f>AND('GA55 Entry'!O301,"AAAAAH7936A=")</f>
        <v>#VALUE!</v>
      </c>
      <c r="FF106" t="e">
        <f>AND('GA55 Entry'!P301,"AAAAAH7936E=")</f>
        <v>#VALUE!</v>
      </c>
      <c r="FG106" t="e">
        <f>AND('GA55 Entry'!Q301,"AAAAAH7936I=")</f>
        <v>#VALUE!</v>
      </c>
      <c r="FH106" t="e">
        <f>AND('GA55 Entry'!S301,"AAAAAH7936M=")</f>
        <v>#VALUE!</v>
      </c>
      <c r="FI106" t="e">
        <f>AND('GA55 Entry'!#REF!,"AAAAAH7936Q=")</f>
        <v>#REF!</v>
      </c>
      <c r="FJ106" t="e">
        <f>AND('GA55 Entry'!T301,"AAAAAH7936U=")</f>
        <v>#VALUE!</v>
      </c>
      <c r="FK106" t="e">
        <f>AND('GA55 Entry'!U301,"AAAAAH7936Y=")</f>
        <v>#VALUE!</v>
      </c>
      <c r="FL106" t="e">
        <f>AND('GA55 Entry'!V301,"AAAAAH7936c=")</f>
        <v>#VALUE!</v>
      </c>
      <c r="FM106" t="e">
        <f>AND('GA55 Entry'!#REF!,"AAAAAH7936g=")</f>
        <v>#REF!</v>
      </c>
      <c r="FN106" t="e">
        <f>AND('GA55 Entry'!#REF!,"AAAAAH7936k=")</f>
        <v>#REF!</v>
      </c>
      <c r="FO106" t="e">
        <f>AND('GA55 Entry'!X301,"AAAAAH7936o=")</f>
        <v>#VALUE!</v>
      </c>
      <c r="FP106" t="e">
        <f>AND('GA55 Entry'!Y301,"AAAAAH7936s=")</f>
        <v>#VALUE!</v>
      </c>
      <c r="FQ106" t="e">
        <f>AND('GA55 Entry'!#REF!,"AAAAAH7936w=")</f>
        <v>#REF!</v>
      </c>
      <c r="FR106" t="e">
        <f>AND('GA55 Entry'!#REF!,"AAAAAH79360=")</f>
        <v>#REF!</v>
      </c>
      <c r="FS106" t="e">
        <f>AND('GA55 Entry'!#REF!,"AAAAAH79364=")</f>
        <v>#REF!</v>
      </c>
      <c r="FT106" t="e">
        <f>AND('GA55 Entry'!#REF!,"AAAAAH79368=")</f>
        <v>#REF!</v>
      </c>
      <c r="FU106" t="e">
        <f>AND('GA55 Entry'!#REF!,"AAAAAH7937A=")</f>
        <v>#REF!</v>
      </c>
      <c r="FV106" t="e">
        <f>AND('GA55 Entry'!#REF!,"AAAAAH7937E=")</f>
        <v>#REF!</v>
      </c>
      <c r="FW106" t="e">
        <f>AND('GA55 Entry'!#REF!,"AAAAAH7937I=")</f>
        <v>#REF!</v>
      </c>
      <c r="FX106" t="e">
        <f>AND('GA55 Entry'!#REF!,"AAAAAH7937M=")</f>
        <v>#REF!</v>
      </c>
      <c r="FY106" t="e">
        <f>AND('GA55 Entry'!#REF!,"AAAAAH7937Q=")</f>
        <v>#REF!</v>
      </c>
      <c r="FZ106" t="e">
        <f>AND('GA55 Entry'!Z301,"AAAAAH7937U=")</f>
        <v>#VALUE!</v>
      </c>
      <c r="GA106" t="e">
        <f>AND('GA55 Entry'!AA301,"AAAAAH7937Y=")</f>
        <v>#VALUE!</v>
      </c>
      <c r="GB106" t="e">
        <f>AND('GA55 Entry'!#REF!,"AAAAAH7937c=")</f>
        <v>#REF!</v>
      </c>
      <c r="GC106" t="e">
        <f>AND('GA55 Entry'!#REF!,"AAAAAH7937g=")</f>
        <v>#REF!</v>
      </c>
      <c r="GD106" t="e">
        <f>AND('GA55 Entry'!#REF!,"AAAAAH7937k=")</f>
        <v>#REF!</v>
      </c>
      <c r="GE106" t="e">
        <f>AND('GA55 Entry'!AB301,"AAAAAH7937o=")</f>
        <v>#VALUE!</v>
      </c>
      <c r="GF106" t="e">
        <f>AND('GA55 Entry'!AC301,"AAAAAH7937s=")</f>
        <v>#VALUE!</v>
      </c>
      <c r="GG106" t="e">
        <f>AND('GA55 Entry'!#REF!,"AAAAAH7937w=")</f>
        <v>#REF!</v>
      </c>
      <c r="GH106">
        <f>IF('GA55 Entry'!302:302,"AAAAAH79370=",0)</f>
        <v>0</v>
      </c>
      <c r="GI106" t="e">
        <f>AND('GA55 Entry'!B302,"AAAAAH79374=")</f>
        <v>#VALUE!</v>
      </c>
      <c r="GJ106" t="e">
        <f>AND('GA55 Entry'!#REF!,"AAAAAH79378=")</f>
        <v>#REF!</v>
      </c>
      <c r="GK106" t="e">
        <f>AND('GA55 Entry'!C302,"AAAAAH7938A=")</f>
        <v>#VALUE!</v>
      </c>
      <c r="GL106" t="e">
        <f>AND('GA55 Entry'!#REF!,"AAAAAH7938E=")</f>
        <v>#REF!</v>
      </c>
      <c r="GM106" t="e">
        <f>AND('GA55 Entry'!#REF!,"AAAAAH7938I=")</f>
        <v>#REF!</v>
      </c>
      <c r="GN106" t="e">
        <f>AND('GA55 Entry'!#REF!,"AAAAAH7938M=")</f>
        <v>#REF!</v>
      </c>
      <c r="GO106" t="e">
        <f>AND('GA55 Entry'!#REF!,"AAAAAH7938Q=")</f>
        <v>#REF!</v>
      </c>
      <c r="GP106" t="e">
        <f>AND('GA55 Entry'!#REF!,"AAAAAH7938U=")</f>
        <v>#REF!</v>
      </c>
      <c r="GQ106" t="e">
        <f>AND('GA55 Entry'!D302,"AAAAAH7938Y=")</f>
        <v>#VALUE!</v>
      </c>
      <c r="GR106" t="e">
        <f>AND('GA55 Entry'!#REF!,"AAAAAH7938c=")</f>
        <v>#REF!</v>
      </c>
      <c r="GS106" t="e">
        <f>AND('GA55 Entry'!E302,"AAAAAH7938g=")</f>
        <v>#VALUE!</v>
      </c>
      <c r="GT106" t="e">
        <f>AND('GA55 Entry'!F302,"AAAAAH7938k=")</f>
        <v>#VALUE!</v>
      </c>
      <c r="GU106" t="e">
        <f>AND('GA55 Entry'!G302,"AAAAAH7938o=")</f>
        <v>#VALUE!</v>
      </c>
      <c r="GV106" t="e">
        <f>AND('GA55 Entry'!H302,"AAAAAH7938s=")</f>
        <v>#VALUE!</v>
      </c>
      <c r="GW106" t="e">
        <f>AND('GA55 Entry'!I302,"AAAAAH7938w=")</f>
        <v>#VALUE!</v>
      </c>
      <c r="GX106" t="e">
        <f>AND('GA55 Entry'!J302,"AAAAAH79380=")</f>
        <v>#VALUE!</v>
      </c>
      <c r="GY106" t="e">
        <f>AND('GA55 Entry'!#REF!,"AAAAAH79384=")</f>
        <v>#REF!</v>
      </c>
      <c r="GZ106" t="e">
        <f>AND('GA55 Entry'!K302,"AAAAAH79388=")</f>
        <v>#VALUE!</v>
      </c>
      <c r="HA106" t="e">
        <f>AND('GA55 Entry'!L302,"AAAAAH7939A=")</f>
        <v>#VALUE!</v>
      </c>
      <c r="HB106" t="e">
        <f>AND('GA55 Entry'!M302,"AAAAAH7939E=")</f>
        <v>#VALUE!</v>
      </c>
      <c r="HC106" t="e">
        <f>AND('GA55 Entry'!N302,"AAAAAH7939I=")</f>
        <v>#VALUE!</v>
      </c>
      <c r="HD106" t="e">
        <f>AND('GA55 Entry'!O302,"AAAAAH7939M=")</f>
        <v>#VALUE!</v>
      </c>
      <c r="HE106" t="e">
        <f>AND('GA55 Entry'!P302,"AAAAAH7939Q=")</f>
        <v>#VALUE!</v>
      </c>
      <c r="HF106" t="e">
        <f>AND('GA55 Entry'!Q302,"AAAAAH7939U=")</f>
        <v>#VALUE!</v>
      </c>
      <c r="HG106" t="e">
        <f>AND('GA55 Entry'!S302,"AAAAAH7939Y=")</f>
        <v>#VALUE!</v>
      </c>
      <c r="HH106" t="e">
        <f>AND('GA55 Entry'!#REF!,"AAAAAH7939c=")</f>
        <v>#REF!</v>
      </c>
      <c r="HI106" t="e">
        <f>AND('GA55 Entry'!T302,"AAAAAH7939g=")</f>
        <v>#VALUE!</v>
      </c>
      <c r="HJ106" t="e">
        <f>AND('GA55 Entry'!U302,"AAAAAH7939k=")</f>
        <v>#VALUE!</v>
      </c>
      <c r="HK106" t="e">
        <f>AND('GA55 Entry'!V302,"AAAAAH7939o=")</f>
        <v>#VALUE!</v>
      </c>
      <c r="HL106" t="e">
        <f>AND('GA55 Entry'!#REF!,"AAAAAH7939s=")</f>
        <v>#REF!</v>
      </c>
      <c r="HM106" t="e">
        <f>AND('GA55 Entry'!#REF!,"AAAAAH7939w=")</f>
        <v>#REF!</v>
      </c>
      <c r="HN106" t="e">
        <f>AND('GA55 Entry'!X302,"AAAAAH79390=")</f>
        <v>#VALUE!</v>
      </c>
      <c r="HO106" t="e">
        <f>AND('GA55 Entry'!Y302,"AAAAAH79394=")</f>
        <v>#VALUE!</v>
      </c>
      <c r="HP106" t="e">
        <f>AND('GA55 Entry'!#REF!,"AAAAAH79398=")</f>
        <v>#REF!</v>
      </c>
      <c r="HQ106" t="e">
        <f>AND('GA55 Entry'!#REF!,"AAAAAH793+A=")</f>
        <v>#REF!</v>
      </c>
      <c r="HR106" t="e">
        <f>AND('GA55 Entry'!#REF!,"AAAAAH793+E=")</f>
        <v>#REF!</v>
      </c>
      <c r="HS106" t="e">
        <f>AND('GA55 Entry'!#REF!,"AAAAAH793+I=")</f>
        <v>#REF!</v>
      </c>
      <c r="HT106" t="e">
        <f>AND('GA55 Entry'!#REF!,"AAAAAH793+M=")</f>
        <v>#REF!</v>
      </c>
      <c r="HU106" t="e">
        <f>AND('GA55 Entry'!#REF!,"AAAAAH793+Q=")</f>
        <v>#REF!</v>
      </c>
      <c r="HV106" t="e">
        <f>AND('GA55 Entry'!#REF!,"AAAAAH793+U=")</f>
        <v>#REF!</v>
      </c>
      <c r="HW106" t="e">
        <f>AND('GA55 Entry'!#REF!,"AAAAAH793+Y=")</f>
        <v>#REF!</v>
      </c>
      <c r="HX106" t="e">
        <f>AND('GA55 Entry'!#REF!,"AAAAAH793+c=")</f>
        <v>#REF!</v>
      </c>
      <c r="HY106" t="e">
        <f>AND('GA55 Entry'!Z302,"AAAAAH793+g=")</f>
        <v>#VALUE!</v>
      </c>
      <c r="HZ106" t="e">
        <f>AND('GA55 Entry'!AA302,"AAAAAH793+k=")</f>
        <v>#VALUE!</v>
      </c>
      <c r="IA106" t="e">
        <f>AND('GA55 Entry'!#REF!,"AAAAAH793+o=")</f>
        <v>#REF!</v>
      </c>
      <c r="IB106" t="e">
        <f>AND('GA55 Entry'!#REF!,"AAAAAH793+s=")</f>
        <v>#REF!</v>
      </c>
      <c r="IC106" t="e">
        <f>AND('GA55 Entry'!#REF!,"AAAAAH793+w=")</f>
        <v>#REF!</v>
      </c>
      <c r="ID106" t="e">
        <f>AND('GA55 Entry'!AB302,"AAAAAH793+0=")</f>
        <v>#VALUE!</v>
      </c>
      <c r="IE106" t="e">
        <f>AND('GA55 Entry'!AC302,"AAAAAH793+4=")</f>
        <v>#VALUE!</v>
      </c>
      <c r="IF106" t="e">
        <f>AND('GA55 Entry'!#REF!,"AAAAAH793+8=")</f>
        <v>#REF!</v>
      </c>
      <c r="IG106">
        <f>IF('GA55 Entry'!303:303,"AAAAAH793/A=",0)</f>
        <v>0</v>
      </c>
      <c r="IH106" t="e">
        <f>AND('GA55 Entry'!B303,"AAAAAH793/E=")</f>
        <v>#VALUE!</v>
      </c>
      <c r="II106" t="e">
        <f>AND('GA55 Entry'!#REF!,"AAAAAH793/I=")</f>
        <v>#REF!</v>
      </c>
      <c r="IJ106" t="e">
        <f>AND('GA55 Entry'!C303,"AAAAAH793/M=")</f>
        <v>#VALUE!</v>
      </c>
      <c r="IK106" t="e">
        <f>AND('GA55 Entry'!#REF!,"AAAAAH793/Q=")</f>
        <v>#REF!</v>
      </c>
      <c r="IL106" t="e">
        <f>AND('GA55 Entry'!#REF!,"AAAAAH793/U=")</f>
        <v>#REF!</v>
      </c>
      <c r="IM106" t="e">
        <f>AND('GA55 Entry'!#REF!,"AAAAAH793/Y=")</f>
        <v>#REF!</v>
      </c>
      <c r="IN106" t="e">
        <f>AND('GA55 Entry'!#REF!,"AAAAAH793/c=")</f>
        <v>#REF!</v>
      </c>
      <c r="IO106" t="e">
        <f>AND('GA55 Entry'!#REF!,"AAAAAH793/g=")</f>
        <v>#REF!</v>
      </c>
      <c r="IP106" t="e">
        <f>AND('GA55 Entry'!D303,"AAAAAH793/k=")</f>
        <v>#VALUE!</v>
      </c>
      <c r="IQ106" t="e">
        <f>AND('GA55 Entry'!#REF!,"AAAAAH793/o=")</f>
        <v>#REF!</v>
      </c>
      <c r="IR106" t="e">
        <f>AND('GA55 Entry'!E303,"AAAAAH793/s=")</f>
        <v>#VALUE!</v>
      </c>
      <c r="IS106" t="e">
        <f>AND('GA55 Entry'!F303,"AAAAAH793/w=")</f>
        <v>#VALUE!</v>
      </c>
      <c r="IT106" t="e">
        <f>AND('GA55 Entry'!G303,"AAAAAH793/0=")</f>
        <v>#VALUE!</v>
      </c>
      <c r="IU106" t="e">
        <f>AND('GA55 Entry'!H303,"AAAAAH793/4=")</f>
        <v>#VALUE!</v>
      </c>
      <c r="IV106" t="e">
        <f>AND('GA55 Entry'!I303,"AAAAAH793/8=")</f>
        <v>#VALUE!</v>
      </c>
    </row>
    <row r="107" spans="1:256">
      <c r="A107" t="e">
        <f>AND('GA55 Entry'!J303,"AAAAAFc3UQA=")</f>
        <v>#VALUE!</v>
      </c>
      <c r="B107" t="e">
        <f>AND('GA55 Entry'!#REF!,"AAAAAFc3UQE=")</f>
        <v>#REF!</v>
      </c>
      <c r="C107" t="e">
        <f>AND('GA55 Entry'!K303,"AAAAAFc3UQI=")</f>
        <v>#VALUE!</v>
      </c>
      <c r="D107" t="e">
        <f>AND('GA55 Entry'!L303,"AAAAAFc3UQM=")</f>
        <v>#VALUE!</v>
      </c>
      <c r="E107" t="e">
        <f>AND('GA55 Entry'!M303,"AAAAAFc3UQQ=")</f>
        <v>#VALUE!</v>
      </c>
      <c r="F107" t="e">
        <f>AND('GA55 Entry'!N303,"AAAAAFc3UQU=")</f>
        <v>#VALUE!</v>
      </c>
      <c r="G107" t="e">
        <f>AND('GA55 Entry'!O303,"AAAAAFc3UQY=")</f>
        <v>#VALUE!</v>
      </c>
      <c r="H107" t="e">
        <f>AND('GA55 Entry'!P303,"AAAAAFc3UQc=")</f>
        <v>#VALUE!</v>
      </c>
      <c r="I107" t="e">
        <f>AND('GA55 Entry'!Q303,"AAAAAFc3UQg=")</f>
        <v>#VALUE!</v>
      </c>
      <c r="J107" t="e">
        <f>AND('GA55 Entry'!S303,"AAAAAFc3UQk=")</f>
        <v>#VALUE!</v>
      </c>
      <c r="K107" t="e">
        <f>AND('GA55 Entry'!#REF!,"AAAAAFc3UQo=")</f>
        <v>#REF!</v>
      </c>
      <c r="L107" t="e">
        <f>AND('GA55 Entry'!T303,"AAAAAFc3UQs=")</f>
        <v>#VALUE!</v>
      </c>
      <c r="M107" t="e">
        <f>AND('GA55 Entry'!U303,"AAAAAFc3UQw=")</f>
        <v>#VALUE!</v>
      </c>
      <c r="N107" t="e">
        <f>AND('GA55 Entry'!V303,"AAAAAFc3UQ0=")</f>
        <v>#VALUE!</v>
      </c>
      <c r="O107" t="e">
        <f>AND('GA55 Entry'!#REF!,"AAAAAFc3UQ4=")</f>
        <v>#REF!</v>
      </c>
      <c r="P107" t="e">
        <f>AND('GA55 Entry'!#REF!,"AAAAAFc3UQ8=")</f>
        <v>#REF!</v>
      </c>
      <c r="Q107" t="e">
        <f>AND('GA55 Entry'!X303,"AAAAAFc3URA=")</f>
        <v>#VALUE!</v>
      </c>
      <c r="R107" t="e">
        <f>AND('GA55 Entry'!Y303,"AAAAAFc3URE=")</f>
        <v>#VALUE!</v>
      </c>
      <c r="S107" t="e">
        <f>AND('GA55 Entry'!#REF!,"AAAAAFc3URI=")</f>
        <v>#REF!</v>
      </c>
      <c r="T107" t="e">
        <f>AND('GA55 Entry'!#REF!,"AAAAAFc3URM=")</f>
        <v>#REF!</v>
      </c>
      <c r="U107" t="e">
        <f>AND('GA55 Entry'!#REF!,"AAAAAFc3URQ=")</f>
        <v>#REF!</v>
      </c>
      <c r="V107" t="e">
        <f>AND('GA55 Entry'!#REF!,"AAAAAFc3URU=")</f>
        <v>#REF!</v>
      </c>
      <c r="W107" t="e">
        <f>AND('GA55 Entry'!#REF!,"AAAAAFc3URY=")</f>
        <v>#REF!</v>
      </c>
      <c r="X107" t="e">
        <f>AND('GA55 Entry'!#REF!,"AAAAAFc3URc=")</f>
        <v>#REF!</v>
      </c>
      <c r="Y107" t="e">
        <f>AND('GA55 Entry'!#REF!,"AAAAAFc3URg=")</f>
        <v>#REF!</v>
      </c>
      <c r="Z107" t="e">
        <f>AND('GA55 Entry'!#REF!,"AAAAAFc3URk=")</f>
        <v>#REF!</v>
      </c>
      <c r="AA107" t="e">
        <f>AND('GA55 Entry'!#REF!,"AAAAAFc3URo=")</f>
        <v>#REF!</v>
      </c>
      <c r="AB107" t="e">
        <f>AND('GA55 Entry'!Z303,"AAAAAFc3URs=")</f>
        <v>#VALUE!</v>
      </c>
      <c r="AC107" t="e">
        <f>AND('GA55 Entry'!AA303,"AAAAAFc3URw=")</f>
        <v>#VALUE!</v>
      </c>
      <c r="AD107" t="e">
        <f>AND('GA55 Entry'!#REF!,"AAAAAFc3UR0=")</f>
        <v>#REF!</v>
      </c>
      <c r="AE107" t="e">
        <f>AND('GA55 Entry'!#REF!,"AAAAAFc3UR4=")</f>
        <v>#REF!</v>
      </c>
      <c r="AF107" t="e">
        <f>AND('GA55 Entry'!#REF!,"AAAAAFc3UR8=")</f>
        <v>#REF!</v>
      </c>
      <c r="AG107" t="e">
        <f>AND('GA55 Entry'!AB303,"AAAAAFc3USA=")</f>
        <v>#VALUE!</v>
      </c>
      <c r="AH107" t="e">
        <f>AND('GA55 Entry'!AC303,"AAAAAFc3USE=")</f>
        <v>#VALUE!</v>
      </c>
      <c r="AI107" t="e">
        <f>AND('GA55 Entry'!#REF!,"AAAAAFc3USI=")</f>
        <v>#REF!</v>
      </c>
      <c r="AJ107">
        <f>IF('GA55 Entry'!304:304,"AAAAAFc3USM=",0)</f>
        <v>0</v>
      </c>
      <c r="AK107" t="e">
        <f>AND('GA55 Entry'!B304,"AAAAAFc3USQ=")</f>
        <v>#VALUE!</v>
      </c>
      <c r="AL107" t="e">
        <f>AND('GA55 Entry'!#REF!,"AAAAAFc3USU=")</f>
        <v>#REF!</v>
      </c>
      <c r="AM107" t="e">
        <f>AND('GA55 Entry'!C304,"AAAAAFc3USY=")</f>
        <v>#VALUE!</v>
      </c>
      <c r="AN107" t="e">
        <f>AND('GA55 Entry'!#REF!,"AAAAAFc3USc=")</f>
        <v>#REF!</v>
      </c>
      <c r="AO107" t="e">
        <f>AND('GA55 Entry'!#REF!,"AAAAAFc3USg=")</f>
        <v>#REF!</v>
      </c>
      <c r="AP107" t="e">
        <f>AND('GA55 Entry'!#REF!,"AAAAAFc3USk=")</f>
        <v>#REF!</v>
      </c>
      <c r="AQ107" t="e">
        <f>AND('GA55 Entry'!#REF!,"AAAAAFc3USo=")</f>
        <v>#REF!</v>
      </c>
      <c r="AR107" t="e">
        <f>AND('GA55 Entry'!#REF!,"AAAAAFc3USs=")</f>
        <v>#REF!</v>
      </c>
      <c r="AS107" t="e">
        <f>AND('GA55 Entry'!D304,"AAAAAFc3USw=")</f>
        <v>#VALUE!</v>
      </c>
      <c r="AT107" t="e">
        <f>AND('GA55 Entry'!#REF!,"AAAAAFc3US0=")</f>
        <v>#REF!</v>
      </c>
      <c r="AU107" t="e">
        <f>AND('GA55 Entry'!E304,"AAAAAFc3US4=")</f>
        <v>#VALUE!</v>
      </c>
      <c r="AV107" t="e">
        <f>AND('GA55 Entry'!F304,"AAAAAFc3US8=")</f>
        <v>#VALUE!</v>
      </c>
      <c r="AW107" t="e">
        <f>AND('GA55 Entry'!G304,"AAAAAFc3UTA=")</f>
        <v>#VALUE!</v>
      </c>
      <c r="AX107" t="e">
        <f>AND('GA55 Entry'!H304,"AAAAAFc3UTE=")</f>
        <v>#VALUE!</v>
      </c>
      <c r="AY107" t="e">
        <f>AND('GA55 Entry'!I304,"AAAAAFc3UTI=")</f>
        <v>#VALUE!</v>
      </c>
      <c r="AZ107" t="e">
        <f>AND('GA55 Entry'!J304,"AAAAAFc3UTM=")</f>
        <v>#VALUE!</v>
      </c>
      <c r="BA107" t="e">
        <f>AND('GA55 Entry'!#REF!,"AAAAAFc3UTQ=")</f>
        <v>#REF!</v>
      </c>
      <c r="BB107" t="e">
        <f>AND('GA55 Entry'!K304,"AAAAAFc3UTU=")</f>
        <v>#VALUE!</v>
      </c>
      <c r="BC107" t="e">
        <f>AND('GA55 Entry'!L304,"AAAAAFc3UTY=")</f>
        <v>#VALUE!</v>
      </c>
      <c r="BD107" t="e">
        <f>AND('GA55 Entry'!M304,"AAAAAFc3UTc=")</f>
        <v>#VALUE!</v>
      </c>
      <c r="BE107" t="e">
        <f>AND('GA55 Entry'!N304,"AAAAAFc3UTg=")</f>
        <v>#VALUE!</v>
      </c>
      <c r="BF107" t="e">
        <f>AND('GA55 Entry'!O304,"AAAAAFc3UTk=")</f>
        <v>#VALUE!</v>
      </c>
      <c r="BG107" t="e">
        <f>AND('GA55 Entry'!P304,"AAAAAFc3UTo=")</f>
        <v>#VALUE!</v>
      </c>
      <c r="BH107" t="e">
        <f>AND('GA55 Entry'!Q304,"AAAAAFc3UTs=")</f>
        <v>#VALUE!</v>
      </c>
      <c r="BI107" t="e">
        <f>AND('GA55 Entry'!S304,"AAAAAFc3UTw=")</f>
        <v>#VALUE!</v>
      </c>
      <c r="BJ107" t="e">
        <f>AND('GA55 Entry'!#REF!,"AAAAAFc3UT0=")</f>
        <v>#REF!</v>
      </c>
      <c r="BK107" t="e">
        <f>AND('GA55 Entry'!T304,"AAAAAFc3UT4=")</f>
        <v>#VALUE!</v>
      </c>
      <c r="BL107" t="e">
        <f>AND('GA55 Entry'!U304,"AAAAAFc3UT8=")</f>
        <v>#VALUE!</v>
      </c>
      <c r="BM107" t="e">
        <f>AND('GA55 Entry'!V304,"AAAAAFc3UUA=")</f>
        <v>#VALUE!</v>
      </c>
      <c r="BN107" t="e">
        <f>AND('GA55 Entry'!#REF!,"AAAAAFc3UUE=")</f>
        <v>#REF!</v>
      </c>
      <c r="BO107" t="e">
        <f>AND('GA55 Entry'!#REF!,"AAAAAFc3UUI=")</f>
        <v>#REF!</v>
      </c>
      <c r="BP107" t="e">
        <f>AND('GA55 Entry'!X304,"AAAAAFc3UUM=")</f>
        <v>#VALUE!</v>
      </c>
      <c r="BQ107" t="e">
        <f>AND('GA55 Entry'!Y304,"AAAAAFc3UUQ=")</f>
        <v>#VALUE!</v>
      </c>
      <c r="BR107" t="e">
        <f>AND('GA55 Entry'!#REF!,"AAAAAFc3UUU=")</f>
        <v>#REF!</v>
      </c>
      <c r="BS107" t="e">
        <f>AND('GA55 Entry'!#REF!,"AAAAAFc3UUY=")</f>
        <v>#REF!</v>
      </c>
      <c r="BT107" t="e">
        <f>AND('GA55 Entry'!#REF!,"AAAAAFc3UUc=")</f>
        <v>#REF!</v>
      </c>
      <c r="BU107" t="e">
        <f>AND('GA55 Entry'!#REF!,"AAAAAFc3UUg=")</f>
        <v>#REF!</v>
      </c>
      <c r="BV107" t="e">
        <f>AND('GA55 Entry'!#REF!,"AAAAAFc3UUk=")</f>
        <v>#REF!</v>
      </c>
      <c r="BW107" t="e">
        <f>AND('GA55 Entry'!#REF!,"AAAAAFc3UUo=")</f>
        <v>#REF!</v>
      </c>
      <c r="BX107" t="e">
        <f>AND('GA55 Entry'!#REF!,"AAAAAFc3UUs=")</f>
        <v>#REF!</v>
      </c>
      <c r="BY107" t="e">
        <f>AND('GA55 Entry'!#REF!,"AAAAAFc3UUw=")</f>
        <v>#REF!</v>
      </c>
      <c r="BZ107" t="e">
        <f>AND('GA55 Entry'!#REF!,"AAAAAFc3UU0=")</f>
        <v>#REF!</v>
      </c>
      <c r="CA107" t="e">
        <f>AND('GA55 Entry'!Z304,"AAAAAFc3UU4=")</f>
        <v>#VALUE!</v>
      </c>
      <c r="CB107" t="e">
        <f>AND('GA55 Entry'!AA304,"AAAAAFc3UU8=")</f>
        <v>#VALUE!</v>
      </c>
      <c r="CC107" t="e">
        <f>AND('GA55 Entry'!#REF!,"AAAAAFc3UVA=")</f>
        <v>#REF!</v>
      </c>
      <c r="CD107" t="e">
        <f>AND('GA55 Entry'!#REF!,"AAAAAFc3UVE=")</f>
        <v>#REF!</v>
      </c>
      <c r="CE107" t="e">
        <f>AND('GA55 Entry'!#REF!,"AAAAAFc3UVI=")</f>
        <v>#REF!</v>
      </c>
      <c r="CF107" t="e">
        <f>AND('GA55 Entry'!AB304,"AAAAAFc3UVM=")</f>
        <v>#VALUE!</v>
      </c>
      <c r="CG107" t="e">
        <f>AND('GA55 Entry'!AC304,"AAAAAFc3UVQ=")</f>
        <v>#VALUE!</v>
      </c>
      <c r="CH107" t="e">
        <f>AND('GA55 Entry'!#REF!,"AAAAAFc3UVU=")</f>
        <v>#REF!</v>
      </c>
      <c r="CI107">
        <f>IF('GA55 Entry'!305:305,"AAAAAFc3UVY=",0)</f>
        <v>0</v>
      </c>
      <c r="CJ107" t="e">
        <f>AND('GA55 Entry'!B305,"AAAAAFc3UVc=")</f>
        <v>#VALUE!</v>
      </c>
      <c r="CK107" t="e">
        <f>AND('GA55 Entry'!#REF!,"AAAAAFc3UVg=")</f>
        <v>#REF!</v>
      </c>
      <c r="CL107" t="e">
        <f>AND('GA55 Entry'!C305,"AAAAAFc3UVk=")</f>
        <v>#VALUE!</v>
      </c>
      <c r="CM107" t="e">
        <f>AND('GA55 Entry'!#REF!,"AAAAAFc3UVo=")</f>
        <v>#REF!</v>
      </c>
      <c r="CN107" t="e">
        <f>AND('GA55 Entry'!#REF!,"AAAAAFc3UVs=")</f>
        <v>#REF!</v>
      </c>
      <c r="CO107" t="e">
        <f>AND('GA55 Entry'!#REF!,"AAAAAFc3UVw=")</f>
        <v>#REF!</v>
      </c>
      <c r="CP107" t="e">
        <f>AND('GA55 Entry'!#REF!,"AAAAAFc3UV0=")</f>
        <v>#REF!</v>
      </c>
      <c r="CQ107" t="e">
        <f>AND('GA55 Entry'!#REF!,"AAAAAFc3UV4=")</f>
        <v>#REF!</v>
      </c>
      <c r="CR107" t="e">
        <f>AND('GA55 Entry'!D305,"AAAAAFc3UV8=")</f>
        <v>#VALUE!</v>
      </c>
      <c r="CS107" t="e">
        <f>AND('GA55 Entry'!#REF!,"AAAAAFc3UWA=")</f>
        <v>#REF!</v>
      </c>
      <c r="CT107" t="e">
        <f>AND('GA55 Entry'!E305,"AAAAAFc3UWE=")</f>
        <v>#VALUE!</v>
      </c>
      <c r="CU107" t="e">
        <f>AND('GA55 Entry'!F305,"AAAAAFc3UWI=")</f>
        <v>#VALUE!</v>
      </c>
      <c r="CV107" t="e">
        <f>AND('GA55 Entry'!G305,"AAAAAFc3UWM=")</f>
        <v>#VALUE!</v>
      </c>
      <c r="CW107" t="e">
        <f>AND('GA55 Entry'!H305,"AAAAAFc3UWQ=")</f>
        <v>#VALUE!</v>
      </c>
      <c r="CX107" t="e">
        <f>AND('GA55 Entry'!I305,"AAAAAFc3UWU=")</f>
        <v>#VALUE!</v>
      </c>
      <c r="CY107" t="e">
        <f>AND('GA55 Entry'!J305,"AAAAAFc3UWY=")</f>
        <v>#VALUE!</v>
      </c>
      <c r="CZ107" t="e">
        <f>AND('GA55 Entry'!#REF!,"AAAAAFc3UWc=")</f>
        <v>#REF!</v>
      </c>
      <c r="DA107" t="e">
        <f>AND('GA55 Entry'!K305,"AAAAAFc3UWg=")</f>
        <v>#VALUE!</v>
      </c>
      <c r="DB107" t="e">
        <f>AND('GA55 Entry'!L305,"AAAAAFc3UWk=")</f>
        <v>#VALUE!</v>
      </c>
      <c r="DC107" t="e">
        <f>AND('GA55 Entry'!M305,"AAAAAFc3UWo=")</f>
        <v>#VALUE!</v>
      </c>
      <c r="DD107" t="e">
        <f>AND('GA55 Entry'!N305,"AAAAAFc3UWs=")</f>
        <v>#VALUE!</v>
      </c>
      <c r="DE107" t="e">
        <f>AND('GA55 Entry'!O305,"AAAAAFc3UWw=")</f>
        <v>#VALUE!</v>
      </c>
      <c r="DF107" t="e">
        <f>AND('GA55 Entry'!P305,"AAAAAFc3UW0=")</f>
        <v>#VALUE!</v>
      </c>
      <c r="DG107" t="e">
        <f>AND('GA55 Entry'!Q305,"AAAAAFc3UW4=")</f>
        <v>#VALUE!</v>
      </c>
      <c r="DH107" t="e">
        <f>AND('GA55 Entry'!S305,"AAAAAFc3UW8=")</f>
        <v>#VALUE!</v>
      </c>
      <c r="DI107" t="e">
        <f>AND('GA55 Entry'!#REF!,"AAAAAFc3UXA=")</f>
        <v>#REF!</v>
      </c>
      <c r="DJ107" t="e">
        <f>AND('GA55 Entry'!T305,"AAAAAFc3UXE=")</f>
        <v>#VALUE!</v>
      </c>
      <c r="DK107" t="e">
        <f>AND('GA55 Entry'!U305,"AAAAAFc3UXI=")</f>
        <v>#VALUE!</v>
      </c>
      <c r="DL107" t="e">
        <f>AND('GA55 Entry'!V305,"AAAAAFc3UXM=")</f>
        <v>#VALUE!</v>
      </c>
      <c r="DM107" t="e">
        <f>AND('GA55 Entry'!#REF!,"AAAAAFc3UXQ=")</f>
        <v>#REF!</v>
      </c>
      <c r="DN107" t="e">
        <f>AND('GA55 Entry'!#REF!,"AAAAAFc3UXU=")</f>
        <v>#REF!</v>
      </c>
      <c r="DO107" t="e">
        <f>AND('GA55 Entry'!X305,"AAAAAFc3UXY=")</f>
        <v>#VALUE!</v>
      </c>
      <c r="DP107" t="e">
        <f>AND('GA55 Entry'!Y305,"AAAAAFc3UXc=")</f>
        <v>#VALUE!</v>
      </c>
      <c r="DQ107" t="e">
        <f>AND('GA55 Entry'!#REF!,"AAAAAFc3UXg=")</f>
        <v>#REF!</v>
      </c>
      <c r="DR107" t="e">
        <f>AND('GA55 Entry'!#REF!,"AAAAAFc3UXk=")</f>
        <v>#REF!</v>
      </c>
      <c r="DS107" t="e">
        <f>AND('GA55 Entry'!#REF!,"AAAAAFc3UXo=")</f>
        <v>#REF!</v>
      </c>
      <c r="DT107" t="e">
        <f>AND('GA55 Entry'!#REF!,"AAAAAFc3UXs=")</f>
        <v>#REF!</v>
      </c>
      <c r="DU107" t="e">
        <f>AND('GA55 Entry'!#REF!,"AAAAAFc3UXw=")</f>
        <v>#REF!</v>
      </c>
      <c r="DV107" t="e">
        <f>AND('GA55 Entry'!#REF!,"AAAAAFc3UX0=")</f>
        <v>#REF!</v>
      </c>
      <c r="DW107" t="e">
        <f>AND('GA55 Entry'!#REF!,"AAAAAFc3UX4=")</f>
        <v>#REF!</v>
      </c>
      <c r="DX107" t="e">
        <f>AND('GA55 Entry'!#REF!,"AAAAAFc3UX8=")</f>
        <v>#REF!</v>
      </c>
      <c r="DY107" t="e">
        <f>AND('GA55 Entry'!#REF!,"AAAAAFc3UYA=")</f>
        <v>#REF!</v>
      </c>
      <c r="DZ107" t="e">
        <f>AND('GA55 Entry'!Z305,"AAAAAFc3UYE=")</f>
        <v>#VALUE!</v>
      </c>
      <c r="EA107" t="e">
        <f>AND('GA55 Entry'!AA305,"AAAAAFc3UYI=")</f>
        <v>#VALUE!</v>
      </c>
      <c r="EB107" t="e">
        <f>AND('GA55 Entry'!#REF!,"AAAAAFc3UYM=")</f>
        <v>#REF!</v>
      </c>
      <c r="EC107" t="e">
        <f>AND('GA55 Entry'!#REF!,"AAAAAFc3UYQ=")</f>
        <v>#REF!</v>
      </c>
      <c r="ED107" t="e">
        <f>AND('GA55 Entry'!#REF!,"AAAAAFc3UYU=")</f>
        <v>#REF!</v>
      </c>
      <c r="EE107" t="e">
        <f>AND('GA55 Entry'!AB305,"AAAAAFc3UYY=")</f>
        <v>#VALUE!</v>
      </c>
      <c r="EF107" t="e">
        <f>AND('GA55 Entry'!AC305,"AAAAAFc3UYc=")</f>
        <v>#VALUE!</v>
      </c>
      <c r="EG107" t="e">
        <f>AND('GA55 Entry'!#REF!,"AAAAAFc3UYg=")</f>
        <v>#REF!</v>
      </c>
      <c r="EH107">
        <f>IF('GA55 Entry'!306:306,"AAAAAFc3UYk=",0)</f>
        <v>0</v>
      </c>
      <c r="EI107" t="e">
        <f>AND('GA55 Entry'!B306,"AAAAAFc3UYo=")</f>
        <v>#VALUE!</v>
      </c>
      <c r="EJ107" t="e">
        <f>AND('GA55 Entry'!#REF!,"AAAAAFc3UYs=")</f>
        <v>#REF!</v>
      </c>
      <c r="EK107" t="e">
        <f>AND('GA55 Entry'!C306,"AAAAAFc3UYw=")</f>
        <v>#VALUE!</v>
      </c>
      <c r="EL107" t="e">
        <f>AND('GA55 Entry'!#REF!,"AAAAAFc3UY0=")</f>
        <v>#REF!</v>
      </c>
      <c r="EM107" t="e">
        <f>AND('GA55 Entry'!#REF!,"AAAAAFc3UY4=")</f>
        <v>#REF!</v>
      </c>
      <c r="EN107" t="e">
        <f>AND('GA55 Entry'!#REF!,"AAAAAFc3UY8=")</f>
        <v>#REF!</v>
      </c>
      <c r="EO107" t="e">
        <f>AND('GA55 Entry'!#REF!,"AAAAAFc3UZA=")</f>
        <v>#REF!</v>
      </c>
      <c r="EP107" t="e">
        <f>AND('GA55 Entry'!#REF!,"AAAAAFc3UZE=")</f>
        <v>#REF!</v>
      </c>
      <c r="EQ107" t="e">
        <f>AND('GA55 Entry'!D306,"AAAAAFc3UZI=")</f>
        <v>#VALUE!</v>
      </c>
      <c r="ER107" t="e">
        <f>AND('GA55 Entry'!#REF!,"AAAAAFc3UZM=")</f>
        <v>#REF!</v>
      </c>
      <c r="ES107" t="e">
        <f>AND('GA55 Entry'!E306,"AAAAAFc3UZQ=")</f>
        <v>#VALUE!</v>
      </c>
      <c r="ET107" t="e">
        <f>AND('GA55 Entry'!F306,"AAAAAFc3UZU=")</f>
        <v>#VALUE!</v>
      </c>
      <c r="EU107" t="e">
        <f>AND('GA55 Entry'!G306,"AAAAAFc3UZY=")</f>
        <v>#VALUE!</v>
      </c>
      <c r="EV107" t="e">
        <f>AND('GA55 Entry'!H306,"AAAAAFc3UZc=")</f>
        <v>#VALUE!</v>
      </c>
      <c r="EW107" t="e">
        <f>AND('GA55 Entry'!I306,"AAAAAFc3UZg=")</f>
        <v>#VALUE!</v>
      </c>
      <c r="EX107" t="e">
        <f>AND('GA55 Entry'!J306,"AAAAAFc3UZk=")</f>
        <v>#VALUE!</v>
      </c>
      <c r="EY107" t="e">
        <f>AND('GA55 Entry'!#REF!,"AAAAAFc3UZo=")</f>
        <v>#REF!</v>
      </c>
      <c r="EZ107" t="e">
        <f>AND('GA55 Entry'!K306,"AAAAAFc3UZs=")</f>
        <v>#VALUE!</v>
      </c>
      <c r="FA107" t="e">
        <f>AND('GA55 Entry'!L306,"AAAAAFc3UZw=")</f>
        <v>#VALUE!</v>
      </c>
      <c r="FB107" t="e">
        <f>AND('GA55 Entry'!M306,"AAAAAFc3UZ0=")</f>
        <v>#VALUE!</v>
      </c>
      <c r="FC107" t="e">
        <f>AND('GA55 Entry'!N306,"AAAAAFc3UZ4=")</f>
        <v>#VALUE!</v>
      </c>
      <c r="FD107" t="e">
        <f>AND('GA55 Entry'!O306,"AAAAAFc3UZ8=")</f>
        <v>#VALUE!</v>
      </c>
      <c r="FE107" t="e">
        <f>AND('GA55 Entry'!P306,"AAAAAFc3UaA=")</f>
        <v>#VALUE!</v>
      </c>
      <c r="FF107" t="e">
        <f>AND('GA55 Entry'!Q306,"AAAAAFc3UaE=")</f>
        <v>#VALUE!</v>
      </c>
      <c r="FG107" t="e">
        <f>AND('GA55 Entry'!S306,"AAAAAFc3UaI=")</f>
        <v>#VALUE!</v>
      </c>
      <c r="FH107" t="e">
        <f>AND('GA55 Entry'!#REF!,"AAAAAFc3UaM=")</f>
        <v>#REF!</v>
      </c>
      <c r="FI107" t="e">
        <f>AND('GA55 Entry'!T306,"AAAAAFc3UaQ=")</f>
        <v>#VALUE!</v>
      </c>
      <c r="FJ107" t="e">
        <f>AND('GA55 Entry'!U306,"AAAAAFc3UaU=")</f>
        <v>#VALUE!</v>
      </c>
      <c r="FK107" t="e">
        <f>AND('GA55 Entry'!V306,"AAAAAFc3UaY=")</f>
        <v>#VALUE!</v>
      </c>
      <c r="FL107" t="e">
        <f>AND('GA55 Entry'!#REF!,"AAAAAFc3Uac=")</f>
        <v>#REF!</v>
      </c>
      <c r="FM107" t="e">
        <f>AND('GA55 Entry'!#REF!,"AAAAAFc3Uag=")</f>
        <v>#REF!</v>
      </c>
      <c r="FN107" t="e">
        <f>AND('GA55 Entry'!X306,"AAAAAFc3Uak=")</f>
        <v>#VALUE!</v>
      </c>
      <c r="FO107" t="e">
        <f>AND('GA55 Entry'!Y306,"AAAAAFc3Uao=")</f>
        <v>#VALUE!</v>
      </c>
      <c r="FP107" t="e">
        <f>AND('GA55 Entry'!#REF!,"AAAAAFc3Uas=")</f>
        <v>#REF!</v>
      </c>
      <c r="FQ107" t="e">
        <f>AND('GA55 Entry'!#REF!,"AAAAAFc3Uaw=")</f>
        <v>#REF!</v>
      </c>
      <c r="FR107" t="e">
        <f>AND('GA55 Entry'!#REF!,"AAAAAFc3Ua0=")</f>
        <v>#REF!</v>
      </c>
      <c r="FS107" t="e">
        <f>AND('GA55 Entry'!#REF!,"AAAAAFc3Ua4=")</f>
        <v>#REF!</v>
      </c>
      <c r="FT107" t="e">
        <f>AND('GA55 Entry'!#REF!,"AAAAAFc3Ua8=")</f>
        <v>#REF!</v>
      </c>
      <c r="FU107" t="e">
        <f>AND('GA55 Entry'!#REF!,"AAAAAFc3UbA=")</f>
        <v>#REF!</v>
      </c>
      <c r="FV107" t="e">
        <f>AND('GA55 Entry'!#REF!,"AAAAAFc3UbE=")</f>
        <v>#REF!</v>
      </c>
      <c r="FW107" t="e">
        <f>AND('GA55 Entry'!#REF!,"AAAAAFc3UbI=")</f>
        <v>#REF!</v>
      </c>
      <c r="FX107" t="e">
        <f>AND('GA55 Entry'!#REF!,"AAAAAFc3UbM=")</f>
        <v>#REF!</v>
      </c>
      <c r="FY107" t="e">
        <f>AND('GA55 Entry'!Z306,"AAAAAFc3UbQ=")</f>
        <v>#VALUE!</v>
      </c>
      <c r="FZ107" t="e">
        <f>AND('GA55 Entry'!AA306,"AAAAAFc3UbU=")</f>
        <v>#VALUE!</v>
      </c>
      <c r="GA107" t="e">
        <f>AND('GA55 Entry'!#REF!,"AAAAAFc3UbY=")</f>
        <v>#REF!</v>
      </c>
      <c r="GB107" t="e">
        <f>AND('GA55 Entry'!#REF!,"AAAAAFc3Ubc=")</f>
        <v>#REF!</v>
      </c>
      <c r="GC107" t="e">
        <f>AND('GA55 Entry'!#REF!,"AAAAAFc3Ubg=")</f>
        <v>#REF!</v>
      </c>
      <c r="GD107" t="e">
        <f>AND('GA55 Entry'!AB306,"AAAAAFc3Ubk=")</f>
        <v>#VALUE!</v>
      </c>
      <c r="GE107" t="e">
        <f>AND('GA55 Entry'!AC306,"AAAAAFc3Ubo=")</f>
        <v>#VALUE!</v>
      </c>
      <c r="GF107" t="e">
        <f>AND('GA55 Entry'!#REF!,"AAAAAFc3Ubs=")</f>
        <v>#REF!</v>
      </c>
      <c r="GG107">
        <f>IF('GA55 Entry'!307:307,"AAAAAFc3Ubw=",0)</f>
        <v>0</v>
      </c>
      <c r="GH107" t="e">
        <f>AND('GA55 Entry'!B307,"AAAAAFc3Ub0=")</f>
        <v>#VALUE!</v>
      </c>
      <c r="GI107" t="e">
        <f>AND('GA55 Entry'!#REF!,"AAAAAFc3Ub4=")</f>
        <v>#REF!</v>
      </c>
      <c r="GJ107" t="e">
        <f>AND('GA55 Entry'!C307,"AAAAAFc3Ub8=")</f>
        <v>#VALUE!</v>
      </c>
      <c r="GK107" t="e">
        <f>AND('GA55 Entry'!#REF!,"AAAAAFc3UcA=")</f>
        <v>#REF!</v>
      </c>
      <c r="GL107" t="e">
        <f>AND('GA55 Entry'!#REF!,"AAAAAFc3UcE=")</f>
        <v>#REF!</v>
      </c>
      <c r="GM107" t="e">
        <f>AND('GA55 Entry'!#REF!,"AAAAAFc3UcI=")</f>
        <v>#REF!</v>
      </c>
      <c r="GN107" t="e">
        <f>AND('GA55 Entry'!#REF!,"AAAAAFc3UcM=")</f>
        <v>#REF!</v>
      </c>
      <c r="GO107" t="e">
        <f>AND('GA55 Entry'!#REF!,"AAAAAFc3UcQ=")</f>
        <v>#REF!</v>
      </c>
      <c r="GP107" t="e">
        <f>AND('GA55 Entry'!D307,"AAAAAFc3UcU=")</f>
        <v>#VALUE!</v>
      </c>
      <c r="GQ107" t="e">
        <f>AND('GA55 Entry'!#REF!,"AAAAAFc3UcY=")</f>
        <v>#REF!</v>
      </c>
      <c r="GR107" t="e">
        <f>AND('GA55 Entry'!E307,"AAAAAFc3Ucc=")</f>
        <v>#VALUE!</v>
      </c>
      <c r="GS107" t="e">
        <f>AND('GA55 Entry'!F307,"AAAAAFc3Ucg=")</f>
        <v>#VALUE!</v>
      </c>
      <c r="GT107" t="e">
        <f>AND('GA55 Entry'!G307,"AAAAAFc3Uck=")</f>
        <v>#VALUE!</v>
      </c>
      <c r="GU107" t="e">
        <f>AND('GA55 Entry'!H307,"AAAAAFc3Uco=")</f>
        <v>#VALUE!</v>
      </c>
      <c r="GV107" t="e">
        <f>AND('GA55 Entry'!I307,"AAAAAFc3Ucs=")</f>
        <v>#VALUE!</v>
      </c>
      <c r="GW107" t="e">
        <f>AND('GA55 Entry'!J307,"AAAAAFc3Ucw=")</f>
        <v>#VALUE!</v>
      </c>
      <c r="GX107" t="e">
        <f>AND('GA55 Entry'!#REF!,"AAAAAFc3Uc0=")</f>
        <v>#REF!</v>
      </c>
      <c r="GY107" t="e">
        <f>AND('GA55 Entry'!K307,"AAAAAFc3Uc4=")</f>
        <v>#VALUE!</v>
      </c>
      <c r="GZ107" t="e">
        <f>AND('GA55 Entry'!L307,"AAAAAFc3Uc8=")</f>
        <v>#VALUE!</v>
      </c>
      <c r="HA107" t="e">
        <f>AND('GA55 Entry'!M307,"AAAAAFc3UdA=")</f>
        <v>#VALUE!</v>
      </c>
      <c r="HB107" t="e">
        <f>AND('GA55 Entry'!N307,"AAAAAFc3UdE=")</f>
        <v>#VALUE!</v>
      </c>
      <c r="HC107" t="e">
        <f>AND('GA55 Entry'!O307,"AAAAAFc3UdI=")</f>
        <v>#VALUE!</v>
      </c>
      <c r="HD107" t="e">
        <f>AND('GA55 Entry'!P307,"AAAAAFc3UdM=")</f>
        <v>#VALUE!</v>
      </c>
      <c r="HE107" t="e">
        <f>AND('GA55 Entry'!Q307,"AAAAAFc3UdQ=")</f>
        <v>#VALUE!</v>
      </c>
      <c r="HF107" t="e">
        <f>AND('GA55 Entry'!S307,"AAAAAFc3UdU=")</f>
        <v>#VALUE!</v>
      </c>
      <c r="HG107" t="e">
        <f>AND('GA55 Entry'!#REF!,"AAAAAFc3UdY=")</f>
        <v>#REF!</v>
      </c>
      <c r="HH107" t="e">
        <f>AND('GA55 Entry'!T307,"AAAAAFc3Udc=")</f>
        <v>#VALUE!</v>
      </c>
      <c r="HI107" t="e">
        <f>AND('GA55 Entry'!U307,"AAAAAFc3Udg=")</f>
        <v>#VALUE!</v>
      </c>
      <c r="HJ107" t="e">
        <f>AND('GA55 Entry'!V307,"AAAAAFc3Udk=")</f>
        <v>#VALUE!</v>
      </c>
      <c r="HK107" t="e">
        <f>AND('GA55 Entry'!#REF!,"AAAAAFc3Udo=")</f>
        <v>#REF!</v>
      </c>
      <c r="HL107" t="e">
        <f>AND('GA55 Entry'!#REF!,"AAAAAFc3Uds=")</f>
        <v>#REF!</v>
      </c>
      <c r="HM107" t="e">
        <f>AND('GA55 Entry'!X307,"AAAAAFc3Udw=")</f>
        <v>#VALUE!</v>
      </c>
      <c r="HN107" t="e">
        <f>AND('GA55 Entry'!Y307,"AAAAAFc3Ud0=")</f>
        <v>#VALUE!</v>
      </c>
      <c r="HO107" t="e">
        <f>AND('GA55 Entry'!#REF!,"AAAAAFc3Ud4=")</f>
        <v>#REF!</v>
      </c>
      <c r="HP107" t="e">
        <f>AND('GA55 Entry'!#REF!,"AAAAAFc3Ud8=")</f>
        <v>#REF!</v>
      </c>
      <c r="HQ107" t="e">
        <f>AND('GA55 Entry'!#REF!,"AAAAAFc3UeA=")</f>
        <v>#REF!</v>
      </c>
      <c r="HR107" t="e">
        <f>AND('GA55 Entry'!#REF!,"AAAAAFc3UeE=")</f>
        <v>#REF!</v>
      </c>
      <c r="HS107" t="e">
        <f>AND('GA55 Entry'!#REF!,"AAAAAFc3UeI=")</f>
        <v>#REF!</v>
      </c>
      <c r="HT107" t="e">
        <f>AND('GA55 Entry'!#REF!,"AAAAAFc3UeM=")</f>
        <v>#REF!</v>
      </c>
      <c r="HU107" t="e">
        <f>AND('GA55 Entry'!#REF!,"AAAAAFc3UeQ=")</f>
        <v>#REF!</v>
      </c>
      <c r="HV107" t="e">
        <f>AND('GA55 Entry'!#REF!,"AAAAAFc3UeU=")</f>
        <v>#REF!</v>
      </c>
      <c r="HW107" t="e">
        <f>AND('GA55 Entry'!#REF!,"AAAAAFc3UeY=")</f>
        <v>#REF!</v>
      </c>
      <c r="HX107" t="e">
        <f>AND('GA55 Entry'!Z307,"AAAAAFc3Uec=")</f>
        <v>#VALUE!</v>
      </c>
      <c r="HY107" t="e">
        <f>AND('GA55 Entry'!AA307,"AAAAAFc3Ueg=")</f>
        <v>#VALUE!</v>
      </c>
      <c r="HZ107" t="e">
        <f>AND('GA55 Entry'!#REF!,"AAAAAFc3Uek=")</f>
        <v>#REF!</v>
      </c>
      <c r="IA107" t="e">
        <f>AND('GA55 Entry'!#REF!,"AAAAAFc3Ueo=")</f>
        <v>#REF!</v>
      </c>
      <c r="IB107" t="e">
        <f>AND('GA55 Entry'!#REF!,"AAAAAFc3Ues=")</f>
        <v>#REF!</v>
      </c>
      <c r="IC107" t="e">
        <f>AND('GA55 Entry'!AB307,"AAAAAFc3Uew=")</f>
        <v>#VALUE!</v>
      </c>
      <c r="ID107" t="e">
        <f>AND('GA55 Entry'!AC307,"AAAAAFc3Ue0=")</f>
        <v>#VALUE!</v>
      </c>
      <c r="IE107" t="e">
        <f>AND('GA55 Entry'!#REF!,"AAAAAFc3Ue4=")</f>
        <v>#REF!</v>
      </c>
      <c r="IF107">
        <f>IF('GA55 Entry'!308:308,"AAAAAFc3Ue8=",0)</f>
        <v>0</v>
      </c>
      <c r="IG107" t="e">
        <f>AND('GA55 Entry'!B308,"AAAAAFc3UfA=")</f>
        <v>#VALUE!</v>
      </c>
      <c r="IH107" t="e">
        <f>AND('GA55 Entry'!#REF!,"AAAAAFc3UfE=")</f>
        <v>#REF!</v>
      </c>
      <c r="II107" t="e">
        <f>AND('GA55 Entry'!C308,"AAAAAFc3UfI=")</f>
        <v>#VALUE!</v>
      </c>
      <c r="IJ107" t="e">
        <f>AND('GA55 Entry'!#REF!,"AAAAAFc3UfM=")</f>
        <v>#REF!</v>
      </c>
      <c r="IK107" t="e">
        <f>AND('GA55 Entry'!#REF!,"AAAAAFc3UfQ=")</f>
        <v>#REF!</v>
      </c>
      <c r="IL107" t="e">
        <f>AND('GA55 Entry'!#REF!,"AAAAAFc3UfU=")</f>
        <v>#REF!</v>
      </c>
      <c r="IM107" t="e">
        <f>AND('GA55 Entry'!#REF!,"AAAAAFc3UfY=")</f>
        <v>#REF!</v>
      </c>
      <c r="IN107" t="e">
        <f>AND('GA55 Entry'!#REF!,"AAAAAFc3Ufc=")</f>
        <v>#REF!</v>
      </c>
      <c r="IO107" t="e">
        <f>AND('GA55 Entry'!D308,"AAAAAFc3Ufg=")</f>
        <v>#VALUE!</v>
      </c>
      <c r="IP107" t="e">
        <f>AND('GA55 Entry'!#REF!,"AAAAAFc3Ufk=")</f>
        <v>#REF!</v>
      </c>
      <c r="IQ107" t="e">
        <f>AND('GA55 Entry'!E308,"AAAAAFc3Ufo=")</f>
        <v>#VALUE!</v>
      </c>
      <c r="IR107" t="e">
        <f>AND('GA55 Entry'!F308,"AAAAAFc3Ufs=")</f>
        <v>#VALUE!</v>
      </c>
      <c r="IS107" t="e">
        <f>AND('GA55 Entry'!G308,"AAAAAFc3Ufw=")</f>
        <v>#VALUE!</v>
      </c>
      <c r="IT107" t="e">
        <f>AND('GA55 Entry'!H308,"AAAAAFc3Uf0=")</f>
        <v>#VALUE!</v>
      </c>
      <c r="IU107" t="e">
        <f>AND('GA55 Entry'!I308,"AAAAAFc3Uf4=")</f>
        <v>#VALUE!</v>
      </c>
      <c r="IV107" t="e">
        <f>AND('GA55 Entry'!J308,"AAAAAFc3Uf8=")</f>
        <v>#VALUE!</v>
      </c>
    </row>
    <row r="108" spans="1:256">
      <c r="A108" t="e">
        <f>AND('GA55 Entry'!#REF!,"AAAAAHP3/QA=")</f>
        <v>#REF!</v>
      </c>
      <c r="B108" t="e">
        <f>AND('GA55 Entry'!K308,"AAAAAHP3/QE=")</f>
        <v>#VALUE!</v>
      </c>
      <c r="C108" t="e">
        <f>AND('GA55 Entry'!L308,"AAAAAHP3/QI=")</f>
        <v>#VALUE!</v>
      </c>
      <c r="D108" t="e">
        <f>AND('GA55 Entry'!M308,"AAAAAHP3/QM=")</f>
        <v>#VALUE!</v>
      </c>
      <c r="E108" t="e">
        <f>AND('GA55 Entry'!N308,"AAAAAHP3/QQ=")</f>
        <v>#VALUE!</v>
      </c>
      <c r="F108" t="e">
        <f>AND('GA55 Entry'!O308,"AAAAAHP3/QU=")</f>
        <v>#VALUE!</v>
      </c>
      <c r="G108" t="e">
        <f>AND('GA55 Entry'!P308,"AAAAAHP3/QY=")</f>
        <v>#VALUE!</v>
      </c>
      <c r="H108" t="e">
        <f>AND('GA55 Entry'!Q308,"AAAAAHP3/Qc=")</f>
        <v>#VALUE!</v>
      </c>
      <c r="I108" t="e">
        <f>AND('GA55 Entry'!S308,"AAAAAHP3/Qg=")</f>
        <v>#VALUE!</v>
      </c>
      <c r="J108" t="e">
        <f>AND('GA55 Entry'!#REF!,"AAAAAHP3/Qk=")</f>
        <v>#REF!</v>
      </c>
      <c r="K108" t="e">
        <f>AND('GA55 Entry'!T308,"AAAAAHP3/Qo=")</f>
        <v>#VALUE!</v>
      </c>
      <c r="L108" t="e">
        <f>AND('GA55 Entry'!U308,"AAAAAHP3/Qs=")</f>
        <v>#VALUE!</v>
      </c>
      <c r="M108" t="e">
        <f>AND('GA55 Entry'!V308,"AAAAAHP3/Qw=")</f>
        <v>#VALUE!</v>
      </c>
      <c r="N108" t="e">
        <f>AND('GA55 Entry'!#REF!,"AAAAAHP3/Q0=")</f>
        <v>#REF!</v>
      </c>
      <c r="O108" t="e">
        <f>AND('GA55 Entry'!#REF!,"AAAAAHP3/Q4=")</f>
        <v>#REF!</v>
      </c>
      <c r="P108" t="e">
        <f>AND('GA55 Entry'!X308,"AAAAAHP3/Q8=")</f>
        <v>#VALUE!</v>
      </c>
      <c r="Q108" t="e">
        <f>AND('GA55 Entry'!Y308,"AAAAAHP3/RA=")</f>
        <v>#VALUE!</v>
      </c>
      <c r="R108" t="e">
        <f>AND('GA55 Entry'!#REF!,"AAAAAHP3/RE=")</f>
        <v>#REF!</v>
      </c>
      <c r="S108" t="e">
        <f>AND('GA55 Entry'!#REF!,"AAAAAHP3/RI=")</f>
        <v>#REF!</v>
      </c>
      <c r="T108" t="e">
        <f>AND('GA55 Entry'!#REF!,"AAAAAHP3/RM=")</f>
        <v>#REF!</v>
      </c>
      <c r="U108" t="e">
        <f>AND('GA55 Entry'!#REF!,"AAAAAHP3/RQ=")</f>
        <v>#REF!</v>
      </c>
      <c r="V108" t="e">
        <f>AND('GA55 Entry'!#REF!,"AAAAAHP3/RU=")</f>
        <v>#REF!</v>
      </c>
      <c r="W108" t="e">
        <f>AND('GA55 Entry'!#REF!,"AAAAAHP3/RY=")</f>
        <v>#REF!</v>
      </c>
      <c r="X108" t="e">
        <f>AND('GA55 Entry'!#REF!,"AAAAAHP3/Rc=")</f>
        <v>#REF!</v>
      </c>
      <c r="Y108" t="e">
        <f>AND('GA55 Entry'!#REF!,"AAAAAHP3/Rg=")</f>
        <v>#REF!</v>
      </c>
      <c r="Z108" t="e">
        <f>AND('GA55 Entry'!#REF!,"AAAAAHP3/Rk=")</f>
        <v>#REF!</v>
      </c>
      <c r="AA108" t="e">
        <f>AND('GA55 Entry'!Z308,"AAAAAHP3/Ro=")</f>
        <v>#VALUE!</v>
      </c>
      <c r="AB108" t="e">
        <f>AND('GA55 Entry'!AA308,"AAAAAHP3/Rs=")</f>
        <v>#VALUE!</v>
      </c>
      <c r="AC108" t="e">
        <f>AND('GA55 Entry'!#REF!,"AAAAAHP3/Rw=")</f>
        <v>#REF!</v>
      </c>
      <c r="AD108" t="e">
        <f>AND('GA55 Entry'!#REF!,"AAAAAHP3/R0=")</f>
        <v>#REF!</v>
      </c>
      <c r="AE108" t="e">
        <f>AND('GA55 Entry'!#REF!,"AAAAAHP3/R4=")</f>
        <v>#REF!</v>
      </c>
      <c r="AF108" t="e">
        <f>AND('GA55 Entry'!AB308,"AAAAAHP3/R8=")</f>
        <v>#VALUE!</v>
      </c>
      <c r="AG108" t="e">
        <f>AND('GA55 Entry'!AC308,"AAAAAHP3/SA=")</f>
        <v>#VALUE!</v>
      </c>
      <c r="AH108" t="e">
        <f>AND('GA55 Entry'!#REF!,"AAAAAHP3/SE=")</f>
        <v>#REF!</v>
      </c>
      <c r="AI108">
        <f>IF('GA55 Entry'!309:309,"AAAAAHP3/SI=",0)</f>
        <v>0</v>
      </c>
      <c r="AJ108" t="e">
        <f>AND('GA55 Entry'!B309,"AAAAAHP3/SM=")</f>
        <v>#VALUE!</v>
      </c>
      <c r="AK108" t="e">
        <f>AND('GA55 Entry'!#REF!,"AAAAAHP3/SQ=")</f>
        <v>#REF!</v>
      </c>
      <c r="AL108" t="e">
        <f>AND('GA55 Entry'!C309,"AAAAAHP3/SU=")</f>
        <v>#VALUE!</v>
      </c>
      <c r="AM108" t="e">
        <f>AND('GA55 Entry'!#REF!,"AAAAAHP3/SY=")</f>
        <v>#REF!</v>
      </c>
      <c r="AN108" t="e">
        <f>AND('GA55 Entry'!#REF!,"AAAAAHP3/Sc=")</f>
        <v>#REF!</v>
      </c>
      <c r="AO108" t="e">
        <f>AND('GA55 Entry'!#REF!,"AAAAAHP3/Sg=")</f>
        <v>#REF!</v>
      </c>
      <c r="AP108" t="e">
        <f>AND('GA55 Entry'!#REF!,"AAAAAHP3/Sk=")</f>
        <v>#REF!</v>
      </c>
      <c r="AQ108" t="e">
        <f>AND('GA55 Entry'!#REF!,"AAAAAHP3/So=")</f>
        <v>#REF!</v>
      </c>
      <c r="AR108" t="e">
        <f>AND('GA55 Entry'!D309,"AAAAAHP3/Ss=")</f>
        <v>#VALUE!</v>
      </c>
      <c r="AS108" t="e">
        <f>AND('GA55 Entry'!#REF!,"AAAAAHP3/Sw=")</f>
        <v>#REF!</v>
      </c>
      <c r="AT108" t="e">
        <f>AND('GA55 Entry'!E309,"AAAAAHP3/S0=")</f>
        <v>#VALUE!</v>
      </c>
      <c r="AU108" t="e">
        <f>AND('GA55 Entry'!F309,"AAAAAHP3/S4=")</f>
        <v>#VALUE!</v>
      </c>
      <c r="AV108" t="e">
        <f>AND('GA55 Entry'!G309,"AAAAAHP3/S8=")</f>
        <v>#VALUE!</v>
      </c>
      <c r="AW108" t="e">
        <f>AND('GA55 Entry'!H309,"AAAAAHP3/TA=")</f>
        <v>#VALUE!</v>
      </c>
      <c r="AX108" t="e">
        <f>AND('GA55 Entry'!I309,"AAAAAHP3/TE=")</f>
        <v>#VALUE!</v>
      </c>
      <c r="AY108" t="e">
        <f>AND('GA55 Entry'!J309,"AAAAAHP3/TI=")</f>
        <v>#VALUE!</v>
      </c>
      <c r="AZ108" t="e">
        <f>AND('GA55 Entry'!#REF!,"AAAAAHP3/TM=")</f>
        <v>#REF!</v>
      </c>
      <c r="BA108" t="e">
        <f>AND('GA55 Entry'!K309,"AAAAAHP3/TQ=")</f>
        <v>#VALUE!</v>
      </c>
      <c r="BB108" t="e">
        <f>AND('GA55 Entry'!L309,"AAAAAHP3/TU=")</f>
        <v>#VALUE!</v>
      </c>
      <c r="BC108" t="e">
        <f>AND('GA55 Entry'!M309,"AAAAAHP3/TY=")</f>
        <v>#VALUE!</v>
      </c>
      <c r="BD108" t="e">
        <f>AND('GA55 Entry'!N309,"AAAAAHP3/Tc=")</f>
        <v>#VALUE!</v>
      </c>
      <c r="BE108" t="e">
        <f>AND('GA55 Entry'!O309,"AAAAAHP3/Tg=")</f>
        <v>#VALUE!</v>
      </c>
      <c r="BF108" t="e">
        <f>AND('GA55 Entry'!P309,"AAAAAHP3/Tk=")</f>
        <v>#VALUE!</v>
      </c>
      <c r="BG108" t="e">
        <f>AND('GA55 Entry'!Q309,"AAAAAHP3/To=")</f>
        <v>#VALUE!</v>
      </c>
      <c r="BH108" t="e">
        <f>AND('GA55 Entry'!S309,"AAAAAHP3/Ts=")</f>
        <v>#VALUE!</v>
      </c>
      <c r="BI108" t="e">
        <f>AND('GA55 Entry'!#REF!,"AAAAAHP3/Tw=")</f>
        <v>#REF!</v>
      </c>
      <c r="BJ108" t="e">
        <f>AND('GA55 Entry'!T309,"AAAAAHP3/T0=")</f>
        <v>#VALUE!</v>
      </c>
      <c r="BK108" t="e">
        <f>AND('GA55 Entry'!U309,"AAAAAHP3/T4=")</f>
        <v>#VALUE!</v>
      </c>
      <c r="BL108" t="e">
        <f>AND('GA55 Entry'!V309,"AAAAAHP3/T8=")</f>
        <v>#VALUE!</v>
      </c>
      <c r="BM108" t="e">
        <f>AND('GA55 Entry'!#REF!,"AAAAAHP3/UA=")</f>
        <v>#REF!</v>
      </c>
      <c r="BN108" t="e">
        <f>AND('GA55 Entry'!#REF!,"AAAAAHP3/UE=")</f>
        <v>#REF!</v>
      </c>
      <c r="BO108" t="e">
        <f>AND('GA55 Entry'!X309,"AAAAAHP3/UI=")</f>
        <v>#VALUE!</v>
      </c>
      <c r="BP108" t="e">
        <f>AND('GA55 Entry'!Y309,"AAAAAHP3/UM=")</f>
        <v>#VALUE!</v>
      </c>
      <c r="BQ108" t="e">
        <f>AND('GA55 Entry'!#REF!,"AAAAAHP3/UQ=")</f>
        <v>#REF!</v>
      </c>
      <c r="BR108" t="e">
        <f>AND('GA55 Entry'!#REF!,"AAAAAHP3/UU=")</f>
        <v>#REF!</v>
      </c>
      <c r="BS108" t="e">
        <f>AND('GA55 Entry'!#REF!,"AAAAAHP3/UY=")</f>
        <v>#REF!</v>
      </c>
      <c r="BT108" t="e">
        <f>AND('GA55 Entry'!#REF!,"AAAAAHP3/Uc=")</f>
        <v>#REF!</v>
      </c>
      <c r="BU108" t="e">
        <f>AND('GA55 Entry'!#REF!,"AAAAAHP3/Ug=")</f>
        <v>#REF!</v>
      </c>
      <c r="BV108" t="e">
        <f>AND('GA55 Entry'!#REF!,"AAAAAHP3/Uk=")</f>
        <v>#REF!</v>
      </c>
      <c r="BW108" t="e">
        <f>AND('GA55 Entry'!#REF!,"AAAAAHP3/Uo=")</f>
        <v>#REF!</v>
      </c>
      <c r="BX108" t="e">
        <f>AND('GA55 Entry'!#REF!,"AAAAAHP3/Us=")</f>
        <v>#REF!</v>
      </c>
      <c r="BY108" t="e">
        <f>AND('GA55 Entry'!#REF!,"AAAAAHP3/Uw=")</f>
        <v>#REF!</v>
      </c>
      <c r="BZ108" t="e">
        <f>AND('GA55 Entry'!Z309,"AAAAAHP3/U0=")</f>
        <v>#VALUE!</v>
      </c>
      <c r="CA108" t="e">
        <f>AND('GA55 Entry'!AA309,"AAAAAHP3/U4=")</f>
        <v>#VALUE!</v>
      </c>
      <c r="CB108" t="e">
        <f>AND('GA55 Entry'!#REF!,"AAAAAHP3/U8=")</f>
        <v>#REF!</v>
      </c>
      <c r="CC108" t="e">
        <f>AND('GA55 Entry'!#REF!,"AAAAAHP3/VA=")</f>
        <v>#REF!</v>
      </c>
      <c r="CD108" t="e">
        <f>AND('GA55 Entry'!#REF!,"AAAAAHP3/VE=")</f>
        <v>#REF!</v>
      </c>
      <c r="CE108" t="e">
        <f>AND('GA55 Entry'!AB309,"AAAAAHP3/VI=")</f>
        <v>#VALUE!</v>
      </c>
      <c r="CF108" t="e">
        <f>AND('GA55 Entry'!AC309,"AAAAAHP3/VM=")</f>
        <v>#VALUE!</v>
      </c>
      <c r="CG108" t="e">
        <f>AND('GA55 Entry'!#REF!,"AAAAAHP3/VQ=")</f>
        <v>#REF!</v>
      </c>
      <c r="CH108">
        <f>IF('GA55 Entry'!310:310,"AAAAAHP3/VU=",0)</f>
        <v>0</v>
      </c>
      <c r="CI108" t="e">
        <f>AND('GA55 Entry'!B310,"AAAAAHP3/VY=")</f>
        <v>#VALUE!</v>
      </c>
      <c r="CJ108" t="e">
        <f>AND('GA55 Entry'!#REF!,"AAAAAHP3/Vc=")</f>
        <v>#REF!</v>
      </c>
      <c r="CK108" t="e">
        <f>AND('GA55 Entry'!C310,"AAAAAHP3/Vg=")</f>
        <v>#VALUE!</v>
      </c>
      <c r="CL108" t="e">
        <f>AND('GA55 Entry'!#REF!,"AAAAAHP3/Vk=")</f>
        <v>#REF!</v>
      </c>
      <c r="CM108" t="e">
        <f>AND('GA55 Entry'!#REF!,"AAAAAHP3/Vo=")</f>
        <v>#REF!</v>
      </c>
      <c r="CN108" t="e">
        <f>AND('GA55 Entry'!#REF!,"AAAAAHP3/Vs=")</f>
        <v>#REF!</v>
      </c>
      <c r="CO108" t="e">
        <f>AND('GA55 Entry'!#REF!,"AAAAAHP3/Vw=")</f>
        <v>#REF!</v>
      </c>
      <c r="CP108" t="e">
        <f>AND('GA55 Entry'!#REF!,"AAAAAHP3/V0=")</f>
        <v>#REF!</v>
      </c>
      <c r="CQ108" t="e">
        <f>AND('GA55 Entry'!D310,"AAAAAHP3/V4=")</f>
        <v>#VALUE!</v>
      </c>
      <c r="CR108" t="e">
        <f>AND('GA55 Entry'!#REF!,"AAAAAHP3/V8=")</f>
        <v>#REF!</v>
      </c>
      <c r="CS108" t="e">
        <f>AND('GA55 Entry'!E310,"AAAAAHP3/WA=")</f>
        <v>#VALUE!</v>
      </c>
      <c r="CT108" t="e">
        <f>AND('GA55 Entry'!F310,"AAAAAHP3/WE=")</f>
        <v>#VALUE!</v>
      </c>
      <c r="CU108" t="e">
        <f>AND('GA55 Entry'!G310,"AAAAAHP3/WI=")</f>
        <v>#VALUE!</v>
      </c>
      <c r="CV108" t="e">
        <f>AND('GA55 Entry'!H310,"AAAAAHP3/WM=")</f>
        <v>#VALUE!</v>
      </c>
      <c r="CW108" t="e">
        <f>AND('GA55 Entry'!I310,"AAAAAHP3/WQ=")</f>
        <v>#VALUE!</v>
      </c>
      <c r="CX108" t="e">
        <f>AND('GA55 Entry'!J310,"AAAAAHP3/WU=")</f>
        <v>#VALUE!</v>
      </c>
      <c r="CY108" t="e">
        <f>AND('GA55 Entry'!#REF!,"AAAAAHP3/WY=")</f>
        <v>#REF!</v>
      </c>
      <c r="CZ108" t="e">
        <f>AND('GA55 Entry'!K310,"AAAAAHP3/Wc=")</f>
        <v>#VALUE!</v>
      </c>
      <c r="DA108" t="e">
        <f>AND('GA55 Entry'!L310,"AAAAAHP3/Wg=")</f>
        <v>#VALUE!</v>
      </c>
      <c r="DB108" t="e">
        <f>AND('GA55 Entry'!M310,"AAAAAHP3/Wk=")</f>
        <v>#VALUE!</v>
      </c>
      <c r="DC108" t="e">
        <f>AND('GA55 Entry'!N310,"AAAAAHP3/Wo=")</f>
        <v>#VALUE!</v>
      </c>
      <c r="DD108" t="e">
        <f>AND('GA55 Entry'!O310,"AAAAAHP3/Ws=")</f>
        <v>#VALUE!</v>
      </c>
      <c r="DE108" t="e">
        <f>AND('GA55 Entry'!P310,"AAAAAHP3/Ww=")</f>
        <v>#VALUE!</v>
      </c>
      <c r="DF108" t="e">
        <f>AND('GA55 Entry'!Q310,"AAAAAHP3/W0=")</f>
        <v>#VALUE!</v>
      </c>
      <c r="DG108" t="e">
        <f>AND('GA55 Entry'!S310,"AAAAAHP3/W4=")</f>
        <v>#VALUE!</v>
      </c>
      <c r="DH108" t="e">
        <f>AND('GA55 Entry'!#REF!,"AAAAAHP3/W8=")</f>
        <v>#REF!</v>
      </c>
      <c r="DI108" t="e">
        <f>AND('GA55 Entry'!T310,"AAAAAHP3/XA=")</f>
        <v>#VALUE!</v>
      </c>
      <c r="DJ108" t="e">
        <f>AND('GA55 Entry'!U310,"AAAAAHP3/XE=")</f>
        <v>#VALUE!</v>
      </c>
      <c r="DK108" t="e">
        <f>AND('GA55 Entry'!V310,"AAAAAHP3/XI=")</f>
        <v>#VALUE!</v>
      </c>
      <c r="DL108" t="e">
        <f>AND('GA55 Entry'!#REF!,"AAAAAHP3/XM=")</f>
        <v>#REF!</v>
      </c>
      <c r="DM108" t="e">
        <f>AND('GA55 Entry'!#REF!,"AAAAAHP3/XQ=")</f>
        <v>#REF!</v>
      </c>
      <c r="DN108" t="e">
        <f>AND('GA55 Entry'!X310,"AAAAAHP3/XU=")</f>
        <v>#VALUE!</v>
      </c>
      <c r="DO108" t="e">
        <f>AND('GA55 Entry'!Y310,"AAAAAHP3/XY=")</f>
        <v>#VALUE!</v>
      </c>
      <c r="DP108" t="e">
        <f>AND('GA55 Entry'!#REF!,"AAAAAHP3/Xc=")</f>
        <v>#REF!</v>
      </c>
      <c r="DQ108" t="e">
        <f>AND('GA55 Entry'!#REF!,"AAAAAHP3/Xg=")</f>
        <v>#REF!</v>
      </c>
      <c r="DR108" t="e">
        <f>AND('GA55 Entry'!#REF!,"AAAAAHP3/Xk=")</f>
        <v>#REF!</v>
      </c>
      <c r="DS108" t="e">
        <f>AND('GA55 Entry'!#REF!,"AAAAAHP3/Xo=")</f>
        <v>#REF!</v>
      </c>
      <c r="DT108" t="e">
        <f>AND('GA55 Entry'!#REF!,"AAAAAHP3/Xs=")</f>
        <v>#REF!</v>
      </c>
      <c r="DU108" t="e">
        <f>AND('GA55 Entry'!#REF!,"AAAAAHP3/Xw=")</f>
        <v>#REF!</v>
      </c>
      <c r="DV108" t="e">
        <f>AND('GA55 Entry'!#REF!,"AAAAAHP3/X0=")</f>
        <v>#REF!</v>
      </c>
      <c r="DW108" t="e">
        <f>AND('GA55 Entry'!#REF!,"AAAAAHP3/X4=")</f>
        <v>#REF!</v>
      </c>
      <c r="DX108" t="e">
        <f>AND('GA55 Entry'!#REF!,"AAAAAHP3/X8=")</f>
        <v>#REF!</v>
      </c>
      <c r="DY108" t="e">
        <f>AND('GA55 Entry'!Z310,"AAAAAHP3/YA=")</f>
        <v>#VALUE!</v>
      </c>
      <c r="DZ108" t="e">
        <f>AND('GA55 Entry'!AA310,"AAAAAHP3/YE=")</f>
        <v>#VALUE!</v>
      </c>
      <c r="EA108" t="e">
        <f>AND('GA55 Entry'!#REF!,"AAAAAHP3/YI=")</f>
        <v>#REF!</v>
      </c>
      <c r="EB108" t="e">
        <f>AND('GA55 Entry'!#REF!,"AAAAAHP3/YM=")</f>
        <v>#REF!</v>
      </c>
      <c r="EC108" t="e">
        <f>AND('GA55 Entry'!#REF!,"AAAAAHP3/YQ=")</f>
        <v>#REF!</v>
      </c>
      <c r="ED108" t="e">
        <f>AND('GA55 Entry'!AB310,"AAAAAHP3/YU=")</f>
        <v>#VALUE!</v>
      </c>
      <c r="EE108" t="e">
        <f>AND('GA55 Entry'!AC310,"AAAAAHP3/YY=")</f>
        <v>#VALUE!</v>
      </c>
      <c r="EF108" t="e">
        <f>AND('GA55 Entry'!#REF!,"AAAAAHP3/Yc=")</f>
        <v>#REF!</v>
      </c>
      <c r="EG108">
        <f>IF('GA55 Entry'!311:311,"AAAAAHP3/Yg=",0)</f>
        <v>0</v>
      </c>
      <c r="EH108" t="e">
        <f>AND('GA55 Entry'!B311,"AAAAAHP3/Yk=")</f>
        <v>#VALUE!</v>
      </c>
      <c r="EI108" t="e">
        <f>AND('GA55 Entry'!#REF!,"AAAAAHP3/Yo=")</f>
        <v>#REF!</v>
      </c>
      <c r="EJ108" t="e">
        <f>AND('GA55 Entry'!C311,"AAAAAHP3/Ys=")</f>
        <v>#VALUE!</v>
      </c>
      <c r="EK108" t="e">
        <f>AND('GA55 Entry'!#REF!,"AAAAAHP3/Yw=")</f>
        <v>#REF!</v>
      </c>
      <c r="EL108" t="e">
        <f>AND('GA55 Entry'!#REF!,"AAAAAHP3/Y0=")</f>
        <v>#REF!</v>
      </c>
      <c r="EM108" t="e">
        <f>AND('GA55 Entry'!#REF!,"AAAAAHP3/Y4=")</f>
        <v>#REF!</v>
      </c>
      <c r="EN108" t="e">
        <f>AND('GA55 Entry'!#REF!,"AAAAAHP3/Y8=")</f>
        <v>#REF!</v>
      </c>
      <c r="EO108" t="e">
        <f>AND('GA55 Entry'!#REF!,"AAAAAHP3/ZA=")</f>
        <v>#REF!</v>
      </c>
      <c r="EP108" t="e">
        <f>AND('GA55 Entry'!D311,"AAAAAHP3/ZE=")</f>
        <v>#VALUE!</v>
      </c>
      <c r="EQ108" t="e">
        <f>AND('GA55 Entry'!#REF!,"AAAAAHP3/ZI=")</f>
        <v>#REF!</v>
      </c>
      <c r="ER108" t="e">
        <f>AND('GA55 Entry'!E311,"AAAAAHP3/ZM=")</f>
        <v>#VALUE!</v>
      </c>
      <c r="ES108" t="e">
        <f>AND('GA55 Entry'!F311,"AAAAAHP3/ZQ=")</f>
        <v>#VALUE!</v>
      </c>
      <c r="ET108" t="e">
        <f>AND('GA55 Entry'!G311,"AAAAAHP3/ZU=")</f>
        <v>#VALUE!</v>
      </c>
      <c r="EU108" t="e">
        <f>AND('GA55 Entry'!H311,"AAAAAHP3/ZY=")</f>
        <v>#VALUE!</v>
      </c>
      <c r="EV108" t="e">
        <f>AND('GA55 Entry'!I311,"AAAAAHP3/Zc=")</f>
        <v>#VALUE!</v>
      </c>
      <c r="EW108" t="e">
        <f>AND('GA55 Entry'!J311,"AAAAAHP3/Zg=")</f>
        <v>#VALUE!</v>
      </c>
      <c r="EX108" t="e">
        <f>AND('GA55 Entry'!#REF!,"AAAAAHP3/Zk=")</f>
        <v>#REF!</v>
      </c>
      <c r="EY108" t="e">
        <f>AND('GA55 Entry'!K311,"AAAAAHP3/Zo=")</f>
        <v>#VALUE!</v>
      </c>
      <c r="EZ108" t="e">
        <f>AND('GA55 Entry'!L311,"AAAAAHP3/Zs=")</f>
        <v>#VALUE!</v>
      </c>
      <c r="FA108" t="e">
        <f>AND('GA55 Entry'!M311,"AAAAAHP3/Zw=")</f>
        <v>#VALUE!</v>
      </c>
      <c r="FB108" t="e">
        <f>AND('GA55 Entry'!N311,"AAAAAHP3/Z0=")</f>
        <v>#VALUE!</v>
      </c>
      <c r="FC108" t="e">
        <f>AND('GA55 Entry'!O311,"AAAAAHP3/Z4=")</f>
        <v>#VALUE!</v>
      </c>
      <c r="FD108" t="e">
        <f>AND('GA55 Entry'!P311,"AAAAAHP3/Z8=")</f>
        <v>#VALUE!</v>
      </c>
      <c r="FE108" t="e">
        <f>AND('GA55 Entry'!Q311,"AAAAAHP3/aA=")</f>
        <v>#VALUE!</v>
      </c>
      <c r="FF108" t="e">
        <f>AND('GA55 Entry'!S311,"AAAAAHP3/aE=")</f>
        <v>#VALUE!</v>
      </c>
      <c r="FG108" t="e">
        <f>AND('GA55 Entry'!#REF!,"AAAAAHP3/aI=")</f>
        <v>#REF!</v>
      </c>
      <c r="FH108" t="e">
        <f>AND('GA55 Entry'!T311,"AAAAAHP3/aM=")</f>
        <v>#VALUE!</v>
      </c>
      <c r="FI108" t="e">
        <f>AND('GA55 Entry'!U311,"AAAAAHP3/aQ=")</f>
        <v>#VALUE!</v>
      </c>
      <c r="FJ108" t="e">
        <f>AND('GA55 Entry'!V311,"AAAAAHP3/aU=")</f>
        <v>#VALUE!</v>
      </c>
      <c r="FK108" t="e">
        <f>AND('GA55 Entry'!#REF!,"AAAAAHP3/aY=")</f>
        <v>#REF!</v>
      </c>
      <c r="FL108" t="e">
        <f>AND('GA55 Entry'!#REF!,"AAAAAHP3/ac=")</f>
        <v>#REF!</v>
      </c>
      <c r="FM108" t="e">
        <f>AND('GA55 Entry'!X311,"AAAAAHP3/ag=")</f>
        <v>#VALUE!</v>
      </c>
      <c r="FN108" t="e">
        <f>AND('GA55 Entry'!Y311,"AAAAAHP3/ak=")</f>
        <v>#VALUE!</v>
      </c>
      <c r="FO108" t="e">
        <f>AND('GA55 Entry'!#REF!,"AAAAAHP3/ao=")</f>
        <v>#REF!</v>
      </c>
      <c r="FP108" t="e">
        <f>AND('GA55 Entry'!#REF!,"AAAAAHP3/as=")</f>
        <v>#REF!</v>
      </c>
      <c r="FQ108" t="e">
        <f>AND('GA55 Entry'!#REF!,"AAAAAHP3/aw=")</f>
        <v>#REF!</v>
      </c>
      <c r="FR108" t="e">
        <f>AND('GA55 Entry'!#REF!,"AAAAAHP3/a0=")</f>
        <v>#REF!</v>
      </c>
      <c r="FS108" t="e">
        <f>AND('GA55 Entry'!#REF!,"AAAAAHP3/a4=")</f>
        <v>#REF!</v>
      </c>
      <c r="FT108" t="e">
        <f>AND('GA55 Entry'!#REF!,"AAAAAHP3/a8=")</f>
        <v>#REF!</v>
      </c>
      <c r="FU108" t="e">
        <f>AND('GA55 Entry'!#REF!,"AAAAAHP3/bA=")</f>
        <v>#REF!</v>
      </c>
      <c r="FV108" t="e">
        <f>AND('GA55 Entry'!#REF!,"AAAAAHP3/bE=")</f>
        <v>#REF!</v>
      </c>
      <c r="FW108" t="e">
        <f>AND('GA55 Entry'!#REF!,"AAAAAHP3/bI=")</f>
        <v>#REF!</v>
      </c>
      <c r="FX108" t="e">
        <f>AND('GA55 Entry'!Z311,"AAAAAHP3/bM=")</f>
        <v>#VALUE!</v>
      </c>
      <c r="FY108" t="e">
        <f>AND('GA55 Entry'!AA311,"AAAAAHP3/bQ=")</f>
        <v>#VALUE!</v>
      </c>
      <c r="FZ108" t="e">
        <f>AND('GA55 Entry'!#REF!,"AAAAAHP3/bU=")</f>
        <v>#REF!</v>
      </c>
      <c r="GA108" t="e">
        <f>AND('GA55 Entry'!#REF!,"AAAAAHP3/bY=")</f>
        <v>#REF!</v>
      </c>
      <c r="GB108" t="e">
        <f>AND('GA55 Entry'!#REF!,"AAAAAHP3/bc=")</f>
        <v>#REF!</v>
      </c>
      <c r="GC108" t="e">
        <f>AND('GA55 Entry'!AB311,"AAAAAHP3/bg=")</f>
        <v>#VALUE!</v>
      </c>
      <c r="GD108" t="e">
        <f>AND('GA55 Entry'!AC311,"AAAAAHP3/bk=")</f>
        <v>#VALUE!</v>
      </c>
      <c r="GE108" t="e">
        <f>AND('GA55 Entry'!#REF!,"AAAAAHP3/bo=")</f>
        <v>#REF!</v>
      </c>
      <c r="GF108">
        <f>IF('GA55 Entry'!312:312,"AAAAAHP3/bs=",0)</f>
        <v>0</v>
      </c>
      <c r="GG108" t="e">
        <f>AND('GA55 Entry'!B312,"AAAAAHP3/bw=")</f>
        <v>#VALUE!</v>
      </c>
      <c r="GH108" t="e">
        <f>AND('GA55 Entry'!#REF!,"AAAAAHP3/b0=")</f>
        <v>#REF!</v>
      </c>
      <c r="GI108" t="e">
        <f>AND('GA55 Entry'!C312,"AAAAAHP3/b4=")</f>
        <v>#VALUE!</v>
      </c>
      <c r="GJ108" t="e">
        <f>AND('GA55 Entry'!#REF!,"AAAAAHP3/b8=")</f>
        <v>#REF!</v>
      </c>
      <c r="GK108" t="e">
        <f>AND('GA55 Entry'!#REF!,"AAAAAHP3/cA=")</f>
        <v>#REF!</v>
      </c>
      <c r="GL108" t="e">
        <f>AND('GA55 Entry'!#REF!,"AAAAAHP3/cE=")</f>
        <v>#REF!</v>
      </c>
      <c r="GM108" t="e">
        <f>AND('GA55 Entry'!#REF!,"AAAAAHP3/cI=")</f>
        <v>#REF!</v>
      </c>
      <c r="GN108" t="e">
        <f>AND('GA55 Entry'!#REF!,"AAAAAHP3/cM=")</f>
        <v>#REF!</v>
      </c>
      <c r="GO108" t="e">
        <f>AND('GA55 Entry'!D312,"AAAAAHP3/cQ=")</f>
        <v>#VALUE!</v>
      </c>
      <c r="GP108" t="e">
        <f>AND('GA55 Entry'!#REF!,"AAAAAHP3/cU=")</f>
        <v>#REF!</v>
      </c>
      <c r="GQ108" t="e">
        <f>AND('GA55 Entry'!E312,"AAAAAHP3/cY=")</f>
        <v>#VALUE!</v>
      </c>
      <c r="GR108" t="e">
        <f>AND('GA55 Entry'!F312,"AAAAAHP3/cc=")</f>
        <v>#VALUE!</v>
      </c>
      <c r="GS108" t="e">
        <f>AND('GA55 Entry'!G312,"AAAAAHP3/cg=")</f>
        <v>#VALUE!</v>
      </c>
      <c r="GT108" t="e">
        <f>AND('GA55 Entry'!H312,"AAAAAHP3/ck=")</f>
        <v>#VALUE!</v>
      </c>
      <c r="GU108" t="e">
        <f>AND('GA55 Entry'!I312,"AAAAAHP3/co=")</f>
        <v>#VALUE!</v>
      </c>
      <c r="GV108" t="e">
        <f>AND('GA55 Entry'!J312,"AAAAAHP3/cs=")</f>
        <v>#VALUE!</v>
      </c>
      <c r="GW108" t="e">
        <f>AND('GA55 Entry'!#REF!,"AAAAAHP3/cw=")</f>
        <v>#REF!</v>
      </c>
      <c r="GX108" t="e">
        <f>AND('GA55 Entry'!K312,"AAAAAHP3/c0=")</f>
        <v>#VALUE!</v>
      </c>
      <c r="GY108" t="e">
        <f>AND('GA55 Entry'!L312,"AAAAAHP3/c4=")</f>
        <v>#VALUE!</v>
      </c>
      <c r="GZ108" t="e">
        <f>AND('GA55 Entry'!M312,"AAAAAHP3/c8=")</f>
        <v>#VALUE!</v>
      </c>
      <c r="HA108" t="e">
        <f>AND('GA55 Entry'!N312,"AAAAAHP3/dA=")</f>
        <v>#VALUE!</v>
      </c>
      <c r="HB108" t="e">
        <f>AND('GA55 Entry'!O312,"AAAAAHP3/dE=")</f>
        <v>#VALUE!</v>
      </c>
      <c r="HC108" t="e">
        <f>AND('GA55 Entry'!P312,"AAAAAHP3/dI=")</f>
        <v>#VALUE!</v>
      </c>
      <c r="HD108" t="e">
        <f>AND('GA55 Entry'!Q312,"AAAAAHP3/dM=")</f>
        <v>#VALUE!</v>
      </c>
      <c r="HE108" t="e">
        <f>AND('GA55 Entry'!S312,"AAAAAHP3/dQ=")</f>
        <v>#VALUE!</v>
      </c>
      <c r="HF108" t="e">
        <f>AND('GA55 Entry'!#REF!,"AAAAAHP3/dU=")</f>
        <v>#REF!</v>
      </c>
      <c r="HG108" t="e">
        <f>AND('GA55 Entry'!T312,"AAAAAHP3/dY=")</f>
        <v>#VALUE!</v>
      </c>
      <c r="HH108" t="e">
        <f>AND('GA55 Entry'!U312,"AAAAAHP3/dc=")</f>
        <v>#VALUE!</v>
      </c>
      <c r="HI108" t="e">
        <f>AND('GA55 Entry'!V312,"AAAAAHP3/dg=")</f>
        <v>#VALUE!</v>
      </c>
      <c r="HJ108" t="e">
        <f>AND('GA55 Entry'!#REF!,"AAAAAHP3/dk=")</f>
        <v>#REF!</v>
      </c>
      <c r="HK108" t="e">
        <f>AND('GA55 Entry'!#REF!,"AAAAAHP3/do=")</f>
        <v>#REF!</v>
      </c>
      <c r="HL108" t="e">
        <f>AND('GA55 Entry'!X312,"AAAAAHP3/ds=")</f>
        <v>#VALUE!</v>
      </c>
      <c r="HM108" t="e">
        <f>AND('GA55 Entry'!Y312,"AAAAAHP3/dw=")</f>
        <v>#VALUE!</v>
      </c>
      <c r="HN108" t="e">
        <f>AND('GA55 Entry'!#REF!,"AAAAAHP3/d0=")</f>
        <v>#REF!</v>
      </c>
      <c r="HO108" t="e">
        <f>AND('GA55 Entry'!#REF!,"AAAAAHP3/d4=")</f>
        <v>#REF!</v>
      </c>
      <c r="HP108" t="e">
        <f>AND('GA55 Entry'!#REF!,"AAAAAHP3/d8=")</f>
        <v>#REF!</v>
      </c>
      <c r="HQ108" t="e">
        <f>AND('GA55 Entry'!#REF!,"AAAAAHP3/eA=")</f>
        <v>#REF!</v>
      </c>
      <c r="HR108" t="e">
        <f>AND('GA55 Entry'!#REF!,"AAAAAHP3/eE=")</f>
        <v>#REF!</v>
      </c>
      <c r="HS108" t="e">
        <f>AND('GA55 Entry'!#REF!,"AAAAAHP3/eI=")</f>
        <v>#REF!</v>
      </c>
      <c r="HT108" t="e">
        <f>AND('GA55 Entry'!#REF!,"AAAAAHP3/eM=")</f>
        <v>#REF!</v>
      </c>
      <c r="HU108" t="e">
        <f>AND('GA55 Entry'!#REF!,"AAAAAHP3/eQ=")</f>
        <v>#REF!</v>
      </c>
      <c r="HV108" t="e">
        <f>AND('GA55 Entry'!#REF!,"AAAAAHP3/eU=")</f>
        <v>#REF!</v>
      </c>
      <c r="HW108" t="e">
        <f>AND('GA55 Entry'!Z312,"AAAAAHP3/eY=")</f>
        <v>#VALUE!</v>
      </c>
      <c r="HX108" t="e">
        <f>AND('GA55 Entry'!AA312,"AAAAAHP3/ec=")</f>
        <v>#VALUE!</v>
      </c>
      <c r="HY108" t="e">
        <f>AND('GA55 Entry'!#REF!,"AAAAAHP3/eg=")</f>
        <v>#REF!</v>
      </c>
      <c r="HZ108" t="e">
        <f>AND('GA55 Entry'!#REF!,"AAAAAHP3/ek=")</f>
        <v>#REF!</v>
      </c>
      <c r="IA108" t="e">
        <f>AND('GA55 Entry'!#REF!,"AAAAAHP3/eo=")</f>
        <v>#REF!</v>
      </c>
      <c r="IB108" t="e">
        <f>AND('GA55 Entry'!AB312,"AAAAAHP3/es=")</f>
        <v>#VALUE!</v>
      </c>
      <c r="IC108" t="e">
        <f>AND('GA55 Entry'!AC312,"AAAAAHP3/ew=")</f>
        <v>#VALUE!</v>
      </c>
      <c r="ID108" t="e">
        <f>AND('GA55 Entry'!#REF!,"AAAAAHP3/e0=")</f>
        <v>#REF!</v>
      </c>
      <c r="IE108">
        <f>IF('GA55 Entry'!313:313,"AAAAAHP3/e4=",0)</f>
        <v>0</v>
      </c>
      <c r="IF108" t="e">
        <f>AND('GA55 Entry'!B313,"AAAAAHP3/e8=")</f>
        <v>#VALUE!</v>
      </c>
      <c r="IG108" t="e">
        <f>AND('GA55 Entry'!#REF!,"AAAAAHP3/fA=")</f>
        <v>#REF!</v>
      </c>
      <c r="IH108" t="e">
        <f>AND('GA55 Entry'!C313,"AAAAAHP3/fE=")</f>
        <v>#VALUE!</v>
      </c>
      <c r="II108" t="e">
        <f>AND('GA55 Entry'!#REF!,"AAAAAHP3/fI=")</f>
        <v>#REF!</v>
      </c>
      <c r="IJ108" t="e">
        <f>AND('GA55 Entry'!#REF!,"AAAAAHP3/fM=")</f>
        <v>#REF!</v>
      </c>
      <c r="IK108" t="e">
        <f>AND('GA55 Entry'!#REF!,"AAAAAHP3/fQ=")</f>
        <v>#REF!</v>
      </c>
      <c r="IL108" t="e">
        <f>AND('GA55 Entry'!#REF!,"AAAAAHP3/fU=")</f>
        <v>#REF!</v>
      </c>
      <c r="IM108" t="e">
        <f>AND('GA55 Entry'!#REF!,"AAAAAHP3/fY=")</f>
        <v>#REF!</v>
      </c>
      <c r="IN108" t="e">
        <f>AND('GA55 Entry'!D313,"AAAAAHP3/fc=")</f>
        <v>#VALUE!</v>
      </c>
      <c r="IO108" t="e">
        <f>AND('GA55 Entry'!#REF!,"AAAAAHP3/fg=")</f>
        <v>#REF!</v>
      </c>
      <c r="IP108" t="e">
        <f>AND('GA55 Entry'!E313,"AAAAAHP3/fk=")</f>
        <v>#VALUE!</v>
      </c>
      <c r="IQ108" t="e">
        <f>AND('GA55 Entry'!F313,"AAAAAHP3/fo=")</f>
        <v>#VALUE!</v>
      </c>
      <c r="IR108" t="e">
        <f>AND('GA55 Entry'!G313,"AAAAAHP3/fs=")</f>
        <v>#VALUE!</v>
      </c>
      <c r="IS108" t="e">
        <f>AND('GA55 Entry'!H313,"AAAAAHP3/fw=")</f>
        <v>#VALUE!</v>
      </c>
      <c r="IT108" t="e">
        <f>AND('GA55 Entry'!I313,"AAAAAHP3/f0=")</f>
        <v>#VALUE!</v>
      </c>
      <c r="IU108" t="e">
        <f>AND('GA55 Entry'!J313,"AAAAAHP3/f4=")</f>
        <v>#VALUE!</v>
      </c>
      <c r="IV108" t="e">
        <f>AND('GA55 Entry'!#REF!,"AAAAAHP3/f8=")</f>
        <v>#REF!</v>
      </c>
    </row>
    <row r="109" spans="1:256">
      <c r="A109" t="e">
        <f>AND('GA55 Entry'!K313,"AAAAAFv9pwA=")</f>
        <v>#VALUE!</v>
      </c>
      <c r="B109" t="e">
        <f>AND('GA55 Entry'!L313,"AAAAAFv9pwE=")</f>
        <v>#VALUE!</v>
      </c>
      <c r="C109" t="e">
        <f>AND('GA55 Entry'!M313,"AAAAAFv9pwI=")</f>
        <v>#VALUE!</v>
      </c>
      <c r="D109" t="e">
        <f>AND('GA55 Entry'!N313,"AAAAAFv9pwM=")</f>
        <v>#VALUE!</v>
      </c>
      <c r="E109" t="e">
        <f>AND('GA55 Entry'!O313,"AAAAAFv9pwQ=")</f>
        <v>#VALUE!</v>
      </c>
      <c r="F109" t="e">
        <f>AND('GA55 Entry'!P313,"AAAAAFv9pwU=")</f>
        <v>#VALUE!</v>
      </c>
      <c r="G109" t="e">
        <f>AND('GA55 Entry'!Q313,"AAAAAFv9pwY=")</f>
        <v>#VALUE!</v>
      </c>
      <c r="H109" t="e">
        <f>AND('GA55 Entry'!S313,"AAAAAFv9pwc=")</f>
        <v>#VALUE!</v>
      </c>
      <c r="I109" t="e">
        <f>AND('GA55 Entry'!#REF!,"AAAAAFv9pwg=")</f>
        <v>#REF!</v>
      </c>
      <c r="J109" t="e">
        <f>AND('GA55 Entry'!T313,"AAAAAFv9pwk=")</f>
        <v>#VALUE!</v>
      </c>
      <c r="K109" t="e">
        <f>AND('GA55 Entry'!U313,"AAAAAFv9pwo=")</f>
        <v>#VALUE!</v>
      </c>
      <c r="L109" t="e">
        <f>AND('GA55 Entry'!V313,"AAAAAFv9pws=")</f>
        <v>#VALUE!</v>
      </c>
      <c r="M109" t="e">
        <f>AND('GA55 Entry'!#REF!,"AAAAAFv9pww=")</f>
        <v>#REF!</v>
      </c>
      <c r="N109" t="e">
        <f>AND('GA55 Entry'!#REF!,"AAAAAFv9pw0=")</f>
        <v>#REF!</v>
      </c>
      <c r="O109" t="e">
        <f>AND('GA55 Entry'!X313,"AAAAAFv9pw4=")</f>
        <v>#VALUE!</v>
      </c>
      <c r="P109" t="e">
        <f>AND('GA55 Entry'!Y313,"AAAAAFv9pw8=")</f>
        <v>#VALUE!</v>
      </c>
      <c r="Q109" t="e">
        <f>AND('GA55 Entry'!#REF!,"AAAAAFv9pxA=")</f>
        <v>#REF!</v>
      </c>
      <c r="R109" t="e">
        <f>AND('GA55 Entry'!#REF!,"AAAAAFv9pxE=")</f>
        <v>#REF!</v>
      </c>
      <c r="S109" t="e">
        <f>AND('GA55 Entry'!#REF!,"AAAAAFv9pxI=")</f>
        <v>#REF!</v>
      </c>
      <c r="T109" t="e">
        <f>AND('GA55 Entry'!#REF!,"AAAAAFv9pxM=")</f>
        <v>#REF!</v>
      </c>
      <c r="U109" t="e">
        <f>AND('GA55 Entry'!#REF!,"AAAAAFv9pxQ=")</f>
        <v>#REF!</v>
      </c>
      <c r="V109" t="e">
        <f>AND('GA55 Entry'!#REF!,"AAAAAFv9pxU=")</f>
        <v>#REF!</v>
      </c>
      <c r="W109" t="e">
        <f>AND('GA55 Entry'!#REF!,"AAAAAFv9pxY=")</f>
        <v>#REF!</v>
      </c>
      <c r="X109" t="e">
        <f>AND('GA55 Entry'!#REF!,"AAAAAFv9pxc=")</f>
        <v>#REF!</v>
      </c>
      <c r="Y109" t="e">
        <f>AND('GA55 Entry'!#REF!,"AAAAAFv9pxg=")</f>
        <v>#REF!</v>
      </c>
      <c r="Z109" t="e">
        <f>AND('GA55 Entry'!Z313,"AAAAAFv9pxk=")</f>
        <v>#VALUE!</v>
      </c>
      <c r="AA109" t="e">
        <f>AND('GA55 Entry'!AA313,"AAAAAFv9pxo=")</f>
        <v>#VALUE!</v>
      </c>
      <c r="AB109" t="e">
        <f>AND('GA55 Entry'!#REF!,"AAAAAFv9pxs=")</f>
        <v>#REF!</v>
      </c>
      <c r="AC109" t="e">
        <f>AND('GA55 Entry'!#REF!,"AAAAAFv9pxw=")</f>
        <v>#REF!</v>
      </c>
      <c r="AD109" t="e">
        <f>AND('GA55 Entry'!#REF!,"AAAAAFv9px0=")</f>
        <v>#REF!</v>
      </c>
      <c r="AE109" t="e">
        <f>AND('GA55 Entry'!AB313,"AAAAAFv9px4=")</f>
        <v>#VALUE!</v>
      </c>
      <c r="AF109" t="e">
        <f>AND('GA55 Entry'!AC313,"AAAAAFv9px8=")</f>
        <v>#VALUE!</v>
      </c>
      <c r="AG109" t="e">
        <f>AND('GA55 Entry'!#REF!,"AAAAAFv9pyA=")</f>
        <v>#REF!</v>
      </c>
      <c r="AH109">
        <f>IF('GA55 Entry'!314:314,"AAAAAFv9pyE=",0)</f>
        <v>0</v>
      </c>
      <c r="AI109" t="e">
        <f>AND('GA55 Entry'!B314,"AAAAAFv9pyI=")</f>
        <v>#VALUE!</v>
      </c>
      <c r="AJ109" t="e">
        <f>AND('GA55 Entry'!#REF!,"AAAAAFv9pyM=")</f>
        <v>#REF!</v>
      </c>
      <c r="AK109" t="e">
        <f>AND('GA55 Entry'!C314,"AAAAAFv9pyQ=")</f>
        <v>#VALUE!</v>
      </c>
      <c r="AL109" t="e">
        <f>AND('GA55 Entry'!#REF!,"AAAAAFv9pyU=")</f>
        <v>#REF!</v>
      </c>
      <c r="AM109" t="e">
        <f>AND('GA55 Entry'!#REF!,"AAAAAFv9pyY=")</f>
        <v>#REF!</v>
      </c>
      <c r="AN109" t="e">
        <f>AND('GA55 Entry'!#REF!,"AAAAAFv9pyc=")</f>
        <v>#REF!</v>
      </c>
      <c r="AO109" t="e">
        <f>AND('GA55 Entry'!#REF!,"AAAAAFv9pyg=")</f>
        <v>#REF!</v>
      </c>
      <c r="AP109" t="e">
        <f>AND('GA55 Entry'!#REF!,"AAAAAFv9pyk=")</f>
        <v>#REF!</v>
      </c>
      <c r="AQ109" t="e">
        <f>AND('GA55 Entry'!D314,"AAAAAFv9pyo=")</f>
        <v>#VALUE!</v>
      </c>
      <c r="AR109" t="e">
        <f>AND('GA55 Entry'!#REF!,"AAAAAFv9pys=")</f>
        <v>#REF!</v>
      </c>
      <c r="AS109" t="e">
        <f>AND('GA55 Entry'!E314,"AAAAAFv9pyw=")</f>
        <v>#VALUE!</v>
      </c>
      <c r="AT109" t="e">
        <f>AND('GA55 Entry'!F314,"AAAAAFv9py0=")</f>
        <v>#VALUE!</v>
      </c>
      <c r="AU109" t="e">
        <f>AND('GA55 Entry'!G314,"AAAAAFv9py4=")</f>
        <v>#VALUE!</v>
      </c>
      <c r="AV109" t="e">
        <f>AND('GA55 Entry'!H314,"AAAAAFv9py8=")</f>
        <v>#VALUE!</v>
      </c>
      <c r="AW109" t="e">
        <f>AND('GA55 Entry'!I314,"AAAAAFv9pzA=")</f>
        <v>#VALUE!</v>
      </c>
      <c r="AX109" t="e">
        <f>AND('GA55 Entry'!J314,"AAAAAFv9pzE=")</f>
        <v>#VALUE!</v>
      </c>
      <c r="AY109" t="e">
        <f>AND('GA55 Entry'!#REF!,"AAAAAFv9pzI=")</f>
        <v>#REF!</v>
      </c>
      <c r="AZ109" t="e">
        <f>AND('GA55 Entry'!K314,"AAAAAFv9pzM=")</f>
        <v>#VALUE!</v>
      </c>
      <c r="BA109" t="e">
        <f>AND('GA55 Entry'!L314,"AAAAAFv9pzQ=")</f>
        <v>#VALUE!</v>
      </c>
      <c r="BB109" t="e">
        <f>AND('GA55 Entry'!M314,"AAAAAFv9pzU=")</f>
        <v>#VALUE!</v>
      </c>
      <c r="BC109" t="e">
        <f>AND('GA55 Entry'!N314,"AAAAAFv9pzY=")</f>
        <v>#VALUE!</v>
      </c>
      <c r="BD109" t="e">
        <f>AND('GA55 Entry'!O314,"AAAAAFv9pzc=")</f>
        <v>#VALUE!</v>
      </c>
      <c r="BE109" t="e">
        <f>AND('GA55 Entry'!P314,"AAAAAFv9pzg=")</f>
        <v>#VALUE!</v>
      </c>
      <c r="BF109" t="e">
        <f>AND('GA55 Entry'!Q314,"AAAAAFv9pzk=")</f>
        <v>#VALUE!</v>
      </c>
      <c r="BG109" t="e">
        <f>AND('GA55 Entry'!S314,"AAAAAFv9pzo=")</f>
        <v>#VALUE!</v>
      </c>
      <c r="BH109" t="e">
        <f>AND('GA55 Entry'!#REF!,"AAAAAFv9pzs=")</f>
        <v>#REF!</v>
      </c>
      <c r="BI109" t="e">
        <f>AND('GA55 Entry'!T314,"AAAAAFv9pzw=")</f>
        <v>#VALUE!</v>
      </c>
      <c r="BJ109" t="e">
        <f>AND('GA55 Entry'!U314,"AAAAAFv9pz0=")</f>
        <v>#VALUE!</v>
      </c>
      <c r="BK109" t="e">
        <f>AND('GA55 Entry'!V314,"AAAAAFv9pz4=")</f>
        <v>#VALUE!</v>
      </c>
      <c r="BL109" t="e">
        <f>AND('GA55 Entry'!#REF!,"AAAAAFv9pz8=")</f>
        <v>#REF!</v>
      </c>
      <c r="BM109" t="e">
        <f>AND('GA55 Entry'!#REF!,"AAAAAFv9p0A=")</f>
        <v>#REF!</v>
      </c>
      <c r="BN109" t="e">
        <f>AND('GA55 Entry'!X314,"AAAAAFv9p0E=")</f>
        <v>#VALUE!</v>
      </c>
      <c r="BO109" t="e">
        <f>AND('GA55 Entry'!Y314,"AAAAAFv9p0I=")</f>
        <v>#VALUE!</v>
      </c>
      <c r="BP109" t="e">
        <f>AND('GA55 Entry'!#REF!,"AAAAAFv9p0M=")</f>
        <v>#REF!</v>
      </c>
      <c r="BQ109" t="e">
        <f>AND('GA55 Entry'!#REF!,"AAAAAFv9p0Q=")</f>
        <v>#REF!</v>
      </c>
      <c r="BR109" t="e">
        <f>AND('GA55 Entry'!#REF!,"AAAAAFv9p0U=")</f>
        <v>#REF!</v>
      </c>
      <c r="BS109" t="e">
        <f>AND('GA55 Entry'!#REF!,"AAAAAFv9p0Y=")</f>
        <v>#REF!</v>
      </c>
      <c r="BT109" t="e">
        <f>AND('GA55 Entry'!#REF!,"AAAAAFv9p0c=")</f>
        <v>#REF!</v>
      </c>
      <c r="BU109" t="e">
        <f>AND('GA55 Entry'!#REF!,"AAAAAFv9p0g=")</f>
        <v>#REF!</v>
      </c>
      <c r="BV109" t="e">
        <f>AND('GA55 Entry'!#REF!,"AAAAAFv9p0k=")</f>
        <v>#REF!</v>
      </c>
      <c r="BW109" t="e">
        <f>AND('GA55 Entry'!#REF!,"AAAAAFv9p0o=")</f>
        <v>#REF!</v>
      </c>
      <c r="BX109" t="e">
        <f>AND('GA55 Entry'!#REF!,"AAAAAFv9p0s=")</f>
        <v>#REF!</v>
      </c>
      <c r="BY109" t="e">
        <f>AND('GA55 Entry'!Z314,"AAAAAFv9p0w=")</f>
        <v>#VALUE!</v>
      </c>
      <c r="BZ109" t="e">
        <f>AND('GA55 Entry'!AA314,"AAAAAFv9p00=")</f>
        <v>#VALUE!</v>
      </c>
      <c r="CA109" t="e">
        <f>AND('GA55 Entry'!#REF!,"AAAAAFv9p04=")</f>
        <v>#REF!</v>
      </c>
      <c r="CB109" t="e">
        <f>AND('GA55 Entry'!#REF!,"AAAAAFv9p08=")</f>
        <v>#REF!</v>
      </c>
      <c r="CC109" t="e">
        <f>AND('GA55 Entry'!#REF!,"AAAAAFv9p1A=")</f>
        <v>#REF!</v>
      </c>
      <c r="CD109" t="e">
        <f>AND('GA55 Entry'!AB314,"AAAAAFv9p1E=")</f>
        <v>#VALUE!</v>
      </c>
      <c r="CE109" t="e">
        <f>AND('GA55 Entry'!AC314,"AAAAAFv9p1I=")</f>
        <v>#VALUE!</v>
      </c>
      <c r="CF109" t="e">
        <f>AND('GA55 Entry'!#REF!,"AAAAAFv9p1M=")</f>
        <v>#REF!</v>
      </c>
      <c r="CG109">
        <f>IF('GA55 Entry'!315:315,"AAAAAFv9p1Q=",0)</f>
        <v>0</v>
      </c>
      <c r="CH109" t="e">
        <f>AND('GA55 Entry'!B315,"AAAAAFv9p1U=")</f>
        <v>#VALUE!</v>
      </c>
      <c r="CI109" t="e">
        <f>AND('GA55 Entry'!#REF!,"AAAAAFv9p1Y=")</f>
        <v>#REF!</v>
      </c>
      <c r="CJ109" t="e">
        <f>AND('GA55 Entry'!C315,"AAAAAFv9p1c=")</f>
        <v>#VALUE!</v>
      </c>
      <c r="CK109" t="e">
        <f>AND('GA55 Entry'!#REF!,"AAAAAFv9p1g=")</f>
        <v>#REF!</v>
      </c>
      <c r="CL109" t="e">
        <f>AND('GA55 Entry'!#REF!,"AAAAAFv9p1k=")</f>
        <v>#REF!</v>
      </c>
      <c r="CM109" t="e">
        <f>AND('GA55 Entry'!#REF!,"AAAAAFv9p1o=")</f>
        <v>#REF!</v>
      </c>
      <c r="CN109" t="e">
        <f>AND('GA55 Entry'!#REF!,"AAAAAFv9p1s=")</f>
        <v>#REF!</v>
      </c>
      <c r="CO109" t="e">
        <f>AND('GA55 Entry'!#REF!,"AAAAAFv9p1w=")</f>
        <v>#REF!</v>
      </c>
      <c r="CP109" t="e">
        <f>AND('GA55 Entry'!D315,"AAAAAFv9p10=")</f>
        <v>#VALUE!</v>
      </c>
      <c r="CQ109" t="e">
        <f>AND('GA55 Entry'!#REF!,"AAAAAFv9p14=")</f>
        <v>#REF!</v>
      </c>
      <c r="CR109" t="e">
        <f>AND('GA55 Entry'!E315,"AAAAAFv9p18=")</f>
        <v>#VALUE!</v>
      </c>
      <c r="CS109" t="e">
        <f>AND('GA55 Entry'!F315,"AAAAAFv9p2A=")</f>
        <v>#VALUE!</v>
      </c>
      <c r="CT109" t="e">
        <f>AND('GA55 Entry'!G315,"AAAAAFv9p2E=")</f>
        <v>#VALUE!</v>
      </c>
      <c r="CU109" t="e">
        <f>AND('GA55 Entry'!H315,"AAAAAFv9p2I=")</f>
        <v>#VALUE!</v>
      </c>
      <c r="CV109" t="e">
        <f>AND('GA55 Entry'!I315,"AAAAAFv9p2M=")</f>
        <v>#VALUE!</v>
      </c>
      <c r="CW109" t="e">
        <f>AND('GA55 Entry'!J315,"AAAAAFv9p2Q=")</f>
        <v>#VALUE!</v>
      </c>
      <c r="CX109" t="e">
        <f>AND('GA55 Entry'!#REF!,"AAAAAFv9p2U=")</f>
        <v>#REF!</v>
      </c>
      <c r="CY109" t="e">
        <f>AND('GA55 Entry'!K315,"AAAAAFv9p2Y=")</f>
        <v>#VALUE!</v>
      </c>
      <c r="CZ109" t="e">
        <f>AND('GA55 Entry'!L315,"AAAAAFv9p2c=")</f>
        <v>#VALUE!</v>
      </c>
      <c r="DA109" t="e">
        <f>AND('GA55 Entry'!M315,"AAAAAFv9p2g=")</f>
        <v>#VALUE!</v>
      </c>
      <c r="DB109" t="e">
        <f>AND('GA55 Entry'!N315,"AAAAAFv9p2k=")</f>
        <v>#VALUE!</v>
      </c>
      <c r="DC109" t="e">
        <f>AND('GA55 Entry'!O315,"AAAAAFv9p2o=")</f>
        <v>#VALUE!</v>
      </c>
      <c r="DD109" t="e">
        <f>AND('GA55 Entry'!P315,"AAAAAFv9p2s=")</f>
        <v>#VALUE!</v>
      </c>
      <c r="DE109" t="e">
        <f>AND('GA55 Entry'!Q315,"AAAAAFv9p2w=")</f>
        <v>#VALUE!</v>
      </c>
      <c r="DF109" t="e">
        <f>AND('GA55 Entry'!S315,"AAAAAFv9p20=")</f>
        <v>#VALUE!</v>
      </c>
      <c r="DG109" t="e">
        <f>AND('GA55 Entry'!#REF!,"AAAAAFv9p24=")</f>
        <v>#REF!</v>
      </c>
      <c r="DH109" t="e">
        <f>AND('GA55 Entry'!T315,"AAAAAFv9p28=")</f>
        <v>#VALUE!</v>
      </c>
      <c r="DI109" t="e">
        <f>AND('GA55 Entry'!U315,"AAAAAFv9p3A=")</f>
        <v>#VALUE!</v>
      </c>
      <c r="DJ109" t="e">
        <f>AND('GA55 Entry'!V315,"AAAAAFv9p3E=")</f>
        <v>#VALUE!</v>
      </c>
      <c r="DK109" t="e">
        <f>AND('GA55 Entry'!#REF!,"AAAAAFv9p3I=")</f>
        <v>#REF!</v>
      </c>
      <c r="DL109" t="e">
        <f>AND('GA55 Entry'!#REF!,"AAAAAFv9p3M=")</f>
        <v>#REF!</v>
      </c>
      <c r="DM109" t="e">
        <f>AND('GA55 Entry'!X315,"AAAAAFv9p3Q=")</f>
        <v>#VALUE!</v>
      </c>
      <c r="DN109" t="e">
        <f>AND('GA55 Entry'!Y315,"AAAAAFv9p3U=")</f>
        <v>#VALUE!</v>
      </c>
      <c r="DO109" t="e">
        <f>AND('GA55 Entry'!#REF!,"AAAAAFv9p3Y=")</f>
        <v>#REF!</v>
      </c>
      <c r="DP109" t="e">
        <f>AND('GA55 Entry'!#REF!,"AAAAAFv9p3c=")</f>
        <v>#REF!</v>
      </c>
      <c r="DQ109" t="e">
        <f>AND('GA55 Entry'!#REF!,"AAAAAFv9p3g=")</f>
        <v>#REF!</v>
      </c>
      <c r="DR109" t="e">
        <f>AND('GA55 Entry'!#REF!,"AAAAAFv9p3k=")</f>
        <v>#REF!</v>
      </c>
      <c r="DS109" t="e">
        <f>AND('GA55 Entry'!#REF!,"AAAAAFv9p3o=")</f>
        <v>#REF!</v>
      </c>
      <c r="DT109" t="e">
        <f>AND('GA55 Entry'!#REF!,"AAAAAFv9p3s=")</f>
        <v>#REF!</v>
      </c>
      <c r="DU109" t="e">
        <f>AND('GA55 Entry'!#REF!,"AAAAAFv9p3w=")</f>
        <v>#REF!</v>
      </c>
      <c r="DV109" t="e">
        <f>AND('GA55 Entry'!#REF!,"AAAAAFv9p30=")</f>
        <v>#REF!</v>
      </c>
      <c r="DW109" t="e">
        <f>AND('GA55 Entry'!#REF!,"AAAAAFv9p34=")</f>
        <v>#REF!</v>
      </c>
      <c r="DX109" t="e">
        <f>AND('GA55 Entry'!Z315,"AAAAAFv9p38=")</f>
        <v>#VALUE!</v>
      </c>
      <c r="DY109" t="e">
        <f>AND('GA55 Entry'!AA315,"AAAAAFv9p4A=")</f>
        <v>#VALUE!</v>
      </c>
      <c r="DZ109" t="e">
        <f>AND('GA55 Entry'!#REF!,"AAAAAFv9p4E=")</f>
        <v>#REF!</v>
      </c>
      <c r="EA109" t="e">
        <f>AND('GA55 Entry'!#REF!,"AAAAAFv9p4I=")</f>
        <v>#REF!</v>
      </c>
      <c r="EB109" t="e">
        <f>AND('GA55 Entry'!#REF!,"AAAAAFv9p4M=")</f>
        <v>#REF!</v>
      </c>
      <c r="EC109" t="e">
        <f>AND('GA55 Entry'!AB315,"AAAAAFv9p4Q=")</f>
        <v>#VALUE!</v>
      </c>
      <c r="ED109" t="e">
        <f>AND('GA55 Entry'!AC315,"AAAAAFv9p4U=")</f>
        <v>#VALUE!</v>
      </c>
      <c r="EE109" t="e">
        <f>AND('GA55 Entry'!#REF!,"AAAAAFv9p4Y=")</f>
        <v>#REF!</v>
      </c>
      <c r="EF109">
        <f>IF('GA55 Entry'!316:316,"AAAAAFv9p4c=",0)</f>
        <v>0</v>
      </c>
      <c r="EG109" t="e">
        <f>AND('GA55 Entry'!B316,"AAAAAFv9p4g=")</f>
        <v>#VALUE!</v>
      </c>
      <c r="EH109" t="e">
        <f>AND('GA55 Entry'!#REF!,"AAAAAFv9p4k=")</f>
        <v>#REF!</v>
      </c>
      <c r="EI109" t="e">
        <f>AND('GA55 Entry'!C316,"AAAAAFv9p4o=")</f>
        <v>#VALUE!</v>
      </c>
      <c r="EJ109" t="e">
        <f>AND('GA55 Entry'!#REF!,"AAAAAFv9p4s=")</f>
        <v>#REF!</v>
      </c>
      <c r="EK109" t="e">
        <f>AND('GA55 Entry'!#REF!,"AAAAAFv9p4w=")</f>
        <v>#REF!</v>
      </c>
      <c r="EL109" t="e">
        <f>AND('GA55 Entry'!#REF!,"AAAAAFv9p40=")</f>
        <v>#REF!</v>
      </c>
      <c r="EM109" t="e">
        <f>AND('GA55 Entry'!#REF!,"AAAAAFv9p44=")</f>
        <v>#REF!</v>
      </c>
      <c r="EN109" t="e">
        <f>AND('GA55 Entry'!#REF!,"AAAAAFv9p48=")</f>
        <v>#REF!</v>
      </c>
      <c r="EO109" t="e">
        <f>AND('GA55 Entry'!D316,"AAAAAFv9p5A=")</f>
        <v>#VALUE!</v>
      </c>
      <c r="EP109" t="e">
        <f>AND('GA55 Entry'!#REF!,"AAAAAFv9p5E=")</f>
        <v>#REF!</v>
      </c>
      <c r="EQ109" t="e">
        <f>AND('GA55 Entry'!E316,"AAAAAFv9p5I=")</f>
        <v>#VALUE!</v>
      </c>
      <c r="ER109" t="e">
        <f>AND('GA55 Entry'!F316,"AAAAAFv9p5M=")</f>
        <v>#VALUE!</v>
      </c>
      <c r="ES109" t="e">
        <f>AND('GA55 Entry'!G316,"AAAAAFv9p5Q=")</f>
        <v>#VALUE!</v>
      </c>
      <c r="ET109" t="e">
        <f>AND('GA55 Entry'!H316,"AAAAAFv9p5U=")</f>
        <v>#VALUE!</v>
      </c>
      <c r="EU109" t="e">
        <f>AND('GA55 Entry'!I316,"AAAAAFv9p5Y=")</f>
        <v>#VALUE!</v>
      </c>
      <c r="EV109" t="e">
        <f>AND('GA55 Entry'!J316,"AAAAAFv9p5c=")</f>
        <v>#VALUE!</v>
      </c>
      <c r="EW109" t="e">
        <f>AND('GA55 Entry'!#REF!,"AAAAAFv9p5g=")</f>
        <v>#REF!</v>
      </c>
      <c r="EX109" t="e">
        <f>AND('GA55 Entry'!K316,"AAAAAFv9p5k=")</f>
        <v>#VALUE!</v>
      </c>
      <c r="EY109" t="e">
        <f>AND('GA55 Entry'!L316,"AAAAAFv9p5o=")</f>
        <v>#VALUE!</v>
      </c>
      <c r="EZ109" t="e">
        <f>AND('GA55 Entry'!M316,"AAAAAFv9p5s=")</f>
        <v>#VALUE!</v>
      </c>
      <c r="FA109" t="e">
        <f>AND('GA55 Entry'!N316,"AAAAAFv9p5w=")</f>
        <v>#VALUE!</v>
      </c>
      <c r="FB109" t="e">
        <f>AND('GA55 Entry'!O316,"AAAAAFv9p50=")</f>
        <v>#VALUE!</v>
      </c>
      <c r="FC109" t="e">
        <f>AND('GA55 Entry'!P316,"AAAAAFv9p54=")</f>
        <v>#VALUE!</v>
      </c>
      <c r="FD109" t="e">
        <f>AND('GA55 Entry'!Q316,"AAAAAFv9p58=")</f>
        <v>#VALUE!</v>
      </c>
      <c r="FE109" t="e">
        <f>AND('GA55 Entry'!S316,"AAAAAFv9p6A=")</f>
        <v>#VALUE!</v>
      </c>
      <c r="FF109" t="e">
        <f>AND('GA55 Entry'!#REF!,"AAAAAFv9p6E=")</f>
        <v>#REF!</v>
      </c>
      <c r="FG109" t="e">
        <f>AND('GA55 Entry'!T316,"AAAAAFv9p6I=")</f>
        <v>#VALUE!</v>
      </c>
      <c r="FH109" t="e">
        <f>AND('GA55 Entry'!U316,"AAAAAFv9p6M=")</f>
        <v>#VALUE!</v>
      </c>
      <c r="FI109" t="e">
        <f>AND('GA55 Entry'!V316,"AAAAAFv9p6Q=")</f>
        <v>#VALUE!</v>
      </c>
      <c r="FJ109" t="e">
        <f>AND('GA55 Entry'!#REF!,"AAAAAFv9p6U=")</f>
        <v>#REF!</v>
      </c>
      <c r="FK109" t="e">
        <f>AND('GA55 Entry'!#REF!,"AAAAAFv9p6Y=")</f>
        <v>#REF!</v>
      </c>
      <c r="FL109" t="e">
        <f>AND('GA55 Entry'!X316,"AAAAAFv9p6c=")</f>
        <v>#VALUE!</v>
      </c>
      <c r="FM109" t="e">
        <f>AND('GA55 Entry'!Y316,"AAAAAFv9p6g=")</f>
        <v>#VALUE!</v>
      </c>
      <c r="FN109" t="e">
        <f>AND('GA55 Entry'!#REF!,"AAAAAFv9p6k=")</f>
        <v>#REF!</v>
      </c>
      <c r="FO109" t="e">
        <f>AND('GA55 Entry'!#REF!,"AAAAAFv9p6o=")</f>
        <v>#REF!</v>
      </c>
      <c r="FP109" t="e">
        <f>AND('GA55 Entry'!#REF!,"AAAAAFv9p6s=")</f>
        <v>#REF!</v>
      </c>
      <c r="FQ109" t="e">
        <f>AND('GA55 Entry'!#REF!,"AAAAAFv9p6w=")</f>
        <v>#REF!</v>
      </c>
      <c r="FR109" t="e">
        <f>AND('GA55 Entry'!#REF!,"AAAAAFv9p60=")</f>
        <v>#REF!</v>
      </c>
      <c r="FS109" t="e">
        <f>AND('GA55 Entry'!#REF!,"AAAAAFv9p64=")</f>
        <v>#REF!</v>
      </c>
      <c r="FT109" t="e">
        <f>AND('GA55 Entry'!#REF!,"AAAAAFv9p68=")</f>
        <v>#REF!</v>
      </c>
      <c r="FU109" t="e">
        <f>AND('GA55 Entry'!#REF!,"AAAAAFv9p7A=")</f>
        <v>#REF!</v>
      </c>
      <c r="FV109" t="e">
        <f>AND('GA55 Entry'!#REF!,"AAAAAFv9p7E=")</f>
        <v>#REF!</v>
      </c>
      <c r="FW109" t="e">
        <f>AND('GA55 Entry'!Z316,"AAAAAFv9p7I=")</f>
        <v>#VALUE!</v>
      </c>
      <c r="FX109" t="e">
        <f>AND('GA55 Entry'!AA316,"AAAAAFv9p7M=")</f>
        <v>#VALUE!</v>
      </c>
      <c r="FY109" t="e">
        <f>AND('GA55 Entry'!#REF!,"AAAAAFv9p7Q=")</f>
        <v>#REF!</v>
      </c>
      <c r="FZ109" t="e">
        <f>AND('GA55 Entry'!#REF!,"AAAAAFv9p7U=")</f>
        <v>#REF!</v>
      </c>
      <c r="GA109" t="e">
        <f>AND('GA55 Entry'!#REF!,"AAAAAFv9p7Y=")</f>
        <v>#REF!</v>
      </c>
      <c r="GB109" t="e">
        <f>AND('GA55 Entry'!AB316,"AAAAAFv9p7c=")</f>
        <v>#VALUE!</v>
      </c>
      <c r="GC109" t="e">
        <f>AND('GA55 Entry'!AC316,"AAAAAFv9p7g=")</f>
        <v>#VALUE!</v>
      </c>
      <c r="GD109" t="e">
        <f>AND('GA55 Entry'!#REF!,"AAAAAFv9p7k=")</f>
        <v>#REF!</v>
      </c>
      <c r="GE109">
        <f>IF('GA55 Entry'!317:317,"AAAAAFv9p7o=",0)</f>
        <v>0</v>
      </c>
      <c r="GF109" t="e">
        <f>AND('GA55 Entry'!B317,"AAAAAFv9p7s=")</f>
        <v>#VALUE!</v>
      </c>
      <c r="GG109" t="e">
        <f>AND('GA55 Entry'!#REF!,"AAAAAFv9p7w=")</f>
        <v>#REF!</v>
      </c>
      <c r="GH109" t="e">
        <f>AND('GA55 Entry'!C317,"AAAAAFv9p70=")</f>
        <v>#VALUE!</v>
      </c>
      <c r="GI109" t="e">
        <f>AND('GA55 Entry'!#REF!,"AAAAAFv9p74=")</f>
        <v>#REF!</v>
      </c>
      <c r="GJ109" t="e">
        <f>AND('GA55 Entry'!#REF!,"AAAAAFv9p78=")</f>
        <v>#REF!</v>
      </c>
      <c r="GK109" t="e">
        <f>AND('GA55 Entry'!#REF!,"AAAAAFv9p8A=")</f>
        <v>#REF!</v>
      </c>
      <c r="GL109" t="e">
        <f>AND('GA55 Entry'!#REF!,"AAAAAFv9p8E=")</f>
        <v>#REF!</v>
      </c>
      <c r="GM109" t="e">
        <f>AND('GA55 Entry'!#REF!,"AAAAAFv9p8I=")</f>
        <v>#REF!</v>
      </c>
      <c r="GN109" t="e">
        <f>AND('GA55 Entry'!D317,"AAAAAFv9p8M=")</f>
        <v>#VALUE!</v>
      </c>
      <c r="GO109" t="e">
        <f>AND('GA55 Entry'!#REF!,"AAAAAFv9p8Q=")</f>
        <v>#REF!</v>
      </c>
      <c r="GP109" t="e">
        <f>AND('GA55 Entry'!E317,"AAAAAFv9p8U=")</f>
        <v>#VALUE!</v>
      </c>
      <c r="GQ109" t="e">
        <f>AND('GA55 Entry'!F317,"AAAAAFv9p8Y=")</f>
        <v>#VALUE!</v>
      </c>
      <c r="GR109" t="e">
        <f>AND('GA55 Entry'!G317,"AAAAAFv9p8c=")</f>
        <v>#VALUE!</v>
      </c>
      <c r="GS109" t="e">
        <f>AND('GA55 Entry'!H317,"AAAAAFv9p8g=")</f>
        <v>#VALUE!</v>
      </c>
      <c r="GT109" t="e">
        <f>AND('GA55 Entry'!I317,"AAAAAFv9p8k=")</f>
        <v>#VALUE!</v>
      </c>
      <c r="GU109" t="e">
        <f>AND('GA55 Entry'!J317,"AAAAAFv9p8o=")</f>
        <v>#VALUE!</v>
      </c>
      <c r="GV109" t="e">
        <f>AND('GA55 Entry'!#REF!,"AAAAAFv9p8s=")</f>
        <v>#REF!</v>
      </c>
      <c r="GW109" t="e">
        <f>AND('GA55 Entry'!K317,"AAAAAFv9p8w=")</f>
        <v>#VALUE!</v>
      </c>
      <c r="GX109" t="e">
        <f>AND('GA55 Entry'!L317,"AAAAAFv9p80=")</f>
        <v>#VALUE!</v>
      </c>
      <c r="GY109" t="e">
        <f>AND('GA55 Entry'!M317,"AAAAAFv9p84=")</f>
        <v>#VALUE!</v>
      </c>
      <c r="GZ109" t="e">
        <f>AND('GA55 Entry'!N317,"AAAAAFv9p88=")</f>
        <v>#VALUE!</v>
      </c>
      <c r="HA109" t="e">
        <f>AND('GA55 Entry'!O317,"AAAAAFv9p9A=")</f>
        <v>#VALUE!</v>
      </c>
      <c r="HB109" t="e">
        <f>AND('GA55 Entry'!P317,"AAAAAFv9p9E=")</f>
        <v>#VALUE!</v>
      </c>
      <c r="HC109" t="e">
        <f>AND('GA55 Entry'!Q317,"AAAAAFv9p9I=")</f>
        <v>#VALUE!</v>
      </c>
      <c r="HD109" t="e">
        <f>AND('GA55 Entry'!S317,"AAAAAFv9p9M=")</f>
        <v>#VALUE!</v>
      </c>
      <c r="HE109" t="e">
        <f>AND('GA55 Entry'!#REF!,"AAAAAFv9p9Q=")</f>
        <v>#REF!</v>
      </c>
      <c r="HF109" t="e">
        <f>AND('GA55 Entry'!T317,"AAAAAFv9p9U=")</f>
        <v>#VALUE!</v>
      </c>
      <c r="HG109" t="e">
        <f>AND('GA55 Entry'!U317,"AAAAAFv9p9Y=")</f>
        <v>#VALUE!</v>
      </c>
      <c r="HH109" t="e">
        <f>AND('GA55 Entry'!V317,"AAAAAFv9p9c=")</f>
        <v>#VALUE!</v>
      </c>
      <c r="HI109" t="e">
        <f>AND('GA55 Entry'!#REF!,"AAAAAFv9p9g=")</f>
        <v>#REF!</v>
      </c>
      <c r="HJ109" t="e">
        <f>AND('GA55 Entry'!#REF!,"AAAAAFv9p9k=")</f>
        <v>#REF!</v>
      </c>
      <c r="HK109" t="e">
        <f>AND('GA55 Entry'!X317,"AAAAAFv9p9o=")</f>
        <v>#VALUE!</v>
      </c>
      <c r="HL109" t="e">
        <f>AND('GA55 Entry'!Y317,"AAAAAFv9p9s=")</f>
        <v>#VALUE!</v>
      </c>
      <c r="HM109" t="e">
        <f>AND('GA55 Entry'!#REF!,"AAAAAFv9p9w=")</f>
        <v>#REF!</v>
      </c>
      <c r="HN109" t="e">
        <f>AND('GA55 Entry'!#REF!,"AAAAAFv9p90=")</f>
        <v>#REF!</v>
      </c>
      <c r="HO109" t="e">
        <f>AND('GA55 Entry'!#REF!,"AAAAAFv9p94=")</f>
        <v>#REF!</v>
      </c>
      <c r="HP109" t="e">
        <f>AND('GA55 Entry'!#REF!,"AAAAAFv9p98=")</f>
        <v>#REF!</v>
      </c>
      <c r="HQ109" t="e">
        <f>AND('GA55 Entry'!#REF!,"AAAAAFv9p+A=")</f>
        <v>#REF!</v>
      </c>
      <c r="HR109" t="e">
        <f>AND('GA55 Entry'!#REF!,"AAAAAFv9p+E=")</f>
        <v>#REF!</v>
      </c>
      <c r="HS109" t="e">
        <f>AND('GA55 Entry'!#REF!,"AAAAAFv9p+I=")</f>
        <v>#REF!</v>
      </c>
      <c r="HT109" t="e">
        <f>AND('GA55 Entry'!#REF!,"AAAAAFv9p+M=")</f>
        <v>#REF!</v>
      </c>
      <c r="HU109" t="e">
        <f>AND('GA55 Entry'!#REF!,"AAAAAFv9p+Q=")</f>
        <v>#REF!</v>
      </c>
      <c r="HV109" t="e">
        <f>AND('GA55 Entry'!Z317,"AAAAAFv9p+U=")</f>
        <v>#VALUE!</v>
      </c>
      <c r="HW109" t="e">
        <f>AND('GA55 Entry'!AA317,"AAAAAFv9p+Y=")</f>
        <v>#VALUE!</v>
      </c>
      <c r="HX109" t="e">
        <f>AND('GA55 Entry'!#REF!,"AAAAAFv9p+c=")</f>
        <v>#REF!</v>
      </c>
      <c r="HY109" t="e">
        <f>AND('GA55 Entry'!#REF!,"AAAAAFv9p+g=")</f>
        <v>#REF!</v>
      </c>
      <c r="HZ109" t="e">
        <f>AND('GA55 Entry'!#REF!,"AAAAAFv9p+k=")</f>
        <v>#REF!</v>
      </c>
      <c r="IA109" t="e">
        <f>AND('GA55 Entry'!AB317,"AAAAAFv9p+o=")</f>
        <v>#VALUE!</v>
      </c>
      <c r="IB109" t="e">
        <f>AND('GA55 Entry'!AC317,"AAAAAFv9p+s=")</f>
        <v>#VALUE!</v>
      </c>
      <c r="IC109" t="e">
        <f>AND('GA55 Entry'!#REF!,"AAAAAFv9p+w=")</f>
        <v>#REF!</v>
      </c>
      <c r="ID109">
        <f>IF('GA55 Entry'!318:318,"AAAAAFv9p+0=",0)</f>
        <v>0</v>
      </c>
      <c r="IE109" t="e">
        <f>AND('GA55 Entry'!B318,"AAAAAFv9p+4=")</f>
        <v>#VALUE!</v>
      </c>
      <c r="IF109" t="e">
        <f>AND('GA55 Entry'!#REF!,"AAAAAFv9p+8=")</f>
        <v>#REF!</v>
      </c>
      <c r="IG109" t="e">
        <f>AND('GA55 Entry'!C318,"AAAAAFv9p/A=")</f>
        <v>#VALUE!</v>
      </c>
      <c r="IH109" t="e">
        <f>AND('GA55 Entry'!#REF!,"AAAAAFv9p/E=")</f>
        <v>#REF!</v>
      </c>
      <c r="II109" t="e">
        <f>AND('GA55 Entry'!#REF!,"AAAAAFv9p/I=")</f>
        <v>#REF!</v>
      </c>
      <c r="IJ109" t="e">
        <f>AND('GA55 Entry'!#REF!,"AAAAAFv9p/M=")</f>
        <v>#REF!</v>
      </c>
      <c r="IK109" t="e">
        <f>AND('GA55 Entry'!#REF!,"AAAAAFv9p/Q=")</f>
        <v>#REF!</v>
      </c>
      <c r="IL109" t="e">
        <f>AND('GA55 Entry'!#REF!,"AAAAAFv9p/U=")</f>
        <v>#REF!</v>
      </c>
      <c r="IM109" t="e">
        <f>AND('GA55 Entry'!D318,"AAAAAFv9p/Y=")</f>
        <v>#VALUE!</v>
      </c>
      <c r="IN109" t="e">
        <f>AND('GA55 Entry'!#REF!,"AAAAAFv9p/c=")</f>
        <v>#REF!</v>
      </c>
      <c r="IO109" t="e">
        <f>AND('GA55 Entry'!E318,"AAAAAFv9p/g=")</f>
        <v>#VALUE!</v>
      </c>
      <c r="IP109" t="e">
        <f>AND('GA55 Entry'!F318,"AAAAAFv9p/k=")</f>
        <v>#VALUE!</v>
      </c>
      <c r="IQ109" t="e">
        <f>AND('GA55 Entry'!G318,"AAAAAFv9p/o=")</f>
        <v>#VALUE!</v>
      </c>
      <c r="IR109" t="e">
        <f>AND('GA55 Entry'!H318,"AAAAAFv9p/s=")</f>
        <v>#VALUE!</v>
      </c>
      <c r="IS109" t="e">
        <f>AND('GA55 Entry'!I318,"AAAAAFv9p/w=")</f>
        <v>#VALUE!</v>
      </c>
      <c r="IT109" t="e">
        <f>AND('GA55 Entry'!J318,"AAAAAFv9p/0=")</f>
        <v>#VALUE!</v>
      </c>
      <c r="IU109" t="e">
        <f>AND('GA55 Entry'!#REF!,"AAAAAFv9p/4=")</f>
        <v>#REF!</v>
      </c>
      <c r="IV109" t="e">
        <f>AND('GA55 Entry'!K318,"AAAAAFv9p/8=")</f>
        <v>#VALUE!</v>
      </c>
    </row>
    <row r="110" spans="1:256">
      <c r="A110" t="e">
        <f>AND('GA55 Entry'!L318,"AAAAAGL/rwA=")</f>
        <v>#VALUE!</v>
      </c>
      <c r="B110" t="e">
        <f>AND('GA55 Entry'!M318,"AAAAAGL/rwE=")</f>
        <v>#VALUE!</v>
      </c>
      <c r="C110" t="e">
        <f>AND('GA55 Entry'!N318,"AAAAAGL/rwI=")</f>
        <v>#VALUE!</v>
      </c>
      <c r="D110" t="e">
        <f>AND('GA55 Entry'!O318,"AAAAAGL/rwM=")</f>
        <v>#VALUE!</v>
      </c>
      <c r="E110" t="e">
        <f>AND('GA55 Entry'!P318,"AAAAAGL/rwQ=")</f>
        <v>#VALUE!</v>
      </c>
      <c r="F110" t="e">
        <f>AND('GA55 Entry'!Q318,"AAAAAGL/rwU=")</f>
        <v>#VALUE!</v>
      </c>
      <c r="G110" t="e">
        <f>AND('GA55 Entry'!S318,"AAAAAGL/rwY=")</f>
        <v>#VALUE!</v>
      </c>
      <c r="H110" t="e">
        <f>AND('GA55 Entry'!#REF!,"AAAAAGL/rwc=")</f>
        <v>#REF!</v>
      </c>
      <c r="I110" t="e">
        <f>AND('GA55 Entry'!T318,"AAAAAGL/rwg=")</f>
        <v>#VALUE!</v>
      </c>
      <c r="J110" t="e">
        <f>AND('GA55 Entry'!U318,"AAAAAGL/rwk=")</f>
        <v>#VALUE!</v>
      </c>
      <c r="K110" t="e">
        <f>AND('GA55 Entry'!V318,"AAAAAGL/rwo=")</f>
        <v>#VALUE!</v>
      </c>
      <c r="L110" t="e">
        <f>AND('GA55 Entry'!#REF!,"AAAAAGL/rws=")</f>
        <v>#REF!</v>
      </c>
      <c r="M110" t="e">
        <f>AND('GA55 Entry'!#REF!,"AAAAAGL/rww=")</f>
        <v>#REF!</v>
      </c>
      <c r="N110" t="e">
        <f>AND('GA55 Entry'!X318,"AAAAAGL/rw0=")</f>
        <v>#VALUE!</v>
      </c>
      <c r="O110" t="e">
        <f>AND('GA55 Entry'!Y318,"AAAAAGL/rw4=")</f>
        <v>#VALUE!</v>
      </c>
      <c r="P110" t="e">
        <f>AND('GA55 Entry'!#REF!,"AAAAAGL/rw8=")</f>
        <v>#REF!</v>
      </c>
      <c r="Q110" t="e">
        <f>AND('GA55 Entry'!#REF!,"AAAAAGL/rxA=")</f>
        <v>#REF!</v>
      </c>
      <c r="R110" t="e">
        <f>AND('GA55 Entry'!#REF!,"AAAAAGL/rxE=")</f>
        <v>#REF!</v>
      </c>
      <c r="S110" t="e">
        <f>AND('GA55 Entry'!#REF!,"AAAAAGL/rxI=")</f>
        <v>#REF!</v>
      </c>
      <c r="T110" t="e">
        <f>AND('GA55 Entry'!#REF!,"AAAAAGL/rxM=")</f>
        <v>#REF!</v>
      </c>
      <c r="U110" t="e">
        <f>AND('GA55 Entry'!#REF!,"AAAAAGL/rxQ=")</f>
        <v>#REF!</v>
      </c>
      <c r="V110" t="e">
        <f>AND('GA55 Entry'!#REF!,"AAAAAGL/rxU=")</f>
        <v>#REF!</v>
      </c>
      <c r="W110" t="e">
        <f>AND('GA55 Entry'!#REF!,"AAAAAGL/rxY=")</f>
        <v>#REF!</v>
      </c>
      <c r="X110" t="e">
        <f>AND('GA55 Entry'!#REF!,"AAAAAGL/rxc=")</f>
        <v>#REF!</v>
      </c>
      <c r="Y110" t="e">
        <f>AND('GA55 Entry'!Z318,"AAAAAGL/rxg=")</f>
        <v>#VALUE!</v>
      </c>
      <c r="Z110" t="e">
        <f>AND('GA55 Entry'!AA318,"AAAAAGL/rxk=")</f>
        <v>#VALUE!</v>
      </c>
      <c r="AA110" t="e">
        <f>AND('GA55 Entry'!#REF!,"AAAAAGL/rxo=")</f>
        <v>#REF!</v>
      </c>
      <c r="AB110" t="e">
        <f>AND('GA55 Entry'!#REF!,"AAAAAGL/rxs=")</f>
        <v>#REF!</v>
      </c>
      <c r="AC110" t="e">
        <f>AND('GA55 Entry'!#REF!,"AAAAAGL/rxw=")</f>
        <v>#REF!</v>
      </c>
      <c r="AD110" t="e">
        <f>AND('GA55 Entry'!AB318,"AAAAAGL/rx0=")</f>
        <v>#VALUE!</v>
      </c>
      <c r="AE110" t="e">
        <f>AND('GA55 Entry'!AC318,"AAAAAGL/rx4=")</f>
        <v>#VALUE!</v>
      </c>
      <c r="AF110" t="e">
        <f>AND('GA55 Entry'!#REF!,"AAAAAGL/rx8=")</f>
        <v>#REF!</v>
      </c>
      <c r="AG110">
        <f>IF('GA55 Entry'!319:319,"AAAAAGL/ryA=",0)</f>
        <v>0</v>
      </c>
      <c r="AH110" t="e">
        <f>AND('GA55 Entry'!B319,"AAAAAGL/ryE=")</f>
        <v>#VALUE!</v>
      </c>
      <c r="AI110" t="e">
        <f>AND('GA55 Entry'!#REF!,"AAAAAGL/ryI=")</f>
        <v>#REF!</v>
      </c>
      <c r="AJ110" t="e">
        <f>AND('GA55 Entry'!C319,"AAAAAGL/ryM=")</f>
        <v>#VALUE!</v>
      </c>
      <c r="AK110" t="e">
        <f>AND('GA55 Entry'!#REF!,"AAAAAGL/ryQ=")</f>
        <v>#REF!</v>
      </c>
      <c r="AL110" t="e">
        <f>AND('GA55 Entry'!#REF!,"AAAAAGL/ryU=")</f>
        <v>#REF!</v>
      </c>
      <c r="AM110" t="e">
        <f>AND('GA55 Entry'!#REF!,"AAAAAGL/ryY=")</f>
        <v>#REF!</v>
      </c>
      <c r="AN110" t="e">
        <f>AND('GA55 Entry'!#REF!,"AAAAAGL/ryc=")</f>
        <v>#REF!</v>
      </c>
      <c r="AO110" t="e">
        <f>AND('GA55 Entry'!#REF!,"AAAAAGL/ryg=")</f>
        <v>#REF!</v>
      </c>
      <c r="AP110" t="e">
        <f>AND('GA55 Entry'!D319,"AAAAAGL/ryk=")</f>
        <v>#VALUE!</v>
      </c>
      <c r="AQ110" t="e">
        <f>AND('GA55 Entry'!#REF!,"AAAAAGL/ryo=")</f>
        <v>#REF!</v>
      </c>
      <c r="AR110" t="e">
        <f>AND('GA55 Entry'!E319,"AAAAAGL/rys=")</f>
        <v>#VALUE!</v>
      </c>
      <c r="AS110" t="e">
        <f>AND('GA55 Entry'!F319,"AAAAAGL/ryw=")</f>
        <v>#VALUE!</v>
      </c>
      <c r="AT110" t="e">
        <f>AND('GA55 Entry'!G319,"AAAAAGL/ry0=")</f>
        <v>#VALUE!</v>
      </c>
      <c r="AU110" t="e">
        <f>AND('GA55 Entry'!H319,"AAAAAGL/ry4=")</f>
        <v>#VALUE!</v>
      </c>
      <c r="AV110" t="e">
        <f>AND('GA55 Entry'!I319,"AAAAAGL/ry8=")</f>
        <v>#VALUE!</v>
      </c>
      <c r="AW110" t="e">
        <f>AND('GA55 Entry'!J319,"AAAAAGL/rzA=")</f>
        <v>#VALUE!</v>
      </c>
      <c r="AX110" t="e">
        <f>AND('GA55 Entry'!#REF!,"AAAAAGL/rzE=")</f>
        <v>#REF!</v>
      </c>
      <c r="AY110" t="e">
        <f>AND('GA55 Entry'!K319,"AAAAAGL/rzI=")</f>
        <v>#VALUE!</v>
      </c>
      <c r="AZ110" t="e">
        <f>AND('GA55 Entry'!L319,"AAAAAGL/rzM=")</f>
        <v>#VALUE!</v>
      </c>
      <c r="BA110" t="e">
        <f>AND('GA55 Entry'!M319,"AAAAAGL/rzQ=")</f>
        <v>#VALUE!</v>
      </c>
      <c r="BB110" t="e">
        <f>AND('GA55 Entry'!N319,"AAAAAGL/rzU=")</f>
        <v>#VALUE!</v>
      </c>
      <c r="BC110" t="e">
        <f>AND('GA55 Entry'!O319,"AAAAAGL/rzY=")</f>
        <v>#VALUE!</v>
      </c>
      <c r="BD110" t="e">
        <f>AND('GA55 Entry'!P319,"AAAAAGL/rzc=")</f>
        <v>#VALUE!</v>
      </c>
      <c r="BE110" t="e">
        <f>AND('GA55 Entry'!Q319,"AAAAAGL/rzg=")</f>
        <v>#VALUE!</v>
      </c>
      <c r="BF110" t="e">
        <f>AND('GA55 Entry'!S319,"AAAAAGL/rzk=")</f>
        <v>#VALUE!</v>
      </c>
      <c r="BG110" t="e">
        <f>AND('GA55 Entry'!#REF!,"AAAAAGL/rzo=")</f>
        <v>#REF!</v>
      </c>
      <c r="BH110" t="e">
        <f>AND('GA55 Entry'!T319,"AAAAAGL/rzs=")</f>
        <v>#VALUE!</v>
      </c>
      <c r="BI110" t="e">
        <f>AND('GA55 Entry'!U319,"AAAAAGL/rzw=")</f>
        <v>#VALUE!</v>
      </c>
      <c r="BJ110" t="e">
        <f>AND('GA55 Entry'!V319,"AAAAAGL/rz0=")</f>
        <v>#VALUE!</v>
      </c>
      <c r="BK110" t="e">
        <f>AND('GA55 Entry'!#REF!,"AAAAAGL/rz4=")</f>
        <v>#REF!</v>
      </c>
      <c r="BL110" t="e">
        <f>AND('GA55 Entry'!#REF!,"AAAAAGL/rz8=")</f>
        <v>#REF!</v>
      </c>
      <c r="BM110" t="e">
        <f>AND('GA55 Entry'!X319,"AAAAAGL/r0A=")</f>
        <v>#VALUE!</v>
      </c>
      <c r="BN110" t="e">
        <f>AND('GA55 Entry'!Y319,"AAAAAGL/r0E=")</f>
        <v>#VALUE!</v>
      </c>
      <c r="BO110" t="e">
        <f>AND('GA55 Entry'!#REF!,"AAAAAGL/r0I=")</f>
        <v>#REF!</v>
      </c>
      <c r="BP110" t="e">
        <f>AND('GA55 Entry'!#REF!,"AAAAAGL/r0M=")</f>
        <v>#REF!</v>
      </c>
      <c r="BQ110" t="e">
        <f>AND('GA55 Entry'!#REF!,"AAAAAGL/r0Q=")</f>
        <v>#REF!</v>
      </c>
      <c r="BR110" t="e">
        <f>AND('GA55 Entry'!#REF!,"AAAAAGL/r0U=")</f>
        <v>#REF!</v>
      </c>
      <c r="BS110" t="e">
        <f>AND('GA55 Entry'!#REF!,"AAAAAGL/r0Y=")</f>
        <v>#REF!</v>
      </c>
      <c r="BT110" t="e">
        <f>AND('GA55 Entry'!#REF!,"AAAAAGL/r0c=")</f>
        <v>#REF!</v>
      </c>
      <c r="BU110" t="e">
        <f>AND('GA55 Entry'!#REF!,"AAAAAGL/r0g=")</f>
        <v>#REF!</v>
      </c>
      <c r="BV110" t="e">
        <f>AND('GA55 Entry'!#REF!,"AAAAAGL/r0k=")</f>
        <v>#REF!</v>
      </c>
      <c r="BW110" t="e">
        <f>AND('GA55 Entry'!#REF!,"AAAAAGL/r0o=")</f>
        <v>#REF!</v>
      </c>
      <c r="BX110" t="e">
        <f>AND('GA55 Entry'!Z319,"AAAAAGL/r0s=")</f>
        <v>#VALUE!</v>
      </c>
      <c r="BY110" t="e">
        <f>AND('GA55 Entry'!AA319,"AAAAAGL/r0w=")</f>
        <v>#VALUE!</v>
      </c>
      <c r="BZ110" t="e">
        <f>AND('GA55 Entry'!#REF!,"AAAAAGL/r00=")</f>
        <v>#REF!</v>
      </c>
      <c r="CA110" t="e">
        <f>AND('GA55 Entry'!#REF!,"AAAAAGL/r04=")</f>
        <v>#REF!</v>
      </c>
      <c r="CB110" t="e">
        <f>AND('GA55 Entry'!#REF!,"AAAAAGL/r08=")</f>
        <v>#REF!</v>
      </c>
      <c r="CC110" t="e">
        <f>AND('GA55 Entry'!AB319,"AAAAAGL/r1A=")</f>
        <v>#VALUE!</v>
      </c>
      <c r="CD110" t="e">
        <f>AND('GA55 Entry'!AC319,"AAAAAGL/r1E=")</f>
        <v>#VALUE!</v>
      </c>
      <c r="CE110" t="e">
        <f>AND('GA55 Entry'!#REF!,"AAAAAGL/r1I=")</f>
        <v>#REF!</v>
      </c>
      <c r="CF110">
        <f>IF('GA55 Entry'!320:320,"AAAAAGL/r1M=",0)</f>
        <v>0</v>
      </c>
      <c r="CG110" t="e">
        <f>AND('GA55 Entry'!B320,"AAAAAGL/r1Q=")</f>
        <v>#VALUE!</v>
      </c>
      <c r="CH110" t="e">
        <f>AND('GA55 Entry'!#REF!,"AAAAAGL/r1U=")</f>
        <v>#REF!</v>
      </c>
      <c r="CI110" t="e">
        <f>AND('GA55 Entry'!C320,"AAAAAGL/r1Y=")</f>
        <v>#VALUE!</v>
      </c>
      <c r="CJ110" t="e">
        <f>AND('GA55 Entry'!#REF!,"AAAAAGL/r1c=")</f>
        <v>#REF!</v>
      </c>
      <c r="CK110" t="e">
        <f>AND('GA55 Entry'!#REF!,"AAAAAGL/r1g=")</f>
        <v>#REF!</v>
      </c>
      <c r="CL110" t="e">
        <f>AND('GA55 Entry'!#REF!,"AAAAAGL/r1k=")</f>
        <v>#REF!</v>
      </c>
      <c r="CM110" t="e">
        <f>AND('GA55 Entry'!#REF!,"AAAAAGL/r1o=")</f>
        <v>#REF!</v>
      </c>
      <c r="CN110" t="e">
        <f>AND('GA55 Entry'!#REF!,"AAAAAGL/r1s=")</f>
        <v>#REF!</v>
      </c>
      <c r="CO110" t="e">
        <f>AND('GA55 Entry'!D320,"AAAAAGL/r1w=")</f>
        <v>#VALUE!</v>
      </c>
      <c r="CP110" t="e">
        <f>AND('GA55 Entry'!#REF!,"AAAAAGL/r10=")</f>
        <v>#REF!</v>
      </c>
      <c r="CQ110" t="e">
        <f>AND('GA55 Entry'!E320,"AAAAAGL/r14=")</f>
        <v>#VALUE!</v>
      </c>
      <c r="CR110" t="e">
        <f>AND('GA55 Entry'!F320,"AAAAAGL/r18=")</f>
        <v>#VALUE!</v>
      </c>
      <c r="CS110" t="e">
        <f>AND('GA55 Entry'!G320,"AAAAAGL/r2A=")</f>
        <v>#VALUE!</v>
      </c>
      <c r="CT110" t="e">
        <f>AND('GA55 Entry'!H320,"AAAAAGL/r2E=")</f>
        <v>#VALUE!</v>
      </c>
      <c r="CU110" t="e">
        <f>AND('GA55 Entry'!I320,"AAAAAGL/r2I=")</f>
        <v>#VALUE!</v>
      </c>
      <c r="CV110" t="e">
        <f>AND('GA55 Entry'!J320,"AAAAAGL/r2M=")</f>
        <v>#VALUE!</v>
      </c>
      <c r="CW110" t="e">
        <f>AND('GA55 Entry'!#REF!,"AAAAAGL/r2Q=")</f>
        <v>#REF!</v>
      </c>
      <c r="CX110" t="e">
        <f>AND('GA55 Entry'!K320,"AAAAAGL/r2U=")</f>
        <v>#VALUE!</v>
      </c>
      <c r="CY110" t="e">
        <f>AND('GA55 Entry'!L320,"AAAAAGL/r2Y=")</f>
        <v>#VALUE!</v>
      </c>
      <c r="CZ110" t="e">
        <f>AND('GA55 Entry'!M320,"AAAAAGL/r2c=")</f>
        <v>#VALUE!</v>
      </c>
      <c r="DA110" t="e">
        <f>AND('GA55 Entry'!N320,"AAAAAGL/r2g=")</f>
        <v>#VALUE!</v>
      </c>
      <c r="DB110" t="e">
        <f>AND('GA55 Entry'!O320,"AAAAAGL/r2k=")</f>
        <v>#VALUE!</v>
      </c>
      <c r="DC110" t="e">
        <f>AND('GA55 Entry'!P320,"AAAAAGL/r2o=")</f>
        <v>#VALUE!</v>
      </c>
      <c r="DD110" t="e">
        <f>AND('GA55 Entry'!Q320,"AAAAAGL/r2s=")</f>
        <v>#VALUE!</v>
      </c>
      <c r="DE110" t="e">
        <f>AND('GA55 Entry'!S320,"AAAAAGL/r2w=")</f>
        <v>#VALUE!</v>
      </c>
      <c r="DF110" t="e">
        <f>AND('GA55 Entry'!#REF!,"AAAAAGL/r20=")</f>
        <v>#REF!</v>
      </c>
      <c r="DG110" t="e">
        <f>AND('GA55 Entry'!T320,"AAAAAGL/r24=")</f>
        <v>#VALUE!</v>
      </c>
      <c r="DH110" t="e">
        <f>AND('GA55 Entry'!U320,"AAAAAGL/r28=")</f>
        <v>#VALUE!</v>
      </c>
      <c r="DI110" t="e">
        <f>AND('GA55 Entry'!V320,"AAAAAGL/r3A=")</f>
        <v>#VALUE!</v>
      </c>
      <c r="DJ110" t="e">
        <f>AND('GA55 Entry'!#REF!,"AAAAAGL/r3E=")</f>
        <v>#REF!</v>
      </c>
      <c r="DK110" t="e">
        <f>AND('GA55 Entry'!#REF!,"AAAAAGL/r3I=")</f>
        <v>#REF!</v>
      </c>
      <c r="DL110" t="e">
        <f>AND('GA55 Entry'!X320,"AAAAAGL/r3M=")</f>
        <v>#VALUE!</v>
      </c>
      <c r="DM110" t="e">
        <f>AND('GA55 Entry'!Y320,"AAAAAGL/r3Q=")</f>
        <v>#VALUE!</v>
      </c>
      <c r="DN110" t="e">
        <f>AND('GA55 Entry'!#REF!,"AAAAAGL/r3U=")</f>
        <v>#REF!</v>
      </c>
      <c r="DO110" t="e">
        <f>AND('GA55 Entry'!#REF!,"AAAAAGL/r3Y=")</f>
        <v>#REF!</v>
      </c>
      <c r="DP110" t="e">
        <f>AND('GA55 Entry'!#REF!,"AAAAAGL/r3c=")</f>
        <v>#REF!</v>
      </c>
      <c r="DQ110" t="e">
        <f>AND('GA55 Entry'!#REF!,"AAAAAGL/r3g=")</f>
        <v>#REF!</v>
      </c>
      <c r="DR110" t="e">
        <f>AND('GA55 Entry'!#REF!,"AAAAAGL/r3k=")</f>
        <v>#REF!</v>
      </c>
      <c r="DS110" t="e">
        <f>AND('GA55 Entry'!#REF!,"AAAAAGL/r3o=")</f>
        <v>#REF!</v>
      </c>
      <c r="DT110" t="e">
        <f>AND('GA55 Entry'!#REF!,"AAAAAGL/r3s=")</f>
        <v>#REF!</v>
      </c>
      <c r="DU110" t="e">
        <f>AND('GA55 Entry'!#REF!,"AAAAAGL/r3w=")</f>
        <v>#REF!</v>
      </c>
      <c r="DV110" t="e">
        <f>AND('GA55 Entry'!#REF!,"AAAAAGL/r30=")</f>
        <v>#REF!</v>
      </c>
      <c r="DW110" t="e">
        <f>AND('GA55 Entry'!Z320,"AAAAAGL/r34=")</f>
        <v>#VALUE!</v>
      </c>
      <c r="DX110" t="e">
        <f>AND('GA55 Entry'!AA320,"AAAAAGL/r38=")</f>
        <v>#VALUE!</v>
      </c>
      <c r="DY110" t="e">
        <f>AND('GA55 Entry'!#REF!,"AAAAAGL/r4A=")</f>
        <v>#REF!</v>
      </c>
      <c r="DZ110" t="e">
        <f>AND('GA55 Entry'!#REF!,"AAAAAGL/r4E=")</f>
        <v>#REF!</v>
      </c>
      <c r="EA110" t="e">
        <f>AND('GA55 Entry'!#REF!,"AAAAAGL/r4I=")</f>
        <v>#REF!</v>
      </c>
      <c r="EB110" t="e">
        <f>AND('GA55 Entry'!AB320,"AAAAAGL/r4M=")</f>
        <v>#VALUE!</v>
      </c>
      <c r="EC110" t="e">
        <f>AND('GA55 Entry'!AC320,"AAAAAGL/r4Q=")</f>
        <v>#VALUE!</v>
      </c>
      <c r="ED110" t="e">
        <f>AND('GA55 Entry'!#REF!,"AAAAAGL/r4U=")</f>
        <v>#REF!</v>
      </c>
      <c r="EE110">
        <f>IF('GA55 Entry'!321:321,"AAAAAGL/r4Y=",0)</f>
        <v>0</v>
      </c>
      <c r="EF110" t="e">
        <f>AND('GA55 Entry'!B321,"AAAAAGL/r4c=")</f>
        <v>#VALUE!</v>
      </c>
      <c r="EG110" t="e">
        <f>AND('GA55 Entry'!#REF!,"AAAAAGL/r4g=")</f>
        <v>#REF!</v>
      </c>
      <c r="EH110" t="e">
        <f>AND('GA55 Entry'!C321,"AAAAAGL/r4k=")</f>
        <v>#VALUE!</v>
      </c>
      <c r="EI110" t="e">
        <f>AND('GA55 Entry'!#REF!,"AAAAAGL/r4o=")</f>
        <v>#REF!</v>
      </c>
      <c r="EJ110" t="e">
        <f>AND('GA55 Entry'!#REF!,"AAAAAGL/r4s=")</f>
        <v>#REF!</v>
      </c>
      <c r="EK110" t="e">
        <f>AND('GA55 Entry'!#REF!,"AAAAAGL/r4w=")</f>
        <v>#REF!</v>
      </c>
      <c r="EL110" t="e">
        <f>AND('GA55 Entry'!#REF!,"AAAAAGL/r40=")</f>
        <v>#REF!</v>
      </c>
      <c r="EM110" t="e">
        <f>AND('GA55 Entry'!#REF!,"AAAAAGL/r44=")</f>
        <v>#REF!</v>
      </c>
      <c r="EN110" t="e">
        <f>AND('GA55 Entry'!D321,"AAAAAGL/r48=")</f>
        <v>#VALUE!</v>
      </c>
      <c r="EO110" t="e">
        <f>AND('GA55 Entry'!#REF!,"AAAAAGL/r5A=")</f>
        <v>#REF!</v>
      </c>
      <c r="EP110" t="e">
        <f>AND('GA55 Entry'!E321,"AAAAAGL/r5E=")</f>
        <v>#VALUE!</v>
      </c>
      <c r="EQ110" t="e">
        <f>AND('GA55 Entry'!F321,"AAAAAGL/r5I=")</f>
        <v>#VALUE!</v>
      </c>
      <c r="ER110" t="e">
        <f>AND('GA55 Entry'!G321,"AAAAAGL/r5M=")</f>
        <v>#VALUE!</v>
      </c>
      <c r="ES110" t="e">
        <f>AND('GA55 Entry'!H321,"AAAAAGL/r5Q=")</f>
        <v>#VALUE!</v>
      </c>
      <c r="ET110" t="e">
        <f>AND('GA55 Entry'!I321,"AAAAAGL/r5U=")</f>
        <v>#VALUE!</v>
      </c>
      <c r="EU110" t="e">
        <f>AND('GA55 Entry'!J321,"AAAAAGL/r5Y=")</f>
        <v>#VALUE!</v>
      </c>
      <c r="EV110" t="e">
        <f>AND('GA55 Entry'!#REF!,"AAAAAGL/r5c=")</f>
        <v>#REF!</v>
      </c>
      <c r="EW110" t="e">
        <f>AND('GA55 Entry'!K321,"AAAAAGL/r5g=")</f>
        <v>#VALUE!</v>
      </c>
      <c r="EX110" t="e">
        <f>AND('GA55 Entry'!L321,"AAAAAGL/r5k=")</f>
        <v>#VALUE!</v>
      </c>
      <c r="EY110" t="e">
        <f>AND('GA55 Entry'!M321,"AAAAAGL/r5o=")</f>
        <v>#VALUE!</v>
      </c>
      <c r="EZ110" t="e">
        <f>AND('GA55 Entry'!N321,"AAAAAGL/r5s=")</f>
        <v>#VALUE!</v>
      </c>
      <c r="FA110" t="e">
        <f>AND('GA55 Entry'!O321,"AAAAAGL/r5w=")</f>
        <v>#VALUE!</v>
      </c>
      <c r="FB110" t="e">
        <f>AND('GA55 Entry'!P321,"AAAAAGL/r50=")</f>
        <v>#VALUE!</v>
      </c>
      <c r="FC110" t="e">
        <f>AND('GA55 Entry'!Q321,"AAAAAGL/r54=")</f>
        <v>#VALUE!</v>
      </c>
      <c r="FD110" t="e">
        <f>AND('GA55 Entry'!S321,"AAAAAGL/r58=")</f>
        <v>#VALUE!</v>
      </c>
      <c r="FE110" t="e">
        <f>AND('GA55 Entry'!#REF!,"AAAAAGL/r6A=")</f>
        <v>#REF!</v>
      </c>
      <c r="FF110" t="e">
        <f>AND('GA55 Entry'!T321,"AAAAAGL/r6E=")</f>
        <v>#VALUE!</v>
      </c>
      <c r="FG110" t="e">
        <f>AND('GA55 Entry'!U321,"AAAAAGL/r6I=")</f>
        <v>#VALUE!</v>
      </c>
      <c r="FH110" t="e">
        <f>AND('GA55 Entry'!V321,"AAAAAGL/r6M=")</f>
        <v>#VALUE!</v>
      </c>
      <c r="FI110" t="e">
        <f>AND('GA55 Entry'!#REF!,"AAAAAGL/r6Q=")</f>
        <v>#REF!</v>
      </c>
      <c r="FJ110" t="e">
        <f>AND('GA55 Entry'!#REF!,"AAAAAGL/r6U=")</f>
        <v>#REF!</v>
      </c>
      <c r="FK110" t="e">
        <f>AND('GA55 Entry'!X321,"AAAAAGL/r6Y=")</f>
        <v>#VALUE!</v>
      </c>
      <c r="FL110" t="e">
        <f>AND('GA55 Entry'!Y321,"AAAAAGL/r6c=")</f>
        <v>#VALUE!</v>
      </c>
      <c r="FM110" t="e">
        <f>AND('GA55 Entry'!#REF!,"AAAAAGL/r6g=")</f>
        <v>#REF!</v>
      </c>
      <c r="FN110" t="e">
        <f>AND('GA55 Entry'!#REF!,"AAAAAGL/r6k=")</f>
        <v>#REF!</v>
      </c>
      <c r="FO110" t="e">
        <f>AND('GA55 Entry'!#REF!,"AAAAAGL/r6o=")</f>
        <v>#REF!</v>
      </c>
      <c r="FP110" t="e">
        <f>AND('GA55 Entry'!#REF!,"AAAAAGL/r6s=")</f>
        <v>#REF!</v>
      </c>
      <c r="FQ110" t="e">
        <f>AND('GA55 Entry'!#REF!,"AAAAAGL/r6w=")</f>
        <v>#REF!</v>
      </c>
      <c r="FR110" t="e">
        <f>AND('GA55 Entry'!#REF!,"AAAAAGL/r60=")</f>
        <v>#REF!</v>
      </c>
      <c r="FS110" t="e">
        <f>AND('GA55 Entry'!#REF!,"AAAAAGL/r64=")</f>
        <v>#REF!</v>
      </c>
      <c r="FT110" t="e">
        <f>AND('GA55 Entry'!#REF!,"AAAAAGL/r68=")</f>
        <v>#REF!</v>
      </c>
      <c r="FU110" t="e">
        <f>AND('GA55 Entry'!#REF!,"AAAAAGL/r7A=")</f>
        <v>#REF!</v>
      </c>
      <c r="FV110" t="e">
        <f>AND('GA55 Entry'!Z321,"AAAAAGL/r7E=")</f>
        <v>#VALUE!</v>
      </c>
      <c r="FW110" t="e">
        <f>AND('GA55 Entry'!AA321,"AAAAAGL/r7I=")</f>
        <v>#VALUE!</v>
      </c>
      <c r="FX110" t="e">
        <f>AND('GA55 Entry'!#REF!,"AAAAAGL/r7M=")</f>
        <v>#REF!</v>
      </c>
      <c r="FY110" t="e">
        <f>AND('GA55 Entry'!#REF!,"AAAAAGL/r7Q=")</f>
        <v>#REF!</v>
      </c>
      <c r="FZ110" t="e">
        <f>AND('GA55 Entry'!#REF!,"AAAAAGL/r7U=")</f>
        <v>#REF!</v>
      </c>
      <c r="GA110" t="e">
        <f>AND('GA55 Entry'!AB321,"AAAAAGL/r7Y=")</f>
        <v>#VALUE!</v>
      </c>
      <c r="GB110" t="e">
        <f>AND('GA55 Entry'!AC321,"AAAAAGL/r7c=")</f>
        <v>#VALUE!</v>
      </c>
      <c r="GC110" t="e">
        <f>AND('GA55 Entry'!#REF!,"AAAAAGL/r7g=")</f>
        <v>#REF!</v>
      </c>
      <c r="GD110">
        <f>IF('GA55 Entry'!322:322,"AAAAAGL/r7k=",0)</f>
        <v>0</v>
      </c>
      <c r="GE110" t="e">
        <f>AND('GA55 Entry'!B322,"AAAAAGL/r7o=")</f>
        <v>#VALUE!</v>
      </c>
      <c r="GF110" t="e">
        <f>AND('GA55 Entry'!#REF!,"AAAAAGL/r7s=")</f>
        <v>#REF!</v>
      </c>
      <c r="GG110" t="e">
        <f>AND('GA55 Entry'!C322,"AAAAAGL/r7w=")</f>
        <v>#VALUE!</v>
      </c>
      <c r="GH110" t="e">
        <f>AND('GA55 Entry'!#REF!,"AAAAAGL/r70=")</f>
        <v>#REF!</v>
      </c>
      <c r="GI110" t="e">
        <f>AND('GA55 Entry'!#REF!,"AAAAAGL/r74=")</f>
        <v>#REF!</v>
      </c>
      <c r="GJ110" t="e">
        <f>AND('GA55 Entry'!#REF!,"AAAAAGL/r78=")</f>
        <v>#REF!</v>
      </c>
      <c r="GK110" t="e">
        <f>AND('GA55 Entry'!#REF!,"AAAAAGL/r8A=")</f>
        <v>#REF!</v>
      </c>
      <c r="GL110" t="e">
        <f>AND('GA55 Entry'!#REF!,"AAAAAGL/r8E=")</f>
        <v>#REF!</v>
      </c>
      <c r="GM110" t="e">
        <f>AND('GA55 Entry'!D322,"AAAAAGL/r8I=")</f>
        <v>#VALUE!</v>
      </c>
      <c r="GN110" t="e">
        <f>AND('GA55 Entry'!#REF!,"AAAAAGL/r8M=")</f>
        <v>#REF!</v>
      </c>
      <c r="GO110" t="e">
        <f>AND('GA55 Entry'!E322,"AAAAAGL/r8Q=")</f>
        <v>#VALUE!</v>
      </c>
      <c r="GP110" t="e">
        <f>AND('GA55 Entry'!F322,"AAAAAGL/r8U=")</f>
        <v>#VALUE!</v>
      </c>
      <c r="GQ110" t="e">
        <f>AND('GA55 Entry'!G322,"AAAAAGL/r8Y=")</f>
        <v>#VALUE!</v>
      </c>
      <c r="GR110" t="e">
        <f>AND('GA55 Entry'!H322,"AAAAAGL/r8c=")</f>
        <v>#VALUE!</v>
      </c>
      <c r="GS110" t="e">
        <f>AND('GA55 Entry'!I322,"AAAAAGL/r8g=")</f>
        <v>#VALUE!</v>
      </c>
      <c r="GT110" t="e">
        <f>AND('GA55 Entry'!J322,"AAAAAGL/r8k=")</f>
        <v>#VALUE!</v>
      </c>
      <c r="GU110" t="e">
        <f>AND('GA55 Entry'!#REF!,"AAAAAGL/r8o=")</f>
        <v>#REF!</v>
      </c>
      <c r="GV110" t="e">
        <f>AND('GA55 Entry'!K322,"AAAAAGL/r8s=")</f>
        <v>#VALUE!</v>
      </c>
      <c r="GW110" t="e">
        <f>AND('GA55 Entry'!L322,"AAAAAGL/r8w=")</f>
        <v>#VALUE!</v>
      </c>
      <c r="GX110" t="e">
        <f>AND('GA55 Entry'!M322,"AAAAAGL/r80=")</f>
        <v>#VALUE!</v>
      </c>
      <c r="GY110" t="e">
        <f>AND('GA55 Entry'!N322,"AAAAAGL/r84=")</f>
        <v>#VALUE!</v>
      </c>
      <c r="GZ110" t="e">
        <f>AND('GA55 Entry'!O322,"AAAAAGL/r88=")</f>
        <v>#VALUE!</v>
      </c>
      <c r="HA110" t="e">
        <f>AND('GA55 Entry'!P322,"AAAAAGL/r9A=")</f>
        <v>#VALUE!</v>
      </c>
      <c r="HB110" t="e">
        <f>AND('GA55 Entry'!Q322,"AAAAAGL/r9E=")</f>
        <v>#VALUE!</v>
      </c>
      <c r="HC110" t="e">
        <f>AND('GA55 Entry'!S322,"AAAAAGL/r9I=")</f>
        <v>#VALUE!</v>
      </c>
      <c r="HD110" t="e">
        <f>AND('GA55 Entry'!#REF!,"AAAAAGL/r9M=")</f>
        <v>#REF!</v>
      </c>
      <c r="HE110" t="e">
        <f>AND('GA55 Entry'!T322,"AAAAAGL/r9Q=")</f>
        <v>#VALUE!</v>
      </c>
      <c r="HF110" t="e">
        <f>AND('GA55 Entry'!U322,"AAAAAGL/r9U=")</f>
        <v>#VALUE!</v>
      </c>
      <c r="HG110" t="e">
        <f>AND('GA55 Entry'!V322,"AAAAAGL/r9Y=")</f>
        <v>#VALUE!</v>
      </c>
      <c r="HH110" t="e">
        <f>AND('GA55 Entry'!#REF!,"AAAAAGL/r9c=")</f>
        <v>#REF!</v>
      </c>
      <c r="HI110" t="e">
        <f>AND('GA55 Entry'!#REF!,"AAAAAGL/r9g=")</f>
        <v>#REF!</v>
      </c>
      <c r="HJ110" t="e">
        <f>AND('GA55 Entry'!X322,"AAAAAGL/r9k=")</f>
        <v>#VALUE!</v>
      </c>
      <c r="HK110" t="e">
        <f>AND('GA55 Entry'!Y322,"AAAAAGL/r9o=")</f>
        <v>#VALUE!</v>
      </c>
      <c r="HL110" t="e">
        <f>AND('GA55 Entry'!#REF!,"AAAAAGL/r9s=")</f>
        <v>#REF!</v>
      </c>
      <c r="HM110" t="e">
        <f>AND('GA55 Entry'!#REF!,"AAAAAGL/r9w=")</f>
        <v>#REF!</v>
      </c>
      <c r="HN110" t="e">
        <f>AND('GA55 Entry'!#REF!,"AAAAAGL/r90=")</f>
        <v>#REF!</v>
      </c>
      <c r="HO110" t="e">
        <f>AND('GA55 Entry'!#REF!,"AAAAAGL/r94=")</f>
        <v>#REF!</v>
      </c>
      <c r="HP110" t="e">
        <f>AND('GA55 Entry'!#REF!,"AAAAAGL/r98=")</f>
        <v>#REF!</v>
      </c>
      <c r="HQ110" t="e">
        <f>AND('GA55 Entry'!#REF!,"AAAAAGL/r+A=")</f>
        <v>#REF!</v>
      </c>
      <c r="HR110" t="e">
        <f>AND('GA55 Entry'!#REF!,"AAAAAGL/r+E=")</f>
        <v>#REF!</v>
      </c>
      <c r="HS110" t="e">
        <f>AND('GA55 Entry'!#REF!,"AAAAAGL/r+I=")</f>
        <v>#REF!</v>
      </c>
      <c r="HT110" t="e">
        <f>AND('GA55 Entry'!#REF!,"AAAAAGL/r+M=")</f>
        <v>#REF!</v>
      </c>
      <c r="HU110" t="e">
        <f>AND('GA55 Entry'!Z322,"AAAAAGL/r+Q=")</f>
        <v>#VALUE!</v>
      </c>
      <c r="HV110" t="e">
        <f>AND('GA55 Entry'!AA322,"AAAAAGL/r+U=")</f>
        <v>#VALUE!</v>
      </c>
      <c r="HW110" t="e">
        <f>AND('GA55 Entry'!#REF!,"AAAAAGL/r+Y=")</f>
        <v>#REF!</v>
      </c>
      <c r="HX110" t="e">
        <f>AND('GA55 Entry'!#REF!,"AAAAAGL/r+c=")</f>
        <v>#REF!</v>
      </c>
      <c r="HY110" t="e">
        <f>AND('GA55 Entry'!#REF!,"AAAAAGL/r+g=")</f>
        <v>#REF!</v>
      </c>
      <c r="HZ110" t="e">
        <f>AND('GA55 Entry'!AB322,"AAAAAGL/r+k=")</f>
        <v>#VALUE!</v>
      </c>
      <c r="IA110" t="e">
        <f>AND('GA55 Entry'!AC322,"AAAAAGL/r+o=")</f>
        <v>#VALUE!</v>
      </c>
      <c r="IB110" t="e">
        <f>AND('GA55 Entry'!#REF!,"AAAAAGL/r+s=")</f>
        <v>#REF!</v>
      </c>
      <c r="IC110">
        <f>IF('GA55 Entry'!323:323,"AAAAAGL/r+w=",0)</f>
        <v>0</v>
      </c>
      <c r="ID110" t="e">
        <f>AND('GA55 Entry'!B323,"AAAAAGL/r+0=")</f>
        <v>#VALUE!</v>
      </c>
      <c r="IE110" t="e">
        <f>AND('GA55 Entry'!#REF!,"AAAAAGL/r+4=")</f>
        <v>#REF!</v>
      </c>
      <c r="IF110" t="e">
        <f>AND('GA55 Entry'!C323,"AAAAAGL/r+8=")</f>
        <v>#VALUE!</v>
      </c>
      <c r="IG110" t="e">
        <f>AND('GA55 Entry'!#REF!,"AAAAAGL/r/A=")</f>
        <v>#REF!</v>
      </c>
      <c r="IH110" t="e">
        <f>AND('GA55 Entry'!#REF!,"AAAAAGL/r/E=")</f>
        <v>#REF!</v>
      </c>
      <c r="II110" t="e">
        <f>AND('GA55 Entry'!#REF!,"AAAAAGL/r/I=")</f>
        <v>#REF!</v>
      </c>
      <c r="IJ110" t="e">
        <f>AND('GA55 Entry'!#REF!,"AAAAAGL/r/M=")</f>
        <v>#REF!</v>
      </c>
      <c r="IK110" t="e">
        <f>AND('GA55 Entry'!#REF!,"AAAAAGL/r/Q=")</f>
        <v>#REF!</v>
      </c>
      <c r="IL110" t="e">
        <f>AND('GA55 Entry'!D323,"AAAAAGL/r/U=")</f>
        <v>#VALUE!</v>
      </c>
      <c r="IM110" t="e">
        <f>AND('GA55 Entry'!#REF!,"AAAAAGL/r/Y=")</f>
        <v>#REF!</v>
      </c>
      <c r="IN110" t="e">
        <f>AND('GA55 Entry'!E323,"AAAAAGL/r/c=")</f>
        <v>#VALUE!</v>
      </c>
      <c r="IO110" t="e">
        <f>AND('GA55 Entry'!F323,"AAAAAGL/r/g=")</f>
        <v>#VALUE!</v>
      </c>
      <c r="IP110" t="e">
        <f>AND('GA55 Entry'!G323,"AAAAAGL/r/k=")</f>
        <v>#VALUE!</v>
      </c>
      <c r="IQ110" t="e">
        <f>AND('GA55 Entry'!H323,"AAAAAGL/r/o=")</f>
        <v>#VALUE!</v>
      </c>
      <c r="IR110" t="e">
        <f>AND('GA55 Entry'!I323,"AAAAAGL/r/s=")</f>
        <v>#VALUE!</v>
      </c>
      <c r="IS110" t="e">
        <f>AND('GA55 Entry'!J323,"AAAAAGL/r/w=")</f>
        <v>#VALUE!</v>
      </c>
      <c r="IT110" t="e">
        <f>AND('GA55 Entry'!#REF!,"AAAAAGL/r/0=")</f>
        <v>#REF!</v>
      </c>
      <c r="IU110" t="e">
        <f>AND('GA55 Entry'!K323,"AAAAAGL/r/4=")</f>
        <v>#VALUE!</v>
      </c>
      <c r="IV110" t="e">
        <f>AND('GA55 Entry'!L323,"AAAAAGL/r/8=")</f>
        <v>#VALUE!</v>
      </c>
    </row>
    <row r="111" spans="1:256">
      <c r="A111" t="e">
        <f>AND('GA55 Entry'!M323,"AAAAAF99WQA=")</f>
        <v>#VALUE!</v>
      </c>
      <c r="B111" t="e">
        <f>AND('GA55 Entry'!N323,"AAAAAF99WQE=")</f>
        <v>#VALUE!</v>
      </c>
      <c r="C111" t="e">
        <f>AND('GA55 Entry'!O323,"AAAAAF99WQI=")</f>
        <v>#VALUE!</v>
      </c>
      <c r="D111" t="e">
        <f>AND('GA55 Entry'!P323,"AAAAAF99WQM=")</f>
        <v>#VALUE!</v>
      </c>
      <c r="E111" t="e">
        <f>AND('GA55 Entry'!Q323,"AAAAAF99WQQ=")</f>
        <v>#VALUE!</v>
      </c>
      <c r="F111" t="e">
        <f>AND('GA55 Entry'!S323,"AAAAAF99WQU=")</f>
        <v>#VALUE!</v>
      </c>
      <c r="G111" t="e">
        <f>AND('GA55 Entry'!#REF!,"AAAAAF99WQY=")</f>
        <v>#REF!</v>
      </c>
      <c r="H111" t="e">
        <f>AND('GA55 Entry'!T323,"AAAAAF99WQc=")</f>
        <v>#VALUE!</v>
      </c>
      <c r="I111" t="e">
        <f>AND('GA55 Entry'!U323,"AAAAAF99WQg=")</f>
        <v>#VALUE!</v>
      </c>
      <c r="J111" t="e">
        <f>AND('GA55 Entry'!V323,"AAAAAF99WQk=")</f>
        <v>#VALUE!</v>
      </c>
      <c r="K111" t="e">
        <f>AND('GA55 Entry'!#REF!,"AAAAAF99WQo=")</f>
        <v>#REF!</v>
      </c>
      <c r="L111" t="e">
        <f>AND('GA55 Entry'!#REF!,"AAAAAF99WQs=")</f>
        <v>#REF!</v>
      </c>
      <c r="M111" t="e">
        <f>AND('GA55 Entry'!X323,"AAAAAF99WQw=")</f>
        <v>#VALUE!</v>
      </c>
      <c r="N111" t="e">
        <f>AND('GA55 Entry'!Y323,"AAAAAF99WQ0=")</f>
        <v>#VALUE!</v>
      </c>
      <c r="O111" t="e">
        <f>AND('GA55 Entry'!#REF!,"AAAAAF99WQ4=")</f>
        <v>#REF!</v>
      </c>
      <c r="P111" t="e">
        <f>AND('GA55 Entry'!#REF!,"AAAAAF99WQ8=")</f>
        <v>#REF!</v>
      </c>
      <c r="Q111" t="e">
        <f>AND('GA55 Entry'!#REF!,"AAAAAF99WRA=")</f>
        <v>#REF!</v>
      </c>
      <c r="R111" t="e">
        <f>AND('GA55 Entry'!#REF!,"AAAAAF99WRE=")</f>
        <v>#REF!</v>
      </c>
      <c r="S111" t="e">
        <f>AND('GA55 Entry'!#REF!,"AAAAAF99WRI=")</f>
        <v>#REF!</v>
      </c>
      <c r="T111" t="e">
        <f>AND('GA55 Entry'!#REF!,"AAAAAF99WRM=")</f>
        <v>#REF!</v>
      </c>
      <c r="U111" t="e">
        <f>AND('GA55 Entry'!#REF!,"AAAAAF99WRQ=")</f>
        <v>#REF!</v>
      </c>
      <c r="V111" t="e">
        <f>AND('GA55 Entry'!#REF!,"AAAAAF99WRU=")</f>
        <v>#REF!</v>
      </c>
      <c r="W111" t="e">
        <f>AND('GA55 Entry'!#REF!,"AAAAAF99WRY=")</f>
        <v>#REF!</v>
      </c>
      <c r="X111" t="e">
        <f>AND('GA55 Entry'!Z323,"AAAAAF99WRc=")</f>
        <v>#VALUE!</v>
      </c>
      <c r="Y111" t="e">
        <f>AND('GA55 Entry'!AA323,"AAAAAF99WRg=")</f>
        <v>#VALUE!</v>
      </c>
      <c r="Z111" t="e">
        <f>AND('GA55 Entry'!#REF!,"AAAAAF99WRk=")</f>
        <v>#REF!</v>
      </c>
      <c r="AA111" t="e">
        <f>AND('GA55 Entry'!#REF!,"AAAAAF99WRo=")</f>
        <v>#REF!</v>
      </c>
      <c r="AB111" t="e">
        <f>AND('GA55 Entry'!#REF!,"AAAAAF99WRs=")</f>
        <v>#REF!</v>
      </c>
      <c r="AC111" t="e">
        <f>AND('GA55 Entry'!AB323,"AAAAAF99WRw=")</f>
        <v>#VALUE!</v>
      </c>
      <c r="AD111" t="e">
        <f>AND('GA55 Entry'!AC323,"AAAAAF99WR0=")</f>
        <v>#VALUE!</v>
      </c>
      <c r="AE111" t="e">
        <f>AND('GA55 Entry'!#REF!,"AAAAAF99WR4=")</f>
        <v>#REF!</v>
      </c>
      <c r="AF111">
        <f>IF('GA55 Entry'!324:324,"AAAAAF99WR8=",0)</f>
        <v>0</v>
      </c>
      <c r="AG111" t="e">
        <f>AND('GA55 Entry'!B324,"AAAAAF99WSA=")</f>
        <v>#VALUE!</v>
      </c>
      <c r="AH111" t="e">
        <f>AND('GA55 Entry'!#REF!,"AAAAAF99WSE=")</f>
        <v>#REF!</v>
      </c>
      <c r="AI111" t="e">
        <f>AND('GA55 Entry'!C324,"AAAAAF99WSI=")</f>
        <v>#VALUE!</v>
      </c>
      <c r="AJ111" t="e">
        <f>AND('GA55 Entry'!#REF!,"AAAAAF99WSM=")</f>
        <v>#REF!</v>
      </c>
      <c r="AK111" t="e">
        <f>AND('GA55 Entry'!#REF!,"AAAAAF99WSQ=")</f>
        <v>#REF!</v>
      </c>
      <c r="AL111" t="e">
        <f>AND('GA55 Entry'!#REF!,"AAAAAF99WSU=")</f>
        <v>#REF!</v>
      </c>
      <c r="AM111" t="e">
        <f>AND('GA55 Entry'!#REF!,"AAAAAF99WSY=")</f>
        <v>#REF!</v>
      </c>
      <c r="AN111" t="e">
        <f>AND('GA55 Entry'!#REF!,"AAAAAF99WSc=")</f>
        <v>#REF!</v>
      </c>
      <c r="AO111" t="e">
        <f>AND('GA55 Entry'!D324,"AAAAAF99WSg=")</f>
        <v>#VALUE!</v>
      </c>
      <c r="AP111" t="e">
        <f>AND('GA55 Entry'!#REF!,"AAAAAF99WSk=")</f>
        <v>#REF!</v>
      </c>
      <c r="AQ111" t="e">
        <f>AND('GA55 Entry'!E324,"AAAAAF99WSo=")</f>
        <v>#VALUE!</v>
      </c>
      <c r="AR111" t="e">
        <f>AND('GA55 Entry'!F324,"AAAAAF99WSs=")</f>
        <v>#VALUE!</v>
      </c>
      <c r="AS111" t="e">
        <f>AND('GA55 Entry'!G324,"AAAAAF99WSw=")</f>
        <v>#VALUE!</v>
      </c>
      <c r="AT111" t="e">
        <f>AND('GA55 Entry'!H324,"AAAAAF99WS0=")</f>
        <v>#VALUE!</v>
      </c>
      <c r="AU111" t="e">
        <f>AND('GA55 Entry'!I324,"AAAAAF99WS4=")</f>
        <v>#VALUE!</v>
      </c>
      <c r="AV111" t="e">
        <f>AND('GA55 Entry'!J324,"AAAAAF99WS8=")</f>
        <v>#VALUE!</v>
      </c>
      <c r="AW111" t="e">
        <f>AND('GA55 Entry'!#REF!,"AAAAAF99WTA=")</f>
        <v>#REF!</v>
      </c>
      <c r="AX111" t="e">
        <f>AND('GA55 Entry'!K324,"AAAAAF99WTE=")</f>
        <v>#VALUE!</v>
      </c>
      <c r="AY111" t="e">
        <f>AND('GA55 Entry'!L324,"AAAAAF99WTI=")</f>
        <v>#VALUE!</v>
      </c>
      <c r="AZ111" t="e">
        <f>AND('GA55 Entry'!M324,"AAAAAF99WTM=")</f>
        <v>#VALUE!</v>
      </c>
      <c r="BA111" t="e">
        <f>AND('GA55 Entry'!N324,"AAAAAF99WTQ=")</f>
        <v>#VALUE!</v>
      </c>
      <c r="BB111" t="e">
        <f>AND('GA55 Entry'!O324,"AAAAAF99WTU=")</f>
        <v>#VALUE!</v>
      </c>
      <c r="BC111" t="e">
        <f>AND('GA55 Entry'!P324,"AAAAAF99WTY=")</f>
        <v>#VALUE!</v>
      </c>
      <c r="BD111" t="e">
        <f>AND('GA55 Entry'!Q324,"AAAAAF99WTc=")</f>
        <v>#VALUE!</v>
      </c>
      <c r="BE111" t="e">
        <f>AND('GA55 Entry'!S324,"AAAAAF99WTg=")</f>
        <v>#VALUE!</v>
      </c>
      <c r="BF111" t="e">
        <f>AND('GA55 Entry'!#REF!,"AAAAAF99WTk=")</f>
        <v>#REF!</v>
      </c>
      <c r="BG111" t="e">
        <f>AND('GA55 Entry'!T324,"AAAAAF99WTo=")</f>
        <v>#VALUE!</v>
      </c>
      <c r="BH111" t="e">
        <f>AND('GA55 Entry'!U324,"AAAAAF99WTs=")</f>
        <v>#VALUE!</v>
      </c>
      <c r="BI111" t="e">
        <f>AND('GA55 Entry'!V324,"AAAAAF99WTw=")</f>
        <v>#VALUE!</v>
      </c>
      <c r="BJ111" t="e">
        <f>AND('GA55 Entry'!#REF!,"AAAAAF99WT0=")</f>
        <v>#REF!</v>
      </c>
      <c r="BK111" t="e">
        <f>AND('GA55 Entry'!#REF!,"AAAAAF99WT4=")</f>
        <v>#REF!</v>
      </c>
      <c r="BL111" t="e">
        <f>AND('GA55 Entry'!X324,"AAAAAF99WT8=")</f>
        <v>#VALUE!</v>
      </c>
      <c r="BM111" t="e">
        <f>AND('GA55 Entry'!Y324,"AAAAAF99WUA=")</f>
        <v>#VALUE!</v>
      </c>
      <c r="BN111" t="e">
        <f>AND('GA55 Entry'!#REF!,"AAAAAF99WUE=")</f>
        <v>#REF!</v>
      </c>
      <c r="BO111" t="e">
        <f>AND('GA55 Entry'!#REF!,"AAAAAF99WUI=")</f>
        <v>#REF!</v>
      </c>
      <c r="BP111" t="e">
        <f>AND('GA55 Entry'!#REF!,"AAAAAF99WUM=")</f>
        <v>#REF!</v>
      </c>
      <c r="BQ111" t="e">
        <f>AND('GA55 Entry'!#REF!,"AAAAAF99WUQ=")</f>
        <v>#REF!</v>
      </c>
      <c r="BR111" t="e">
        <f>AND('GA55 Entry'!#REF!,"AAAAAF99WUU=")</f>
        <v>#REF!</v>
      </c>
      <c r="BS111" t="e">
        <f>AND('GA55 Entry'!#REF!,"AAAAAF99WUY=")</f>
        <v>#REF!</v>
      </c>
      <c r="BT111" t="e">
        <f>AND('GA55 Entry'!#REF!,"AAAAAF99WUc=")</f>
        <v>#REF!</v>
      </c>
      <c r="BU111" t="e">
        <f>AND('GA55 Entry'!#REF!,"AAAAAF99WUg=")</f>
        <v>#REF!</v>
      </c>
      <c r="BV111" t="e">
        <f>AND('GA55 Entry'!#REF!,"AAAAAF99WUk=")</f>
        <v>#REF!</v>
      </c>
      <c r="BW111" t="e">
        <f>AND('GA55 Entry'!Z324,"AAAAAF99WUo=")</f>
        <v>#VALUE!</v>
      </c>
      <c r="BX111" t="e">
        <f>AND('GA55 Entry'!AA324,"AAAAAF99WUs=")</f>
        <v>#VALUE!</v>
      </c>
      <c r="BY111" t="e">
        <f>AND('GA55 Entry'!#REF!,"AAAAAF99WUw=")</f>
        <v>#REF!</v>
      </c>
      <c r="BZ111" t="e">
        <f>AND('GA55 Entry'!#REF!,"AAAAAF99WU0=")</f>
        <v>#REF!</v>
      </c>
      <c r="CA111" t="e">
        <f>AND('GA55 Entry'!#REF!,"AAAAAF99WU4=")</f>
        <v>#REF!</v>
      </c>
      <c r="CB111" t="e">
        <f>AND('GA55 Entry'!AB324,"AAAAAF99WU8=")</f>
        <v>#VALUE!</v>
      </c>
      <c r="CC111" t="e">
        <f>AND('GA55 Entry'!AC324,"AAAAAF99WVA=")</f>
        <v>#VALUE!</v>
      </c>
      <c r="CD111" t="e">
        <f>AND('GA55 Entry'!#REF!,"AAAAAF99WVE=")</f>
        <v>#REF!</v>
      </c>
      <c r="CE111">
        <f>IF('GA55 Entry'!325:325,"AAAAAF99WVI=",0)</f>
        <v>0</v>
      </c>
      <c r="CF111" t="e">
        <f>AND('GA55 Entry'!B325,"AAAAAF99WVM=")</f>
        <v>#VALUE!</v>
      </c>
      <c r="CG111" t="e">
        <f>AND('GA55 Entry'!#REF!,"AAAAAF99WVQ=")</f>
        <v>#REF!</v>
      </c>
      <c r="CH111" t="e">
        <f>AND('GA55 Entry'!C325,"AAAAAF99WVU=")</f>
        <v>#VALUE!</v>
      </c>
      <c r="CI111" t="e">
        <f>AND('GA55 Entry'!#REF!,"AAAAAF99WVY=")</f>
        <v>#REF!</v>
      </c>
      <c r="CJ111" t="e">
        <f>AND('GA55 Entry'!#REF!,"AAAAAF99WVc=")</f>
        <v>#REF!</v>
      </c>
      <c r="CK111" t="e">
        <f>AND('GA55 Entry'!#REF!,"AAAAAF99WVg=")</f>
        <v>#REF!</v>
      </c>
      <c r="CL111" t="e">
        <f>AND('GA55 Entry'!#REF!,"AAAAAF99WVk=")</f>
        <v>#REF!</v>
      </c>
      <c r="CM111" t="e">
        <f>AND('GA55 Entry'!#REF!,"AAAAAF99WVo=")</f>
        <v>#REF!</v>
      </c>
      <c r="CN111" t="e">
        <f>AND('GA55 Entry'!D325,"AAAAAF99WVs=")</f>
        <v>#VALUE!</v>
      </c>
      <c r="CO111" t="e">
        <f>AND('GA55 Entry'!#REF!,"AAAAAF99WVw=")</f>
        <v>#REF!</v>
      </c>
      <c r="CP111" t="e">
        <f>AND('GA55 Entry'!E325,"AAAAAF99WV0=")</f>
        <v>#VALUE!</v>
      </c>
      <c r="CQ111" t="e">
        <f>AND('GA55 Entry'!F325,"AAAAAF99WV4=")</f>
        <v>#VALUE!</v>
      </c>
      <c r="CR111" t="e">
        <f>AND('GA55 Entry'!G325,"AAAAAF99WV8=")</f>
        <v>#VALUE!</v>
      </c>
      <c r="CS111" t="e">
        <f>AND('GA55 Entry'!H325,"AAAAAF99WWA=")</f>
        <v>#VALUE!</v>
      </c>
      <c r="CT111" t="e">
        <f>AND('GA55 Entry'!I325,"AAAAAF99WWE=")</f>
        <v>#VALUE!</v>
      </c>
      <c r="CU111" t="e">
        <f>AND('GA55 Entry'!J325,"AAAAAF99WWI=")</f>
        <v>#VALUE!</v>
      </c>
      <c r="CV111" t="e">
        <f>AND('GA55 Entry'!#REF!,"AAAAAF99WWM=")</f>
        <v>#REF!</v>
      </c>
      <c r="CW111" t="e">
        <f>AND('GA55 Entry'!K325,"AAAAAF99WWQ=")</f>
        <v>#VALUE!</v>
      </c>
      <c r="CX111" t="e">
        <f>AND('GA55 Entry'!L325,"AAAAAF99WWU=")</f>
        <v>#VALUE!</v>
      </c>
      <c r="CY111" t="e">
        <f>AND('GA55 Entry'!M325,"AAAAAF99WWY=")</f>
        <v>#VALUE!</v>
      </c>
      <c r="CZ111" t="e">
        <f>AND('GA55 Entry'!N325,"AAAAAF99WWc=")</f>
        <v>#VALUE!</v>
      </c>
      <c r="DA111" t="e">
        <f>AND('GA55 Entry'!O325,"AAAAAF99WWg=")</f>
        <v>#VALUE!</v>
      </c>
      <c r="DB111" t="e">
        <f>AND('GA55 Entry'!P325,"AAAAAF99WWk=")</f>
        <v>#VALUE!</v>
      </c>
      <c r="DC111" t="e">
        <f>AND('GA55 Entry'!Q325,"AAAAAF99WWo=")</f>
        <v>#VALUE!</v>
      </c>
      <c r="DD111" t="e">
        <f>AND('GA55 Entry'!S325,"AAAAAF99WWs=")</f>
        <v>#VALUE!</v>
      </c>
      <c r="DE111" t="e">
        <f>AND('GA55 Entry'!#REF!,"AAAAAF99WWw=")</f>
        <v>#REF!</v>
      </c>
      <c r="DF111" t="e">
        <f>AND('GA55 Entry'!T325,"AAAAAF99WW0=")</f>
        <v>#VALUE!</v>
      </c>
      <c r="DG111" t="e">
        <f>AND('GA55 Entry'!U325,"AAAAAF99WW4=")</f>
        <v>#VALUE!</v>
      </c>
      <c r="DH111" t="e">
        <f>AND('GA55 Entry'!V325,"AAAAAF99WW8=")</f>
        <v>#VALUE!</v>
      </c>
      <c r="DI111" t="e">
        <f>AND('GA55 Entry'!#REF!,"AAAAAF99WXA=")</f>
        <v>#REF!</v>
      </c>
      <c r="DJ111" t="e">
        <f>AND('GA55 Entry'!#REF!,"AAAAAF99WXE=")</f>
        <v>#REF!</v>
      </c>
      <c r="DK111" t="e">
        <f>AND('GA55 Entry'!X325,"AAAAAF99WXI=")</f>
        <v>#VALUE!</v>
      </c>
      <c r="DL111" t="e">
        <f>AND('GA55 Entry'!Y325,"AAAAAF99WXM=")</f>
        <v>#VALUE!</v>
      </c>
      <c r="DM111" t="e">
        <f>AND('GA55 Entry'!#REF!,"AAAAAF99WXQ=")</f>
        <v>#REF!</v>
      </c>
      <c r="DN111" t="e">
        <f>AND('GA55 Entry'!#REF!,"AAAAAF99WXU=")</f>
        <v>#REF!</v>
      </c>
      <c r="DO111" t="e">
        <f>AND('GA55 Entry'!#REF!,"AAAAAF99WXY=")</f>
        <v>#REF!</v>
      </c>
      <c r="DP111" t="e">
        <f>AND('GA55 Entry'!#REF!,"AAAAAF99WXc=")</f>
        <v>#REF!</v>
      </c>
      <c r="DQ111" t="e">
        <f>AND('GA55 Entry'!#REF!,"AAAAAF99WXg=")</f>
        <v>#REF!</v>
      </c>
      <c r="DR111" t="e">
        <f>AND('GA55 Entry'!#REF!,"AAAAAF99WXk=")</f>
        <v>#REF!</v>
      </c>
      <c r="DS111" t="e">
        <f>AND('GA55 Entry'!#REF!,"AAAAAF99WXo=")</f>
        <v>#REF!</v>
      </c>
      <c r="DT111" t="e">
        <f>AND('GA55 Entry'!#REF!,"AAAAAF99WXs=")</f>
        <v>#REF!</v>
      </c>
      <c r="DU111" t="e">
        <f>AND('GA55 Entry'!#REF!,"AAAAAF99WXw=")</f>
        <v>#REF!</v>
      </c>
      <c r="DV111" t="e">
        <f>AND('GA55 Entry'!Z325,"AAAAAF99WX0=")</f>
        <v>#VALUE!</v>
      </c>
      <c r="DW111" t="e">
        <f>AND('GA55 Entry'!AA325,"AAAAAF99WX4=")</f>
        <v>#VALUE!</v>
      </c>
      <c r="DX111" t="e">
        <f>AND('GA55 Entry'!#REF!,"AAAAAF99WX8=")</f>
        <v>#REF!</v>
      </c>
      <c r="DY111" t="e">
        <f>AND('GA55 Entry'!#REF!,"AAAAAF99WYA=")</f>
        <v>#REF!</v>
      </c>
      <c r="DZ111" t="e">
        <f>AND('GA55 Entry'!#REF!,"AAAAAF99WYE=")</f>
        <v>#REF!</v>
      </c>
      <c r="EA111" t="e">
        <f>AND('GA55 Entry'!AB325,"AAAAAF99WYI=")</f>
        <v>#VALUE!</v>
      </c>
      <c r="EB111" t="e">
        <f>AND('GA55 Entry'!AC325,"AAAAAF99WYM=")</f>
        <v>#VALUE!</v>
      </c>
      <c r="EC111" t="e">
        <f>AND('GA55 Entry'!#REF!,"AAAAAF99WYQ=")</f>
        <v>#REF!</v>
      </c>
      <c r="ED111">
        <f>IF('GA55 Entry'!326:326,"AAAAAF99WYU=",0)</f>
        <v>0</v>
      </c>
      <c r="EE111" t="e">
        <f>AND('GA55 Entry'!B326,"AAAAAF99WYY=")</f>
        <v>#VALUE!</v>
      </c>
      <c r="EF111" t="e">
        <f>AND('GA55 Entry'!#REF!,"AAAAAF99WYc=")</f>
        <v>#REF!</v>
      </c>
      <c r="EG111" t="e">
        <f>AND('GA55 Entry'!C326,"AAAAAF99WYg=")</f>
        <v>#VALUE!</v>
      </c>
      <c r="EH111" t="e">
        <f>AND('GA55 Entry'!#REF!,"AAAAAF99WYk=")</f>
        <v>#REF!</v>
      </c>
      <c r="EI111" t="e">
        <f>AND('GA55 Entry'!#REF!,"AAAAAF99WYo=")</f>
        <v>#REF!</v>
      </c>
      <c r="EJ111" t="e">
        <f>AND('GA55 Entry'!#REF!,"AAAAAF99WYs=")</f>
        <v>#REF!</v>
      </c>
      <c r="EK111" t="e">
        <f>AND('GA55 Entry'!#REF!,"AAAAAF99WYw=")</f>
        <v>#REF!</v>
      </c>
      <c r="EL111" t="e">
        <f>AND('GA55 Entry'!#REF!,"AAAAAF99WY0=")</f>
        <v>#REF!</v>
      </c>
      <c r="EM111" t="e">
        <f>AND('GA55 Entry'!D326,"AAAAAF99WY4=")</f>
        <v>#VALUE!</v>
      </c>
      <c r="EN111" t="e">
        <f>AND('GA55 Entry'!#REF!,"AAAAAF99WY8=")</f>
        <v>#REF!</v>
      </c>
      <c r="EO111" t="e">
        <f>AND('GA55 Entry'!E326,"AAAAAF99WZA=")</f>
        <v>#VALUE!</v>
      </c>
      <c r="EP111" t="e">
        <f>AND('GA55 Entry'!F326,"AAAAAF99WZE=")</f>
        <v>#VALUE!</v>
      </c>
      <c r="EQ111" t="e">
        <f>AND('GA55 Entry'!G326,"AAAAAF99WZI=")</f>
        <v>#VALUE!</v>
      </c>
      <c r="ER111" t="e">
        <f>AND('GA55 Entry'!H326,"AAAAAF99WZM=")</f>
        <v>#VALUE!</v>
      </c>
      <c r="ES111" t="e">
        <f>AND('GA55 Entry'!I326,"AAAAAF99WZQ=")</f>
        <v>#VALUE!</v>
      </c>
      <c r="ET111" t="e">
        <f>AND('GA55 Entry'!J326,"AAAAAF99WZU=")</f>
        <v>#VALUE!</v>
      </c>
      <c r="EU111" t="e">
        <f>AND('GA55 Entry'!#REF!,"AAAAAF99WZY=")</f>
        <v>#REF!</v>
      </c>
      <c r="EV111" t="e">
        <f>AND('GA55 Entry'!K326,"AAAAAF99WZc=")</f>
        <v>#VALUE!</v>
      </c>
      <c r="EW111" t="e">
        <f>AND('GA55 Entry'!L326,"AAAAAF99WZg=")</f>
        <v>#VALUE!</v>
      </c>
      <c r="EX111" t="e">
        <f>AND('GA55 Entry'!M326,"AAAAAF99WZk=")</f>
        <v>#VALUE!</v>
      </c>
      <c r="EY111" t="e">
        <f>AND('GA55 Entry'!N326,"AAAAAF99WZo=")</f>
        <v>#VALUE!</v>
      </c>
      <c r="EZ111" t="e">
        <f>AND('GA55 Entry'!O326,"AAAAAF99WZs=")</f>
        <v>#VALUE!</v>
      </c>
      <c r="FA111" t="e">
        <f>AND('GA55 Entry'!P326,"AAAAAF99WZw=")</f>
        <v>#VALUE!</v>
      </c>
      <c r="FB111" t="e">
        <f>AND('GA55 Entry'!Q326,"AAAAAF99WZ0=")</f>
        <v>#VALUE!</v>
      </c>
      <c r="FC111" t="e">
        <f>AND('GA55 Entry'!S326,"AAAAAF99WZ4=")</f>
        <v>#VALUE!</v>
      </c>
      <c r="FD111" t="e">
        <f>AND('GA55 Entry'!#REF!,"AAAAAF99WZ8=")</f>
        <v>#REF!</v>
      </c>
      <c r="FE111" t="e">
        <f>AND('GA55 Entry'!T326,"AAAAAF99WaA=")</f>
        <v>#VALUE!</v>
      </c>
      <c r="FF111" t="e">
        <f>AND('GA55 Entry'!U326,"AAAAAF99WaE=")</f>
        <v>#VALUE!</v>
      </c>
      <c r="FG111" t="e">
        <f>AND('GA55 Entry'!V326,"AAAAAF99WaI=")</f>
        <v>#VALUE!</v>
      </c>
      <c r="FH111" t="e">
        <f>AND('GA55 Entry'!#REF!,"AAAAAF99WaM=")</f>
        <v>#REF!</v>
      </c>
      <c r="FI111" t="e">
        <f>AND('GA55 Entry'!#REF!,"AAAAAF99WaQ=")</f>
        <v>#REF!</v>
      </c>
      <c r="FJ111" t="e">
        <f>AND('GA55 Entry'!X326,"AAAAAF99WaU=")</f>
        <v>#VALUE!</v>
      </c>
      <c r="FK111" t="e">
        <f>AND('GA55 Entry'!Y326,"AAAAAF99WaY=")</f>
        <v>#VALUE!</v>
      </c>
      <c r="FL111" t="e">
        <f>AND('GA55 Entry'!#REF!,"AAAAAF99Wac=")</f>
        <v>#REF!</v>
      </c>
      <c r="FM111" t="e">
        <f>AND('GA55 Entry'!#REF!,"AAAAAF99Wag=")</f>
        <v>#REF!</v>
      </c>
      <c r="FN111" t="e">
        <f>AND('GA55 Entry'!#REF!,"AAAAAF99Wak=")</f>
        <v>#REF!</v>
      </c>
      <c r="FO111" t="e">
        <f>AND('GA55 Entry'!#REF!,"AAAAAF99Wao=")</f>
        <v>#REF!</v>
      </c>
      <c r="FP111" t="e">
        <f>AND('GA55 Entry'!#REF!,"AAAAAF99Was=")</f>
        <v>#REF!</v>
      </c>
      <c r="FQ111" t="e">
        <f>AND('GA55 Entry'!#REF!,"AAAAAF99Waw=")</f>
        <v>#REF!</v>
      </c>
      <c r="FR111" t="e">
        <f>AND('GA55 Entry'!#REF!,"AAAAAF99Wa0=")</f>
        <v>#REF!</v>
      </c>
      <c r="FS111" t="e">
        <f>AND('GA55 Entry'!#REF!,"AAAAAF99Wa4=")</f>
        <v>#REF!</v>
      </c>
      <c r="FT111" t="e">
        <f>AND('GA55 Entry'!#REF!,"AAAAAF99Wa8=")</f>
        <v>#REF!</v>
      </c>
      <c r="FU111" t="e">
        <f>AND('GA55 Entry'!Z326,"AAAAAF99WbA=")</f>
        <v>#VALUE!</v>
      </c>
      <c r="FV111" t="e">
        <f>AND('GA55 Entry'!AA326,"AAAAAF99WbE=")</f>
        <v>#VALUE!</v>
      </c>
      <c r="FW111" t="e">
        <f>AND('GA55 Entry'!#REF!,"AAAAAF99WbI=")</f>
        <v>#REF!</v>
      </c>
      <c r="FX111" t="e">
        <f>AND('GA55 Entry'!#REF!,"AAAAAF99WbM=")</f>
        <v>#REF!</v>
      </c>
      <c r="FY111" t="e">
        <f>AND('GA55 Entry'!#REF!,"AAAAAF99WbQ=")</f>
        <v>#REF!</v>
      </c>
      <c r="FZ111" t="e">
        <f>AND('GA55 Entry'!AB326,"AAAAAF99WbU=")</f>
        <v>#VALUE!</v>
      </c>
      <c r="GA111" t="e">
        <f>AND('GA55 Entry'!AC326,"AAAAAF99WbY=")</f>
        <v>#VALUE!</v>
      </c>
      <c r="GB111" t="e">
        <f>AND('GA55 Entry'!#REF!,"AAAAAF99Wbc=")</f>
        <v>#REF!</v>
      </c>
      <c r="GC111">
        <f>IF('GA55 Entry'!327:327,"AAAAAF99Wbg=",0)</f>
        <v>0</v>
      </c>
      <c r="GD111" t="e">
        <f>AND('GA55 Entry'!B327,"AAAAAF99Wbk=")</f>
        <v>#VALUE!</v>
      </c>
      <c r="GE111" t="e">
        <f>AND('GA55 Entry'!#REF!,"AAAAAF99Wbo=")</f>
        <v>#REF!</v>
      </c>
      <c r="GF111" t="e">
        <f>AND('GA55 Entry'!C327,"AAAAAF99Wbs=")</f>
        <v>#VALUE!</v>
      </c>
      <c r="GG111" t="e">
        <f>AND('GA55 Entry'!#REF!,"AAAAAF99Wbw=")</f>
        <v>#REF!</v>
      </c>
      <c r="GH111" t="e">
        <f>AND('GA55 Entry'!#REF!,"AAAAAF99Wb0=")</f>
        <v>#REF!</v>
      </c>
      <c r="GI111" t="e">
        <f>AND('GA55 Entry'!#REF!,"AAAAAF99Wb4=")</f>
        <v>#REF!</v>
      </c>
      <c r="GJ111" t="e">
        <f>AND('GA55 Entry'!#REF!,"AAAAAF99Wb8=")</f>
        <v>#REF!</v>
      </c>
      <c r="GK111" t="e">
        <f>AND('GA55 Entry'!#REF!,"AAAAAF99WcA=")</f>
        <v>#REF!</v>
      </c>
      <c r="GL111" t="e">
        <f>AND('GA55 Entry'!D327,"AAAAAF99WcE=")</f>
        <v>#VALUE!</v>
      </c>
      <c r="GM111" t="e">
        <f>AND('GA55 Entry'!#REF!,"AAAAAF99WcI=")</f>
        <v>#REF!</v>
      </c>
      <c r="GN111" t="e">
        <f>AND('GA55 Entry'!E327,"AAAAAF99WcM=")</f>
        <v>#VALUE!</v>
      </c>
      <c r="GO111" t="e">
        <f>AND('GA55 Entry'!F327,"AAAAAF99WcQ=")</f>
        <v>#VALUE!</v>
      </c>
      <c r="GP111" t="e">
        <f>AND('GA55 Entry'!G327,"AAAAAF99WcU=")</f>
        <v>#VALUE!</v>
      </c>
      <c r="GQ111" t="e">
        <f>AND('GA55 Entry'!H327,"AAAAAF99WcY=")</f>
        <v>#VALUE!</v>
      </c>
      <c r="GR111" t="e">
        <f>AND('GA55 Entry'!I327,"AAAAAF99Wcc=")</f>
        <v>#VALUE!</v>
      </c>
      <c r="GS111" t="e">
        <f>AND('GA55 Entry'!J327,"AAAAAF99Wcg=")</f>
        <v>#VALUE!</v>
      </c>
      <c r="GT111" t="e">
        <f>AND('GA55 Entry'!#REF!,"AAAAAF99Wck=")</f>
        <v>#REF!</v>
      </c>
      <c r="GU111" t="e">
        <f>AND('GA55 Entry'!K327,"AAAAAF99Wco=")</f>
        <v>#VALUE!</v>
      </c>
      <c r="GV111" t="e">
        <f>AND('GA55 Entry'!L327,"AAAAAF99Wcs=")</f>
        <v>#VALUE!</v>
      </c>
      <c r="GW111" t="e">
        <f>AND('GA55 Entry'!M327,"AAAAAF99Wcw=")</f>
        <v>#VALUE!</v>
      </c>
      <c r="GX111" t="e">
        <f>AND('GA55 Entry'!N327,"AAAAAF99Wc0=")</f>
        <v>#VALUE!</v>
      </c>
      <c r="GY111" t="e">
        <f>AND('GA55 Entry'!O327,"AAAAAF99Wc4=")</f>
        <v>#VALUE!</v>
      </c>
      <c r="GZ111" t="e">
        <f>AND('GA55 Entry'!P327,"AAAAAF99Wc8=")</f>
        <v>#VALUE!</v>
      </c>
      <c r="HA111" t="e">
        <f>AND('GA55 Entry'!Q327,"AAAAAF99WdA=")</f>
        <v>#VALUE!</v>
      </c>
      <c r="HB111" t="e">
        <f>AND('GA55 Entry'!S327,"AAAAAF99WdE=")</f>
        <v>#VALUE!</v>
      </c>
      <c r="HC111" t="e">
        <f>AND('GA55 Entry'!#REF!,"AAAAAF99WdI=")</f>
        <v>#REF!</v>
      </c>
      <c r="HD111" t="e">
        <f>AND('GA55 Entry'!T327,"AAAAAF99WdM=")</f>
        <v>#VALUE!</v>
      </c>
      <c r="HE111" t="e">
        <f>AND('GA55 Entry'!U327,"AAAAAF99WdQ=")</f>
        <v>#VALUE!</v>
      </c>
      <c r="HF111" t="e">
        <f>AND('GA55 Entry'!V327,"AAAAAF99WdU=")</f>
        <v>#VALUE!</v>
      </c>
      <c r="HG111" t="e">
        <f>AND('GA55 Entry'!#REF!,"AAAAAF99WdY=")</f>
        <v>#REF!</v>
      </c>
      <c r="HH111" t="e">
        <f>AND('GA55 Entry'!#REF!,"AAAAAF99Wdc=")</f>
        <v>#REF!</v>
      </c>
      <c r="HI111" t="e">
        <f>AND('GA55 Entry'!X327,"AAAAAF99Wdg=")</f>
        <v>#VALUE!</v>
      </c>
      <c r="HJ111" t="e">
        <f>AND('GA55 Entry'!Y327,"AAAAAF99Wdk=")</f>
        <v>#VALUE!</v>
      </c>
      <c r="HK111" t="e">
        <f>AND('GA55 Entry'!#REF!,"AAAAAF99Wdo=")</f>
        <v>#REF!</v>
      </c>
      <c r="HL111" t="e">
        <f>AND('GA55 Entry'!#REF!,"AAAAAF99Wds=")</f>
        <v>#REF!</v>
      </c>
      <c r="HM111" t="e">
        <f>AND('GA55 Entry'!#REF!,"AAAAAF99Wdw=")</f>
        <v>#REF!</v>
      </c>
      <c r="HN111" t="e">
        <f>AND('GA55 Entry'!#REF!,"AAAAAF99Wd0=")</f>
        <v>#REF!</v>
      </c>
      <c r="HO111" t="e">
        <f>AND('GA55 Entry'!#REF!,"AAAAAF99Wd4=")</f>
        <v>#REF!</v>
      </c>
      <c r="HP111" t="e">
        <f>AND('GA55 Entry'!#REF!,"AAAAAF99Wd8=")</f>
        <v>#REF!</v>
      </c>
      <c r="HQ111" t="e">
        <f>AND('GA55 Entry'!#REF!,"AAAAAF99WeA=")</f>
        <v>#REF!</v>
      </c>
      <c r="HR111" t="e">
        <f>AND('GA55 Entry'!#REF!,"AAAAAF99WeE=")</f>
        <v>#REF!</v>
      </c>
      <c r="HS111" t="e">
        <f>AND('GA55 Entry'!#REF!,"AAAAAF99WeI=")</f>
        <v>#REF!</v>
      </c>
      <c r="HT111" t="e">
        <f>AND('GA55 Entry'!Z327,"AAAAAF99WeM=")</f>
        <v>#VALUE!</v>
      </c>
      <c r="HU111" t="e">
        <f>AND('GA55 Entry'!AA327,"AAAAAF99WeQ=")</f>
        <v>#VALUE!</v>
      </c>
      <c r="HV111" t="e">
        <f>AND('GA55 Entry'!#REF!,"AAAAAF99WeU=")</f>
        <v>#REF!</v>
      </c>
      <c r="HW111" t="e">
        <f>AND('GA55 Entry'!#REF!,"AAAAAF99WeY=")</f>
        <v>#REF!</v>
      </c>
      <c r="HX111" t="e">
        <f>AND('GA55 Entry'!#REF!,"AAAAAF99Wec=")</f>
        <v>#REF!</v>
      </c>
      <c r="HY111" t="e">
        <f>AND('GA55 Entry'!AB327,"AAAAAF99Weg=")</f>
        <v>#VALUE!</v>
      </c>
      <c r="HZ111" t="e">
        <f>AND('GA55 Entry'!AC327,"AAAAAF99Wek=")</f>
        <v>#VALUE!</v>
      </c>
      <c r="IA111" t="e">
        <f>AND('GA55 Entry'!#REF!,"AAAAAF99Weo=")</f>
        <v>#REF!</v>
      </c>
      <c r="IB111">
        <f>IF('GA55 Entry'!328:328,"AAAAAF99Wes=",0)</f>
        <v>0</v>
      </c>
      <c r="IC111" t="e">
        <f>AND('GA55 Entry'!B328,"AAAAAF99Wew=")</f>
        <v>#VALUE!</v>
      </c>
      <c r="ID111" t="e">
        <f>AND('GA55 Entry'!#REF!,"AAAAAF99We0=")</f>
        <v>#REF!</v>
      </c>
      <c r="IE111" t="e">
        <f>AND('GA55 Entry'!C328,"AAAAAF99We4=")</f>
        <v>#VALUE!</v>
      </c>
      <c r="IF111" t="e">
        <f>AND('GA55 Entry'!#REF!,"AAAAAF99We8=")</f>
        <v>#REF!</v>
      </c>
      <c r="IG111" t="e">
        <f>AND('GA55 Entry'!#REF!,"AAAAAF99WfA=")</f>
        <v>#REF!</v>
      </c>
      <c r="IH111" t="e">
        <f>AND('GA55 Entry'!#REF!,"AAAAAF99WfE=")</f>
        <v>#REF!</v>
      </c>
      <c r="II111" t="e">
        <f>AND('GA55 Entry'!#REF!,"AAAAAF99WfI=")</f>
        <v>#REF!</v>
      </c>
      <c r="IJ111" t="e">
        <f>AND('GA55 Entry'!#REF!,"AAAAAF99WfM=")</f>
        <v>#REF!</v>
      </c>
      <c r="IK111" t="e">
        <f>AND('GA55 Entry'!D328,"AAAAAF99WfQ=")</f>
        <v>#VALUE!</v>
      </c>
      <c r="IL111" t="e">
        <f>AND('GA55 Entry'!#REF!,"AAAAAF99WfU=")</f>
        <v>#REF!</v>
      </c>
      <c r="IM111" t="e">
        <f>AND('GA55 Entry'!E328,"AAAAAF99WfY=")</f>
        <v>#VALUE!</v>
      </c>
      <c r="IN111" t="e">
        <f>AND('GA55 Entry'!F328,"AAAAAF99Wfc=")</f>
        <v>#VALUE!</v>
      </c>
      <c r="IO111" t="e">
        <f>AND('GA55 Entry'!G328,"AAAAAF99Wfg=")</f>
        <v>#VALUE!</v>
      </c>
      <c r="IP111" t="e">
        <f>AND('GA55 Entry'!H328,"AAAAAF99Wfk=")</f>
        <v>#VALUE!</v>
      </c>
      <c r="IQ111" t="e">
        <f>AND('GA55 Entry'!I328,"AAAAAF99Wfo=")</f>
        <v>#VALUE!</v>
      </c>
      <c r="IR111" t="e">
        <f>AND('GA55 Entry'!J328,"AAAAAF99Wfs=")</f>
        <v>#VALUE!</v>
      </c>
      <c r="IS111" t="e">
        <f>AND('GA55 Entry'!#REF!,"AAAAAF99Wfw=")</f>
        <v>#REF!</v>
      </c>
      <c r="IT111" t="e">
        <f>AND('GA55 Entry'!K328,"AAAAAF99Wf0=")</f>
        <v>#VALUE!</v>
      </c>
      <c r="IU111" t="e">
        <f>AND('GA55 Entry'!L328,"AAAAAF99Wf4=")</f>
        <v>#VALUE!</v>
      </c>
      <c r="IV111" t="e">
        <f>AND('GA55 Entry'!M328,"AAAAAF99Wf8=")</f>
        <v>#VALUE!</v>
      </c>
    </row>
    <row r="112" spans="1:256">
      <c r="A112" t="e">
        <f>AND('GA55 Entry'!N328,"AAAAAD3/swA=")</f>
        <v>#VALUE!</v>
      </c>
      <c r="B112" t="e">
        <f>AND('GA55 Entry'!O328,"AAAAAD3/swE=")</f>
        <v>#VALUE!</v>
      </c>
      <c r="C112" t="e">
        <f>AND('GA55 Entry'!P328,"AAAAAD3/swI=")</f>
        <v>#VALUE!</v>
      </c>
      <c r="D112" t="e">
        <f>AND('GA55 Entry'!Q328,"AAAAAD3/swM=")</f>
        <v>#VALUE!</v>
      </c>
      <c r="E112" t="e">
        <f>AND('GA55 Entry'!S328,"AAAAAD3/swQ=")</f>
        <v>#VALUE!</v>
      </c>
      <c r="F112" t="e">
        <f>AND('GA55 Entry'!#REF!,"AAAAAD3/swU=")</f>
        <v>#REF!</v>
      </c>
      <c r="G112" t="e">
        <f>AND('GA55 Entry'!T328,"AAAAAD3/swY=")</f>
        <v>#VALUE!</v>
      </c>
      <c r="H112" t="e">
        <f>AND('GA55 Entry'!U328,"AAAAAD3/swc=")</f>
        <v>#VALUE!</v>
      </c>
      <c r="I112" t="e">
        <f>AND('GA55 Entry'!V328,"AAAAAD3/swg=")</f>
        <v>#VALUE!</v>
      </c>
      <c r="J112" t="e">
        <f>AND('GA55 Entry'!#REF!,"AAAAAD3/swk=")</f>
        <v>#REF!</v>
      </c>
      <c r="K112" t="e">
        <f>AND('GA55 Entry'!#REF!,"AAAAAD3/swo=")</f>
        <v>#REF!</v>
      </c>
      <c r="L112" t="e">
        <f>AND('GA55 Entry'!X328,"AAAAAD3/sws=")</f>
        <v>#VALUE!</v>
      </c>
      <c r="M112" t="e">
        <f>AND('GA55 Entry'!Y328,"AAAAAD3/sww=")</f>
        <v>#VALUE!</v>
      </c>
      <c r="N112" t="e">
        <f>AND('GA55 Entry'!#REF!,"AAAAAD3/sw0=")</f>
        <v>#REF!</v>
      </c>
      <c r="O112" t="e">
        <f>AND('GA55 Entry'!#REF!,"AAAAAD3/sw4=")</f>
        <v>#REF!</v>
      </c>
      <c r="P112" t="e">
        <f>AND('GA55 Entry'!#REF!,"AAAAAD3/sw8=")</f>
        <v>#REF!</v>
      </c>
      <c r="Q112" t="e">
        <f>AND('GA55 Entry'!#REF!,"AAAAAD3/sxA=")</f>
        <v>#REF!</v>
      </c>
      <c r="R112" t="e">
        <f>AND('GA55 Entry'!#REF!,"AAAAAD3/sxE=")</f>
        <v>#REF!</v>
      </c>
      <c r="S112" t="e">
        <f>AND('GA55 Entry'!#REF!,"AAAAAD3/sxI=")</f>
        <v>#REF!</v>
      </c>
      <c r="T112" t="e">
        <f>AND('GA55 Entry'!#REF!,"AAAAAD3/sxM=")</f>
        <v>#REF!</v>
      </c>
      <c r="U112" t="e">
        <f>AND('GA55 Entry'!#REF!,"AAAAAD3/sxQ=")</f>
        <v>#REF!</v>
      </c>
      <c r="V112" t="e">
        <f>AND('GA55 Entry'!#REF!,"AAAAAD3/sxU=")</f>
        <v>#REF!</v>
      </c>
      <c r="W112" t="e">
        <f>AND('GA55 Entry'!Z328,"AAAAAD3/sxY=")</f>
        <v>#VALUE!</v>
      </c>
      <c r="X112" t="e">
        <f>AND('GA55 Entry'!AA328,"AAAAAD3/sxc=")</f>
        <v>#VALUE!</v>
      </c>
      <c r="Y112" t="e">
        <f>AND('GA55 Entry'!#REF!,"AAAAAD3/sxg=")</f>
        <v>#REF!</v>
      </c>
      <c r="Z112" t="e">
        <f>AND('GA55 Entry'!#REF!,"AAAAAD3/sxk=")</f>
        <v>#REF!</v>
      </c>
      <c r="AA112" t="e">
        <f>AND('GA55 Entry'!#REF!,"AAAAAD3/sxo=")</f>
        <v>#REF!</v>
      </c>
      <c r="AB112" t="e">
        <f>AND('GA55 Entry'!AB328,"AAAAAD3/sxs=")</f>
        <v>#VALUE!</v>
      </c>
      <c r="AC112" t="e">
        <f>AND('GA55 Entry'!AC328,"AAAAAD3/sxw=")</f>
        <v>#VALUE!</v>
      </c>
      <c r="AD112" t="e">
        <f>AND('GA55 Entry'!#REF!,"AAAAAD3/sx0=")</f>
        <v>#REF!</v>
      </c>
      <c r="AE112">
        <f>IF('GA55 Entry'!329:329,"AAAAAD3/sx4=",0)</f>
        <v>0</v>
      </c>
      <c r="AF112" t="e">
        <f>AND('GA55 Entry'!B329,"AAAAAD3/sx8=")</f>
        <v>#VALUE!</v>
      </c>
      <c r="AG112" t="e">
        <f>AND('GA55 Entry'!#REF!,"AAAAAD3/syA=")</f>
        <v>#REF!</v>
      </c>
      <c r="AH112" t="e">
        <f>AND('GA55 Entry'!C329,"AAAAAD3/syE=")</f>
        <v>#VALUE!</v>
      </c>
      <c r="AI112" t="e">
        <f>AND('GA55 Entry'!#REF!,"AAAAAD3/syI=")</f>
        <v>#REF!</v>
      </c>
      <c r="AJ112" t="e">
        <f>AND('GA55 Entry'!#REF!,"AAAAAD3/syM=")</f>
        <v>#REF!</v>
      </c>
      <c r="AK112" t="e">
        <f>AND('GA55 Entry'!#REF!,"AAAAAD3/syQ=")</f>
        <v>#REF!</v>
      </c>
      <c r="AL112" t="e">
        <f>AND('GA55 Entry'!#REF!,"AAAAAD3/syU=")</f>
        <v>#REF!</v>
      </c>
      <c r="AM112" t="e">
        <f>AND('GA55 Entry'!#REF!,"AAAAAD3/syY=")</f>
        <v>#REF!</v>
      </c>
      <c r="AN112" t="e">
        <f>AND('GA55 Entry'!D329,"AAAAAD3/syc=")</f>
        <v>#VALUE!</v>
      </c>
      <c r="AO112" t="e">
        <f>AND('GA55 Entry'!#REF!,"AAAAAD3/syg=")</f>
        <v>#REF!</v>
      </c>
      <c r="AP112" t="e">
        <f>AND('GA55 Entry'!E329,"AAAAAD3/syk=")</f>
        <v>#VALUE!</v>
      </c>
      <c r="AQ112" t="e">
        <f>AND('GA55 Entry'!F329,"AAAAAD3/syo=")</f>
        <v>#VALUE!</v>
      </c>
      <c r="AR112" t="e">
        <f>AND('GA55 Entry'!G329,"AAAAAD3/sys=")</f>
        <v>#VALUE!</v>
      </c>
      <c r="AS112" t="e">
        <f>AND('GA55 Entry'!H329,"AAAAAD3/syw=")</f>
        <v>#VALUE!</v>
      </c>
      <c r="AT112" t="e">
        <f>AND('GA55 Entry'!I329,"AAAAAD3/sy0=")</f>
        <v>#VALUE!</v>
      </c>
      <c r="AU112" t="e">
        <f>AND('GA55 Entry'!J329,"AAAAAD3/sy4=")</f>
        <v>#VALUE!</v>
      </c>
      <c r="AV112" t="e">
        <f>AND('GA55 Entry'!#REF!,"AAAAAD3/sy8=")</f>
        <v>#REF!</v>
      </c>
      <c r="AW112" t="e">
        <f>AND('GA55 Entry'!K329,"AAAAAD3/szA=")</f>
        <v>#VALUE!</v>
      </c>
      <c r="AX112" t="e">
        <f>AND('GA55 Entry'!L329,"AAAAAD3/szE=")</f>
        <v>#VALUE!</v>
      </c>
      <c r="AY112" t="e">
        <f>AND('GA55 Entry'!M329,"AAAAAD3/szI=")</f>
        <v>#VALUE!</v>
      </c>
      <c r="AZ112" t="e">
        <f>AND('GA55 Entry'!N329,"AAAAAD3/szM=")</f>
        <v>#VALUE!</v>
      </c>
      <c r="BA112" t="e">
        <f>AND('GA55 Entry'!O329,"AAAAAD3/szQ=")</f>
        <v>#VALUE!</v>
      </c>
      <c r="BB112" t="e">
        <f>AND('GA55 Entry'!P329,"AAAAAD3/szU=")</f>
        <v>#VALUE!</v>
      </c>
      <c r="BC112" t="e">
        <f>AND('GA55 Entry'!Q329,"AAAAAD3/szY=")</f>
        <v>#VALUE!</v>
      </c>
      <c r="BD112" t="e">
        <f>AND('GA55 Entry'!S329,"AAAAAD3/szc=")</f>
        <v>#VALUE!</v>
      </c>
      <c r="BE112" t="e">
        <f>AND('GA55 Entry'!#REF!,"AAAAAD3/szg=")</f>
        <v>#REF!</v>
      </c>
      <c r="BF112" t="e">
        <f>AND('GA55 Entry'!T329,"AAAAAD3/szk=")</f>
        <v>#VALUE!</v>
      </c>
      <c r="BG112" t="e">
        <f>AND('GA55 Entry'!U329,"AAAAAD3/szo=")</f>
        <v>#VALUE!</v>
      </c>
      <c r="BH112" t="e">
        <f>AND('GA55 Entry'!V329,"AAAAAD3/szs=")</f>
        <v>#VALUE!</v>
      </c>
      <c r="BI112" t="e">
        <f>AND('GA55 Entry'!#REF!,"AAAAAD3/szw=")</f>
        <v>#REF!</v>
      </c>
      <c r="BJ112" t="e">
        <f>AND('GA55 Entry'!#REF!,"AAAAAD3/sz0=")</f>
        <v>#REF!</v>
      </c>
      <c r="BK112" t="e">
        <f>AND('GA55 Entry'!X329,"AAAAAD3/sz4=")</f>
        <v>#VALUE!</v>
      </c>
      <c r="BL112" t="e">
        <f>AND('GA55 Entry'!Y329,"AAAAAD3/sz8=")</f>
        <v>#VALUE!</v>
      </c>
      <c r="BM112" t="e">
        <f>AND('GA55 Entry'!#REF!,"AAAAAD3/s0A=")</f>
        <v>#REF!</v>
      </c>
      <c r="BN112" t="e">
        <f>AND('GA55 Entry'!#REF!,"AAAAAD3/s0E=")</f>
        <v>#REF!</v>
      </c>
      <c r="BO112" t="e">
        <f>AND('GA55 Entry'!#REF!,"AAAAAD3/s0I=")</f>
        <v>#REF!</v>
      </c>
      <c r="BP112" t="e">
        <f>AND('GA55 Entry'!#REF!,"AAAAAD3/s0M=")</f>
        <v>#REF!</v>
      </c>
      <c r="BQ112" t="e">
        <f>AND('GA55 Entry'!#REF!,"AAAAAD3/s0Q=")</f>
        <v>#REF!</v>
      </c>
      <c r="BR112" t="e">
        <f>AND('GA55 Entry'!#REF!,"AAAAAD3/s0U=")</f>
        <v>#REF!</v>
      </c>
      <c r="BS112" t="e">
        <f>AND('GA55 Entry'!#REF!,"AAAAAD3/s0Y=")</f>
        <v>#REF!</v>
      </c>
      <c r="BT112" t="e">
        <f>AND('GA55 Entry'!#REF!,"AAAAAD3/s0c=")</f>
        <v>#REF!</v>
      </c>
      <c r="BU112" t="e">
        <f>AND('GA55 Entry'!#REF!,"AAAAAD3/s0g=")</f>
        <v>#REF!</v>
      </c>
      <c r="BV112" t="e">
        <f>AND('GA55 Entry'!Z329,"AAAAAD3/s0k=")</f>
        <v>#VALUE!</v>
      </c>
      <c r="BW112" t="e">
        <f>AND('GA55 Entry'!AA329,"AAAAAD3/s0o=")</f>
        <v>#VALUE!</v>
      </c>
      <c r="BX112" t="e">
        <f>AND('GA55 Entry'!#REF!,"AAAAAD3/s0s=")</f>
        <v>#REF!</v>
      </c>
      <c r="BY112" t="e">
        <f>AND('GA55 Entry'!#REF!,"AAAAAD3/s0w=")</f>
        <v>#REF!</v>
      </c>
      <c r="BZ112" t="e">
        <f>AND('GA55 Entry'!#REF!,"AAAAAD3/s00=")</f>
        <v>#REF!</v>
      </c>
      <c r="CA112" t="e">
        <f>AND('GA55 Entry'!AB329,"AAAAAD3/s04=")</f>
        <v>#VALUE!</v>
      </c>
      <c r="CB112" t="e">
        <f>AND('GA55 Entry'!AC329,"AAAAAD3/s08=")</f>
        <v>#VALUE!</v>
      </c>
      <c r="CC112" t="e">
        <f>AND('GA55 Entry'!#REF!,"AAAAAD3/s1A=")</f>
        <v>#REF!</v>
      </c>
      <c r="CD112">
        <f>IF('GA55 Entry'!330:330,"AAAAAD3/s1E=",0)</f>
        <v>0</v>
      </c>
      <c r="CE112" t="e">
        <f>AND('GA55 Entry'!B330,"AAAAAD3/s1I=")</f>
        <v>#VALUE!</v>
      </c>
      <c r="CF112" t="e">
        <f>AND('GA55 Entry'!#REF!,"AAAAAD3/s1M=")</f>
        <v>#REF!</v>
      </c>
      <c r="CG112" t="e">
        <f>AND('GA55 Entry'!C330,"AAAAAD3/s1Q=")</f>
        <v>#VALUE!</v>
      </c>
      <c r="CH112" t="e">
        <f>AND('GA55 Entry'!#REF!,"AAAAAD3/s1U=")</f>
        <v>#REF!</v>
      </c>
      <c r="CI112" t="e">
        <f>AND('GA55 Entry'!#REF!,"AAAAAD3/s1Y=")</f>
        <v>#REF!</v>
      </c>
      <c r="CJ112" t="e">
        <f>AND('GA55 Entry'!#REF!,"AAAAAD3/s1c=")</f>
        <v>#REF!</v>
      </c>
      <c r="CK112" t="e">
        <f>AND('GA55 Entry'!#REF!,"AAAAAD3/s1g=")</f>
        <v>#REF!</v>
      </c>
      <c r="CL112" t="e">
        <f>AND('GA55 Entry'!#REF!,"AAAAAD3/s1k=")</f>
        <v>#REF!</v>
      </c>
      <c r="CM112" t="e">
        <f>AND('GA55 Entry'!D330,"AAAAAD3/s1o=")</f>
        <v>#VALUE!</v>
      </c>
      <c r="CN112" t="e">
        <f>AND('GA55 Entry'!#REF!,"AAAAAD3/s1s=")</f>
        <v>#REF!</v>
      </c>
      <c r="CO112" t="e">
        <f>AND('GA55 Entry'!E330,"AAAAAD3/s1w=")</f>
        <v>#VALUE!</v>
      </c>
      <c r="CP112" t="e">
        <f>AND('GA55 Entry'!F330,"AAAAAD3/s10=")</f>
        <v>#VALUE!</v>
      </c>
      <c r="CQ112" t="e">
        <f>AND('GA55 Entry'!G330,"AAAAAD3/s14=")</f>
        <v>#VALUE!</v>
      </c>
      <c r="CR112" t="e">
        <f>AND('GA55 Entry'!H330,"AAAAAD3/s18=")</f>
        <v>#VALUE!</v>
      </c>
      <c r="CS112" t="e">
        <f>AND('GA55 Entry'!I330,"AAAAAD3/s2A=")</f>
        <v>#VALUE!</v>
      </c>
      <c r="CT112" t="e">
        <f>AND('GA55 Entry'!J330,"AAAAAD3/s2E=")</f>
        <v>#VALUE!</v>
      </c>
      <c r="CU112" t="e">
        <f>AND('GA55 Entry'!#REF!,"AAAAAD3/s2I=")</f>
        <v>#REF!</v>
      </c>
      <c r="CV112" t="e">
        <f>AND('GA55 Entry'!K330,"AAAAAD3/s2M=")</f>
        <v>#VALUE!</v>
      </c>
      <c r="CW112" t="e">
        <f>AND('GA55 Entry'!L330,"AAAAAD3/s2Q=")</f>
        <v>#VALUE!</v>
      </c>
      <c r="CX112" t="e">
        <f>AND('GA55 Entry'!M330,"AAAAAD3/s2U=")</f>
        <v>#VALUE!</v>
      </c>
      <c r="CY112" t="e">
        <f>AND('GA55 Entry'!N330,"AAAAAD3/s2Y=")</f>
        <v>#VALUE!</v>
      </c>
      <c r="CZ112" t="e">
        <f>AND('GA55 Entry'!O330,"AAAAAD3/s2c=")</f>
        <v>#VALUE!</v>
      </c>
      <c r="DA112" t="e">
        <f>AND('GA55 Entry'!P330,"AAAAAD3/s2g=")</f>
        <v>#VALUE!</v>
      </c>
      <c r="DB112" t="e">
        <f>AND('GA55 Entry'!Q330,"AAAAAD3/s2k=")</f>
        <v>#VALUE!</v>
      </c>
      <c r="DC112" t="e">
        <f>AND('GA55 Entry'!S330,"AAAAAD3/s2o=")</f>
        <v>#VALUE!</v>
      </c>
      <c r="DD112" t="e">
        <f>AND('GA55 Entry'!#REF!,"AAAAAD3/s2s=")</f>
        <v>#REF!</v>
      </c>
      <c r="DE112" t="e">
        <f>AND('GA55 Entry'!T330,"AAAAAD3/s2w=")</f>
        <v>#VALUE!</v>
      </c>
      <c r="DF112" t="e">
        <f>AND('GA55 Entry'!U330,"AAAAAD3/s20=")</f>
        <v>#VALUE!</v>
      </c>
      <c r="DG112" t="e">
        <f>AND('GA55 Entry'!V330,"AAAAAD3/s24=")</f>
        <v>#VALUE!</v>
      </c>
      <c r="DH112" t="e">
        <f>AND('GA55 Entry'!#REF!,"AAAAAD3/s28=")</f>
        <v>#REF!</v>
      </c>
      <c r="DI112" t="e">
        <f>AND('GA55 Entry'!#REF!,"AAAAAD3/s3A=")</f>
        <v>#REF!</v>
      </c>
      <c r="DJ112" t="e">
        <f>AND('GA55 Entry'!X330,"AAAAAD3/s3E=")</f>
        <v>#VALUE!</v>
      </c>
      <c r="DK112" t="e">
        <f>AND('GA55 Entry'!Y330,"AAAAAD3/s3I=")</f>
        <v>#VALUE!</v>
      </c>
      <c r="DL112" t="e">
        <f>AND('GA55 Entry'!#REF!,"AAAAAD3/s3M=")</f>
        <v>#REF!</v>
      </c>
      <c r="DM112" t="e">
        <f>AND('GA55 Entry'!#REF!,"AAAAAD3/s3Q=")</f>
        <v>#REF!</v>
      </c>
      <c r="DN112" t="e">
        <f>AND('GA55 Entry'!#REF!,"AAAAAD3/s3U=")</f>
        <v>#REF!</v>
      </c>
      <c r="DO112" t="e">
        <f>AND('GA55 Entry'!#REF!,"AAAAAD3/s3Y=")</f>
        <v>#REF!</v>
      </c>
      <c r="DP112" t="e">
        <f>AND('GA55 Entry'!#REF!,"AAAAAD3/s3c=")</f>
        <v>#REF!</v>
      </c>
      <c r="DQ112" t="e">
        <f>AND('GA55 Entry'!#REF!,"AAAAAD3/s3g=")</f>
        <v>#REF!</v>
      </c>
      <c r="DR112" t="e">
        <f>AND('GA55 Entry'!#REF!,"AAAAAD3/s3k=")</f>
        <v>#REF!</v>
      </c>
      <c r="DS112" t="e">
        <f>AND('GA55 Entry'!#REF!,"AAAAAD3/s3o=")</f>
        <v>#REF!</v>
      </c>
      <c r="DT112" t="e">
        <f>AND('GA55 Entry'!#REF!,"AAAAAD3/s3s=")</f>
        <v>#REF!</v>
      </c>
      <c r="DU112" t="e">
        <f>AND('GA55 Entry'!Z330,"AAAAAD3/s3w=")</f>
        <v>#VALUE!</v>
      </c>
      <c r="DV112" t="e">
        <f>AND('GA55 Entry'!AA330,"AAAAAD3/s30=")</f>
        <v>#VALUE!</v>
      </c>
      <c r="DW112" t="e">
        <f>AND('GA55 Entry'!#REF!,"AAAAAD3/s34=")</f>
        <v>#REF!</v>
      </c>
      <c r="DX112" t="e">
        <f>AND('GA55 Entry'!#REF!,"AAAAAD3/s38=")</f>
        <v>#REF!</v>
      </c>
      <c r="DY112" t="e">
        <f>AND('GA55 Entry'!#REF!,"AAAAAD3/s4A=")</f>
        <v>#REF!</v>
      </c>
      <c r="DZ112" t="e">
        <f>AND('GA55 Entry'!AB330,"AAAAAD3/s4E=")</f>
        <v>#VALUE!</v>
      </c>
      <c r="EA112" t="e">
        <f>AND('GA55 Entry'!AC330,"AAAAAD3/s4I=")</f>
        <v>#VALUE!</v>
      </c>
      <c r="EB112" t="e">
        <f>AND('GA55 Entry'!#REF!,"AAAAAD3/s4M=")</f>
        <v>#REF!</v>
      </c>
      <c r="EC112">
        <f>IF('GA55 Entry'!331:331,"AAAAAD3/s4Q=",0)</f>
        <v>0</v>
      </c>
      <c r="ED112" t="e">
        <f>AND('GA55 Entry'!B331,"AAAAAD3/s4U=")</f>
        <v>#VALUE!</v>
      </c>
      <c r="EE112" t="e">
        <f>AND('GA55 Entry'!#REF!,"AAAAAD3/s4Y=")</f>
        <v>#REF!</v>
      </c>
      <c r="EF112" t="e">
        <f>AND('GA55 Entry'!C331,"AAAAAD3/s4c=")</f>
        <v>#VALUE!</v>
      </c>
      <c r="EG112" t="e">
        <f>AND('GA55 Entry'!#REF!,"AAAAAD3/s4g=")</f>
        <v>#REF!</v>
      </c>
      <c r="EH112" t="e">
        <f>AND('GA55 Entry'!#REF!,"AAAAAD3/s4k=")</f>
        <v>#REF!</v>
      </c>
      <c r="EI112" t="e">
        <f>AND('GA55 Entry'!#REF!,"AAAAAD3/s4o=")</f>
        <v>#REF!</v>
      </c>
      <c r="EJ112" t="e">
        <f>AND('GA55 Entry'!#REF!,"AAAAAD3/s4s=")</f>
        <v>#REF!</v>
      </c>
      <c r="EK112" t="e">
        <f>AND('GA55 Entry'!#REF!,"AAAAAD3/s4w=")</f>
        <v>#REF!</v>
      </c>
      <c r="EL112" t="e">
        <f>AND('GA55 Entry'!D331,"AAAAAD3/s40=")</f>
        <v>#VALUE!</v>
      </c>
      <c r="EM112" t="e">
        <f>AND('GA55 Entry'!#REF!,"AAAAAD3/s44=")</f>
        <v>#REF!</v>
      </c>
      <c r="EN112" t="e">
        <f>AND('GA55 Entry'!E331,"AAAAAD3/s48=")</f>
        <v>#VALUE!</v>
      </c>
      <c r="EO112" t="e">
        <f>AND('GA55 Entry'!F331,"AAAAAD3/s5A=")</f>
        <v>#VALUE!</v>
      </c>
      <c r="EP112" t="e">
        <f>AND('GA55 Entry'!G331,"AAAAAD3/s5E=")</f>
        <v>#VALUE!</v>
      </c>
      <c r="EQ112" t="e">
        <f>AND('GA55 Entry'!H331,"AAAAAD3/s5I=")</f>
        <v>#VALUE!</v>
      </c>
      <c r="ER112" t="e">
        <f>AND('GA55 Entry'!I331,"AAAAAD3/s5M=")</f>
        <v>#VALUE!</v>
      </c>
      <c r="ES112" t="e">
        <f>AND('GA55 Entry'!J331,"AAAAAD3/s5Q=")</f>
        <v>#VALUE!</v>
      </c>
      <c r="ET112" t="e">
        <f>AND('GA55 Entry'!#REF!,"AAAAAD3/s5U=")</f>
        <v>#REF!</v>
      </c>
      <c r="EU112" t="e">
        <f>AND('GA55 Entry'!K331,"AAAAAD3/s5Y=")</f>
        <v>#VALUE!</v>
      </c>
      <c r="EV112" t="e">
        <f>AND('GA55 Entry'!L331,"AAAAAD3/s5c=")</f>
        <v>#VALUE!</v>
      </c>
      <c r="EW112" t="e">
        <f>AND('GA55 Entry'!M331,"AAAAAD3/s5g=")</f>
        <v>#VALUE!</v>
      </c>
      <c r="EX112" t="e">
        <f>AND('GA55 Entry'!N331,"AAAAAD3/s5k=")</f>
        <v>#VALUE!</v>
      </c>
      <c r="EY112" t="e">
        <f>AND('GA55 Entry'!O331,"AAAAAD3/s5o=")</f>
        <v>#VALUE!</v>
      </c>
      <c r="EZ112" t="e">
        <f>AND('GA55 Entry'!P331,"AAAAAD3/s5s=")</f>
        <v>#VALUE!</v>
      </c>
      <c r="FA112" t="e">
        <f>AND('GA55 Entry'!Q331,"AAAAAD3/s5w=")</f>
        <v>#VALUE!</v>
      </c>
      <c r="FB112" t="e">
        <f>AND('GA55 Entry'!S331,"AAAAAD3/s50=")</f>
        <v>#VALUE!</v>
      </c>
      <c r="FC112" t="e">
        <f>AND('GA55 Entry'!#REF!,"AAAAAD3/s54=")</f>
        <v>#REF!</v>
      </c>
      <c r="FD112" t="e">
        <f>AND('GA55 Entry'!T331,"AAAAAD3/s58=")</f>
        <v>#VALUE!</v>
      </c>
      <c r="FE112" t="e">
        <f>AND('GA55 Entry'!U331,"AAAAAD3/s6A=")</f>
        <v>#VALUE!</v>
      </c>
      <c r="FF112" t="e">
        <f>AND('GA55 Entry'!V331,"AAAAAD3/s6E=")</f>
        <v>#VALUE!</v>
      </c>
      <c r="FG112" t="e">
        <f>AND('GA55 Entry'!#REF!,"AAAAAD3/s6I=")</f>
        <v>#REF!</v>
      </c>
      <c r="FH112" t="e">
        <f>AND('GA55 Entry'!#REF!,"AAAAAD3/s6M=")</f>
        <v>#REF!</v>
      </c>
      <c r="FI112" t="e">
        <f>AND('GA55 Entry'!X331,"AAAAAD3/s6Q=")</f>
        <v>#VALUE!</v>
      </c>
      <c r="FJ112" t="e">
        <f>AND('GA55 Entry'!Y331,"AAAAAD3/s6U=")</f>
        <v>#VALUE!</v>
      </c>
      <c r="FK112" t="e">
        <f>AND('GA55 Entry'!#REF!,"AAAAAD3/s6Y=")</f>
        <v>#REF!</v>
      </c>
      <c r="FL112" t="e">
        <f>AND('GA55 Entry'!#REF!,"AAAAAD3/s6c=")</f>
        <v>#REF!</v>
      </c>
      <c r="FM112" t="e">
        <f>AND('GA55 Entry'!#REF!,"AAAAAD3/s6g=")</f>
        <v>#REF!</v>
      </c>
      <c r="FN112" t="e">
        <f>AND('GA55 Entry'!#REF!,"AAAAAD3/s6k=")</f>
        <v>#REF!</v>
      </c>
      <c r="FO112" t="e">
        <f>AND('GA55 Entry'!#REF!,"AAAAAD3/s6o=")</f>
        <v>#REF!</v>
      </c>
      <c r="FP112" t="e">
        <f>AND('GA55 Entry'!#REF!,"AAAAAD3/s6s=")</f>
        <v>#REF!</v>
      </c>
      <c r="FQ112" t="e">
        <f>AND('GA55 Entry'!#REF!,"AAAAAD3/s6w=")</f>
        <v>#REF!</v>
      </c>
      <c r="FR112" t="e">
        <f>AND('GA55 Entry'!#REF!,"AAAAAD3/s60=")</f>
        <v>#REF!</v>
      </c>
      <c r="FS112" t="e">
        <f>AND('GA55 Entry'!#REF!,"AAAAAD3/s64=")</f>
        <v>#REF!</v>
      </c>
      <c r="FT112" t="e">
        <f>AND('GA55 Entry'!Z331,"AAAAAD3/s68=")</f>
        <v>#VALUE!</v>
      </c>
      <c r="FU112" t="e">
        <f>AND('GA55 Entry'!AA331,"AAAAAD3/s7A=")</f>
        <v>#VALUE!</v>
      </c>
      <c r="FV112" t="e">
        <f>AND('GA55 Entry'!#REF!,"AAAAAD3/s7E=")</f>
        <v>#REF!</v>
      </c>
      <c r="FW112" t="e">
        <f>AND('GA55 Entry'!#REF!,"AAAAAD3/s7I=")</f>
        <v>#REF!</v>
      </c>
      <c r="FX112" t="e">
        <f>AND('GA55 Entry'!#REF!,"AAAAAD3/s7M=")</f>
        <v>#REF!</v>
      </c>
      <c r="FY112" t="e">
        <f>AND('GA55 Entry'!AB331,"AAAAAD3/s7Q=")</f>
        <v>#VALUE!</v>
      </c>
      <c r="FZ112" t="e">
        <f>AND('GA55 Entry'!AC331,"AAAAAD3/s7U=")</f>
        <v>#VALUE!</v>
      </c>
      <c r="GA112" t="e">
        <f>AND('GA55 Entry'!#REF!,"AAAAAD3/s7Y=")</f>
        <v>#REF!</v>
      </c>
      <c r="GB112">
        <f>IF('GA55 Entry'!332:332,"AAAAAD3/s7c=",0)</f>
        <v>0</v>
      </c>
      <c r="GC112" t="e">
        <f>AND('GA55 Entry'!B332,"AAAAAD3/s7g=")</f>
        <v>#VALUE!</v>
      </c>
      <c r="GD112" t="e">
        <f>AND('GA55 Entry'!#REF!,"AAAAAD3/s7k=")</f>
        <v>#REF!</v>
      </c>
      <c r="GE112" t="e">
        <f>AND('GA55 Entry'!C332,"AAAAAD3/s7o=")</f>
        <v>#VALUE!</v>
      </c>
      <c r="GF112" t="e">
        <f>AND('GA55 Entry'!#REF!,"AAAAAD3/s7s=")</f>
        <v>#REF!</v>
      </c>
      <c r="GG112" t="e">
        <f>AND('GA55 Entry'!#REF!,"AAAAAD3/s7w=")</f>
        <v>#REF!</v>
      </c>
      <c r="GH112" t="e">
        <f>AND('GA55 Entry'!#REF!,"AAAAAD3/s70=")</f>
        <v>#REF!</v>
      </c>
      <c r="GI112" t="e">
        <f>AND('GA55 Entry'!#REF!,"AAAAAD3/s74=")</f>
        <v>#REF!</v>
      </c>
      <c r="GJ112" t="e">
        <f>AND('GA55 Entry'!#REF!,"AAAAAD3/s78=")</f>
        <v>#REF!</v>
      </c>
      <c r="GK112" t="e">
        <f>AND('GA55 Entry'!D332,"AAAAAD3/s8A=")</f>
        <v>#VALUE!</v>
      </c>
      <c r="GL112" t="e">
        <f>AND('GA55 Entry'!#REF!,"AAAAAD3/s8E=")</f>
        <v>#REF!</v>
      </c>
      <c r="GM112" t="e">
        <f>AND('GA55 Entry'!E332,"AAAAAD3/s8I=")</f>
        <v>#VALUE!</v>
      </c>
      <c r="GN112" t="e">
        <f>AND('GA55 Entry'!F332,"AAAAAD3/s8M=")</f>
        <v>#VALUE!</v>
      </c>
      <c r="GO112" t="e">
        <f>AND('GA55 Entry'!G332,"AAAAAD3/s8Q=")</f>
        <v>#VALUE!</v>
      </c>
      <c r="GP112" t="e">
        <f>AND('GA55 Entry'!H332,"AAAAAD3/s8U=")</f>
        <v>#VALUE!</v>
      </c>
      <c r="GQ112" t="e">
        <f>AND('GA55 Entry'!I332,"AAAAAD3/s8Y=")</f>
        <v>#VALUE!</v>
      </c>
      <c r="GR112" t="e">
        <f>AND('GA55 Entry'!J332,"AAAAAD3/s8c=")</f>
        <v>#VALUE!</v>
      </c>
      <c r="GS112" t="e">
        <f>AND('GA55 Entry'!#REF!,"AAAAAD3/s8g=")</f>
        <v>#REF!</v>
      </c>
      <c r="GT112" t="e">
        <f>AND('GA55 Entry'!K332,"AAAAAD3/s8k=")</f>
        <v>#VALUE!</v>
      </c>
      <c r="GU112" t="e">
        <f>AND('GA55 Entry'!L332,"AAAAAD3/s8o=")</f>
        <v>#VALUE!</v>
      </c>
      <c r="GV112" t="e">
        <f>AND('GA55 Entry'!M332,"AAAAAD3/s8s=")</f>
        <v>#VALUE!</v>
      </c>
      <c r="GW112" t="e">
        <f>AND('GA55 Entry'!N332,"AAAAAD3/s8w=")</f>
        <v>#VALUE!</v>
      </c>
      <c r="GX112" t="e">
        <f>AND('GA55 Entry'!O332,"AAAAAD3/s80=")</f>
        <v>#VALUE!</v>
      </c>
      <c r="GY112" t="e">
        <f>AND('GA55 Entry'!P332,"AAAAAD3/s84=")</f>
        <v>#VALUE!</v>
      </c>
      <c r="GZ112" t="e">
        <f>AND('GA55 Entry'!Q332,"AAAAAD3/s88=")</f>
        <v>#VALUE!</v>
      </c>
      <c r="HA112" t="e">
        <f>AND('GA55 Entry'!S332,"AAAAAD3/s9A=")</f>
        <v>#VALUE!</v>
      </c>
      <c r="HB112" t="e">
        <f>AND('GA55 Entry'!#REF!,"AAAAAD3/s9E=")</f>
        <v>#REF!</v>
      </c>
      <c r="HC112" t="e">
        <f>AND('GA55 Entry'!T332,"AAAAAD3/s9I=")</f>
        <v>#VALUE!</v>
      </c>
      <c r="HD112" t="e">
        <f>AND('GA55 Entry'!U332,"AAAAAD3/s9M=")</f>
        <v>#VALUE!</v>
      </c>
      <c r="HE112" t="e">
        <f>AND('GA55 Entry'!V332,"AAAAAD3/s9Q=")</f>
        <v>#VALUE!</v>
      </c>
      <c r="HF112" t="e">
        <f>AND('GA55 Entry'!#REF!,"AAAAAD3/s9U=")</f>
        <v>#REF!</v>
      </c>
      <c r="HG112" t="e">
        <f>AND('GA55 Entry'!#REF!,"AAAAAD3/s9Y=")</f>
        <v>#REF!</v>
      </c>
      <c r="HH112" t="e">
        <f>AND('GA55 Entry'!X332,"AAAAAD3/s9c=")</f>
        <v>#VALUE!</v>
      </c>
      <c r="HI112" t="e">
        <f>AND('GA55 Entry'!Y332,"AAAAAD3/s9g=")</f>
        <v>#VALUE!</v>
      </c>
      <c r="HJ112" t="e">
        <f>AND('GA55 Entry'!#REF!,"AAAAAD3/s9k=")</f>
        <v>#REF!</v>
      </c>
      <c r="HK112" t="e">
        <f>AND('GA55 Entry'!#REF!,"AAAAAD3/s9o=")</f>
        <v>#REF!</v>
      </c>
      <c r="HL112" t="e">
        <f>AND('GA55 Entry'!#REF!,"AAAAAD3/s9s=")</f>
        <v>#REF!</v>
      </c>
      <c r="HM112" t="e">
        <f>AND('GA55 Entry'!#REF!,"AAAAAD3/s9w=")</f>
        <v>#REF!</v>
      </c>
      <c r="HN112" t="e">
        <f>AND('GA55 Entry'!#REF!,"AAAAAD3/s90=")</f>
        <v>#REF!</v>
      </c>
      <c r="HO112" t="e">
        <f>AND('GA55 Entry'!#REF!,"AAAAAD3/s94=")</f>
        <v>#REF!</v>
      </c>
      <c r="HP112" t="e">
        <f>AND('GA55 Entry'!#REF!,"AAAAAD3/s98=")</f>
        <v>#REF!</v>
      </c>
      <c r="HQ112" t="e">
        <f>AND('GA55 Entry'!#REF!,"AAAAAD3/s+A=")</f>
        <v>#REF!</v>
      </c>
      <c r="HR112" t="e">
        <f>AND('GA55 Entry'!#REF!,"AAAAAD3/s+E=")</f>
        <v>#REF!</v>
      </c>
      <c r="HS112" t="e">
        <f>AND('GA55 Entry'!Z332,"AAAAAD3/s+I=")</f>
        <v>#VALUE!</v>
      </c>
      <c r="HT112" t="e">
        <f>AND('GA55 Entry'!AA332,"AAAAAD3/s+M=")</f>
        <v>#VALUE!</v>
      </c>
      <c r="HU112" t="e">
        <f>AND('GA55 Entry'!#REF!,"AAAAAD3/s+Q=")</f>
        <v>#REF!</v>
      </c>
      <c r="HV112" t="e">
        <f>AND('GA55 Entry'!#REF!,"AAAAAD3/s+U=")</f>
        <v>#REF!</v>
      </c>
      <c r="HW112" t="e">
        <f>AND('GA55 Entry'!#REF!,"AAAAAD3/s+Y=")</f>
        <v>#REF!</v>
      </c>
      <c r="HX112" t="e">
        <f>AND('GA55 Entry'!AB332,"AAAAAD3/s+c=")</f>
        <v>#VALUE!</v>
      </c>
      <c r="HY112" t="e">
        <f>AND('GA55 Entry'!AC332,"AAAAAD3/s+g=")</f>
        <v>#VALUE!</v>
      </c>
      <c r="HZ112" t="e">
        <f>AND('GA55 Entry'!#REF!,"AAAAAD3/s+k=")</f>
        <v>#REF!</v>
      </c>
      <c r="IA112">
        <f>IF('GA55 Entry'!333:333,"AAAAAD3/s+o=",0)</f>
        <v>0</v>
      </c>
      <c r="IB112" t="e">
        <f>AND('GA55 Entry'!B333,"AAAAAD3/s+s=")</f>
        <v>#VALUE!</v>
      </c>
      <c r="IC112" t="e">
        <f>AND('GA55 Entry'!#REF!,"AAAAAD3/s+w=")</f>
        <v>#REF!</v>
      </c>
      <c r="ID112" t="e">
        <f>AND('GA55 Entry'!C333,"AAAAAD3/s+0=")</f>
        <v>#VALUE!</v>
      </c>
      <c r="IE112" t="e">
        <f>AND('GA55 Entry'!#REF!,"AAAAAD3/s+4=")</f>
        <v>#REF!</v>
      </c>
      <c r="IF112" t="e">
        <f>AND('GA55 Entry'!#REF!,"AAAAAD3/s+8=")</f>
        <v>#REF!</v>
      </c>
      <c r="IG112" t="e">
        <f>AND('GA55 Entry'!#REF!,"AAAAAD3/s/A=")</f>
        <v>#REF!</v>
      </c>
      <c r="IH112" t="e">
        <f>AND('GA55 Entry'!#REF!,"AAAAAD3/s/E=")</f>
        <v>#REF!</v>
      </c>
      <c r="II112" t="e">
        <f>AND('GA55 Entry'!#REF!,"AAAAAD3/s/I=")</f>
        <v>#REF!</v>
      </c>
      <c r="IJ112" t="e">
        <f>AND('GA55 Entry'!D333,"AAAAAD3/s/M=")</f>
        <v>#VALUE!</v>
      </c>
      <c r="IK112" t="e">
        <f>AND('GA55 Entry'!#REF!,"AAAAAD3/s/Q=")</f>
        <v>#REF!</v>
      </c>
      <c r="IL112" t="e">
        <f>AND('GA55 Entry'!E333,"AAAAAD3/s/U=")</f>
        <v>#VALUE!</v>
      </c>
      <c r="IM112" t="e">
        <f>AND('GA55 Entry'!F333,"AAAAAD3/s/Y=")</f>
        <v>#VALUE!</v>
      </c>
      <c r="IN112" t="e">
        <f>AND('GA55 Entry'!G333,"AAAAAD3/s/c=")</f>
        <v>#VALUE!</v>
      </c>
      <c r="IO112" t="e">
        <f>AND('GA55 Entry'!H333,"AAAAAD3/s/g=")</f>
        <v>#VALUE!</v>
      </c>
      <c r="IP112" t="e">
        <f>AND('GA55 Entry'!I333,"AAAAAD3/s/k=")</f>
        <v>#VALUE!</v>
      </c>
      <c r="IQ112" t="e">
        <f>AND('GA55 Entry'!J333,"AAAAAD3/s/o=")</f>
        <v>#VALUE!</v>
      </c>
      <c r="IR112" t="e">
        <f>AND('GA55 Entry'!#REF!,"AAAAAD3/s/s=")</f>
        <v>#REF!</v>
      </c>
      <c r="IS112" t="e">
        <f>AND('GA55 Entry'!K333,"AAAAAD3/s/w=")</f>
        <v>#VALUE!</v>
      </c>
      <c r="IT112" t="e">
        <f>AND('GA55 Entry'!L333,"AAAAAD3/s/0=")</f>
        <v>#VALUE!</v>
      </c>
      <c r="IU112" t="e">
        <f>AND('GA55 Entry'!M333,"AAAAAD3/s/4=")</f>
        <v>#VALUE!</v>
      </c>
      <c r="IV112" t="e">
        <f>AND('GA55 Entry'!N333,"AAAAAD3/s/8=")</f>
        <v>#VALUE!</v>
      </c>
    </row>
    <row r="113" spans="1:256">
      <c r="A113" t="e">
        <f>AND('GA55 Entry'!O333,"AAAAAF9/7wA=")</f>
        <v>#VALUE!</v>
      </c>
      <c r="B113" t="e">
        <f>AND('GA55 Entry'!P333,"AAAAAF9/7wE=")</f>
        <v>#VALUE!</v>
      </c>
      <c r="C113" t="e">
        <f>AND('GA55 Entry'!Q333,"AAAAAF9/7wI=")</f>
        <v>#VALUE!</v>
      </c>
      <c r="D113" t="e">
        <f>AND('GA55 Entry'!S333,"AAAAAF9/7wM=")</f>
        <v>#VALUE!</v>
      </c>
      <c r="E113" t="e">
        <f>AND('GA55 Entry'!#REF!,"AAAAAF9/7wQ=")</f>
        <v>#REF!</v>
      </c>
      <c r="F113" t="e">
        <f>AND('GA55 Entry'!T333,"AAAAAF9/7wU=")</f>
        <v>#VALUE!</v>
      </c>
      <c r="G113" t="e">
        <f>AND('GA55 Entry'!U333,"AAAAAF9/7wY=")</f>
        <v>#VALUE!</v>
      </c>
      <c r="H113" t="e">
        <f>AND('GA55 Entry'!V333,"AAAAAF9/7wc=")</f>
        <v>#VALUE!</v>
      </c>
      <c r="I113" t="e">
        <f>AND('GA55 Entry'!#REF!,"AAAAAF9/7wg=")</f>
        <v>#REF!</v>
      </c>
      <c r="J113" t="e">
        <f>AND('GA55 Entry'!#REF!,"AAAAAF9/7wk=")</f>
        <v>#REF!</v>
      </c>
      <c r="K113" t="e">
        <f>AND('GA55 Entry'!X333,"AAAAAF9/7wo=")</f>
        <v>#VALUE!</v>
      </c>
      <c r="L113" t="e">
        <f>AND('GA55 Entry'!Y333,"AAAAAF9/7ws=")</f>
        <v>#VALUE!</v>
      </c>
      <c r="M113" t="e">
        <f>AND('GA55 Entry'!#REF!,"AAAAAF9/7ww=")</f>
        <v>#REF!</v>
      </c>
      <c r="N113" t="e">
        <f>AND('GA55 Entry'!#REF!,"AAAAAF9/7w0=")</f>
        <v>#REF!</v>
      </c>
      <c r="O113" t="e">
        <f>AND('GA55 Entry'!#REF!,"AAAAAF9/7w4=")</f>
        <v>#REF!</v>
      </c>
      <c r="P113" t="e">
        <f>AND('GA55 Entry'!#REF!,"AAAAAF9/7w8=")</f>
        <v>#REF!</v>
      </c>
      <c r="Q113" t="e">
        <f>AND('GA55 Entry'!#REF!,"AAAAAF9/7xA=")</f>
        <v>#REF!</v>
      </c>
      <c r="R113" t="e">
        <f>AND('GA55 Entry'!#REF!,"AAAAAF9/7xE=")</f>
        <v>#REF!</v>
      </c>
      <c r="S113" t="e">
        <f>AND('GA55 Entry'!#REF!,"AAAAAF9/7xI=")</f>
        <v>#REF!</v>
      </c>
      <c r="T113" t="e">
        <f>AND('GA55 Entry'!#REF!,"AAAAAF9/7xM=")</f>
        <v>#REF!</v>
      </c>
      <c r="U113" t="e">
        <f>AND('GA55 Entry'!#REF!,"AAAAAF9/7xQ=")</f>
        <v>#REF!</v>
      </c>
      <c r="V113" t="e">
        <f>AND('GA55 Entry'!Z333,"AAAAAF9/7xU=")</f>
        <v>#VALUE!</v>
      </c>
      <c r="W113" t="e">
        <f>AND('GA55 Entry'!AA333,"AAAAAF9/7xY=")</f>
        <v>#VALUE!</v>
      </c>
      <c r="X113" t="e">
        <f>AND('GA55 Entry'!#REF!,"AAAAAF9/7xc=")</f>
        <v>#REF!</v>
      </c>
      <c r="Y113" t="e">
        <f>AND('GA55 Entry'!#REF!,"AAAAAF9/7xg=")</f>
        <v>#REF!</v>
      </c>
      <c r="Z113" t="e">
        <f>AND('GA55 Entry'!#REF!,"AAAAAF9/7xk=")</f>
        <v>#REF!</v>
      </c>
      <c r="AA113" t="e">
        <f>AND('GA55 Entry'!AB333,"AAAAAF9/7xo=")</f>
        <v>#VALUE!</v>
      </c>
      <c r="AB113" t="e">
        <f>AND('GA55 Entry'!AC333,"AAAAAF9/7xs=")</f>
        <v>#VALUE!</v>
      </c>
      <c r="AC113" t="e">
        <f>AND('GA55 Entry'!#REF!,"AAAAAF9/7xw=")</f>
        <v>#REF!</v>
      </c>
      <c r="AD113">
        <f>IF('GA55 Entry'!334:334,"AAAAAF9/7x0=",0)</f>
        <v>0</v>
      </c>
      <c r="AE113" t="e">
        <f>AND('GA55 Entry'!B334,"AAAAAF9/7x4=")</f>
        <v>#VALUE!</v>
      </c>
      <c r="AF113" t="e">
        <f>AND('GA55 Entry'!#REF!,"AAAAAF9/7x8=")</f>
        <v>#REF!</v>
      </c>
      <c r="AG113" t="e">
        <f>AND('GA55 Entry'!C334,"AAAAAF9/7yA=")</f>
        <v>#VALUE!</v>
      </c>
      <c r="AH113" t="e">
        <f>AND('GA55 Entry'!#REF!,"AAAAAF9/7yE=")</f>
        <v>#REF!</v>
      </c>
      <c r="AI113" t="e">
        <f>AND('GA55 Entry'!#REF!,"AAAAAF9/7yI=")</f>
        <v>#REF!</v>
      </c>
      <c r="AJ113" t="e">
        <f>AND('GA55 Entry'!#REF!,"AAAAAF9/7yM=")</f>
        <v>#REF!</v>
      </c>
      <c r="AK113" t="e">
        <f>AND('GA55 Entry'!#REF!,"AAAAAF9/7yQ=")</f>
        <v>#REF!</v>
      </c>
      <c r="AL113" t="e">
        <f>AND('GA55 Entry'!#REF!,"AAAAAF9/7yU=")</f>
        <v>#REF!</v>
      </c>
      <c r="AM113" t="e">
        <f>AND('GA55 Entry'!D334,"AAAAAF9/7yY=")</f>
        <v>#VALUE!</v>
      </c>
      <c r="AN113" t="e">
        <f>AND('GA55 Entry'!#REF!,"AAAAAF9/7yc=")</f>
        <v>#REF!</v>
      </c>
      <c r="AO113" t="e">
        <f>AND('GA55 Entry'!E334,"AAAAAF9/7yg=")</f>
        <v>#VALUE!</v>
      </c>
      <c r="AP113" t="e">
        <f>AND('GA55 Entry'!F334,"AAAAAF9/7yk=")</f>
        <v>#VALUE!</v>
      </c>
      <c r="AQ113" t="e">
        <f>AND('GA55 Entry'!G334,"AAAAAF9/7yo=")</f>
        <v>#VALUE!</v>
      </c>
      <c r="AR113" t="e">
        <f>AND('GA55 Entry'!H334,"AAAAAF9/7ys=")</f>
        <v>#VALUE!</v>
      </c>
      <c r="AS113" t="e">
        <f>AND('GA55 Entry'!I334,"AAAAAF9/7yw=")</f>
        <v>#VALUE!</v>
      </c>
      <c r="AT113" t="e">
        <f>AND('GA55 Entry'!J334,"AAAAAF9/7y0=")</f>
        <v>#VALUE!</v>
      </c>
      <c r="AU113" t="e">
        <f>AND('GA55 Entry'!#REF!,"AAAAAF9/7y4=")</f>
        <v>#REF!</v>
      </c>
      <c r="AV113" t="e">
        <f>AND('GA55 Entry'!K334,"AAAAAF9/7y8=")</f>
        <v>#VALUE!</v>
      </c>
      <c r="AW113" t="e">
        <f>AND('GA55 Entry'!L334,"AAAAAF9/7zA=")</f>
        <v>#VALUE!</v>
      </c>
      <c r="AX113" t="e">
        <f>AND('GA55 Entry'!M334,"AAAAAF9/7zE=")</f>
        <v>#VALUE!</v>
      </c>
      <c r="AY113" t="e">
        <f>AND('GA55 Entry'!N334,"AAAAAF9/7zI=")</f>
        <v>#VALUE!</v>
      </c>
      <c r="AZ113" t="e">
        <f>AND('GA55 Entry'!O334,"AAAAAF9/7zM=")</f>
        <v>#VALUE!</v>
      </c>
      <c r="BA113" t="e">
        <f>AND('GA55 Entry'!P334,"AAAAAF9/7zQ=")</f>
        <v>#VALUE!</v>
      </c>
      <c r="BB113" t="e">
        <f>AND('GA55 Entry'!Q334,"AAAAAF9/7zU=")</f>
        <v>#VALUE!</v>
      </c>
      <c r="BC113" t="e">
        <f>AND('GA55 Entry'!S334,"AAAAAF9/7zY=")</f>
        <v>#VALUE!</v>
      </c>
      <c r="BD113" t="e">
        <f>AND('GA55 Entry'!#REF!,"AAAAAF9/7zc=")</f>
        <v>#REF!</v>
      </c>
      <c r="BE113" t="e">
        <f>AND('GA55 Entry'!T334,"AAAAAF9/7zg=")</f>
        <v>#VALUE!</v>
      </c>
      <c r="BF113" t="e">
        <f>AND('GA55 Entry'!U334,"AAAAAF9/7zk=")</f>
        <v>#VALUE!</v>
      </c>
      <c r="BG113" t="e">
        <f>AND('GA55 Entry'!V334,"AAAAAF9/7zo=")</f>
        <v>#VALUE!</v>
      </c>
      <c r="BH113" t="e">
        <f>AND('GA55 Entry'!#REF!,"AAAAAF9/7zs=")</f>
        <v>#REF!</v>
      </c>
      <c r="BI113" t="e">
        <f>AND('GA55 Entry'!#REF!,"AAAAAF9/7zw=")</f>
        <v>#REF!</v>
      </c>
      <c r="BJ113" t="e">
        <f>AND('GA55 Entry'!X334,"AAAAAF9/7z0=")</f>
        <v>#VALUE!</v>
      </c>
      <c r="BK113" t="e">
        <f>AND('GA55 Entry'!Y334,"AAAAAF9/7z4=")</f>
        <v>#VALUE!</v>
      </c>
      <c r="BL113" t="e">
        <f>AND('GA55 Entry'!#REF!,"AAAAAF9/7z8=")</f>
        <v>#REF!</v>
      </c>
      <c r="BM113" t="e">
        <f>AND('GA55 Entry'!#REF!,"AAAAAF9/70A=")</f>
        <v>#REF!</v>
      </c>
      <c r="BN113" t="e">
        <f>AND('GA55 Entry'!#REF!,"AAAAAF9/70E=")</f>
        <v>#REF!</v>
      </c>
      <c r="BO113" t="e">
        <f>AND('GA55 Entry'!#REF!,"AAAAAF9/70I=")</f>
        <v>#REF!</v>
      </c>
      <c r="BP113" t="e">
        <f>AND('GA55 Entry'!#REF!,"AAAAAF9/70M=")</f>
        <v>#REF!</v>
      </c>
      <c r="BQ113" t="e">
        <f>AND('GA55 Entry'!#REF!,"AAAAAF9/70Q=")</f>
        <v>#REF!</v>
      </c>
      <c r="BR113" t="e">
        <f>AND('GA55 Entry'!#REF!,"AAAAAF9/70U=")</f>
        <v>#REF!</v>
      </c>
      <c r="BS113" t="e">
        <f>AND('GA55 Entry'!#REF!,"AAAAAF9/70Y=")</f>
        <v>#REF!</v>
      </c>
      <c r="BT113" t="e">
        <f>AND('GA55 Entry'!#REF!,"AAAAAF9/70c=")</f>
        <v>#REF!</v>
      </c>
      <c r="BU113" t="e">
        <f>AND('GA55 Entry'!Z334,"AAAAAF9/70g=")</f>
        <v>#VALUE!</v>
      </c>
      <c r="BV113" t="e">
        <f>AND('GA55 Entry'!AA334,"AAAAAF9/70k=")</f>
        <v>#VALUE!</v>
      </c>
      <c r="BW113" t="e">
        <f>AND('GA55 Entry'!#REF!,"AAAAAF9/70o=")</f>
        <v>#REF!</v>
      </c>
      <c r="BX113" t="e">
        <f>AND('GA55 Entry'!#REF!,"AAAAAF9/70s=")</f>
        <v>#REF!</v>
      </c>
      <c r="BY113" t="e">
        <f>AND('GA55 Entry'!#REF!,"AAAAAF9/70w=")</f>
        <v>#REF!</v>
      </c>
      <c r="BZ113" t="e">
        <f>AND('GA55 Entry'!AB334,"AAAAAF9/700=")</f>
        <v>#VALUE!</v>
      </c>
      <c r="CA113" t="e">
        <f>AND('GA55 Entry'!AC334,"AAAAAF9/704=")</f>
        <v>#VALUE!</v>
      </c>
      <c r="CB113" t="e">
        <f>AND('GA55 Entry'!#REF!,"AAAAAF9/708=")</f>
        <v>#REF!</v>
      </c>
      <c r="CC113">
        <f>IF('GA55 Entry'!335:335,"AAAAAF9/71A=",0)</f>
        <v>0</v>
      </c>
      <c r="CD113" t="e">
        <f>AND('GA55 Entry'!B335,"AAAAAF9/71E=")</f>
        <v>#VALUE!</v>
      </c>
      <c r="CE113" t="e">
        <f>AND('GA55 Entry'!#REF!,"AAAAAF9/71I=")</f>
        <v>#REF!</v>
      </c>
      <c r="CF113" t="e">
        <f>AND('GA55 Entry'!C335,"AAAAAF9/71M=")</f>
        <v>#VALUE!</v>
      </c>
      <c r="CG113" t="e">
        <f>AND('GA55 Entry'!#REF!,"AAAAAF9/71Q=")</f>
        <v>#REF!</v>
      </c>
      <c r="CH113" t="e">
        <f>AND('GA55 Entry'!#REF!,"AAAAAF9/71U=")</f>
        <v>#REF!</v>
      </c>
      <c r="CI113" t="e">
        <f>AND('GA55 Entry'!#REF!,"AAAAAF9/71Y=")</f>
        <v>#REF!</v>
      </c>
      <c r="CJ113" t="e">
        <f>AND('GA55 Entry'!#REF!,"AAAAAF9/71c=")</f>
        <v>#REF!</v>
      </c>
      <c r="CK113" t="e">
        <f>AND('GA55 Entry'!#REF!,"AAAAAF9/71g=")</f>
        <v>#REF!</v>
      </c>
      <c r="CL113" t="e">
        <f>AND('GA55 Entry'!D335,"AAAAAF9/71k=")</f>
        <v>#VALUE!</v>
      </c>
      <c r="CM113" t="e">
        <f>AND('GA55 Entry'!#REF!,"AAAAAF9/71o=")</f>
        <v>#REF!</v>
      </c>
      <c r="CN113" t="e">
        <f>AND('GA55 Entry'!E335,"AAAAAF9/71s=")</f>
        <v>#VALUE!</v>
      </c>
      <c r="CO113" t="e">
        <f>AND('GA55 Entry'!F335,"AAAAAF9/71w=")</f>
        <v>#VALUE!</v>
      </c>
      <c r="CP113" t="e">
        <f>AND('GA55 Entry'!G335,"AAAAAF9/710=")</f>
        <v>#VALUE!</v>
      </c>
      <c r="CQ113" t="e">
        <f>AND('GA55 Entry'!H335,"AAAAAF9/714=")</f>
        <v>#VALUE!</v>
      </c>
      <c r="CR113" t="e">
        <f>AND('GA55 Entry'!I335,"AAAAAF9/718=")</f>
        <v>#VALUE!</v>
      </c>
      <c r="CS113" t="e">
        <f>AND('GA55 Entry'!J335,"AAAAAF9/72A=")</f>
        <v>#VALUE!</v>
      </c>
      <c r="CT113" t="e">
        <f>AND('GA55 Entry'!#REF!,"AAAAAF9/72E=")</f>
        <v>#REF!</v>
      </c>
      <c r="CU113" t="e">
        <f>AND('GA55 Entry'!K335,"AAAAAF9/72I=")</f>
        <v>#VALUE!</v>
      </c>
      <c r="CV113" t="e">
        <f>AND('GA55 Entry'!L335,"AAAAAF9/72M=")</f>
        <v>#VALUE!</v>
      </c>
      <c r="CW113" t="e">
        <f>AND('GA55 Entry'!M335,"AAAAAF9/72Q=")</f>
        <v>#VALUE!</v>
      </c>
      <c r="CX113" t="e">
        <f>AND('GA55 Entry'!N335,"AAAAAF9/72U=")</f>
        <v>#VALUE!</v>
      </c>
      <c r="CY113" t="e">
        <f>AND('GA55 Entry'!O335,"AAAAAF9/72Y=")</f>
        <v>#VALUE!</v>
      </c>
      <c r="CZ113" t="e">
        <f>AND('GA55 Entry'!P335,"AAAAAF9/72c=")</f>
        <v>#VALUE!</v>
      </c>
      <c r="DA113" t="e">
        <f>AND('GA55 Entry'!Q335,"AAAAAF9/72g=")</f>
        <v>#VALUE!</v>
      </c>
      <c r="DB113" t="e">
        <f>AND('GA55 Entry'!S335,"AAAAAF9/72k=")</f>
        <v>#VALUE!</v>
      </c>
      <c r="DC113" t="e">
        <f>AND('GA55 Entry'!#REF!,"AAAAAF9/72o=")</f>
        <v>#REF!</v>
      </c>
      <c r="DD113" t="e">
        <f>AND('GA55 Entry'!T335,"AAAAAF9/72s=")</f>
        <v>#VALUE!</v>
      </c>
      <c r="DE113" t="e">
        <f>AND('GA55 Entry'!U335,"AAAAAF9/72w=")</f>
        <v>#VALUE!</v>
      </c>
      <c r="DF113" t="e">
        <f>AND('GA55 Entry'!V335,"AAAAAF9/720=")</f>
        <v>#VALUE!</v>
      </c>
      <c r="DG113" t="e">
        <f>AND('GA55 Entry'!#REF!,"AAAAAF9/724=")</f>
        <v>#REF!</v>
      </c>
      <c r="DH113" t="e">
        <f>AND('GA55 Entry'!#REF!,"AAAAAF9/728=")</f>
        <v>#REF!</v>
      </c>
      <c r="DI113" t="e">
        <f>AND('GA55 Entry'!X335,"AAAAAF9/73A=")</f>
        <v>#VALUE!</v>
      </c>
      <c r="DJ113" t="e">
        <f>AND('GA55 Entry'!Y335,"AAAAAF9/73E=")</f>
        <v>#VALUE!</v>
      </c>
      <c r="DK113" t="e">
        <f>AND('GA55 Entry'!#REF!,"AAAAAF9/73I=")</f>
        <v>#REF!</v>
      </c>
      <c r="DL113" t="e">
        <f>AND('GA55 Entry'!#REF!,"AAAAAF9/73M=")</f>
        <v>#REF!</v>
      </c>
      <c r="DM113" t="e">
        <f>AND('GA55 Entry'!#REF!,"AAAAAF9/73Q=")</f>
        <v>#REF!</v>
      </c>
      <c r="DN113" t="e">
        <f>AND('GA55 Entry'!#REF!,"AAAAAF9/73U=")</f>
        <v>#REF!</v>
      </c>
      <c r="DO113" t="e">
        <f>AND('GA55 Entry'!#REF!,"AAAAAF9/73Y=")</f>
        <v>#REF!</v>
      </c>
      <c r="DP113" t="e">
        <f>AND('GA55 Entry'!#REF!,"AAAAAF9/73c=")</f>
        <v>#REF!</v>
      </c>
      <c r="DQ113" t="e">
        <f>AND('GA55 Entry'!#REF!,"AAAAAF9/73g=")</f>
        <v>#REF!</v>
      </c>
      <c r="DR113" t="e">
        <f>AND('GA55 Entry'!#REF!,"AAAAAF9/73k=")</f>
        <v>#REF!</v>
      </c>
      <c r="DS113" t="e">
        <f>AND('GA55 Entry'!#REF!,"AAAAAF9/73o=")</f>
        <v>#REF!</v>
      </c>
      <c r="DT113" t="e">
        <f>AND('GA55 Entry'!Z335,"AAAAAF9/73s=")</f>
        <v>#VALUE!</v>
      </c>
      <c r="DU113" t="e">
        <f>AND('GA55 Entry'!AA335,"AAAAAF9/73w=")</f>
        <v>#VALUE!</v>
      </c>
      <c r="DV113" t="e">
        <f>AND('GA55 Entry'!#REF!,"AAAAAF9/730=")</f>
        <v>#REF!</v>
      </c>
      <c r="DW113" t="e">
        <f>AND('GA55 Entry'!#REF!,"AAAAAF9/734=")</f>
        <v>#REF!</v>
      </c>
      <c r="DX113" t="e">
        <f>AND('GA55 Entry'!#REF!,"AAAAAF9/738=")</f>
        <v>#REF!</v>
      </c>
      <c r="DY113" t="e">
        <f>AND('GA55 Entry'!AB335,"AAAAAF9/74A=")</f>
        <v>#VALUE!</v>
      </c>
      <c r="DZ113" t="e">
        <f>AND('GA55 Entry'!AC335,"AAAAAF9/74E=")</f>
        <v>#VALUE!</v>
      </c>
      <c r="EA113" t="e">
        <f>AND('GA55 Entry'!#REF!,"AAAAAF9/74I=")</f>
        <v>#REF!</v>
      </c>
      <c r="EB113">
        <f>IF('GA55 Entry'!336:336,"AAAAAF9/74M=",0)</f>
        <v>0</v>
      </c>
      <c r="EC113" t="e">
        <f>AND('GA55 Entry'!B336,"AAAAAF9/74Q=")</f>
        <v>#VALUE!</v>
      </c>
      <c r="ED113" t="e">
        <f>AND('GA55 Entry'!#REF!,"AAAAAF9/74U=")</f>
        <v>#REF!</v>
      </c>
      <c r="EE113" t="e">
        <f>AND('GA55 Entry'!C336,"AAAAAF9/74Y=")</f>
        <v>#VALUE!</v>
      </c>
      <c r="EF113" t="e">
        <f>AND('GA55 Entry'!#REF!,"AAAAAF9/74c=")</f>
        <v>#REF!</v>
      </c>
      <c r="EG113" t="e">
        <f>AND('GA55 Entry'!#REF!,"AAAAAF9/74g=")</f>
        <v>#REF!</v>
      </c>
      <c r="EH113" t="e">
        <f>AND('GA55 Entry'!#REF!,"AAAAAF9/74k=")</f>
        <v>#REF!</v>
      </c>
      <c r="EI113" t="e">
        <f>AND('GA55 Entry'!#REF!,"AAAAAF9/74o=")</f>
        <v>#REF!</v>
      </c>
      <c r="EJ113" t="e">
        <f>AND('GA55 Entry'!#REF!,"AAAAAF9/74s=")</f>
        <v>#REF!</v>
      </c>
      <c r="EK113" t="e">
        <f>AND('GA55 Entry'!D336,"AAAAAF9/74w=")</f>
        <v>#VALUE!</v>
      </c>
      <c r="EL113" t="e">
        <f>AND('GA55 Entry'!#REF!,"AAAAAF9/740=")</f>
        <v>#REF!</v>
      </c>
      <c r="EM113" t="e">
        <f>AND('GA55 Entry'!E336,"AAAAAF9/744=")</f>
        <v>#VALUE!</v>
      </c>
      <c r="EN113" t="e">
        <f>AND('GA55 Entry'!F336,"AAAAAF9/748=")</f>
        <v>#VALUE!</v>
      </c>
      <c r="EO113" t="e">
        <f>AND('GA55 Entry'!G336,"AAAAAF9/75A=")</f>
        <v>#VALUE!</v>
      </c>
      <c r="EP113" t="e">
        <f>AND('GA55 Entry'!H336,"AAAAAF9/75E=")</f>
        <v>#VALUE!</v>
      </c>
      <c r="EQ113" t="e">
        <f>AND('GA55 Entry'!I336,"AAAAAF9/75I=")</f>
        <v>#VALUE!</v>
      </c>
      <c r="ER113" t="e">
        <f>AND('GA55 Entry'!J336,"AAAAAF9/75M=")</f>
        <v>#VALUE!</v>
      </c>
      <c r="ES113" t="e">
        <f>AND('GA55 Entry'!#REF!,"AAAAAF9/75Q=")</f>
        <v>#REF!</v>
      </c>
      <c r="ET113" t="e">
        <f>AND('GA55 Entry'!K336,"AAAAAF9/75U=")</f>
        <v>#VALUE!</v>
      </c>
      <c r="EU113" t="e">
        <f>AND('GA55 Entry'!L336,"AAAAAF9/75Y=")</f>
        <v>#VALUE!</v>
      </c>
      <c r="EV113" t="e">
        <f>AND('GA55 Entry'!M336,"AAAAAF9/75c=")</f>
        <v>#VALUE!</v>
      </c>
      <c r="EW113" t="e">
        <f>AND('GA55 Entry'!N336,"AAAAAF9/75g=")</f>
        <v>#VALUE!</v>
      </c>
      <c r="EX113" t="e">
        <f>AND('GA55 Entry'!O336,"AAAAAF9/75k=")</f>
        <v>#VALUE!</v>
      </c>
      <c r="EY113" t="e">
        <f>AND('GA55 Entry'!P336,"AAAAAF9/75o=")</f>
        <v>#VALUE!</v>
      </c>
      <c r="EZ113" t="e">
        <f>AND('GA55 Entry'!Q336,"AAAAAF9/75s=")</f>
        <v>#VALUE!</v>
      </c>
      <c r="FA113" t="e">
        <f>AND('GA55 Entry'!S336,"AAAAAF9/75w=")</f>
        <v>#VALUE!</v>
      </c>
      <c r="FB113" t="e">
        <f>AND('GA55 Entry'!#REF!,"AAAAAF9/750=")</f>
        <v>#REF!</v>
      </c>
      <c r="FC113" t="e">
        <f>AND('GA55 Entry'!T336,"AAAAAF9/754=")</f>
        <v>#VALUE!</v>
      </c>
      <c r="FD113" t="e">
        <f>AND('GA55 Entry'!U336,"AAAAAF9/758=")</f>
        <v>#VALUE!</v>
      </c>
      <c r="FE113" t="e">
        <f>AND('GA55 Entry'!V336,"AAAAAF9/76A=")</f>
        <v>#VALUE!</v>
      </c>
      <c r="FF113" t="e">
        <f>AND('GA55 Entry'!#REF!,"AAAAAF9/76E=")</f>
        <v>#REF!</v>
      </c>
      <c r="FG113" t="e">
        <f>AND('GA55 Entry'!#REF!,"AAAAAF9/76I=")</f>
        <v>#REF!</v>
      </c>
      <c r="FH113" t="e">
        <f>AND('GA55 Entry'!X336,"AAAAAF9/76M=")</f>
        <v>#VALUE!</v>
      </c>
      <c r="FI113" t="e">
        <f>AND('GA55 Entry'!Y336,"AAAAAF9/76Q=")</f>
        <v>#VALUE!</v>
      </c>
      <c r="FJ113" t="e">
        <f>AND('GA55 Entry'!#REF!,"AAAAAF9/76U=")</f>
        <v>#REF!</v>
      </c>
      <c r="FK113" t="e">
        <f>AND('GA55 Entry'!#REF!,"AAAAAF9/76Y=")</f>
        <v>#REF!</v>
      </c>
      <c r="FL113" t="e">
        <f>AND('GA55 Entry'!#REF!,"AAAAAF9/76c=")</f>
        <v>#REF!</v>
      </c>
      <c r="FM113" t="e">
        <f>AND('GA55 Entry'!#REF!,"AAAAAF9/76g=")</f>
        <v>#REF!</v>
      </c>
      <c r="FN113" t="e">
        <f>AND('GA55 Entry'!#REF!,"AAAAAF9/76k=")</f>
        <v>#REF!</v>
      </c>
      <c r="FO113" t="e">
        <f>AND('GA55 Entry'!#REF!,"AAAAAF9/76o=")</f>
        <v>#REF!</v>
      </c>
      <c r="FP113" t="e">
        <f>AND('GA55 Entry'!#REF!,"AAAAAF9/76s=")</f>
        <v>#REF!</v>
      </c>
      <c r="FQ113" t="e">
        <f>AND('GA55 Entry'!#REF!,"AAAAAF9/76w=")</f>
        <v>#REF!</v>
      </c>
      <c r="FR113" t="e">
        <f>AND('GA55 Entry'!#REF!,"AAAAAF9/760=")</f>
        <v>#REF!</v>
      </c>
      <c r="FS113" t="e">
        <f>AND('GA55 Entry'!Z336,"AAAAAF9/764=")</f>
        <v>#VALUE!</v>
      </c>
      <c r="FT113" t="e">
        <f>AND('GA55 Entry'!AA336,"AAAAAF9/768=")</f>
        <v>#VALUE!</v>
      </c>
      <c r="FU113" t="e">
        <f>AND('GA55 Entry'!#REF!,"AAAAAF9/77A=")</f>
        <v>#REF!</v>
      </c>
      <c r="FV113" t="e">
        <f>AND('GA55 Entry'!#REF!,"AAAAAF9/77E=")</f>
        <v>#REF!</v>
      </c>
      <c r="FW113" t="e">
        <f>AND('GA55 Entry'!#REF!,"AAAAAF9/77I=")</f>
        <v>#REF!</v>
      </c>
      <c r="FX113" t="e">
        <f>AND('GA55 Entry'!AB336,"AAAAAF9/77M=")</f>
        <v>#VALUE!</v>
      </c>
      <c r="FY113" t="e">
        <f>AND('GA55 Entry'!AC336,"AAAAAF9/77Q=")</f>
        <v>#VALUE!</v>
      </c>
      <c r="FZ113" t="e">
        <f>AND('GA55 Entry'!#REF!,"AAAAAF9/77U=")</f>
        <v>#REF!</v>
      </c>
      <c r="GA113">
        <f>IF('GA55 Entry'!337:337,"AAAAAF9/77Y=",0)</f>
        <v>0</v>
      </c>
      <c r="GB113" t="e">
        <f>AND('GA55 Entry'!B337,"AAAAAF9/77c=")</f>
        <v>#VALUE!</v>
      </c>
      <c r="GC113" t="e">
        <f>AND('GA55 Entry'!#REF!,"AAAAAF9/77g=")</f>
        <v>#REF!</v>
      </c>
      <c r="GD113" t="e">
        <f>AND('GA55 Entry'!C337,"AAAAAF9/77k=")</f>
        <v>#VALUE!</v>
      </c>
      <c r="GE113" t="e">
        <f>AND('GA55 Entry'!#REF!,"AAAAAF9/77o=")</f>
        <v>#REF!</v>
      </c>
      <c r="GF113" t="e">
        <f>AND('GA55 Entry'!#REF!,"AAAAAF9/77s=")</f>
        <v>#REF!</v>
      </c>
      <c r="GG113" t="e">
        <f>AND('GA55 Entry'!#REF!,"AAAAAF9/77w=")</f>
        <v>#REF!</v>
      </c>
      <c r="GH113" t="e">
        <f>AND('GA55 Entry'!#REF!,"AAAAAF9/770=")</f>
        <v>#REF!</v>
      </c>
      <c r="GI113" t="e">
        <f>AND('GA55 Entry'!#REF!,"AAAAAF9/774=")</f>
        <v>#REF!</v>
      </c>
      <c r="GJ113" t="e">
        <f>AND('GA55 Entry'!D337,"AAAAAF9/778=")</f>
        <v>#VALUE!</v>
      </c>
      <c r="GK113" t="e">
        <f>AND('GA55 Entry'!#REF!,"AAAAAF9/78A=")</f>
        <v>#REF!</v>
      </c>
      <c r="GL113" t="e">
        <f>AND('GA55 Entry'!E337,"AAAAAF9/78E=")</f>
        <v>#VALUE!</v>
      </c>
      <c r="GM113" t="e">
        <f>AND('GA55 Entry'!F337,"AAAAAF9/78I=")</f>
        <v>#VALUE!</v>
      </c>
      <c r="GN113" t="e">
        <f>AND('GA55 Entry'!G337,"AAAAAF9/78M=")</f>
        <v>#VALUE!</v>
      </c>
      <c r="GO113" t="e">
        <f>AND('GA55 Entry'!H337,"AAAAAF9/78Q=")</f>
        <v>#VALUE!</v>
      </c>
      <c r="GP113" t="e">
        <f>AND('GA55 Entry'!I337,"AAAAAF9/78U=")</f>
        <v>#VALUE!</v>
      </c>
      <c r="GQ113" t="e">
        <f>AND('GA55 Entry'!J337,"AAAAAF9/78Y=")</f>
        <v>#VALUE!</v>
      </c>
      <c r="GR113" t="e">
        <f>AND('GA55 Entry'!#REF!,"AAAAAF9/78c=")</f>
        <v>#REF!</v>
      </c>
      <c r="GS113" t="e">
        <f>AND('GA55 Entry'!K337,"AAAAAF9/78g=")</f>
        <v>#VALUE!</v>
      </c>
      <c r="GT113" t="e">
        <f>AND('GA55 Entry'!L337,"AAAAAF9/78k=")</f>
        <v>#VALUE!</v>
      </c>
      <c r="GU113" t="e">
        <f>AND('GA55 Entry'!M337,"AAAAAF9/78o=")</f>
        <v>#VALUE!</v>
      </c>
      <c r="GV113" t="e">
        <f>AND('GA55 Entry'!N337,"AAAAAF9/78s=")</f>
        <v>#VALUE!</v>
      </c>
      <c r="GW113" t="e">
        <f>AND('GA55 Entry'!O337,"AAAAAF9/78w=")</f>
        <v>#VALUE!</v>
      </c>
      <c r="GX113" t="e">
        <f>AND('GA55 Entry'!P337,"AAAAAF9/780=")</f>
        <v>#VALUE!</v>
      </c>
      <c r="GY113" t="e">
        <f>AND('GA55 Entry'!Q337,"AAAAAF9/784=")</f>
        <v>#VALUE!</v>
      </c>
      <c r="GZ113" t="e">
        <f>AND('GA55 Entry'!S337,"AAAAAF9/788=")</f>
        <v>#VALUE!</v>
      </c>
      <c r="HA113" t="e">
        <f>AND('GA55 Entry'!#REF!,"AAAAAF9/79A=")</f>
        <v>#REF!</v>
      </c>
      <c r="HB113" t="e">
        <f>AND('GA55 Entry'!T337,"AAAAAF9/79E=")</f>
        <v>#VALUE!</v>
      </c>
      <c r="HC113" t="e">
        <f>AND('GA55 Entry'!U337,"AAAAAF9/79I=")</f>
        <v>#VALUE!</v>
      </c>
      <c r="HD113" t="e">
        <f>AND('GA55 Entry'!V337,"AAAAAF9/79M=")</f>
        <v>#VALUE!</v>
      </c>
      <c r="HE113" t="e">
        <f>AND('GA55 Entry'!#REF!,"AAAAAF9/79Q=")</f>
        <v>#REF!</v>
      </c>
      <c r="HF113" t="e">
        <f>AND('GA55 Entry'!#REF!,"AAAAAF9/79U=")</f>
        <v>#REF!</v>
      </c>
      <c r="HG113" t="e">
        <f>AND('GA55 Entry'!X337,"AAAAAF9/79Y=")</f>
        <v>#VALUE!</v>
      </c>
      <c r="HH113" t="e">
        <f>AND('GA55 Entry'!Y337,"AAAAAF9/79c=")</f>
        <v>#VALUE!</v>
      </c>
      <c r="HI113" t="e">
        <f>AND('GA55 Entry'!#REF!,"AAAAAF9/79g=")</f>
        <v>#REF!</v>
      </c>
      <c r="HJ113" t="e">
        <f>AND('GA55 Entry'!#REF!,"AAAAAF9/79k=")</f>
        <v>#REF!</v>
      </c>
      <c r="HK113" t="e">
        <f>AND('GA55 Entry'!#REF!,"AAAAAF9/79o=")</f>
        <v>#REF!</v>
      </c>
      <c r="HL113" t="e">
        <f>AND('GA55 Entry'!#REF!,"AAAAAF9/79s=")</f>
        <v>#REF!</v>
      </c>
      <c r="HM113" t="e">
        <f>AND('GA55 Entry'!#REF!,"AAAAAF9/79w=")</f>
        <v>#REF!</v>
      </c>
      <c r="HN113" t="e">
        <f>AND('GA55 Entry'!#REF!,"AAAAAF9/790=")</f>
        <v>#REF!</v>
      </c>
      <c r="HO113" t="e">
        <f>AND('GA55 Entry'!#REF!,"AAAAAF9/794=")</f>
        <v>#REF!</v>
      </c>
      <c r="HP113" t="e">
        <f>AND('GA55 Entry'!#REF!,"AAAAAF9/798=")</f>
        <v>#REF!</v>
      </c>
      <c r="HQ113" t="e">
        <f>AND('GA55 Entry'!#REF!,"AAAAAF9/7+A=")</f>
        <v>#REF!</v>
      </c>
      <c r="HR113" t="e">
        <f>AND('GA55 Entry'!Z337,"AAAAAF9/7+E=")</f>
        <v>#VALUE!</v>
      </c>
      <c r="HS113" t="e">
        <f>AND('GA55 Entry'!AA337,"AAAAAF9/7+I=")</f>
        <v>#VALUE!</v>
      </c>
      <c r="HT113" t="e">
        <f>AND('GA55 Entry'!#REF!,"AAAAAF9/7+M=")</f>
        <v>#REF!</v>
      </c>
      <c r="HU113" t="e">
        <f>AND('GA55 Entry'!#REF!,"AAAAAF9/7+Q=")</f>
        <v>#REF!</v>
      </c>
      <c r="HV113" t="e">
        <f>AND('GA55 Entry'!#REF!,"AAAAAF9/7+U=")</f>
        <v>#REF!</v>
      </c>
      <c r="HW113" t="e">
        <f>AND('GA55 Entry'!AB337,"AAAAAF9/7+Y=")</f>
        <v>#VALUE!</v>
      </c>
      <c r="HX113" t="e">
        <f>AND('GA55 Entry'!AC337,"AAAAAF9/7+c=")</f>
        <v>#VALUE!</v>
      </c>
      <c r="HY113" t="e">
        <f>AND('GA55 Entry'!#REF!,"AAAAAF9/7+g=")</f>
        <v>#REF!</v>
      </c>
      <c r="HZ113">
        <f>IF('GA55 Entry'!338:338,"AAAAAF9/7+k=",0)</f>
        <v>0</v>
      </c>
      <c r="IA113" t="e">
        <f>AND('GA55 Entry'!B338,"AAAAAF9/7+o=")</f>
        <v>#VALUE!</v>
      </c>
      <c r="IB113" t="e">
        <f>AND('GA55 Entry'!#REF!,"AAAAAF9/7+s=")</f>
        <v>#REF!</v>
      </c>
      <c r="IC113" t="e">
        <f>AND('GA55 Entry'!C338,"AAAAAF9/7+w=")</f>
        <v>#VALUE!</v>
      </c>
      <c r="ID113" t="e">
        <f>AND('GA55 Entry'!#REF!,"AAAAAF9/7+0=")</f>
        <v>#REF!</v>
      </c>
      <c r="IE113" t="e">
        <f>AND('GA55 Entry'!#REF!,"AAAAAF9/7+4=")</f>
        <v>#REF!</v>
      </c>
      <c r="IF113" t="e">
        <f>AND('GA55 Entry'!#REF!,"AAAAAF9/7+8=")</f>
        <v>#REF!</v>
      </c>
      <c r="IG113" t="e">
        <f>AND('GA55 Entry'!#REF!,"AAAAAF9/7/A=")</f>
        <v>#REF!</v>
      </c>
      <c r="IH113" t="e">
        <f>AND('GA55 Entry'!#REF!,"AAAAAF9/7/E=")</f>
        <v>#REF!</v>
      </c>
      <c r="II113" t="e">
        <f>AND('GA55 Entry'!D338,"AAAAAF9/7/I=")</f>
        <v>#VALUE!</v>
      </c>
      <c r="IJ113" t="e">
        <f>AND('GA55 Entry'!#REF!,"AAAAAF9/7/M=")</f>
        <v>#REF!</v>
      </c>
      <c r="IK113" t="e">
        <f>AND('GA55 Entry'!E338,"AAAAAF9/7/Q=")</f>
        <v>#VALUE!</v>
      </c>
      <c r="IL113" t="e">
        <f>AND('GA55 Entry'!F338,"AAAAAF9/7/U=")</f>
        <v>#VALUE!</v>
      </c>
      <c r="IM113" t="e">
        <f>AND('GA55 Entry'!G338,"AAAAAF9/7/Y=")</f>
        <v>#VALUE!</v>
      </c>
      <c r="IN113" t="e">
        <f>AND('GA55 Entry'!H338,"AAAAAF9/7/c=")</f>
        <v>#VALUE!</v>
      </c>
      <c r="IO113" t="e">
        <f>AND('GA55 Entry'!I338,"AAAAAF9/7/g=")</f>
        <v>#VALUE!</v>
      </c>
      <c r="IP113" t="e">
        <f>AND('GA55 Entry'!J338,"AAAAAF9/7/k=")</f>
        <v>#VALUE!</v>
      </c>
      <c r="IQ113" t="e">
        <f>AND('GA55 Entry'!#REF!,"AAAAAF9/7/o=")</f>
        <v>#REF!</v>
      </c>
      <c r="IR113" t="e">
        <f>AND('GA55 Entry'!K338,"AAAAAF9/7/s=")</f>
        <v>#VALUE!</v>
      </c>
      <c r="IS113" t="e">
        <f>AND('GA55 Entry'!L338,"AAAAAF9/7/w=")</f>
        <v>#VALUE!</v>
      </c>
      <c r="IT113" t="e">
        <f>AND('GA55 Entry'!M338,"AAAAAF9/7/0=")</f>
        <v>#VALUE!</v>
      </c>
      <c r="IU113" t="e">
        <f>AND('GA55 Entry'!N338,"AAAAAF9/7/4=")</f>
        <v>#VALUE!</v>
      </c>
      <c r="IV113" t="e">
        <f>AND('GA55 Entry'!O338,"AAAAAF9/7/8=")</f>
        <v>#VALUE!</v>
      </c>
    </row>
    <row r="114" spans="1:256">
      <c r="A114" t="e">
        <f>AND('GA55 Entry'!P338,"AAAAAH886wA=")</f>
        <v>#VALUE!</v>
      </c>
      <c r="B114" t="e">
        <f>AND('GA55 Entry'!Q338,"AAAAAH886wE=")</f>
        <v>#VALUE!</v>
      </c>
      <c r="C114" t="e">
        <f>AND('GA55 Entry'!S338,"AAAAAH886wI=")</f>
        <v>#VALUE!</v>
      </c>
      <c r="D114" t="e">
        <f>AND('GA55 Entry'!#REF!,"AAAAAH886wM=")</f>
        <v>#REF!</v>
      </c>
      <c r="E114" t="e">
        <f>AND('GA55 Entry'!T338,"AAAAAH886wQ=")</f>
        <v>#VALUE!</v>
      </c>
      <c r="F114" t="e">
        <f>AND('GA55 Entry'!U338,"AAAAAH886wU=")</f>
        <v>#VALUE!</v>
      </c>
      <c r="G114" t="e">
        <f>AND('GA55 Entry'!V338,"AAAAAH886wY=")</f>
        <v>#VALUE!</v>
      </c>
      <c r="H114" t="e">
        <f>AND('GA55 Entry'!#REF!,"AAAAAH886wc=")</f>
        <v>#REF!</v>
      </c>
      <c r="I114" t="e">
        <f>AND('GA55 Entry'!#REF!,"AAAAAH886wg=")</f>
        <v>#REF!</v>
      </c>
      <c r="J114" t="e">
        <f>AND('GA55 Entry'!X338,"AAAAAH886wk=")</f>
        <v>#VALUE!</v>
      </c>
      <c r="K114" t="e">
        <f>AND('GA55 Entry'!Y338,"AAAAAH886wo=")</f>
        <v>#VALUE!</v>
      </c>
      <c r="L114" t="e">
        <f>AND('GA55 Entry'!#REF!,"AAAAAH886ws=")</f>
        <v>#REF!</v>
      </c>
      <c r="M114" t="e">
        <f>AND('GA55 Entry'!#REF!,"AAAAAH886ww=")</f>
        <v>#REF!</v>
      </c>
      <c r="N114" t="e">
        <f>AND('GA55 Entry'!#REF!,"AAAAAH886w0=")</f>
        <v>#REF!</v>
      </c>
      <c r="O114" t="e">
        <f>AND('GA55 Entry'!#REF!,"AAAAAH886w4=")</f>
        <v>#REF!</v>
      </c>
      <c r="P114" t="e">
        <f>AND('GA55 Entry'!#REF!,"AAAAAH886w8=")</f>
        <v>#REF!</v>
      </c>
      <c r="Q114" t="e">
        <f>AND('GA55 Entry'!#REF!,"AAAAAH886xA=")</f>
        <v>#REF!</v>
      </c>
      <c r="R114" t="e">
        <f>AND('GA55 Entry'!#REF!,"AAAAAH886xE=")</f>
        <v>#REF!</v>
      </c>
      <c r="S114" t="e">
        <f>AND('GA55 Entry'!#REF!,"AAAAAH886xI=")</f>
        <v>#REF!</v>
      </c>
      <c r="T114" t="e">
        <f>AND('GA55 Entry'!#REF!,"AAAAAH886xM=")</f>
        <v>#REF!</v>
      </c>
      <c r="U114" t="e">
        <f>AND('GA55 Entry'!Z338,"AAAAAH886xQ=")</f>
        <v>#VALUE!</v>
      </c>
      <c r="V114" t="e">
        <f>AND('GA55 Entry'!AA338,"AAAAAH886xU=")</f>
        <v>#VALUE!</v>
      </c>
      <c r="W114" t="e">
        <f>AND('GA55 Entry'!#REF!,"AAAAAH886xY=")</f>
        <v>#REF!</v>
      </c>
      <c r="X114" t="e">
        <f>AND('GA55 Entry'!#REF!,"AAAAAH886xc=")</f>
        <v>#REF!</v>
      </c>
      <c r="Y114" t="e">
        <f>AND('GA55 Entry'!#REF!,"AAAAAH886xg=")</f>
        <v>#REF!</v>
      </c>
      <c r="Z114" t="e">
        <f>AND('GA55 Entry'!AB338,"AAAAAH886xk=")</f>
        <v>#VALUE!</v>
      </c>
      <c r="AA114" t="e">
        <f>AND('GA55 Entry'!AC338,"AAAAAH886xo=")</f>
        <v>#VALUE!</v>
      </c>
      <c r="AB114" t="e">
        <f>AND('GA55 Entry'!#REF!,"AAAAAH886xs=")</f>
        <v>#REF!</v>
      </c>
      <c r="AC114">
        <f>IF('GA55 Entry'!339:339,"AAAAAH886xw=",0)</f>
        <v>0</v>
      </c>
      <c r="AD114" t="e">
        <f>AND('GA55 Entry'!B339,"AAAAAH886x0=")</f>
        <v>#VALUE!</v>
      </c>
      <c r="AE114" t="e">
        <f>AND('GA55 Entry'!#REF!,"AAAAAH886x4=")</f>
        <v>#REF!</v>
      </c>
      <c r="AF114" t="e">
        <f>AND('GA55 Entry'!C339,"AAAAAH886x8=")</f>
        <v>#VALUE!</v>
      </c>
      <c r="AG114" t="e">
        <f>AND('GA55 Entry'!#REF!,"AAAAAH886yA=")</f>
        <v>#REF!</v>
      </c>
      <c r="AH114" t="e">
        <f>AND('GA55 Entry'!#REF!,"AAAAAH886yE=")</f>
        <v>#REF!</v>
      </c>
      <c r="AI114" t="e">
        <f>AND('GA55 Entry'!#REF!,"AAAAAH886yI=")</f>
        <v>#REF!</v>
      </c>
      <c r="AJ114" t="e">
        <f>AND('GA55 Entry'!#REF!,"AAAAAH886yM=")</f>
        <v>#REF!</v>
      </c>
      <c r="AK114" t="e">
        <f>AND('GA55 Entry'!#REF!,"AAAAAH886yQ=")</f>
        <v>#REF!</v>
      </c>
      <c r="AL114" t="e">
        <f>AND('GA55 Entry'!D339,"AAAAAH886yU=")</f>
        <v>#VALUE!</v>
      </c>
      <c r="AM114" t="e">
        <f>AND('GA55 Entry'!#REF!,"AAAAAH886yY=")</f>
        <v>#REF!</v>
      </c>
      <c r="AN114" t="e">
        <f>AND('GA55 Entry'!E339,"AAAAAH886yc=")</f>
        <v>#VALUE!</v>
      </c>
      <c r="AO114" t="e">
        <f>AND('GA55 Entry'!F339,"AAAAAH886yg=")</f>
        <v>#VALUE!</v>
      </c>
      <c r="AP114" t="e">
        <f>AND('GA55 Entry'!G339,"AAAAAH886yk=")</f>
        <v>#VALUE!</v>
      </c>
      <c r="AQ114" t="e">
        <f>AND('GA55 Entry'!H339,"AAAAAH886yo=")</f>
        <v>#VALUE!</v>
      </c>
      <c r="AR114" t="e">
        <f>AND('GA55 Entry'!I339,"AAAAAH886ys=")</f>
        <v>#VALUE!</v>
      </c>
      <c r="AS114" t="e">
        <f>AND('GA55 Entry'!J339,"AAAAAH886yw=")</f>
        <v>#VALUE!</v>
      </c>
      <c r="AT114" t="e">
        <f>AND('GA55 Entry'!#REF!,"AAAAAH886y0=")</f>
        <v>#REF!</v>
      </c>
      <c r="AU114" t="e">
        <f>AND('GA55 Entry'!K339,"AAAAAH886y4=")</f>
        <v>#VALUE!</v>
      </c>
      <c r="AV114" t="e">
        <f>AND('GA55 Entry'!L339,"AAAAAH886y8=")</f>
        <v>#VALUE!</v>
      </c>
      <c r="AW114" t="e">
        <f>AND('GA55 Entry'!M339,"AAAAAH886zA=")</f>
        <v>#VALUE!</v>
      </c>
      <c r="AX114" t="e">
        <f>AND('GA55 Entry'!N339,"AAAAAH886zE=")</f>
        <v>#VALUE!</v>
      </c>
      <c r="AY114" t="e">
        <f>AND('GA55 Entry'!O339,"AAAAAH886zI=")</f>
        <v>#VALUE!</v>
      </c>
      <c r="AZ114" t="e">
        <f>AND('GA55 Entry'!P339,"AAAAAH886zM=")</f>
        <v>#VALUE!</v>
      </c>
      <c r="BA114" t="e">
        <f>AND('GA55 Entry'!Q339,"AAAAAH886zQ=")</f>
        <v>#VALUE!</v>
      </c>
      <c r="BB114" t="e">
        <f>AND('GA55 Entry'!S339,"AAAAAH886zU=")</f>
        <v>#VALUE!</v>
      </c>
      <c r="BC114" t="e">
        <f>AND('GA55 Entry'!#REF!,"AAAAAH886zY=")</f>
        <v>#REF!</v>
      </c>
      <c r="BD114" t="e">
        <f>AND('GA55 Entry'!T339,"AAAAAH886zc=")</f>
        <v>#VALUE!</v>
      </c>
      <c r="BE114" t="e">
        <f>AND('GA55 Entry'!U339,"AAAAAH886zg=")</f>
        <v>#VALUE!</v>
      </c>
      <c r="BF114" t="e">
        <f>AND('GA55 Entry'!V339,"AAAAAH886zk=")</f>
        <v>#VALUE!</v>
      </c>
      <c r="BG114" t="e">
        <f>AND('GA55 Entry'!#REF!,"AAAAAH886zo=")</f>
        <v>#REF!</v>
      </c>
      <c r="BH114" t="e">
        <f>AND('GA55 Entry'!#REF!,"AAAAAH886zs=")</f>
        <v>#REF!</v>
      </c>
      <c r="BI114" t="e">
        <f>AND('GA55 Entry'!X339,"AAAAAH886zw=")</f>
        <v>#VALUE!</v>
      </c>
      <c r="BJ114" t="e">
        <f>AND('GA55 Entry'!Y339,"AAAAAH886z0=")</f>
        <v>#VALUE!</v>
      </c>
      <c r="BK114" t="e">
        <f>AND('GA55 Entry'!#REF!,"AAAAAH886z4=")</f>
        <v>#REF!</v>
      </c>
      <c r="BL114" t="e">
        <f>AND('GA55 Entry'!#REF!,"AAAAAH886z8=")</f>
        <v>#REF!</v>
      </c>
      <c r="BM114" t="e">
        <f>AND('GA55 Entry'!#REF!,"AAAAAH8860A=")</f>
        <v>#REF!</v>
      </c>
      <c r="BN114" t="e">
        <f>AND('GA55 Entry'!#REF!,"AAAAAH8860E=")</f>
        <v>#REF!</v>
      </c>
      <c r="BO114" t="e">
        <f>AND('GA55 Entry'!#REF!,"AAAAAH8860I=")</f>
        <v>#REF!</v>
      </c>
      <c r="BP114" t="e">
        <f>AND('GA55 Entry'!#REF!,"AAAAAH8860M=")</f>
        <v>#REF!</v>
      </c>
      <c r="BQ114" t="e">
        <f>AND('GA55 Entry'!#REF!,"AAAAAH8860Q=")</f>
        <v>#REF!</v>
      </c>
      <c r="BR114" t="e">
        <f>AND('GA55 Entry'!#REF!,"AAAAAH8860U=")</f>
        <v>#REF!</v>
      </c>
      <c r="BS114" t="e">
        <f>AND('GA55 Entry'!#REF!,"AAAAAH8860Y=")</f>
        <v>#REF!</v>
      </c>
      <c r="BT114" t="e">
        <f>AND('GA55 Entry'!Z339,"AAAAAH8860c=")</f>
        <v>#VALUE!</v>
      </c>
      <c r="BU114" t="e">
        <f>AND('GA55 Entry'!AA339,"AAAAAH8860g=")</f>
        <v>#VALUE!</v>
      </c>
      <c r="BV114" t="e">
        <f>AND('GA55 Entry'!#REF!,"AAAAAH8860k=")</f>
        <v>#REF!</v>
      </c>
      <c r="BW114" t="e">
        <f>AND('GA55 Entry'!#REF!,"AAAAAH8860o=")</f>
        <v>#REF!</v>
      </c>
      <c r="BX114" t="e">
        <f>AND('GA55 Entry'!#REF!,"AAAAAH8860s=")</f>
        <v>#REF!</v>
      </c>
      <c r="BY114" t="e">
        <f>AND('GA55 Entry'!AB339,"AAAAAH8860w=")</f>
        <v>#VALUE!</v>
      </c>
      <c r="BZ114" t="e">
        <f>AND('GA55 Entry'!AC339,"AAAAAH88600=")</f>
        <v>#VALUE!</v>
      </c>
      <c r="CA114" t="e">
        <f>AND('GA55 Entry'!#REF!,"AAAAAH88604=")</f>
        <v>#REF!</v>
      </c>
      <c r="CB114">
        <f>IF('GA55 Entry'!340:340,"AAAAAH88608=",0)</f>
        <v>0</v>
      </c>
      <c r="CC114" t="e">
        <f>AND('GA55 Entry'!B340,"AAAAAH8861A=")</f>
        <v>#VALUE!</v>
      </c>
      <c r="CD114" t="e">
        <f>AND('GA55 Entry'!#REF!,"AAAAAH8861E=")</f>
        <v>#REF!</v>
      </c>
      <c r="CE114" t="e">
        <f>AND('GA55 Entry'!C340,"AAAAAH8861I=")</f>
        <v>#VALUE!</v>
      </c>
      <c r="CF114" t="e">
        <f>AND('GA55 Entry'!#REF!,"AAAAAH8861M=")</f>
        <v>#REF!</v>
      </c>
      <c r="CG114" t="e">
        <f>AND('GA55 Entry'!#REF!,"AAAAAH8861Q=")</f>
        <v>#REF!</v>
      </c>
      <c r="CH114" t="e">
        <f>AND('GA55 Entry'!#REF!,"AAAAAH8861U=")</f>
        <v>#REF!</v>
      </c>
      <c r="CI114" t="e">
        <f>AND('GA55 Entry'!#REF!,"AAAAAH8861Y=")</f>
        <v>#REF!</v>
      </c>
      <c r="CJ114" t="e">
        <f>AND('GA55 Entry'!#REF!,"AAAAAH8861c=")</f>
        <v>#REF!</v>
      </c>
      <c r="CK114" t="e">
        <f>AND('GA55 Entry'!D340,"AAAAAH8861g=")</f>
        <v>#VALUE!</v>
      </c>
      <c r="CL114" t="e">
        <f>AND('GA55 Entry'!#REF!,"AAAAAH8861k=")</f>
        <v>#REF!</v>
      </c>
      <c r="CM114" t="e">
        <f>AND('GA55 Entry'!E340,"AAAAAH8861o=")</f>
        <v>#VALUE!</v>
      </c>
      <c r="CN114" t="e">
        <f>AND('GA55 Entry'!F340,"AAAAAH8861s=")</f>
        <v>#VALUE!</v>
      </c>
      <c r="CO114" t="e">
        <f>AND('GA55 Entry'!G340,"AAAAAH8861w=")</f>
        <v>#VALUE!</v>
      </c>
      <c r="CP114" t="e">
        <f>AND('GA55 Entry'!H340,"AAAAAH88610=")</f>
        <v>#VALUE!</v>
      </c>
      <c r="CQ114" t="e">
        <f>AND('GA55 Entry'!I340,"AAAAAH88614=")</f>
        <v>#VALUE!</v>
      </c>
      <c r="CR114" t="e">
        <f>AND('GA55 Entry'!J340,"AAAAAH88618=")</f>
        <v>#VALUE!</v>
      </c>
      <c r="CS114" t="e">
        <f>AND('GA55 Entry'!#REF!,"AAAAAH8862A=")</f>
        <v>#REF!</v>
      </c>
      <c r="CT114" t="e">
        <f>AND('GA55 Entry'!K340,"AAAAAH8862E=")</f>
        <v>#VALUE!</v>
      </c>
      <c r="CU114" t="e">
        <f>AND('GA55 Entry'!L340,"AAAAAH8862I=")</f>
        <v>#VALUE!</v>
      </c>
      <c r="CV114" t="e">
        <f>AND('GA55 Entry'!M340,"AAAAAH8862M=")</f>
        <v>#VALUE!</v>
      </c>
      <c r="CW114" t="e">
        <f>AND('GA55 Entry'!N340,"AAAAAH8862Q=")</f>
        <v>#VALUE!</v>
      </c>
      <c r="CX114" t="e">
        <f>AND('GA55 Entry'!O340,"AAAAAH8862U=")</f>
        <v>#VALUE!</v>
      </c>
      <c r="CY114" t="e">
        <f>AND('GA55 Entry'!P340,"AAAAAH8862Y=")</f>
        <v>#VALUE!</v>
      </c>
      <c r="CZ114" t="e">
        <f>AND('GA55 Entry'!Q340,"AAAAAH8862c=")</f>
        <v>#VALUE!</v>
      </c>
      <c r="DA114" t="e">
        <f>AND('GA55 Entry'!S340,"AAAAAH8862g=")</f>
        <v>#VALUE!</v>
      </c>
      <c r="DB114" t="e">
        <f>AND('GA55 Entry'!#REF!,"AAAAAH8862k=")</f>
        <v>#REF!</v>
      </c>
      <c r="DC114" t="e">
        <f>AND('GA55 Entry'!T340,"AAAAAH8862o=")</f>
        <v>#VALUE!</v>
      </c>
      <c r="DD114" t="e">
        <f>AND('GA55 Entry'!U340,"AAAAAH8862s=")</f>
        <v>#VALUE!</v>
      </c>
      <c r="DE114" t="e">
        <f>AND('GA55 Entry'!V340,"AAAAAH8862w=")</f>
        <v>#VALUE!</v>
      </c>
      <c r="DF114" t="e">
        <f>AND('GA55 Entry'!#REF!,"AAAAAH88620=")</f>
        <v>#REF!</v>
      </c>
      <c r="DG114" t="e">
        <f>AND('GA55 Entry'!#REF!,"AAAAAH88624=")</f>
        <v>#REF!</v>
      </c>
      <c r="DH114" t="e">
        <f>AND('GA55 Entry'!X340,"AAAAAH88628=")</f>
        <v>#VALUE!</v>
      </c>
      <c r="DI114" t="e">
        <f>AND('GA55 Entry'!Y340,"AAAAAH8863A=")</f>
        <v>#VALUE!</v>
      </c>
      <c r="DJ114" t="e">
        <f>AND('GA55 Entry'!#REF!,"AAAAAH8863E=")</f>
        <v>#REF!</v>
      </c>
      <c r="DK114" t="e">
        <f>AND('GA55 Entry'!#REF!,"AAAAAH8863I=")</f>
        <v>#REF!</v>
      </c>
      <c r="DL114" t="e">
        <f>AND('GA55 Entry'!#REF!,"AAAAAH8863M=")</f>
        <v>#REF!</v>
      </c>
      <c r="DM114" t="e">
        <f>AND('GA55 Entry'!#REF!,"AAAAAH8863Q=")</f>
        <v>#REF!</v>
      </c>
      <c r="DN114" t="e">
        <f>AND('GA55 Entry'!#REF!,"AAAAAH8863U=")</f>
        <v>#REF!</v>
      </c>
      <c r="DO114" t="e">
        <f>AND('GA55 Entry'!#REF!,"AAAAAH8863Y=")</f>
        <v>#REF!</v>
      </c>
      <c r="DP114" t="e">
        <f>AND('GA55 Entry'!#REF!,"AAAAAH8863c=")</f>
        <v>#REF!</v>
      </c>
      <c r="DQ114" t="e">
        <f>AND('GA55 Entry'!#REF!,"AAAAAH8863g=")</f>
        <v>#REF!</v>
      </c>
      <c r="DR114" t="e">
        <f>AND('GA55 Entry'!#REF!,"AAAAAH8863k=")</f>
        <v>#REF!</v>
      </c>
      <c r="DS114" t="e">
        <f>AND('GA55 Entry'!Z340,"AAAAAH8863o=")</f>
        <v>#VALUE!</v>
      </c>
      <c r="DT114" t="e">
        <f>AND('GA55 Entry'!AA340,"AAAAAH8863s=")</f>
        <v>#VALUE!</v>
      </c>
      <c r="DU114" t="e">
        <f>AND('GA55 Entry'!#REF!,"AAAAAH8863w=")</f>
        <v>#REF!</v>
      </c>
      <c r="DV114" t="e">
        <f>AND('GA55 Entry'!#REF!,"AAAAAH88630=")</f>
        <v>#REF!</v>
      </c>
      <c r="DW114" t="e">
        <f>AND('GA55 Entry'!#REF!,"AAAAAH88634=")</f>
        <v>#REF!</v>
      </c>
      <c r="DX114" t="e">
        <f>AND('GA55 Entry'!AB340,"AAAAAH88638=")</f>
        <v>#VALUE!</v>
      </c>
      <c r="DY114" t="e">
        <f>AND('GA55 Entry'!AC340,"AAAAAH8864A=")</f>
        <v>#VALUE!</v>
      </c>
      <c r="DZ114" t="e">
        <f>AND('GA55 Entry'!#REF!,"AAAAAH8864E=")</f>
        <v>#REF!</v>
      </c>
      <c r="EA114">
        <f>IF('GA55 Entry'!341:341,"AAAAAH8864I=",0)</f>
        <v>0</v>
      </c>
      <c r="EB114" t="e">
        <f>AND('GA55 Entry'!B341,"AAAAAH8864M=")</f>
        <v>#VALUE!</v>
      </c>
      <c r="EC114" t="e">
        <f>AND('GA55 Entry'!#REF!,"AAAAAH8864Q=")</f>
        <v>#REF!</v>
      </c>
      <c r="ED114" t="e">
        <f>AND('GA55 Entry'!C341,"AAAAAH8864U=")</f>
        <v>#VALUE!</v>
      </c>
      <c r="EE114" t="e">
        <f>AND('GA55 Entry'!#REF!,"AAAAAH8864Y=")</f>
        <v>#REF!</v>
      </c>
      <c r="EF114" t="e">
        <f>AND('GA55 Entry'!#REF!,"AAAAAH8864c=")</f>
        <v>#REF!</v>
      </c>
      <c r="EG114" t="e">
        <f>AND('GA55 Entry'!#REF!,"AAAAAH8864g=")</f>
        <v>#REF!</v>
      </c>
      <c r="EH114" t="e">
        <f>AND('GA55 Entry'!#REF!,"AAAAAH8864k=")</f>
        <v>#REF!</v>
      </c>
      <c r="EI114" t="e">
        <f>AND('GA55 Entry'!#REF!,"AAAAAH8864o=")</f>
        <v>#REF!</v>
      </c>
      <c r="EJ114" t="e">
        <f>AND('GA55 Entry'!D341,"AAAAAH8864s=")</f>
        <v>#VALUE!</v>
      </c>
      <c r="EK114" t="e">
        <f>AND('GA55 Entry'!#REF!,"AAAAAH8864w=")</f>
        <v>#REF!</v>
      </c>
      <c r="EL114" t="e">
        <f>AND('GA55 Entry'!E341,"AAAAAH88640=")</f>
        <v>#VALUE!</v>
      </c>
      <c r="EM114" t="e">
        <f>AND('GA55 Entry'!F341,"AAAAAH88644=")</f>
        <v>#VALUE!</v>
      </c>
      <c r="EN114" t="e">
        <f>AND('GA55 Entry'!G341,"AAAAAH88648=")</f>
        <v>#VALUE!</v>
      </c>
      <c r="EO114" t="e">
        <f>AND('GA55 Entry'!H341,"AAAAAH8865A=")</f>
        <v>#VALUE!</v>
      </c>
      <c r="EP114" t="e">
        <f>AND('GA55 Entry'!I341,"AAAAAH8865E=")</f>
        <v>#VALUE!</v>
      </c>
      <c r="EQ114" t="e">
        <f>AND('GA55 Entry'!J341,"AAAAAH8865I=")</f>
        <v>#VALUE!</v>
      </c>
      <c r="ER114" t="e">
        <f>AND('GA55 Entry'!#REF!,"AAAAAH8865M=")</f>
        <v>#REF!</v>
      </c>
      <c r="ES114" t="e">
        <f>AND('GA55 Entry'!K341,"AAAAAH8865Q=")</f>
        <v>#VALUE!</v>
      </c>
      <c r="ET114" t="e">
        <f>AND('GA55 Entry'!L341,"AAAAAH8865U=")</f>
        <v>#VALUE!</v>
      </c>
      <c r="EU114" t="e">
        <f>AND('GA55 Entry'!M341,"AAAAAH8865Y=")</f>
        <v>#VALUE!</v>
      </c>
      <c r="EV114" t="e">
        <f>AND('GA55 Entry'!N341,"AAAAAH8865c=")</f>
        <v>#VALUE!</v>
      </c>
      <c r="EW114" t="e">
        <f>AND('GA55 Entry'!O341,"AAAAAH8865g=")</f>
        <v>#VALUE!</v>
      </c>
      <c r="EX114" t="e">
        <f>AND('GA55 Entry'!P341,"AAAAAH8865k=")</f>
        <v>#VALUE!</v>
      </c>
      <c r="EY114" t="e">
        <f>AND('GA55 Entry'!Q341,"AAAAAH8865o=")</f>
        <v>#VALUE!</v>
      </c>
      <c r="EZ114" t="e">
        <f>AND('GA55 Entry'!S341,"AAAAAH8865s=")</f>
        <v>#VALUE!</v>
      </c>
      <c r="FA114" t="e">
        <f>AND('GA55 Entry'!#REF!,"AAAAAH8865w=")</f>
        <v>#REF!</v>
      </c>
      <c r="FB114" t="e">
        <f>AND('GA55 Entry'!T341,"AAAAAH88650=")</f>
        <v>#VALUE!</v>
      </c>
      <c r="FC114" t="e">
        <f>AND('GA55 Entry'!U341,"AAAAAH88654=")</f>
        <v>#VALUE!</v>
      </c>
      <c r="FD114" t="e">
        <f>AND('GA55 Entry'!V341,"AAAAAH88658=")</f>
        <v>#VALUE!</v>
      </c>
      <c r="FE114" t="e">
        <f>AND('GA55 Entry'!#REF!,"AAAAAH8866A=")</f>
        <v>#REF!</v>
      </c>
      <c r="FF114" t="e">
        <f>AND('GA55 Entry'!#REF!,"AAAAAH8866E=")</f>
        <v>#REF!</v>
      </c>
      <c r="FG114" t="e">
        <f>AND('GA55 Entry'!X341,"AAAAAH8866I=")</f>
        <v>#VALUE!</v>
      </c>
      <c r="FH114" t="e">
        <f>AND('GA55 Entry'!Y341,"AAAAAH8866M=")</f>
        <v>#VALUE!</v>
      </c>
      <c r="FI114" t="e">
        <f>AND('GA55 Entry'!#REF!,"AAAAAH8866Q=")</f>
        <v>#REF!</v>
      </c>
      <c r="FJ114" t="e">
        <f>AND('GA55 Entry'!#REF!,"AAAAAH8866U=")</f>
        <v>#REF!</v>
      </c>
      <c r="FK114" t="e">
        <f>AND('GA55 Entry'!#REF!,"AAAAAH8866Y=")</f>
        <v>#REF!</v>
      </c>
      <c r="FL114" t="e">
        <f>AND('GA55 Entry'!#REF!,"AAAAAH8866c=")</f>
        <v>#REF!</v>
      </c>
      <c r="FM114" t="e">
        <f>AND('GA55 Entry'!#REF!,"AAAAAH8866g=")</f>
        <v>#REF!</v>
      </c>
      <c r="FN114" t="e">
        <f>AND('GA55 Entry'!#REF!,"AAAAAH8866k=")</f>
        <v>#REF!</v>
      </c>
      <c r="FO114" t="e">
        <f>AND('GA55 Entry'!#REF!,"AAAAAH8866o=")</f>
        <v>#REF!</v>
      </c>
      <c r="FP114" t="e">
        <f>AND('GA55 Entry'!#REF!,"AAAAAH8866s=")</f>
        <v>#REF!</v>
      </c>
      <c r="FQ114" t="e">
        <f>AND('GA55 Entry'!#REF!,"AAAAAH8866w=")</f>
        <v>#REF!</v>
      </c>
      <c r="FR114" t="e">
        <f>AND('GA55 Entry'!Z341,"AAAAAH88660=")</f>
        <v>#VALUE!</v>
      </c>
      <c r="FS114" t="e">
        <f>AND('GA55 Entry'!AA341,"AAAAAH88664=")</f>
        <v>#VALUE!</v>
      </c>
      <c r="FT114" t="e">
        <f>AND('GA55 Entry'!#REF!,"AAAAAH88668=")</f>
        <v>#REF!</v>
      </c>
      <c r="FU114" t="e">
        <f>AND('GA55 Entry'!#REF!,"AAAAAH8867A=")</f>
        <v>#REF!</v>
      </c>
      <c r="FV114" t="e">
        <f>AND('GA55 Entry'!#REF!,"AAAAAH8867E=")</f>
        <v>#REF!</v>
      </c>
      <c r="FW114" t="e">
        <f>AND('GA55 Entry'!AB341,"AAAAAH8867I=")</f>
        <v>#VALUE!</v>
      </c>
      <c r="FX114" t="e">
        <f>AND('GA55 Entry'!AC341,"AAAAAH8867M=")</f>
        <v>#VALUE!</v>
      </c>
      <c r="FY114" t="e">
        <f>AND('GA55 Entry'!#REF!,"AAAAAH8867Q=")</f>
        <v>#REF!</v>
      </c>
      <c r="FZ114">
        <f>IF('GA55 Entry'!342:342,"AAAAAH8867U=",0)</f>
        <v>0</v>
      </c>
      <c r="GA114" t="e">
        <f>AND('GA55 Entry'!B342,"AAAAAH8867Y=")</f>
        <v>#VALUE!</v>
      </c>
      <c r="GB114" t="e">
        <f>AND('GA55 Entry'!#REF!,"AAAAAH8867c=")</f>
        <v>#REF!</v>
      </c>
      <c r="GC114" t="e">
        <f>AND('GA55 Entry'!C342,"AAAAAH8867g=")</f>
        <v>#VALUE!</v>
      </c>
      <c r="GD114" t="e">
        <f>AND('GA55 Entry'!#REF!,"AAAAAH8867k=")</f>
        <v>#REF!</v>
      </c>
      <c r="GE114" t="e">
        <f>AND('GA55 Entry'!#REF!,"AAAAAH8867o=")</f>
        <v>#REF!</v>
      </c>
      <c r="GF114" t="e">
        <f>AND('GA55 Entry'!#REF!,"AAAAAH8867s=")</f>
        <v>#REF!</v>
      </c>
      <c r="GG114" t="e">
        <f>AND('GA55 Entry'!#REF!,"AAAAAH8867w=")</f>
        <v>#REF!</v>
      </c>
      <c r="GH114" t="e">
        <f>AND('GA55 Entry'!#REF!,"AAAAAH88670=")</f>
        <v>#REF!</v>
      </c>
      <c r="GI114" t="e">
        <f>AND('GA55 Entry'!D342,"AAAAAH88674=")</f>
        <v>#VALUE!</v>
      </c>
      <c r="GJ114" t="e">
        <f>AND('GA55 Entry'!#REF!,"AAAAAH88678=")</f>
        <v>#REF!</v>
      </c>
      <c r="GK114" t="e">
        <f>AND('GA55 Entry'!E342,"AAAAAH8868A=")</f>
        <v>#VALUE!</v>
      </c>
      <c r="GL114" t="e">
        <f>AND('GA55 Entry'!F342,"AAAAAH8868E=")</f>
        <v>#VALUE!</v>
      </c>
      <c r="GM114" t="e">
        <f>AND('GA55 Entry'!G342,"AAAAAH8868I=")</f>
        <v>#VALUE!</v>
      </c>
      <c r="GN114" t="e">
        <f>AND('GA55 Entry'!H342,"AAAAAH8868M=")</f>
        <v>#VALUE!</v>
      </c>
      <c r="GO114" t="e">
        <f>AND('GA55 Entry'!I342,"AAAAAH8868Q=")</f>
        <v>#VALUE!</v>
      </c>
      <c r="GP114" t="e">
        <f>AND('GA55 Entry'!J342,"AAAAAH8868U=")</f>
        <v>#VALUE!</v>
      </c>
      <c r="GQ114" t="e">
        <f>AND('GA55 Entry'!#REF!,"AAAAAH8868Y=")</f>
        <v>#REF!</v>
      </c>
      <c r="GR114" t="e">
        <f>AND('GA55 Entry'!K342,"AAAAAH8868c=")</f>
        <v>#VALUE!</v>
      </c>
      <c r="GS114" t="e">
        <f>AND('GA55 Entry'!L342,"AAAAAH8868g=")</f>
        <v>#VALUE!</v>
      </c>
      <c r="GT114" t="e">
        <f>AND('GA55 Entry'!M342,"AAAAAH8868k=")</f>
        <v>#VALUE!</v>
      </c>
      <c r="GU114" t="e">
        <f>AND('GA55 Entry'!N342,"AAAAAH8868o=")</f>
        <v>#VALUE!</v>
      </c>
      <c r="GV114" t="e">
        <f>AND('GA55 Entry'!O342,"AAAAAH8868s=")</f>
        <v>#VALUE!</v>
      </c>
      <c r="GW114" t="e">
        <f>AND('GA55 Entry'!P342,"AAAAAH8868w=")</f>
        <v>#VALUE!</v>
      </c>
      <c r="GX114" t="e">
        <f>AND('GA55 Entry'!Q342,"AAAAAH88680=")</f>
        <v>#VALUE!</v>
      </c>
      <c r="GY114" t="e">
        <f>AND('GA55 Entry'!S342,"AAAAAH88684=")</f>
        <v>#VALUE!</v>
      </c>
      <c r="GZ114" t="e">
        <f>AND('GA55 Entry'!#REF!,"AAAAAH88688=")</f>
        <v>#REF!</v>
      </c>
      <c r="HA114" t="e">
        <f>AND('GA55 Entry'!T342,"AAAAAH8869A=")</f>
        <v>#VALUE!</v>
      </c>
      <c r="HB114" t="e">
        <f>AND('GA55 Entry'!U342,"AAAAAH8869E=")</f>
        <v>#VALUE!</v>
      </c>
      <c r="HC114" t="e">
        <f>AND('GA55 Entry'!V342,"AAAAAH8869I=")</f>
        <v>#VALUE!</v>
      </c>
      <c r="HD114" t="e">
        <f>AND('GA55 Entry'!#REF!,"AAAAAH8869M=")</f>
        <v>#REF!</v>
      </c>
      <c r="HE114" t="e">
        <f>AND('GA55 Entry'!#REF!,"AAAAAH8869Q=")</f>
        <v>#REF!</v>
      </c>
      <c r="HF114" t="e">
        <f>AND('GA55 Entry'!X342,"AAAAAH8869U=")</f>
        <v>#VALUE!</v>
      </c>
      <c r="HG114" t="e">
        <f>AND('GA55 Entry'!Y342,"AAAAAH8869Y=")</f>
        <v>#VALUE!</v>
      </c>
      <c r="HH114" t="e">
        <f>AND('GA55 Entry'!#REF!,"AAAAAH8869c=")</f>
        <v>#REF!</v>
      </c>
      <c r="HI114" t="e">
        <f>AND('GA55 Entry'!#REF!,"AAAAAH8869g=")</f>
        <v>#REF!</v>
      </c>
      <c r="HJ114" t="e">
        <f>AND('GA55 Entry'!#REF!,"AAAAAH8869k=")</f>
        <v>#REF!</v>
      </c>
      <c r="HK114" t="e">
        <f>AND('GA55 Entry'!#REF!,"AAAAAH8869o=")</f>
        <v>#REF!</v>
      </c>
      <c r="HL114" t="e">
        <f>AND('GA55 Entry'!#REF!,"AAAAAH8869s=")</f>
        <v>#REF!</v>
      </c>
      <c r="HM114" t="e">
        <f>AND('GA55 Entry'!#REF!,"AAAAAH8869w=")</f>
        <v>#REF!</v>
      </c>
      <c r="HN114" t="e">
        <f>AND('GA55 Entry'!#REF!,"AAAAAH88690=")</f>
        <v>#REF!</v>
      </c>
      <c r="HO114" t="e">
        <f>AND('GA55 Entry'!#REF!,"AAAAAH88694=")</f>
        <v>#REF!</v>
      </c>
      <c r="HP114" t="e">
        <f>AND('GA55 Entry'!#REF!,"AAAAAH88698=")</f>
        <v>#REF!</v>
      </c>
      <c r="HQ114" t="e">
        <f>AND('GA55 Entry'!Z342,"AAAAAH886+A=")</f>
        <v>#VALUE!</v>
      </c>
      <c r="HR114" t="e">
        <f>AND('GA55 Entry'!AA342,"AAAAAH886+E=")</f>
        <v>#VALUE!</v>
      </c>
      <c r="HS114" t="e">
        <f>AND('GA55 Entry'!#REF!,"AAAAAH886+I=")</f>
        <v>#REF!</v>
      </c>
      <c r="HT114" t="e">
        <f>AND('GA55 Entry'!#REF!,"AAAAAH886+M=")</f>
        <v>#REF!</v>
      </c>
      <c r="HU114" t="e">
        <f>AND('GA55 Entry'!#REF!,"AAAAAH886+Q=")</f>
        <v>#REF!</v>
      </c>
      <c r="HV114" t="e">
        <f>AND('GA55 Entry'!AB342,"AAAAAH886+U=")</f>
        <v>#VALUE!</v>
      </c>
      <c r="HW114" t="e">
        <f>AND('GA55 Entry'!AC342,"AAAAAH886+Y=")</f>
        <v>#VALUE!</v>
      </c>
      <c r="HX114" t="e">
        <f>AND('GA55 Entry'!#REF!,"AAAAAH886+c=")</f>
        <v>#REF!</v>
      </c>
      <c r="HY114">
        <f>IF('GA55 Entry'!343:343,"AAAAAH886+g=",0)</f>
        <v>0</v>
      </c>
      <c r="HZ114" t="e">
        <f>AND('GA55 Entry'!B343,"AAAAAH886+k=")</f>
        <v>#VALUE!</v>
      </c>
      <c r="IA114" t="e">
        <f>AND('GA55 Entry'!#REF!,"AAAAAH886+o=")</f>
        <v>#REF!</v>
      </c>
      <c r="IB114" t="e">
        <f>AND('GA55 Entry'!C343,"AAAAAH886+s=")</f>
        <v>#VALUE!</v>
      </c>
      <c r="IC114" t="e">
        <f>AND('GA55 Entry'!#REF!,"AAAAAH886+w=")</f>
        <v>#REF!</v>
      </c>
      <c r="ID114" t="e">
        <f>AND('GA55 Entry'!#REF!,"AAAAAH886+0=")</f>
        <v>#REF!</v>
      </c>
      <c r="IE114" t="e">
        <f>AND('GA55 Entry'!#REF!,"AAAAAH886+4=")</f>
        <v>#REF!</v>
      </c>
      <c r="IF114" t="e">
        <f>AND('GA55 Entry'!#REF!,"AAAAAH886+8=")</f>
        <v>#REF!</v>
      </c>
      <c r="IG114" t="e">
        <f>AND('GA55 Entry'!#REF!,"AAAAAH886/A=")</f>
        <v>#REF!</v>
      </c>
      <c r="IH114" t="e">
        <f>AND('GA55 Entry'!D343,"AAAAAH886/E=")</f>
        <v>#VALUE!</v>
      </c>
      <c r="II114" t="e">
        <f>AND('GA55 Entry'!#REF!,"AAAAAH886/I=")</f>
        <v>#REF!</v>
      </c>
      <c r="IJ114" t="e">
        <f>AND('GA55 Entry'!E343,"AAAAAH886/M=")</f>
        <v>#VALUE!</v>
      </c>
      <c r="IK114" t="e">
        <f>AND('GA55 Entry'!F343,"AAAAAH886/Q=")</f>
        <v>#VALUE!</v>
      </c>
      <c r="IL114" t="e">
        <f>AND('GA55 Entry'!G343,"AAAAAH886/U=")</f>
        <v>#VALUE!</v>
      </c>
      <c r="IM114" t="e">
        <f>AND('GA55 Entry'!H343,"AAAAAH886/Y=")</f>
        <v>#VALUE!</v>
      </c>
      <c r="IN114" t="e">
        <f>AND('GA55 Entry'!I343,"AAAAAH886/c=")</f>
        <v>#VALUE!</v>
      </c>
      <c r="IO114" t="e">
        <f>AND('GA55 Entry'!J343,"AAAAAH886/g=")</f>
        <v>#VALUE!</v>
      </c>
      <c r="IP114" t="e">
        <f>AND('GA55 Entry'!#REF!,"AAAAAH886/k=")</f>
        <v>#REF!</v>
      </c>
      <c r="IQ114" t="e">
        <f>AND('GA55 Entry'!K343,"AAAAAH886/o=")</f>
        <v>#VALUE!</v>
      </c>
      <c r="IR114" t="e">
        <f>AND('GA55 Entry'!L343,"AAAAAH886/s=")</f>
        <v>#VALUE!</v>
      </c>
      <c r="IS114" t="e">
        <f>AND('GA55 Entry'!M343,"AAAAAH886/w=")</f>
        <v>#VALUE!</v>
      </c>
      <c r="IT114" t="e">
        <f>AND('GA55 Entry'!N343,"AAAAAH886/0=")</f>
        <v>#VALUE!</v>
      </c>
      <c r="IU114" t="e">
        <f>AND('GA55 Entry'!O343,"AAAAAH886/4=")</f>
        <v>#VALUE!</v>
      </c>
      <c r="IV114" t="e">
        <f>AND('GA55 Entry'!P343,"AAAAAH886/8=")</f>
        <v>#VALUE!</v>
      </c>
    </row>
    <row r="115" spans="1:256">
      <c r="A115" t="e">
        <f>AND('GA55 Entry'!Q343,"AAAAAF35/gA=")</f>
        <v>#VALUE!</v>
      </c>
      <c r="B115" t="e">
        <f>AND('GA55 Entry'!S343,"AAAAAF35/gE=")</f>
        <v>#VALUE!</v>
      </c>
      <c r="C115" t="e">
        <f>AND('GA55 Entry'!#REF!,"AAAAAF35/gI=")</f>
        <v>#REF!</v>
      </c>
      <c r="D115" t="e">
        <f>AND('GA55 Entry'!T343,"AAAAAF35/gM=")</f>
        <v>#VALUE!</v>
      </c>
      <c r="E115" t="e">
        <f>AND('GA55 Entry'!U343,"AAAAAF35/gQ=")</f>
        <v>#VALUE!</v>
      </c>
      <c r="F115" t="e">
        <f>AND('GA55 Entry'!V343,"AAAAAF35/gU=")</f>
        <v>#VALUE!</v>
      </c>
      <c r="G115" t="e">
        <f>AND('GA55 Entry'!#REF!,"AAAAAF35/gY=")</f>
        <v>#REF!</v>
      </c>
      <c r="H115" t="e">
        <f>AND('GA55 Entry'!#REF!,"AAAAAF35/gc=")</f>
        <v>#REF!</v>
      </c>
      <c r="I115" t="e">
        <f>AND('GA55 Entry'!X343,"AAAAAF35/gg=")</f>
        <v>#VALUE!</v>
      </c>
      <c r="J115" t="e">
        <f>AND('GA55 Entry'!Y343,"AAAAAF35/gk=")</f>
        <v>#VALUE!</v>
      </c>
      <c r="K115" t="e">
        <f>AND('GA55 Entry'!#REF!,"AAAAAF35/go=")</f>
        <v>#REF!</v>
      </c>
      <c r="L115" t="e">
        <f>AND('GA55 Entry'!#REF!,"AAAAAF35/gs=")</f>
        <v>#REF!</v>
      </c>
      <c r="M115" t="e">
        <f>AND('GA55 Entry'!#REF!,"AAAAAF35/gw=")</f>
        <v>#REF!</v>
      </c>
      <c r="N115" t="e">
        <f>AND('GA55 Entry'!#REF!,"AAAAAF35/g0=")</f>
        <v>#REF!</v>
      </c>
      <c r="O115" t="e">
        <f>AND('GA55 Entry'!#REF!,"AAAAAF35/g4=")</f>
        <v>#REF!</v>
      </c>
      <c r="P115" t="e">
        <f>AND('GA55 Entry'!#REF!,"AAAAAF35/g8=")</f>
        <v>#REF!</v>
      </c>
      <c r="Q115" t="e">
        <f>AND('GA55 Entry'!#REF!,"AAAAAF35/hA=")</f>
        <v>#REF!</v>
      </c>
      <c r="R115" t="e">
        <f>AND('GA55 Entry'!#REF!,"AAAAAF35/hE=")</f>
        <v>#REF!</v>
      </c>
      <c r="S115" t="e">
        <f>AND('GA55 Entry'!#REF!,"AAAAAF35/hI=")</f>
        <v>#REF!</v>
      </c>
      <c r="T115" t="e">
        <f>AND('GA55 Entry'!Z343,"AAAAAF35/hM=")</f>
        <v>#VALUE!</v>
      </c>
      <c r="U115" t="e">
        <f>AND('GA55 Entry'!AA343,"AAAAAF35/hQ=")</f>
        <v>#VALUE!</v>
      </c>
      <c r="V115" t="e">
        <f>AND('GA55 Entry'!#REF!,"AAAAAF35/hU=")</f>
        <v>#REF!</v>
      </c>
      <c r="W115" t="e">
        <f>AND('GA55 Entry'!#REF!,"AAAAAF35/hY=")</f>
        <v>#REF!</v>
      </c>
      <c r="X115" t="e">
        <f>AND('GA55 Entry'!#REF!,"AAAAAF35/hc=")</f>
        <v>#REF!</v>
      </c>
      <c r="Y115" t="e">
        <f>AND('GA55 Entry'!AB343,"AAAAAF35/hg=")</f>
        <v>#VALUE!</v>
      </c>
      <c r="Z115" t="e">
        <f>AND('GA55 Entry'!AC343,"AAAAAF35/hk=")</f>
        <v>#VALUE!</v>
      </c>
      <c r="AA115" t="e">
        <f>AND('GA55 Entry'!#REF!,"AAAAAF35/ho=")</f>
        <v>#REF!</v>
      </c>
      <c r="AB115">
        <f>IF('GA55 Entry'!344:344,"AAAAAF35/hs=",0)</f>
        <v>0</v>
      </c>
      <c r="AC115" t="e">
        <f>AND('GA55 Entry'!B344,"AAAAAF35/hw=")</f>
        <v>#VALUE!</v>
      </c>
      <c r="AD115" t="e">
        <f>AND('GA55 Entry'!#REF!,"AAAAAF35/h0=")</f>
        <v>#REF!</v>
      </c>
      <c r="AE115" t="e">
        <f>AND('GA55 Entry'!C344,"AAAAAF35/h4=")</f>
        <v>#VALUE!</v>
      </c>
      <c r="AF115" t="e">
        <f>AND('GA55 Entry'!#REF!,"AAAAAF35/h8=")</f>
        <v>#REF!</v>
      </c>
      <c r="AG115" t="e">
        <f>AND('GA55 Entry'!#REF!,"AAAAAF35/iA=")</f>
        <v>#REF!</v>
      </c>
      <c r="AH115" t="e">
        <f>AND('GA55 Entry'!#REF!,"AAAAAF35/iE=")</f>
        <v>#REF!</v>
      </c>
      <c r="AI115" t="e">
        <f>AND('GA55 Entry'!#REF!,"AAAAAF35/iI=")</f>
        <v>#REF!</v>
      </c>
      <c r="AJ115" t="e">
        <f>AND('GA55 Entry'!#REF!,"AAAAAF35/iM=")</f>
        <v>#REF!</v>
      </c>
      <c r="AK115" t="e">
        <f>AND('GA55 Entry'!D344,"AAAAAF35/iQ=")</f>
        <v>#VALUE!</v>
      </c>
      <c r="AL115" t="e">
        <f>AND('GA55 Entry'!#REF!,"AAAAAF35/iU=")</f>
        <v>#REF!</v>
      </c>
      <c r="AM115" t="e">
        <f>AND('GA55 Entry'!E344,"AAAAAF35/iY=")</f>
        <v>#VALUE!</v>
      </c>
      <c r="AN115" t="e">
        <f>AND('GA55 Entry'!F344,"AAAAAF35/ic=")</f>
        <v>#VALUE!</v>
      </c>
      <c r="AO115" t="e">
        <f>AND('GA55 Entry'!G344,"AAAAAF35/ig=")</f>
        <v>#VALUE!</v>
      </c>
      <c r="AP115" t="e">
        <f>AND('GA55 Entry'!H344,"AAAAAF35/ik=")</f>
        <v>#VALUE!</v>
      </c>
      <c r="AQ115" t="e">
        <f>AND('GA55 Entry'!I344,"AAAAAF35/io=")</f>
        <v>#VALUE!</v>
      </c>
      <c r="AR115" t="e">
        <f>AND('GA55 Entry'!J344,"AAAAAF35/is=")</f>
        <v>#VALUE!</v>
      </c>
      <c r="AS115" t="e">
        <f>AND('GA55 Entry'!#REF!,"AAAAAF35/iw=")</f>
        <v>#REF!</v>
      </c>
      <c r="AT115" t="e">
        <f>AND('GA55 Entry'!K344,"AAAAAF35/i0=")</f>
        <v>#VALUE!</v>
      </c>
      <c r="AU115" t="e">
        <f>AND('GA55 Entry'!L344,"AAAAAF35/i4=")</f>
        <v>#VALUE!</v>
      </c>
      <c r="AV115" t="e">
        <f>AND('GA55 Entry'!M344,"AAAAAF35/i8=")</f>
        <v>#VALUE!</v>
      </c>
      <c r="AW115" t="e">
        <f>AND('GA55 Entry'!N344,"AAAAAF35/jA=")</f>
        <v>#VALUE!</v>
      </c>
      <c r="AX115" t="e">
        <f>AND('GA55 Entry'!O344,"AAAAAF35/jE=")</f>
        <v>#VALUE!</v>
      </c>
      <c r="AY115" t="e">
        <f>AND('GA55 Entry'!P344,"AAAAAF35/jI=")</f>
        <v>#VALUE!</v>
      </c>
      <c r="AZ115" t="e">
        <f>AND('GA55 Entry'!Q344,"AAAAAF35/jM=")</f>
        <v>#VALUE!</v>
      </c>
      <c r="BA115" t="e">
        <f>AND('GA55 Entry'!S344,"AAAAAF35/jQ=")</f>
        <v>#VALUE!</v>
      </c>
      <c r="BB115" t="e">
        <f>AND('GA55 Entry'!#REF!,"AAAAAF35/jU=")</f>
        <v>#REF!</v>
      </c>
      <c r="BC115" t="e">
        <f>AND('GA55 Entry'!T344,"AAAAAF35/jY=")</f>
        <v>#VALUE!</v>
      </c>
      <c r="BD115" t="e">
        <f>AND('GA55 Entry'!U344,"AAAAAF35/jc=")</f>
        <v>#VALUE!</v>
      </c>
      <c r="BE115" t="e">
        <f>AND('GA55 Entry'!V344,"AAAAAF35/jg=")</f>
        <v>#VALUE!</v>
      </c>
      <c r="BF115" t="e">
        <f>AND('GA55 Entry'!#REF!,"AAAAAF35/jk=")</f>
        <v>#REF!</v>
      </c>
      <c r="BG115" t="e">
        <f>AND('GA55 Entry'!#REF!,"AAAAAF35/jo=")</f>
        <v>#REF!</v>
      </c>
      <c r="BH115" t="e">
        <f>AND('GA55 Entry'!X344,"AAAAAF35/js=")</f>
        <v>#VALUE!</v>
      </c>
      <c r="BI115" t="e">
        <f>AND('GA55 Entry'!Y344,"AAAAAF35/jw=")</f>
        <v>#VALUE!</v>
      </c>
      <c r="BJ115" t="e">
        <f>AND('GA55 Entry'!#REF!,"AAAAAF35/j0=")</f>
        <v>#REF!</v>
      </c>
      <c r="BK115" t="e">
        <f>AND('GA55 Entry'!#REF!,"AAAAAF35/j4=")</f>
        <v>#REF!</v>
      </c>
      <c r="BL115" t="e">
        <f>AND('GA55 Entry'!#REF!,"AAAAAF35/j8=")</f>
        <v>#REF!</v>
      </c>
      <c r="BM115" t="e">
        <f>AND('GA55 Entry'!#REF!,"AAAAAF35/kA=")</f>
        <v>#REF!</v>
      </c>
      <c r="BN115" t="e">
        <f>AND('GA55 Entry'!#REF!,"AAAAAF35/kE=")</f>
        <v>#REF!</v>
      </c>
      <c r="BO115" t="e">
        <f>AND('GA55 Entry'!#REF!,"AAAAAF35/kI=")</f>
        <v>#REF!</v>
      </c>
      <c r="BP115" t="e">
        <f>AND('GA55 Entry'!#REF!,"AAAAAF35/kM=")</f>
        <v>#REF!</v>
      </c>
      <c r="BQ115" t="e">
        <f>AND('GA55 Entry'!#REF!,"AAAAAF35/kQ=")</f>
        <v>#REF!</v>
      </c>
      <c r="BR115" t="e">
        <f>AND('GA55 Entry'!#REF!,"AAAAAF35/kU=")</f>
        <v>#REF!</v>
      </c>
      <c r="BS115" t="e">
        <f>AND('GA55 Entry'!Z344,"AAAAAF35/kY=")</f>
        <v>#VALUE!</v>
      </c>
      <c r="BT115" t="e">
        <f>AND('GA55 Entry'!AA344,"AAAAAF35/kc=")</f>
        <v>#VALUE!</v>
      </c>
      <c r="BU115" t="e">
        <f>AND('GA55 Entry'!#REF!,"AAAAAF35/kg=")</f>
        <v>#REF!</v>
      </c>
      <c r="BV115" t="e">
        <f>AND('GA55 Entry'!#REF!,"AAAAAF35/kk=")</f>
        <v>#REF!</v>
      </c>
      <c r="BW115" t="e">
        <f>AND('GA55 Entry'!#REF!,"AAAAAF35/ko=")</f>
        <v>#REF!</v>
      </c>
      <c r="BX115" t="e">
        <f>AND('GA55 Entry'!AB344,"AAAAAF35/ks=")</f>
        <v>#VALUE!</v>
      </c>
      <c r="BY115" t="e">
        <f>AND('GA55 Entry'!AC344,"AAAAAF35/kw=")</f>
        <v>#VALUE!</v>
      </c>
      <c r="BZ115" t="e">
        <f>AND('GA55 Entry'!#REF!,"AAAAAF35/k0=")</f>
        <v>#REF!</v>
      </c>
      <c r="CA115">
        <f>IF('GA55 Entry'!345:345,"AAAAAF35/k4=",0)</f>
        <v>0</v>
      </c>
      <c r="CB115" t="e">
        <f>AND('GA55 Entry'!B345,"AAAAAF35/k8=")</f>
        <v>#VALUE!</v>
      </c>
      <c r="CC115" t="e">
        <f>AND('GA55 Entry'!#REF!,"AAAAAF35/lA=")</f>
        <v>#REF!</v>
      </c>
      <c r="CD115" t="e">
        <f>AND('GA55 Entry'!C345,"AAAAAF35/lE=")</f>
        <v>#VALUE!</v>
      </c>
      <c r="CE115" t="e">
        <f>AND('GA55 Entry'!#REF!,"AAAAAF35/lI=")</f>
        <v>#REF!</v>
      </c>
      <c r="CF115" t="e">
        <f>AND('GA55 Entry'!#REF!,"AAAAAF35/lM=")</f>
        <v>#REF!</v>
      </c>
      <c r="CG115" t="e">
        <f>AND('GA55 Entry'!#REF!,"AAAAAF35/lQ=")</f>
        <v>#REF!</v>
      </c>
      <c r="CH115" t="e">
        <f>AND('GA55 Entry'!#REF!,"AAAAAF35/lU=")</f>
        <v>#REF!</v>
      </c>
      <c r="CI115" t="e">
        <f>AND('GA55 Entry'!#REF!,"AAAAAF35/lY=")</f>
        <v>#REF!</v>
      </c>
      <c r="CJ115" t="e">
        <f>AND('GA55 Entry'!D345,"AAAAAF35/lc=")</f>
        <v>#VALUE!</v>
      </c>
      <c r="CK115" t="e">
        <f>AND('GA55 Entry'!#REF!,"AAAAAF35/lg=")</f>
        <v>#REF!</v>
      </c>
      <c r="CL115" t="e">
        <f>AND('GA55 Entry'!E345,"AAAAAF35/lk=")</f>
        <v>#VALUE!</v>
      </c>
      <c r="CM115" t="e">
        <f>AND('GA55 Entry'!F345,"AAAAAF35/lo=")</f>
        <v>#VALUE!</v>
      </c>
      <c r="CN115" t="e">
        <f>AND('GA55 Entry'!G345,"AAAAAF35/ls=")</f>
        <v>#VALUE!</v>
      </c>
      <c r="CO115" t="e">
        <f>AND('GA55 Entry'!H345,"AAAAAF35/lw=")</f>
        <v>#VALUE!</v>
      </c>
      <c r="CP115" t="e">
        <f>AND('GA55 Entry'!I345,"AAAAAF35/l0=")</f>
        <v>#VALUE!</v>
      </c>
      <c r="CQ115" t="e">
        <f>AND('GA55 Entry'!J345,"AAAAAF35/l4=")</f>
        <v>#VALUE!</v>
      </c>
      <c r="CR115" t="e">
        <f>AND('GA55 Entry'!#REF!,"AAAAAF35/l8=")</f>
        <v>#REF!</v>
      </c>
      <c r="CS115" t="e">
        <f>AND('GA55 Entry'!K345,"AAAAAF35/mA=")</f>
        <v>#VALUE!</v>
      </c>
      <c r="CT115" t="e">
        <f>AND('GA55 Entry'!L345,"AAAAAF35/mE=")</f>
        <v>#VALUE!</v>
      </c>
      <c r="CU115" t="e">
        <f>AND('GA55 Entry'!M345,"AAAAAF35/mI=")</f>
        <v>#VALUE!</v>
      </c>
      <c r="CV115" t="e">
        <f>AND('GA55 Entry'!N345,"AAAAAF35/mM=")</f>
        <v>#VALUE!</v>
      </c>
      <c r="CW115" t="e">
        <f>AND('GA55 Entry'!O345,"AAAAAF35/mQ=")</f>
        <v>#VALUE!</v>
      </c>
      <c r="CX115" t="e">
        <f>AND('GA55 Entry'!P345,"AAAAAF35/mU=")</f>
        <v>#VALUE!</v>
      </c>
      <c r="CY115" t="e">
        <f>AND('GA55 Entry'!Q345,"AAAAAF35/mY=")</f>
        <v>#VALUE!</v>
      </c>
      <c r="CZ115" t="e">
        <f>AND('GA55 Entry'!S345,"AAAAAF35/mc=")</f>
        <v>#VALUE!</v>
      </c>
      <c r="DA115" t="e">
        <f>AND('GA55 Entry'!#REF!,"AAAAAF35/mg=")</f>
        <v>#REF!</v>
      </c>
      <c r="DB115" t="e">
        <f>AND('GA55 Entry'!T345,"AAAAAF35/mk=")</f>
        <v>#VALUE!</v>
      </c>
      <c r="DC115" t="e">
        <f>AND('GA55 Entry'!U345,"AAAAAF35/mo=")</f>
        <v>#VALUE!</v>
      </c>
      <c r="DD115" t="e">
        <f>AND('GA55 Entry'!V345,"AAAAAF35/ms=")</f>
        <v>#VALUE!</v>
      </c>
      <c r="DE115" t="e">
        <f>AND('GA55 Entry'!#REF!,"AAAAAF35/mw=")</f>
        <v>#REF!</v>
      </c>
      <c r="DF115" t="e">
        <f>AND('GA55 Entry'!#REF!,"AAAAAF35/m0=")</f>
        <v>#REF!</v>
      </c>
      <c r="DG115" t="e">
        <f>AND('GA55 Entry'!X345,"AAAAAF35/m4=")</f>
        <v>#VALUE!</v>
      </c>
      <c r="DH115" t="e">
        <f>AND('GA55 Entry'!Y345,"AAAAAF35/m8=")</f>
        <v>#VALUE!</v>
      </c>
      <c r="DI115" t="e">
        <f>AND('GA55 Entry'!#REF!,"AAAAAF35/nA=")</f>
        <v>#REF!</v>
      </c>
      <c r="DJ115" t="e">
        <f>AND('GA55 Entry'!#REF!,"AAAAAF35/nE=")</f>
        <v>#REF!</v>
      </c>
      <c r="DK115" t="e">
        <f>AND('GA55 Entry'!#REF!,"AAAAAF35/nI=")</f>
        <v>#REF!</v>
      </c>
      <c r="DL115" t="e">
        <f>AND('GA55 Entry'!#REF!,"AAAAAF35/nM=")</f>
        <v>#REF!</v>
      </c>
      <c r="DM115" t="e">
        <f>AND('GA55 Entry'!#REF!,"AAAAAF35/nQ=")</f>
        <v>#REF!</v>
      </c>
      <c r="DN115" t="e">
        <f>AND('GA55 Entry'!#REF!,"AAAAAF35/nU=")</f>
        <v>#REF!</v>
      </c>
      <c r="DO115" t="e">
        <f>AND('GA55 Entry'!#REF!,"AAAAAF35/nY=")</f>
        <v>#REF!</v>
      </c>
      <c r="DP115" t="e">
        <f>AND('GA55 Entry'!#REF!,"AAAAAF35/nc=")</f>
        <v>#REF!</v>
      </c>
      <c r="DQ115" t="e">
        <f>AND('GA55 Entry'!#REF!,"AAAAAF35/ng=")</f>
        <v>#REF!</v>
      </c>
      <c r="DR115" t="e">
        <f>AND('GA55 Entry'!Z345,"AAAAAF35/nk=")</f>
        <v>#VALUE!</v>
      </c>
      <c r="DS115" t="e">
        <f>AND('GA55 Entry'!AA345,"AAAAAF35/no=")</f>
        <v>#VALUE!</v>
      </c>
      <c r="DT115" t="e">
        <f>AND('GA55 Entry'!#REF!,"AAAAAF35/ns=")</f>
        <v>#REF!</v>
      </c>
      <c r="DU115" t="e">
        <f>AND('GA55 Entry'!#REF!,"AAAAAF35/nw=")</f>
        <v>#REF!</v>
      </c>
      <c r="DV115" t="e">
        <f>AND('GA55 Entry'!#REF!,"AAAAAF35/n0=")</f>
        <v>#REF!</v>
      </c>
      <c r="DW115" t="e">
        <f>AND('GA55 Entry'!AB345,"AAAAAF35/n4=")</f>
        <v>#VALUE!</v>
      </c>
      <c r="DX115" t="e">
        <f>AND('GA55 Entry'!AC345,"AAAAAF35/n8=")</f>
        <v>#VALUE!</v>
      </c>
      <c r="DY115" t="e">
        <f>AND('GA55 Entry'!#REF!,"AAAAAF35/oA=")</f>
        <v>#REF!</v>
      </c>
      <c r="DZ115">
        <f>IF('GA55 Entry'!346:346,"AAAAAF35/oE=",0)</f>
        <v>0</v>
      </c>
      <c r="EA115" t="e">
        <f>AND('GA55 Entry'!B346,"AAAAAF35/oI=")</f>
        <v>#VALUE!</v>
      </c>
      <c r="EB115" t="e">
        <f>AND('GA55 Entry'!#REF!,"AAAAAF35/oM=")</f>
        <v>#REF!</v>
      </c>
      <c r="EC115" t="e">
        <f>AND('GA55 Entry'!C346,"AAAAAF35/oQ=")</f>
        <v>#VALUE!</v>
      </c>
      <c r="ED115" t="e">
        <f>AND('GA55 Entry'!#REF!,"AAAAAF35/oU=")</f>
        <v>#REF!</v>
      </c>
      <c r="EE115" t="e">
        <f>AND('GA55 Entry'!#REF!,"AAAAAF35/oY=")</f>
        <v>#REF!</v>
      </c>
      <c r="EF115" t="e">
        <f>AND('GA55 Entry'!#REF!,"AAAAAF35/oc=")</f>
        <v>#REF!</v>
      </c>
      <c r="EG115" t="e">
        <f>AND('GA55 Entry'!#REF!,"AAAAAF35/og=")</f>
        <v>#REF!</v>
      </c>
      <c r="EH115" t="e">
        <f>AND('GA55 Entry'!#REF!,"AAAAAF35/ok=")</f>
        <v>#REF!</v>
      </c>
      <c r="EI115" t="e">
        <f>AND('GA55 Entry'!D346,"AAAAAF35/oo=")</f>
        <v>#VALUE!</v>
      </c>
      <c r="EJ115" t="e">
        <f>AND('GA55 Entry'!#REF!,"AAAAAF35/os=")</f>
        <v>#REF!</v>
      </c>
      <c r="EK115" t="e">
        <f>AND('GA55 Entry'!E346,"AAAAAF35/ow=")</f>
        <v>#VALUE!</v>
      </c>
      <c r="EL115" t="e">
        <f>AND('GA55 Entry'!F346,"AAAAAF35/o0=")</f>
        <v>#VALUE!</v>
      </c>
      <c r="EM115" t="e">
        <f>AND('GA55 Entry'!G346,"AAAAAF35/o4=")</f>
        <v>#VALUE!</v>
      </c>
      <c r="EN115" t="e">
        <f>AND('GA55 Entry'!H346,"AAAAAF35/o8=")</f>
        <v>#VALUE!</v>
      </c>
      <c r="EO115" t="e">
        <f>AND('GA55 Entry'!I346,"AAAAAF35/pA=")</f>
        <v>#VALUE!</v>
      </c>
      <c r="EP115" t="e">
        <f>AND('GA55 Entry'!J346,"AAAAAF35/pE=")</f>
        <v>#VALUE!</v>
      </c>
      <c r="EQ115" t="e">
        <f>AND('GA55 Entry'!#REF!,"AAAAAF35/pI=")</f>
        <v>#REF!</v>
      </c>
      <c r="ER115" t="e">
        <f>AND('GA55 Entry'!K346,"AAAAAF35/pM=")</f>
        <v>#VALUE!</v>
      </c>
      <c r="ES115" t="e">
        <f>AND('GA55 Entry'!L346,"AAAAAF35/pQ=")</f>
        <v>#VALUE!</v>
      </c>
      <c r="ET115" t="e">
        <f>AND('GA55 Entry'!M346,"AAAAAF35/pU=")</f>
        <v>#VALUE!</v>
      </c>
      <c r="EU115" t="e">
        <f>AND('GA55 Entry'!N346,"AAAAAF35/pY=")</f>
        <v>#VALUE!</v>
      </c>
      <c r="EV115" t="e">
        <f>AND('GA55 Entry'!O346,"AAAAAF35/pc=")</f>
        <v>#VALUE!</v>
      </c>
      <c r="EW115" t="e">
        <f>AND('GA55 Entry'!P346,"AAAAAF35/pg=")</f>
        <v>#VALUE!</v>
      </c>
      <c r="EX115" t="e">
        <f>AND('GA55 Entry'!Q346,"AAAAAF35/pk=")</f>
        <v>#VALUE!</v>
      </c>
      <c r="EY115" t="e">
        <f>AND('GA55 Entry'!S346,"AAAAAF35/po=")</f>
        <v>#VALUE!</v>
      </c>
      <c r="EZ115" t="e">
        <f>AND('GA55 Entry'!#REF!,"AAAAAF35/ps=")</f>
        <v>#REF!</v>
      </c>
      <c r="FA115" t="e">
        <f>AND('GA55 Entry'!T346,"AAAAAF35/pw=")</f>
        <v>#VALUE!</v>
      </c>
      <c r="FB115" t="e">
        <f>AND('GA55 Entry'!U346,"AAAAAF35/p0=")</f>
        <v>#VALUE!</v>
      </c>
      <c r="FC115" t="e">
        <f>AND('GA55 Entry'!V346,"AAAAAF35/p4=")</f>
        <v>#VALUE!</v>
      </c>
      <c r="FD115" t="e">
        <f>AND('GA55 Entry'!#REF!,"AAAAAF35/p8=")</f>
        <v>#REF!</v>
      </c>
      <c r="FE115" t="e">
        <f>AND('GA55 Entry'!#REF!,"AAAAAF35/qA=")</f>
        <v>#REF!</v>
      </c>
      <c r="FF115" t="e">
        <f>AND('GA55 Entry'!X346,"AAAAAF35/qE=")</f>
        <v>#VALUE!</v>
      </c>
      <c r="FG115" t="e">
        <f>AND('GA55 Entry'!Y346,"AAAAAF35/qI=")</f>
        <v>#VALUE!</v>
      </c>
      <c r="FH115" t="e">
        <f>AND('GA55 Entry'!#REF!,"AAAAAF35/qM=")</f>
        <v>#REF!</v>
      </c>
      <c r="FI115" t="e">
        <f>AND('GA55 Entry'!#REF!,"AAAAAF35/qQ=")</f>
        <v>#REF!</v>
      </c>
      <c r="FJ115" t="e">
        <f>AND('GA55 Entry'!#REF!,"AAAAAF35/qU=")</f>
        <v>#REF!</v>
      </c>
      <c r="FK115" t="e">
        <f>AND('GA55 Entry'!#REF!,"AAAAAF35/qY=")</f>
        <v>#REF!</v>
      </c>
      <c r="FL115" t="e">
        <f>AND('GA55 Entry'!#REF!,"AAAAAF35/qc=")</f>
        <v>#REF!</v>
      </c>
      <c r="FM115" t="e">
        <f>AND('GA55 Entry'!#REF!,"AAAAAF35/qg=")</f>
        <v>#REF!</v>
      </c>
      <c r="FN115" t="e">
        <f>AND('GA55 Entry'!#REF!,"AAAAAF35/qk=")</f>
        <v>#REF!</v>
      </c>
      <c r="FO115" t="e">
        <f>AND('GA55 Entry'!#REF!,"AAAAAF35/qo=")</f>
        <v>#REF!</v>
      </c>
      <c r="FP115" t="e">
        <f>AND('GA55 Entry'!#REF!,"AAAAAF35/qs=")</f>
        <v>#REF!</v>
      </c>
      <c r="FQ115" t="e">
        <f>AND('GA55 Entry'!Z346,"AAAAAF35/qw=")</f>
        <v>#VALUE!</v>
      </c>
      <c r="FR115" t="e">
        <f>AND('GA55 Entry'!AA346,"AAAAAF35/q0=")</f>
        <v>#VALUE!</v>
      </c>
      <c r="FS115" t="e">
        <f>AND('GA55 Entry'!#REF!,"AAAAAF35/q4=")</f>
        <v>#REF!</v>
      </c>
      <c r="FT115" t="e">
        <f>AND('GA55 Entry'!#REF!,"AAAAAF35/q8=")</f>
        <v>#REF!</v>
      </c>
      <c r="FU115" t="e">
        <f>AND('GA55 Entry'!#REF!,"AAAAAF35/rA=")</f>
        <v>#REF!</v>
      </c>
      <c r="FV115" t="e">
        <f>AND('GA55 Entry'!AB346,"AAAAAF35/rE=")</f>
        <v>#VALUE!</v>
      </c>
      <c r="FW115" t="e">
        <f>AND('GA55 Entry'!AC346,"AAAAAF35/rI=")</f>
        <v>#VALUE!</v>
      </c>
      <c r="FX115" t="e">
        <f>AND('GA55 Entry'!#REF!,"AAAAAF35/rM=")</f>
        <v>#REF!</v>
      </c>
      <c r="FY115">
        <f>IF('GA55 Entry'!347:347,"AAAAAF35/rQ=",0)</f>
        <v>0</v>
      </c>
      <c r="FZ115" t="e">
        <f>AND('GA55 Entry'!B347,"AAAAAF35/rU=")</f>
        <v>#VALUE!</v>
      </c>
      <c r="GA115" t="e">
        <f>AND('GA55 Entry'!#REF!,"AAAAAF35/rY=")</f>
        <v>#REF!</v>
      </c>
      <c r="GB115" t="e">
        <f>AND('GA55 Entry'!C347,"AAAAAF35/rc=")</f>
        <v>#VALUE!</v>
      </c>
      <c r="GC115" t="e">
        <f>AND('GA55 Entry'!#REF!,"AAAAAF35/rg=")</f>
        <v>#REF!</v>
      </c>
      <c r="GD115" t="e">
        <f>AND('GA55 Entry'!#REF!,"AAAAAF35/rk=")</f>
        <v>#REF!</v>
      </c>
      <c r="GE115" t="e">
        <f>AND('GA55 Entry'!#REF!,"AAAAAF35/ro=")</f>
        <v>#REF!</v>
      </c>
      <c r="GF115" t="e">
        <f>AND('GA55 Entry'!#REF!,"AAAAAF35/rs=")</f>
        <v>#REF!</v>
      </c>
      <c r="GG115" t="e">
        <f>AND('GA55 Entry'!#REF!,"AAAAAF35/rw=")</f>
        <v>#REF!</v>
      </c>
      <c r="GH115" t="e">
        <f>AND('GA55 Entry'!D347,"AAAAAF35/r0=")</f>
        <v>#VALUE!</v>
      </c>
      <c r="GI115" t="e">
        <f>AND('GA55 Entry'!#REF!,"AAAAAF35/r4=")</f>
        <v>#REF!</v>
      </c>
      <c r="GJ115" t="e">
        <f>AND('GA55 Entry'!E347,"AAAAAF35/r8=")</f>
        <v>#VALUE!</v>
      </c>
      <c r="GK115" t="e">
        <f>AND('GA55 Entry'!F347,"AAAAAF35/sA=")</f>
        <v>#VALUE!</v>
      </c>
      <c r="GL115" t="e">
        <f>AND('GA55 Entry'!G347,"AAAAAF35/sE=")</f>
        <v>#VALUE!</v>
      </c>
      <c r="GM115" t="e">
        <f>AND('GA55 Entry'!H347,"AAAAAF35/sI=")</f>
        <v>#VALUE!</v>
      </c>
      <c r="GN115" t="e">
        <f>AND('GA55 Entry'!I347,"AAAAAF35/sM=")</f>
        <v>#VALUE!</v>
      </c>
      <c r="GO115" t="e">
        <f>AND('GA55 Entry'!J347,"AAAAAF35/sQ=")</f>
        <v>#VALUE!</v>
      </c>
      <c r="GP115" t="e">
        <f>AND('GA55 Entry'!#REF!,"AAAAAF35/sU=")</f>
        <v>#REF!</v>
      </c>
      <c r="GQ115" t="e">
        <f>AND('GA55 Entry'!K347,"AAAAAF35/sY=")</f>
        <v>#VALUE!</v>
      </c>
      <c r="GR115" t="e">
        <f>AND('GA55 Entry'!L347,"AAAAAF35/sc=")</f>
        <v>#VALUE!</v>
      </c>
      <c r="GS115" t="e">
        <f>AND('GA55 Entry'!M347,"AAAAAF35/sg=")</f>
        <v>#VALUE!</v>
      </c>
      <c r="GT115" t="e">
        <f>AND('GA55 Entry'!N347,"AAAAAF35/sk=")</f>
        <v>#VALUE!</v>
      </c>
      <c r="GU115" t="e">
        <f>AND('GA55 Entry'!O347,"AAAAAF35/so=")</f>
        <v>#VALUE!</v>
      </c>
      <c r="GV115" t="e">
        <f>AND('GA55 Entry'!P347,"AAAAAF35/ss=")</f>
        <v>#VALUE!</v>
      </c>
      <c r="GW115" t="e">
        <f>AND('GA55 Entry'!Q347,"AAAAAF35/sw=")</f>
        <v>#VALUE!</v>
      </c>
      <c r="GX115" t="e">
        <f>AND('GA55 Entry'!S347,"AAAAAF35/s0=")</f>
        <v>#VALUE!</v>
      </c>
      <c r="GY115" t="e">
        <f>AND('GA55 Entry'!#REF!,"AAAAAF35/s4=")</f>
        <v>#REF!</v>
      </c>
      <c r="GZ115" t="e">
        <f>AND('GA55 Entry'!T347,"AAAAAF35/s8=")</f>
        <v>#VALUE!</v>
      </c>
      <c r="HA115" t="e">
        <f>AND('GA55 Entry'!U347,"AAAAAF35/tA=")</f>
        <v>#VALUE!</v>
      </c>
      <c r="HB115" t="e">
        <f>AND('GA55 Entry'!V347,"AAAAAF35/tE=")</f>
        <v>#VALUE!</v>
      </c>
      <c r="HC115" t="e">
        <f>AND('GA55 Entry'!#REF!,"AAAAAF35/tI=")</f>
        <v>#REF!</v>
      </c>
      <c r="HD115" t="e">
        <f>AND('GA55 Entry'!#REF!,"AAAAAF35/tM=")</f>
        <v>#REF!</v>
      </c>
      <c r="HE115" t="e">
        <f>AND('GA55 Entry'!X347,"AAAAAF35/tQ=")</f>
        <v>#VALUE!</v>
      </c>
      <c r="HF115" t="e">
        <f>AND('GA55 Entry'!Y347,"AAAAAF35/tU=")</f>
        <v>#VALUE!</v>
      </c>
      <c r="HG115" t="e">
        <f>AND('GA55 Entry'!#REF!,"AAAAAF35/tY=")</f>
        <v>#REF!</v>
      </c>
      <c r="HH115" t="e">
        <f>AND('GA55 Entry'!#REF!,"AAAAAF35/tc=")</f>
        <v>#REF!</v>
      </c>
      <c r="HI115" t="e">
        <f>AND('GA55 Entry'!#REF!,"AAAAAF35/tg=")</f>
        <v>#REF!</v>
      </c>
      <c r="HJ115" t="e">
        <f>AND('GA55 Entry'!#REF!,"AAAAAF35/tk=")</f>
        <v>#REF!</v>
      </c>
      <c r="HK115" t="e">
        <f>AND('GA55 Entry'!#REF!,"AAAAAF35/to=")</f>
        <v>#REF!</v>
      </c>
      <c r="HL115" t="e">
        <f>AND('GA55 Entry'!#REF!,"AAAAAF35/ts=")</f>
        <v>#REF!</v>
      </c>
      <c r="HM115" t="e">
        <f>AND('GA55 Entry'!#REF!,"AAAAAF35/tw=")</f>
        <v>#REF!</v>
      </c>
      <c r="HN115" t="e">
        <f>AND('GA55 Entry'!#REF!,"AAAAAF35/t0=")</f>
        <v>#REF!</v>
      </c>
      <c r="HO115" t="e">
        <f>AND('GA55 Entry'!#REF!,"AAAAAF35/t4=")</f>
        <v>#REF!</v>
      </c>
      <c r="HP115" t="e">
        <f>AND('GA55 Entry'!Z347,"AAAAAF35/t8=")</f>
        <v>#VALUE!</v>
      </c>
      <c r="HQ115" t="e">
        <f>AND('GA55 Entry'!AA347,"AAAAAF35/uA=")</f>
        <v>#VALUE!</v>
      </c>
      <c r="HR115" t="e">
        <f>AND('GA55 Entry'!#REF!,"AAAAAF35/uE=")</f>
        <v>#REF!</v>
      </c>
      <c r="HS115" t="e">
        <f>AND('GA55 Entry'!#REF!,"AAAAAF35/uI=")</f>
        <v>#REF!</v>
      </c>
      <c r="HT115" t="e">
        <f>AND('GA55 Entry'!#REF!,"AAAAAF35/uM=")</f>
        <v>#REF!</v>
      </c>
      <c r="HU115" t="e">
        <f>AND('GA55 Entry'!AB347,"AAAAAF35/uQ=")</f>
        <v>#VALUE!</v>
      </c>
      <c r="HV115" t="e">
        <f>AND('GA55 Entry'!AC347,"AAAAAF35/uU=")</f>
        <v>#VALUE!</v>
      </c>
      <c r="HW115" t="e">
        <f>AND('GA55 Entry'!#REF!,"AAAAAF35/uY=")</f>
        <v>#REF!</v>
      </c>
      <c r="HX115">
        <f>IF('GA55 Entry'!348:348,"AAAAAF35/uc=",0)</f>
        <v>0</v>
      </c>
      <c r="HY115" t="e">
        <f>AND('GA55 Entry'!B348,"AAAAAF35/ug=")</f>
        <v>#VALUE!</v>
      </c>
      <c r="HZ115" t="e">
        <f>AND('GA55 Entry'!#REF!,"AAAAAF35/uk=")</f>
        <v>#REF!</v>
      </c>
      <c r="IA115" t="e">
        <f>AND('GA55 Entry'!C348,"AAAAAF35/uo=")</f>
        <v>#VALUE!</v>
      </c>
      <c r="IB115" t="e">
        <f>AND('GA55 Entry'!#REF!,"AAAAAF35/us=")</f>
        <v>#REF!</v>
      </c>
      <c r="IC115" t="e">
        <f>AND('GA55 Entry'!#REF!,"AAAAAF35/uw=")</f>
        <v>#REF!</v>
      </c>
      <c r="ID115" t="e">
        <f>AND('GA55 Entry'!#REF!,"AAAAAF35/u0=")</f>
        <v>#REF!</v>
      </c>
      <c r="IE115" t="e">
        <f>AND('GA55 Entry'!#REF!,"AAAAAF35/u4=")</f>
        <v>#REF!</v>
      </c>
      <c r="IF115" t="e">
        <f>AND('GA55 Entry'!#REF!,"AAAAAF35/u8=")</f>
        <v>#REF!</v>
      </c>
      <c r="IG115" t="e">
        <f>AND('GA55 Entry'!D348,"AAAAAF35/vA=")</f>
        <v>#VALUE!</v>
      </c>
      <c r="IH115" t="e">
        <f>AND('GA55 Entry'!#REF!,"AAAAAF35/vE=")</f>
        <v>#REF!</v>
      </c>
      <c r="II115" t="e">
        <f>AND('GA55 Entry'!E348,"AAAAAF35/vI=")</f>
        <v>#VALUE!</v>
      </c>
      <c r="IJ115" t="e">
        <f>AND('GA55 Entry'!F348,"AAAAAF35/vM=")</f>
        <v>#VALUE!</v>
      </c>
      <c r="IK115" t="e">
        <f>AND('GA55 Entry'!G348,"AAAAAF35/vQ=")</f>
        <v>#VALUE!</v>
      </c>
      <c r="IL115" t="e">
        <f>AND('GA55 Entry'!H348,"AAAAAF35/vU=")</f>
        <v>#VALUE!</v>
      </c>
      <c r="IM115" t="e">
        <f>AND('GA55 Entry'!I348,"AAAAAF35/vY=")</f>
        <v>#VALUE!</v>
      </c>
      <c r="IN115" t="e">
        <f>AND('GA55 Entry'!J348,"AAAAAF35/vc=")</f>
        <v>#VALUE!</v>
      </c>
      <c r="IO115" t="e">
        <f>AND('GA55 Entry'!#REF!,"AAAAAF35/vg=")</f>
        <v>#REF!</v>
      </c>
      <c r="IP115" t="e">
        <f>AND('GA55 Entry'!K348,"AAAAAF35/vk=")</f>
        <v>#VALUE!</v>
      </c>
      <c r="IQ115" t="e">
        <f>AND('GA55 Entry'!L348,"AAAAAF35/vo=")</f>
        <v>#VALUE!</v>
      </c>
      <c r="IR115" t="e">
        <f>AND('GA55 Entry'!M348,"AAAAAF35/vs=")</f>
        <v>#VALUE!</v>
      </c>
      <c r="IS115" t="e">
        <f>AND('GA55 Entry'!N348,"AAAAAF35/vw=")</f>
        <v>#VALUE!</v>
      </c>
      <c r="IT115" t="e">
        <f>AND('GA55 Entry'!O348,"AAAAAF35/v0=")</f>
        <v>#VALUE!</v>
      </c>
      <c r="IU115" t="e">
        <f>AND('GA55 Entry'!P348,"AAAAAF35/v4=")</f>
        <v>#VALUE!</v>
      </c>
      <c r="IV115" t="e">
        <f>AND('GA55 Entry'!Q348,"AAAAAF35/v8=")</f>
        <v>#VALUE!</v>
      </c>
    </row>
    <row r="116" spans="1:256">
      <c r="A116" t="e">
        <f>AND('GA55 Entry'!S348,"AAAAAFL/+wA=")</f>
        <v>#VALUE!</v>
      </c>
      <c r="B116" t="e">
        <f>AND('GA55 Entry'!#REF!,"AAAAAFL/+wE=")</f>
        <v>#REF!</v>
      </c>
      <c r="C116" t="e">
        <f>AND('GA55 Entry'!T348,"AAAAAFL/+wI=")</f>
        <v>#VALUE!</v>
      </c>
      <c r="D116" t="e">
        <f>AND('GA55 Entry'!U348,"AAAAAFL/+wM=")</f>
        <v>#VALUE!</v>
      </c>
      <c r="E116" t="e">
        <f>AND('GA55 Entry'!V348,"AAAAAFL/+wQ=")</f>
        <v>#VALUE!</v>
      </c>
      <c r="F116" t="e">
        <f>AND('GA55 Entry'!#REF!,"AAAAAFL/+wU=")</f>
        <v>#REF!</v>
      </c>
      <c r="G116" t="e">
        <f>AND('GA55 Entry'!#REF!,"AAAAAFL/+wY=")</f>
        <v>#REF!</v>
      </c>
      <c r="H116" t="e">
        <f>AND('GA55 Entry'!X348,"AAAAAFL/+wc=")</f>
        <v>#VALUE!</v>
      </c>
      <c r="I116" t="e">
        <f>AND('GA55 Entry'!Y348,"AAAAAFL/+wg=")</f>
        <v>#VALUE!</v>
      </c>
      <c r="J116" t="e">
        <f>AND('GA55 Entry'!#REF!,"AAAAAFL/+wk=")</f>
        <v>#REF!</v>
      </c>
      <c r="K116" t="e">
        <f>AND('GA55 Entry'!#REF!,"AAAAAFL/+wo=")</f>
        <v>#REF!</v>
      </c>
      <c r="L116" t="e">
        <f>AND('GA55 Entry'!#REF!,"AAAAAFL/+ws=")</f>
        <v>#REF!</v>
      </c>
      <c r="M116" t="e">
        <f>AND('GA55 Entry'!#REF!,"AAAAAFL/+ww=")</f>
        <v>#REF!</v>
      </c>
      <c r="N116" t="e">
        <f>AND('GA55 Entry'!#REF!,"AAAAAFL/+w0=")</f>
        <v>#REF!</v>
      </c>
      <c r="O116" t="e">
        <f>AND('GA55 Entry'!#REF!,"AAAAAFL/+w4=")</f>
        <v>#REF!</v>
      </c>
      <c r="P116" t="e">
        <f>AND('GA55 Entry'!#REF!,"AAAAAFL/+w8=")</f>
        <v>#REF!</v>
      </c>
      <c r="Q116" t="e">
        <f>AND('GA55 Entry'!#REF!,"AAAAAFL/+xA=")</f>
        <v>#REF!</v>
      </c>
      <c r="R116" t="e">
        <f>AND('GA55 Entry'!#REF!,"AAAAAFL/+xE=")</f>
        <v>#REF!</v>
      </c>
      <c r="S116" t="e">
        <f>AND('GA55 Entry'!Z348,"AAAAAFL/+xI=")</f>
        <v>#VALUE!</v>
      </c>
      <c r="T116" t="e">
        <f>AND('GA55 Entry'!AA348,"AAAAAFL/+xM=")</f>
        <v>#VALUE!</v>
      </c>
      <c r="U116" t="e">
        <f>AND('GA55 Entry'!#REF!,"AAAAAFL/+xQ=")</f>
        <v>#REF!</v>
      </c>
      <c r="V116" t="e">
        <f>AND('GA55 Entry'!#REF!,"AAAAAFL/+xU=")</f>
        <v>#REF!</v>
      </c>
      <c r="W116" t="e">
        <f>AND('GA55 Entry'!#REF!,"AAAAAFL/+xY=")</f>
        <v>#REF!</v>
      </c>
      <c r="X116" t="e">
        <f>AND('GA55 Entry'!AB348,"AAAAAFL/+xc=")</f>
        <v>#VALUE!</v>
      </c>
      <c r="Y116" t="e">
        <f>AND('GA55 Entry'!AC348,"AAAAAFL/+xg=")</f>
        <v>#VALUE!</v>
      </c>
      <c r="Z116" t="e">
        <f>AND('GA55 Entry'!#REF!,"AAAAAFL/+xk=")</f>
        <v>#REF!</v>
      </c>
      <c r="AA116">
        <f>IF('GA55 Entry'!349:349,"AAAAAFL/+xo=",0)</f>
        <v>0</v>
      </c>
      <c r="AB116" t="e">
        <f>AND('GA55 Entry'!B349,"AAAAAFL/+xs=")</f>
        <v>#VALUE!</v>
      </c>
      <c r="AC116" t="e">
        <f>AND('GA55 Entry'!#REF!,"AAAAAFL/+xw=")</f>
        <v>#REF!</v>
      </c>
      <c r="AD116" t="e">
        <f>AND('GA55 Entry'!C349,"AAAAAFL/+x0=")</f>
        <v>#VALUE!</v>
      </c>
      <c r="AE116" t="e">
        <f>AND('GA55 Entry'!#REF!,"AAAAAFL/+x4=")</f>
        <v>#REF!</v>
      </c>
      <c r="AF116" t="e">
        <f>AND('GA55 Entry'!#REF!,"AAAAAFL/+x8=")</f>
        <v>#REF!</v>
      </c>
      <c r="AG116" t="e">
        <f>AND('GA55 Entry'!#REF!,"AAAAAFL/+yA=")</f>
        <v>#REF!</v>
      </c>
      <c r="AH116" t="e">
        <f>AND('GA55 Entry'!#REF!,"AAAAAFL/+yE=")</f>
        <v>#REF!</v>
      </c>
      <c r="AI116" t="e">
        <f>AND('GA55 Entry'!#REF!,"AAAAAFL/+yI=")</f>
        <v>#REF!</v>
      </c>
      <c r="AJ116" t="e">
        <f>AND('GA55 Entry'!D349,"AAAAAFL/+yM=")</f>
        <v>#VALUE!</v>
      </c>
      <c r="AK116" t="e">
        <f>AND('GA55 Entry'!#REF!,"AAAAAFL/+yQ=")</f>
        <v>#REF!</v>
      </c>
      <c r="AL116" t="e">
        <f>AND('GA55 Entry'!E349,"AAAAAFL/+yU=")</f>
        <v>#VALUE!</v>
      </c>
      <c r="AM116" t="e">
        <f>AND('GA55 Entry'!F349,"AAAAAFL/+yY=")</f>
        <v>#VALUE!</v>
      </c>
      <c r="AN116" t="e">
        <f>AND('GA55 Entry'!G349,"AAAAAFL/+yc=")</f>
        <v>#VALUE!</v>
      </c>
      <c r="AO116" t="e">
        <f>AND('GA55 Entry'!H349,"AAAAAFL/+yg=")</f>
        <v>#VALUE!</v>
      </c>
      <c r="AP116" t="e">
        <f>AND('GA55 Entry'!I349,"AAAAAFL/+yk=")</f>
        <v>#VALUE!</v>
      </c>
      <c r="AQ116" t="e">
        <f>AND('GA55 Entry'!J349,"AAAAAFL/+yo=")</f>
        <v>#VALUE!</v>
      </c>
      <c r="AR116" t="e">
        <f>AND('GA55 Entry'!#REF!,"AAAAAFL/+ys=")</f>
        <v>#REF!</v>
      </c>
      <c r="AS116" t="e">
        <f>AND('GA55 Entry'!K349,"AAAAAFL/+yw=")</f>
        <v>#VALUE!</v>
      </c>
      <c r="AT116" t="e">
        <f>AND('GA55 Entry'!L349,"AAAAAFL/+y0=")</f>
        <v>#VALUE!</v>
      </c>
      <c r="AU116" t="e">
        <f>AND('GA55 Entry'!M349,"AAAAAFL/+y4=")</f>
        <v>#VALUE!</v>
      </c>
      <c r="AV116" t="e">
        <f>AND('GA55 Entry'!N349,"AAAAAFL/+y8=")</f>
        <v>#VALUE!</v>
      </c>
      <c r="AW116" t="e">
        <f>AND('GA55 Entry'!O349,"AAAAAFL/+zA=")</f>
        <v>#VALUE!</v>
      </c>
      <c r="AX116" t="e">
        <f>AND('GA55 Entry'!P349,"AAAAAFL/+zE=")</f>
        <v>#VALUE!</v>
      </c>
      <c r="AY116" t="e">
        <f>AND('GA55 Entry'!Q349,"AAAAAFL/+zI=")</f>
        <v>#VALUE!</v>
      </c>
      <c r="AZ116" t="e">
        <f>AND('GA55 Entry'!S349,"AAAAAFL/+zM=")</f>
        <v>#VALUE!</v>
      </c>
      <c r="BA116" t="e">
        <f>AND('GA55 Entry'!#REF!,"AAAAAFL/+zQ=")</f>
        <v>#REF!</v>
      </c>
      <c r="BB116" t="e">
        <f>AND('GA55 Entry'!T349,"AAAAAFL/+zU=")</f>
        <v>#VALUE!</v>
      </c>
      <c r="BC116" t="e">
        <f>AND('GA55 Entry'!U349,"AAAAAFL/+zY=")</f>
        <v>#VALUE!</v>
      </c>
      <c r="BD116" t="e">
        <f>AND('GA55 Entry'!V349,"AAAAAFL/+zc=")</f>
        <v>#VALUE!</v>
      </c>
      <c r="BE116" t="e">
        <f>AND('GA55 Entry'!#REF!,"AAAAAFL/+zg=")</f>
        <v>#REF!</v>
      </c>
      <c r="BF116" t="e">
        <f>AND('GA55 Entry'!#REF!,"AAAAAFL/+zk=")</f>
        <v>#REF!</v>
      </c>
      <c r="BG116" t="e">
        <f>AND('GA55 Entry'!X349,"AAAAAFL/+zo=")</f>
        <v>#VALUE!</v>
      </c>
      <c r="BH116" t="e">
        <f>AND('GA55 Entry'!Y349,"AAAAAFL/+zs=")</f>
        <v>#VALUE!</v>
      </c>
      <c r="BI116" t="e">
        <f>AND('GA55 Entry'!#REF!,"AAAAAFL/+zw=")</f>
        <v>#REF!</v>
      </c>
      <c r="BJ116" t="e">
        <f>AND('GA55 Entry'!#REF!,"AAAAAFL/+z0=")</f>
        <v>#REF!</v>
      </c>
      <c r="BK116" t="e">
        <f>AND('GA55 Entry'!#REF!,"AAAAAFL/+z4=")</f>
        <v>#REF!</v>
      </c>
      <c r="BL116" t="e">
        <f>AND('GA55 Entry'!#REF!,"AAAAAFL/+z8=")</f>
        <v>#REF!</v>
      </c>
      <c r="BM116" t="e">
        <f>AND('GA55 Entry'!#REF!,"AAAAAFL/+0A=")</f>
        <v>#REF!</v>
      </c>
      <c r="BN116" t="e">
        <f>AND('GA55 Entry'!#REF!,"AAAAAFL/+0E=")</f>
        <v>#REF!</v>
      </c>
      <c r="BO116" t="e">
        <f>AND('GA55 Entry'!#REF!,"AAAAAFL/+0I=")</f>
        <v>#REF!</v>
      </c>
      <c r="BP116" t="e">
        <f>AND('GA55 Entry'!#REF!,"AAAAAFL/+0M=")</f>
        <v>#REF!</v>
      </c>
      <c r="BQ116" t="e">
        <f>AND('GA55 Entry'!#REF!,"AAAAAFL/+0Q=")</f>
        <v>#REF!</v>
      </c>
      <c r="BR116" t="e">
        <f>AND('GA55 Entry'!Z349,"AAAAAFL/+0U=")</f>
        <v>#VALUE!</v>
      </c>
      <c r="BS116" t="e">
        <f>AND('GA55 Entry'!AA349,"AAAAAFL/+0Y=")</f>
        <v>#VALUE!</v>
      </c>
      <c r="BT116" t="e">
        <f>AND('GA55 Entry'!#REF!,"AAAAAFL/+0c=")</f>
        <v>#REF!</v>
      </c>
      <c r="BU116" t="e">
        <f>AND('GA55 Entry'!#REF!,"AAAAAFL/+0g=")</f>
        <v>#REF!</v>
      </c>
      <c r="BV116" t="e">
        <f>AND('GA55 Entry'!#REF!,"AAAAAFL/+0k=")</f>
        <v>#REF!</v>
      </c>
      <c r="BW116" t="e">
        <f>AND('GA55 Entry'!AB349,"AAAAAFL/+0o=")</f>
        <v>#VALUE!</v>
      </c>
      <c r="BX116" t="e">
        <f>AND('GA55 Entry'!AC349,"AAAAAFL/+0s=")</f>
        <v>#VALUE!</v>
      </c>
      <c r="BY116" t="e">
        <f>AND('GA55 Entry'!#REF!,"AAAAAFL/+0w=")</f>
        <v>#REF!</v>
      </c>
      <c r="BZ116">
        <f>IF('GA55 Entry'!350:350,"AAAAAFL/+00=",0)</f>
        <v>0</v>
      </c>
      <c r="CA116" t="e">
        <f>AND('GA55 Entry'!B350,"AAAAAFL/+04=")</f>
        <v>#VALUE!</v>
      </c>
      <c r="CB116" t="e">
        <f>AND('GA55 Entry'!#REF!,"AAAAAFL/+08=")</f>
        <v>#REF!</v>
      </c>
      <c r="CC116" t="e">
        <f>AND('GA55 Entry'!C350,"AAAAAFL/+1A=")</f>
        <v>#VALUE!</v>
      </c>
      <c r="CD116" t="e">
        <f>AND('GA55 Entry'!#REF!,"AAAAAFL/+1E=")</f>
        <v>#REF!</v>
      </c>
      <c r="CE116" t="e">
        <f>AND('GA55 Entry'!#REF!,"AAAAAFL/+1I=")</f>
        <v>#REF!</v>
      </c>
      <c r="CF116" t="e">
        <f>AND('GA55 Entry'!#REF!,"AAAAAFL/+1M=")</f>
        <v>#REF!</v>
      </c>
      <c r="CG116" t="e">
        <f>AND('GA55 Entry'!#REF!,"AAAAAFL/+1Q=")</f>
        <v>#REF!</v>
      </c>
      <c r="CH116" t="e">
        <f>AND('GA55 Entry'!#REF!,"AAAAAFL/+1U=")</f>
        <v>#REF!</v>
      </c>
      <c r="CI116" t="e">
        <f>AND('GA55 Entry'!D350,"AAAAAFL/+1Y=")</f>
        <v>#VALUE!</v>
      </c>
      <c r="CJ116" t="e">
        <f>AND('GA55 Entry'!#REF!,"AAAAAFL/+1c=")</f>
        <v>#REF!</v>
      </c>
      <c r="CK116" t="e">
        <f>AND('GA55 Entry'!E350,"AAAAAFL/+1g=")</f>
        <v>#VALUE!</v>
      </c>
      <c r="CL116" t="e">
        <f>AND('GA55 Entry'!F350,"AAAAAFL/+1k=")</f>
        <v>#VALUE!</v>
      </c>
      <c r="CM116" t="e">
        <f>AND('GA55 Entry'!G350,"AAAAAFL/+1o=")</f>
        <v>#VALUE!</v>
      </c>
      <c r="CN116" t="e">
        <f>AND('GA55 Entry'!H350,"AAAAAFL/+1s=")</f>
        <v>#VALUE!</v>
      </c>
      <c r="CO116" t="e">
        <f>AND('GA55 Entry'!I350,"AAAAAFL/+1w=")</f>
        <v>#VALUE!</v>
      </c>
      <c r="CP116" t="e">
        <f>AND('GA55 Entry'!J350,"AAAAAFL/+10=")</f>
        <v>#VALUE!</v>
      </c>
      <c r="CQ116" t="e">
        <f>AND('GA55 Entry'!#REF!,"AAAAAFL/+14=")</f>
        <v>#REF!</v>
      </c>
      <c r="CR116" t="e">
        <f>AND('GA55 Entry'!K350,"AAAAAFL/+18=")</f>
        <v>#VALUE!</v>
      </c>
      <c r="CS116" t="e">
        <f>AND('GA55 Entry'!L350,"AAAAAFL/+2A=")</f>
        <v>#VALUE!</v>
      </c>
      <c r="CT116" t="e">
        <f>AND('GA55 Entry'!M350,"AAAAAFL/+2E=")</f>
        <v>#VALUE!</v>
      </c>
      <c r="CU116" t="e">
        <f>AND('GA55 Entry'!N350,"AAAAAFL/+2I=")</f>
        <v>#VALUE!</v>
      </c>
      <c r="CV116" t="e">
        <f>AND('GA55 Entry'!O350,"AAAAAFL/+2M=")</f>
        <v>#VALUE!</v>
      </c>
      <c r="CW116" t="e">
        <f>AND('GA55 Entry'!P350,"AAAAAFL/+2Q=")</f>
        <v>#VALUE!</v>
      </c>
      <c r="CX116" t="e">
        <f>AND('GA55 Entry'!Q350,"AAAAAFL/+2U=")</f>
        <v>#VALUE!</v>
      </c>
      <c r="CY116" t="e">
        <f>AND('GA55 Entry'!S350,"AAAAAFL/+2Y=")</f>
        <v>#VALUE!</v>
      </c>
      <c r="CZ116" t="e">
        <f>AND('GA55 Entry'!#REF!,"AAAAAFL/+2c=")</f>
        <v>#REF!</v>
      </c>
      <c r="DA116" t="e">
        <f>AND('GA55 Entry'!T350,"AAAAAFL/+2g=")</f>
        <v>#VALUE!</v>
      </c>
      <c r="DB116" t="e">
        <f>AND('GA55 Entry'!U350,"AAAAAFL/+2k=")</f>
        <v>#VALUE!</v>
      </c>
      <c r="DC116" t="e">
        <f>AND('GA55 Entry'!V350,"AAAAAFL/+2o=")</f>
        <v>#VALUE!</v>
      </c>
      <c r="DD116" t="e">
        <f>AND('GA55 Entry'!#REF!,"AAAAAFL/+2s=")</f>
        <v>#REF!</v>
      </c>
      <c r="DE116" t="e">
        <f>AND('GA55 Entry'!#REF!,"AAAAAFL/+2w=")</f>
        <v>#REF!</v>
      </c>
      <c r="DF116" t="e">
        <f>AND('GA55 Entry'!X350,"AAAAAFL/+20=")</f>
        <v>#VALUE!</v>
      </c>
      <c r="DG116" t="e">
        <f>AND('GA55 Entry'!Y350,"AAAAAFL/+24=")</f>
        <v>#VALUE!</v>
      </c>
      <c r="DH116" t="e">
        <f>AND('GA55 Entry'!#REF!,"AAAAAFL/+28=")</f>
        <v>#REF!</v>
      </c>
      <c r="DI116" t="e">
        <f>AND('GA55 Entry'!#REF!,"AAAAAFL/+3A=")</f>
        <v>#REF!</v>
      </c>
      <c r="DJ116" t="e">
        <f>AND('GA55 Entry'!#REF!,"AAAAAFL/+3E=")</f>
        <v>#REF!</v>
      </c>
      <c r="DK116" t="e">
        <f>AND('GA55 Entry'!#REF!,"AAAAAFL/+3I=")</f>
        <v>#REF!</v>
      </c>
      <c r="DL116" t="e">
        <f>AND('GA55 Entry'!#REF!,"AAAAAFL/+3M=")</f>
        <v>#REF!</v>
      </c>
      <c r="DM116" t="e">
        <f>AND('GA55 Entry'!#REF!,"AAAAAFL/+3Q=")</f>
        <v>#REF!</v>
      </c>
      <c r="DN116" t="e">
        <f>AND('GA55 Entry'!#REF!,"AAAAAFL/+3U=")</f>
        <v>#REF!</v>
      </c>
      <c r="DO116" t="e">
        <f>AND('GA55 Entry'!#REF!,"AAAAAFL/+3Y=")</f>
        <v>#REF!</v>
      </c>
      <c r="DP116" t="e">
        <f>AND('GA55 Entry'!#REF!,"AAAAAFL/+3c=")</f>
        <v>#REF!</v>
      </c>
      <c r="DQ116" t="e">
        <f>AND('GA55 Entry'!Z350,"AAAAAFL/+3g=")</f>
        <v>#VALUE!</v>
      </c>
      <c r="DR116" t="e">
        <f>AND('GA55 Entry'!AA350,"AAAAAFL/+3k=")</f>
        <v>#VALUE!</v>
      </c>
      <c r="DS116" t="e">
        <f>AND('GA55 Entry'!#REF!,"AAAAAFL/+3o=")</f>
        <v>#REF!</v>
      </c>
      <c r="DT116" t="e">
        <f>AND('GA55 Entry'!#REF!,"AAAAAFL/+3s=")</f>
        <v>#REF!</v>
      </c>
      <c r="DU116" t="e">
        <f>AND('GA55 Entry'!#REF!,"AAAAAFL/+3w=")</f>
        <v>#REF!</v>
      </c>
      <c r="DV116" t="e">
        <f>AND('GA55 Entry'!AB350,"AAAAAFL/+30=")</f>
        <v>#VALUE!</v>
      </c>
      <c r="DW116" t="e">
        <f>AND('GA55 Entry'!AC350,"AAAAAFL/+34=")</f>
        <v>#VALUE!</v>
      </c>
      <c r="DX116" t="e">
        <f>AND('GA55 Entry'!#REF!,"AAAAAFL/+38=")</f>
        <v>#REF!</v>
      </c>
      <c r="DY116">
        <f>IF('GA55 Entry'!351:351,"AAAAAFL/+4A=",0)</f>
        <v>0</v>
      </c>
      <c r="DZ116" t="e">
        <f>AND('GA55 Entry'!B351,"AAAAAFL/+4E=")</f>
        <v>#VALUE!</v>
      </c>
      <c r="EA116" t="e">
        <f>AND('GA55 Entry'!#REF!,"AAAAAFL/+4I=")</f>
        <v>#REF!</v>
      </c>
      <c r="EB116" t="e">
        <f>AND('GA55 Entry'!C351,"AAAAAFL/+4M=")</f>
        <v>#VALUE!</v>
      </c>
      <c r="EC116" t="e">
        <f>AND('GA55 Entry'!#REF!,"AAAAAFL/+4Q=")</f>
        <v>#REF!</v>
      </c>
      <c r="ED116" t="e">
        <f>AND('GA55 Entry'!#REF!,"AAAAAFL/+4U=")</f>
        <v>#REF!</v>
      </c>
      <c r="EE116" t="e">
        <f>AND('GA55 Entry'!#REF!,"AAAAAFL/+4Y=")</f>
        <v>#REF!</v>
      </c>
      <c r="EF116" t="e">
        <f>AND('GA55 Entry'!#REF!,"AAAAAFL/+4c=")</f>
        <v>#REF!</v>
      </c>
      <c r="EG116" t="e">
        <f>AND('GA55 Entry'!#REF!,"AAAAAFL/+4g=")</f>
        <v>#REF!</v>
      </c>
      <c r="EH116" t="e">
        <f>AND('GA55 Entry'!D351,"AAAAAFL/+4k=")</f>
        <v>#VALUE!</v>
      </c>
      <c r="EI116" t="e">
        <f>AND('GA55 Entry'!#REF!,"AAAAAFL/+4o=")</f>
        <v>#REF!</v>
      </c>
      <c r="EJ116" t="e">
        <f>AND('GA55 Entry'!E351,"AAAAAFL/+4s=")</f>
        <v>#VALUE!</v>
      </c>
      <c r="EK116" t="e">
        <f>AND('GA55 Entry'!F351,"AAAAAFL/+4w=")</f>
        <v>#VALUE!</v>
      </c>
      <c r="EL116" t="e">
        <f>AND('GA55 Entry'!G351,"AAAAAFL/+40=")</f>
        <v>#VALUE!</v>
      </c>
      <c r="EM116" t="e">
        <f>AND('GA55 Entry'!H351,"AAAAAFL/+44=")</f>
        <v>#VALUE!</v>
      </c>
      <c r="EN116" t="e">
        <f>AND('GA55 Entry'!I351,"AAAAAFL/+48=")</f>
        <v>#VALUE!</v>
      </c>
      <c r="EO116" t="e">
        <f>AND('GA55 Entry'!J351,"AAAAAFL/+5A=")</f>
        <v>#VALUE!</v>
      </c>
      <c r="EP116" t="e">
        <f>AND('GA55 Entry'!#REF!,"AAAAAFL/+5E=")</f>
        <v>#REF!</v>
      </c>
      <c r="EQ116" t="e">
        <f>AND('GA55 Entry'!K351,"AAAAAFL/+5I=")</f>
        <v>#VALUE!</v>
      </c>
      <c r="ER116" t="e">
        <f>AND('GA55 Entry'!L351,"AAAAAFL/+5M=")</f>
        <v>#VALUE!</v>
      </c>
      <c r="ES116" t="e">
        <f>AND('GA55 Entry'!M351,"AAAAAFL/+5Q=")</f>
        <v>#VALUE!</v>
      </c>
      <c r="ET116" t="e">
        <f>AND('GA55 Entry'!N351,"AAAAAFL/+5U=")</f>
        <v>#VALUE!</v>
      </c>
      <c r="EU116" t="e">
        <f>AND('GA55 Entry'!O351,"AAAAAFL/+5Y=")</f>
        <v>#VALUE!</v>
      </c>
      <c r="EV116" t="e">
        <f>AND('GA55 Entry'!P351,"AAAAAFL/+5c=")</f>
        <v>#VALUE!</v>
      </c>
      <c r="EW116" t="e">
        <f>AND('GA55 Entry'!Q351,"AAAAAFL/+5g=")</f>
        <v>#VALUE!</v>
      </c>
      <c r="EX116" t="e">
        <f>AND('GA55 Entry'!S351,"AAAAAFL/+5k=")</f>
        <v>#VALUE!</v>
      </c>
      <c r="EY116" t="e">
        <f>AND('GA55 Entry'!#REF!,"AAAAAFL/+5o=")</f>
        <v>#REF!</v>
      </c>
      <c r="EZ116" t="e">
        <f>AND('GA55 Entry'!T351,"AAAAAFL/+5s=")</f>
        <v>#VALUE!</v>
      </c>
      <c r="FA116" t="e">
        <f>AND('GA55 Entry'!U351,"AAAAAFL/+5w=")</f>
        <v>#VALUE!</v>
      </c>
      <c r="FB116" t="e">
        <f>AND('GA55 Entry'!V351,"AAAAAFL/+50=")</f>
        <v>#VALUE!</v>
      </c>
      <c r="FC116" t="e">
        <f>AND('GA55 Entry'!#REF!,"AAAAAFL/+54=")</f>
        <v>#REF!</v>
      </c>
      <c r="FD116" t="e">
        <f>AND('GA55 Entry'!#REF!,"AAAAAFL/+58=")</f>
        <v>#REF!</v>
      </c>
      <c r="FE116" t="e">
        <f>AND('GA55 Entry'!X351,"AAAAAFL/+6A=")</f>
        <v>#VALUE!</v>
      </c>
      <c r="FF116" t="e">
        <f>AND('GA55 Entry'!Y351,"AAAAAFL/+6E=")</f>
        <v>#VALUE!</v>
      </c>
      <c r="FG116" t="e">
        <f>AND('GA55 Entry'!#REF!,"AAAAAFL/+6I=")</f>
        <v>#REF!</v>
      </c>
      <c r="FH116" t="e">
        <f>AND('GA55 Entry'!#REF!,"AAAAAFL/+6M=")</f>
        <v>#REF!</v>
      </c>
      <c r="FI116" t="e">
        <f>AND('GA55 Entry'!#REF!,"AAAAAFL/+6Q=")</f>
        <v>#REF!</v>
      </c>
      <c r="FJ116" t="e">
        <f>AND('GA55 Entry'!#REF!,"AAAAAFL/+6U=")</f>
        <v>#REF!</v>
      </c>
      <c r="FK116" t="e">
        <f>AND('GA55 Entry'!#REF!,"AAAAAFL/+6Y=")</f>
        <v>#REF!</v>
      </c>
      <c r="FL116" t="e">
        <f>AND('GA55 Entry'!#REF!,"AAAAAFL/+6c=")</f>
        <v>#REF!</v>
      </c>
      <c r="FM116" t="e">
        <f>AND('GA55 Entry'!#REF!,"AAAAAFL/+6g=")</f>
        <v>#REF!</v>
      </c>
      <c r="FN116" t="e">
        <f>AND('GA55 Entry'!#REF!,"AAAAAFL/+6k=")</f>
        <v>#REF!</v>
      </c>
      <c r="FO116" t="e">
        <f>AND('GA55 Entry'!#REF!,"AAAAAFL/+6o=")</f>
        <v>#REF!</v>
      </c>
      <c r="FP116" t="e">
        <f>AND('GA55 Entry'!Z351,"AAAAAFL/+6s=")</f>
        <v>#VALUE!</v>
      </c>
      <c r="FQ116" t="e">
        <f>AND('GA55 Entry'!AA351,"AAAAAFL/+6w=")</f>
        <v>#VALUE!</v>
      </c>
      <c r="FR116" t="e">
        <f>AND('GA55 Entry'!#REF!,"AAAAAFL/+60=")</f>
        <v>#REF!</v>
      </c>
      <c r="FS116" t="e">
        <f>AND('GA55 Entry'!#REF!,"AAAAAFL/+64=")</f>
        <v>#REF!</v>
      </c>
      <c r="FT116" t="e">
        <f>AND('GA55 Entry'!#REF!,"AAAAAFL/+68=")</f>
        <v>#REF!</v>
      </c>
      <c r="FU116" t="e">
        <f>AND('GA55 Entry'!AB351,"AAAAAFL/+7A=")</f>
        <v>#VALUE!</v>
      </c>
      <c r="FV116" t="e">
        <f>AND('GA55 Entry'!AC351,"AAAAAFL/+7E=")</f>
        <v>#VALUE!</v>
      </c>
      <c r="FW116" t="e">
        <f>AND('GA55 Entry'!#REF!,"AAAAAFL/+7I=")</f>
        <v>#REF!</v>
      </c>
      <c r="FX116">
        <f>IF('GA55 Entry'!352:352,"AAAAAFL/+7M=",0)</f>
        <v>0</v>
      </c>
      <c r="FY116" t="e">
        <f>AND('GA55 Entry'!B352,"AAAAAFL/+7Q=")</f>
        <v>#VALUE!</v>
      </c>
      <c r="FZ116" t="e">
        <f>AND('GA55 Entry'!#REF!,"AAAAAFL/+7U=")</f>
        <v>#REF!</v>
      </c>
      <c r="GA116" t="e">
        <f>AND('GA55 Entry'!C352,"AAAAAFL/+7Y=")</f>
        <v>#VALUE!</v>
      </c>
      <c r="GB116" t="e">
        <f>AND('GA55 Entry'!#REF!,"AAAAAFL/+7c=")</f>
        <v>#REF!</v>
      </c>
      <c r="GC116" t="e">
        <f>AND('GA55 Entry'!#REF!,"AAAAAFL/+7g=")</f>
        <v>#REF!</v>
      </c>
      <c r="GD116" t="e">
        <f>AND('GA55 Entry'!#REF!,"AAAAAFL/+7k=")</f>
        <v>#REF!</v>
      </c>
      <c r="GE116" t="e">
        <f>AND('GA55 Entry'!#REF!,"AAAAAFL/+7o=")</f>
        <v>#REF!</v>
      </c>
      <c r="GF116" t="e">
        <f>AND('GA55 Entry'!#REF!,"AAAAAFL/+7s=")</f>
        <v>#REF!</v>
      </c>
      <c r="GG116" t="e">
        <f>AND('GA55 Entry'!D352,"AAAAAFL/+7w=")</f>
        <v>#VALUE!</v>
      </c>
      <c r="GH116" t="e">
        <f>AND('GA55 Entry'!#REF!,"AAAAAFL/+70=")</f>
        <v>#REF!</v>
      </c>
      <c r="GI116" t="e">
        <f>AND('GA55 Entry'!E352,"AAAAAFL/+74=")</f>
        <v>#VALUE!</v>
      </c>
      <c r="GJ116" t="e">
        <f>AND('GA55 Entry'!F352,"AAAAAFL/+78=")</f>
        <v>#VALUE!</v>
      </c>
      <c r="GK116" t="e">
        <f>AND('GA55 Entry'!G352,"AAAAAFL/+8A=")</f>
        <v>#VALUE!</v>
      </c>
      <c r="GL116" t="e">
        <f>AND('GA55 Entry'!H352,"AAAAAFL/+8E=")</f>
        <v>#VALUE!</v>
      </c>
      <c r="GM116" t="e">
        <f>AND('GA55 Entry'!I352,"AAAAAFL/+8I=")</f>
        <v>#VALUE!</v>
      </c>
      <c r="GN116" t="e">
        <f>AND('GA55 Entry'!J352,"AAAAAFL/+8M=")</f>
        <v>#VALUE!</v>
      </c>
      <c r="GO116" t="e">
        <f>AND('GA55 Entry'!#REF!,"AAAAAFL/+8Q=")</f>
        <v>#REF!</v>
      </c>
      <c r="GP116" t="e">
        <f>AND('GA55 Entry'!K352,"AAAAAFL/+8U=")</f>
        <v>#VALUE!</v>
      </c>
      <c r="GQ116" t="e">
        <f>AND('GA55 Entry'!L352,"AAAAAFL/+8Y=")</f>
        <v>#VALUE!</v>
      </c>
      <c r="GR116" t="e">
        <f>AND('GA55 Entry'!M352,"AAAAAFL/+8c=")</f>
        <v>#VALUE!</v>
      </c>
      <c r="GS116" t="e">
        <f>AND('GA55 Entry'!N352,"AAAAAFL/+8g=")</f>
        <v>#VALUE!</v>
      </c>
      <c r="GT116" t="e">
        <f>AND('GA55 Entry'!O352,"AAAAAFL/+8k=")</f>
        <v>#VALUE!</v>
      </c>
      <c r="GU116" t="e">
        <f>AND('GA55 Entry'!P352,"AAAAAFL/+8o=")</f>
        <v>#VALUE!</v>
      </c>
      <c r="GV116" t="e">
        <f>AND('GA55 Entry'!Q352,"AAAAAFL/+8s=")</f>
        <v>#VALUE!</v>
      </c>
      <c r="GW116" t="e">
        <f>AND('GA55 Entry'!S352,"AAAAAFL/+8w=")</f>
        <v>#VALUE!</v>
      </c>
      <c r="GX116" t="e">
        <f>AND('GA55 Entry'!#REF!,"AAAAAFL/+80=")</f>
        <v>#REF!</v>
      </c>
      <c r="GY116" t="e">
        <f>AND('GA55 Entry'!T352,"AAAAAFL/+84=")</f>
        <v>#VALUE!</v>
      </c>
      <c r="GZ116" t="e">
        <f>AND('GA55 Entry'!U352,"AAAAAFL/+88=")</f>
        <v>#VALUE!</v>
      </c>
      <c r="HA116" t="e">
        <f>AND('GA55 Entry'!V352,"AAAAAFL/+9A=")</f>
        <v>#VALUE!</v>
      </c>
      <c r="HB116" t="e">
        <f>AND('GA55 Entry'!#REF!,"AAAAAFL/+9E=")</f>
        <v>#REF!</v>
      </c>
      <c r="HC116" t="e">
        <f>AND('GA55 Entry'!#REF!,"AAAAAFL/+9I=")</f>
        <v>#REF!</v>
      </c>
      <c r="HD116" t="e">
        <f>AND('GA55 Entry'!X352,"AAAAAFL/+9M=")</f>
        <v>#VALUE!</v>
      </c>
      <c r="HE116" t="e">
        <f>AND('GA55 Entry'!Y352,"AAAAAFL/+9Q=")</f>
        <v>#VALUE!</v>
      </c>
      <c r="HF116" t="e">
        <f>AND('GA55 Entry'!#REF!,"AAAAAFL/+9U=")</f>
        <v>#REF!</v>
      </c>
      <c r="HG116" t="e">
        <f>AND('GA55 Entry'!#REF!,"AAAAAFL/+9Y=")</f>
        <v>#REF!</v>
      </c>
      <c r="HH116" t="e">
        <f>AND('GA55 Entry'!#REF!,"AAAAAFL/+9c=")</f>
        <v>#REF!</v>
      </c>
      <c r="HI116" t="e">
        <f>AND('GA55 Entry'!#REF!,"AAAAAFL/+9g=")</f>
        <v>#REF!</v>
      </c>
      <c r="HJ116" t="e">
        <f>AND('GA55 Entry'!#REF!,"AAAAAFL/+9k=")</f>
        <v>#REF!</v>
      </c>
      <c r="HK116" t="e">
        <f>AND('GA55 Entry'!#REF!,"AAAAAFL/+9o=")</f>
        <v>#REF!</v>
      </c>
      <c r="HL116" t="e">
        <f>AND('GA55 Entry'!#REF!,"AAAAAFL/+9s=")</f>
        <v>#REF!</v>
      </c>
      <c r="HM116" t="e">
        <f>AND('GA55 Entry'!#REF!,"AAAAAFL/+9w=")</f>
        <v>#REF!</v>
      </c>
      <c r="HN116" t="e">
        <f>AND('GA55 Entry'!#REF!,"AAAAAFL/+90=")</f>
        <v>#REF!</v>
      </c>
      <c r="HO116" t="e">
        <f>AND('GA55 Entry'!Z352,"AAAAAFL/+94=")</f>
        <v>#VALUE!</v>
      </c>
      <c r="HP116" t="e">
        <f>AND('GA55 Entry'!AA352,"AAAAAFL/+98=")</f>
        <v>#VALUE!</v>
      </c>
      <c r="HQ116" t="e">
        <f>AND('GA55 Entry'!#REF!,"AAAAAFL/++A=")</f>
        <v>#REF!</v>
      </c>
      <c r="HR116" t="e">
        <f>AND('GA55 Entry'!#REF!,"AAAAAFL/++E=")</f>
        <v>#REF!</v>
      </c>
      <c r="HS116" t="e">
        <f>AND('GA55 Entry'!#REF!,"AAAAAFL/++I=")</f>
        <v>#REF!</v>
      </c>
      <c r="HT116" t="e">
        <f>AND('GA55 Entry'!AB352,"AAAAAFL/++M=")</f>
        <v>#VALUE!</v>
      </c>
      <c r="HU116" t="e">
        <f>AND('GA55 Entry'!AC352,"AAAAAFL/++Q=")</f>
        <v>#VALUE!</v>
      </c>
      <c r="HV116" t="e">
        <f>AND('GA55 Entry'!#REF!,"AAAAAFL/++U=")</f>
        <v>#REF!</v>
      </c>
      <c r="HW116">
        <f>IF('GA55 Entry'!353:353,"AAAAAFL/++Y=",0)</f>
        <v>0</v>
      </c>
      <c r="HX116" t="e">
        <f>AND('GA55 Entry'!B353,"AAAAAFL/++c=")</f>
        <v>#VALUE!</v>
      </c>
      <c r="HY116" t="e">
        <f>AND('GA55 Entry'!#REF!,"AAAAAFL/++g=")</f>
        <v>#REF!</v>
      </c>
      <c r="HZ116" t="e">
        <f>AND('GA55 Entry'!C353,"AAAAAFL/++k=")</f>
        <v>#VALUE!</v>
      </c>
      <c r="IA116" t="e">
        <f>AND('GA55 Entry'!#REF!,"AAAAAFL/++o=")</f>
        <v>#REF!</v>
      </c>
      <c r="IB116" t="e">
        <f>AND('GA55 Entry'!#REF!,"AAAAAFL/++s=")</f>
        <v>#REF!</v>
      </c>
      <c r="IC116" t="e">
        <f>AND('GA55 Entry'!#REF!,"AAAAAFL/++w=")</f>
        <v>#REF!</v>
      </c>
      <c r="ID116" t="e">
        <f>AND('GA55 Entry'!#REF!,"AAAAAFL/++0=")</f>
        <v>#REF!</v>
      </c>
      <c r="IE116" t="e">
        <f>AND('GA55 Entry'!#REF!,"AAAAAFL/++4=")</f>
        <v>#REF!</v>
      </c>
      <c r="IF116" t="e">
        <f>AND('GA55 Entry'!D353,"AAAAAFL/++8=")</f>
        <v>#VALUE!</v>
      </c>
      <c r="IG116" t="e">
        <f>AND('GA55 Entry'!#REF!,"AAAAAFL/+/A=")</f>
        <v>#REF!</v>
      </c>
      <c r="IH116" t="e">
        <f>AND('GA55 Entry'!E353,"AAAAAFL/+/E=")</f>
        <v>#VALUE!</v>
      </c>
      <c r="II116" t="e">
        <f>AND('GA55 Entry'!F353,"AAAAAFL/+/I=")</f>
        <v>#VALUE!</v>
      </c>
      <c r="IJ116" t="e">
        <f>AND('GA55 Entry'!G353,"AAAAAFL/+/M=")</f>
        <v>#VALUE!</v>
      </c>
      <c r="IK116" t="e">
        <f>AND('GA55 Entry'!H353,"AAAAAFL/+/Q=")</f>
        <v>#VALUE!</v>
      </c>
      <c r="IL116" t="e">
        <f>AND('GA55 Entry'!I353,"AAAAAFL/+/U=")</f>
        <v>#VALUE!</v>
      </c>
      <c r="IM116" t="e">
        <f>AND('GA55 Entry'!J353,"AAAAAFL/+/Y=")</f>
        <v>#VALUE!</v>
      </c>
      <c r="IN116" t="e">
        <f>AND('GA55 Entry'!#REF!,"AAAAAFL/+/c=")</f>
        <v>#REF!</v>
      </c>
      <c r="IO116" t="e">
        <f>AND('GA55 Entry'!K353,"AAAAAFL/+/g=")</f>
        <v>#VALUE!</v>
      </c>
      <c r="IP116" t="e">
        <f>AND('GA55 Entry'!L353,"AAAAAFL/+/k=")</f>
        <v>#VALUE!</v>
      </c>
      <c r="IQ116" t="e">
        <f>AND('GA55 Entry'!M353,"AAAAAFL/+/o=")</f>
        <v>#VALUE!</v>
      </c>
      <c r="IR116" t="e">
        <f>AND('GA55 Entry'!N353,"AAAAAFL/+/s=")</f>
        <v>#VALUE!</v>
      </c>
      <c r="IS116" t="e">
        <f>AND('GA55 Entry'!O353,"AAAAAFL/+/w=")</f>
        <v>#VALUE!</v>
      </c>
      <c r="IT116" t="e">
        <f>AND('GA55 Entry'!P353,"AAAAAFL/+/0=")</f>
        <v>#VALUE!</v>
      </c>
      <c r="IU116" t="e">
        <f>AND('GA55 Entry'!Q353,"AAAAAFL/+/4=")</f>
        <v>#VALUE!</v>
      </c>
      <c r="IV116" t="e">
        <f>AND('GA55 Entry'!S353,"AAAAAFL/+/8=")</f>
        <v>#VALUE!</v>
      </c>
    </row>
    <row r="117" spans="1:256">
      <c r="A117" t="e">
        <f>AND('GA55 Entry'!#REF!,"AAAAAH/3/gA=")</f>
        <v>#REF!</v>
      </c>
      <c r="B117" t="e">
        <f>AND('GA55 Entry'!T353,"AAAAAH/3/gE=")</f>
        <v>#VALUE!</v>
      </c>
      <c r="C117" t="e">
        <f>AND('GA55 Entry'!U353,"AAAAAH/3/gI=")</f>
        <v>#VALUE!</v>
      </c>
      <c r="D117" t="e">
        <f>AND('GA55 Entry'!V353,"AAAAAH/3/gM=")</f>
        <v>#VALUE!</v>
      </c>
      <c r="E117" t="e">
        <f>AND('GA55 Entry'!#REF!,"AAAAAH/3/gQ=")</f>
        <v>#REF!</v>
      </c>
      <c r="F117" t="e">
        <f>AND('GA55 Entry'!#REF!,"AAAAAH/3/gU=")</f>
        <v>#REF!</v>
      </c>
      <c r="G117" t="e">
        <f>AND('GA55 Entry'!X353,"AAAAAH/3/gY=")</f>
        <v>#VALUE!</v>
      </c>
      <c r="H117" t="e">
        <f>AND('GA55 Entry'!Y353,"AAAAAH/3/gc=")</f>
        <v>#VALUE!</v>
      </c>
      <c r="I117" t="e">
        <f>AND('GA55 Entry'!#REF!,"AAAAAH/3/gg=")</f>
        <v>#REF!</v>
      </c>
      <c r="J117" t="e">
        <f>AND('GA55 Entry'!#REF!,"AAAAAH/3/gk=")</f>
        <v>#REF!</v>
      </c>
      <c r="K117" t="e">
        <f>AND('GA55 Entry'!#REF!,"AAAAAH/3/go=")</f>
        <v>#REF!</v>
      </c>
      <c r="L117" t="e">
        <f>AND('GA55 Entry'!#REF!,"AAAAAH/3/gs=")</f>
        <v>#REF!</v>
      </c>
      <c r="M117" t="e">
        <f>AND('GA55 Entry'!#REF!,"AAAAAH/3/gw=")</f>
        <v>#REF!</v>
      </c>
      <c r="N117" t="e">
        <f>AND('GA55 Entry'!#REF!,"AAAAAH/3/g0=")</f>
        <v>#REF!</v>
      </c>
      <c r="O117" t="e">
        <f>AND('GA55 Entry'!#REF!,"AAAAAH/3/g4=")</f>
        <v>#REF!</v>
      </c>
      <c r="P117" t="e">
        <f>AND('GA55 Entry'!#REF!,"AAAAAH/3/g8=")</f>
        <v>#REF!</v>
      </c>
      <c r="Q117" t="e">
        <f>AND('GA55 Entry'!#REF!,"AAAAAH/3/hA=")</f>
        <v>#REF!</v>
      </c>
      <c r="R117" t="e">
        <f>AND('GA55 Entry'!Z353,"AAAAAH/3/hE=")</f>
        <v>#VALUE!</v>
      </c>
      <c r="S117" t="e">
        <f>AND('GA55 Entry'!AA353,"AAAAAH/3/hI=")</f>
        <v>#VALUE!</v>
      </c>
      <c r="T117" t="e">
        <f>AND('GA55 Entry'!#REF!,"AAAAAH/3/hM=")</f>
        <v>#REF!</v>
      </c>
      <c r="U117" t="e">
        <f>AND('GA55 Entry'!#REF!,"AAAAAH/3/hQ=")</f>
        <v>#REF!</v>
      </c>
      <c r="V117" t="e">
        <f>AND('GA55 Entry'!#REF!,"AAAAAH/3/hU=")</f>
        <v>#REF!</v>
      </c>
      <c r="W117" t="e">
        <f>AND('GA55 Entry'!AB353,"AAAAAH/3/hY=")</f>
        <v>#VALUE!</v>
      </c>
      <c r="X117" t="e">
        <f>AND('GA55 Entry'!AC353,"AAAAAH/3/hc=")</f>
        <v>#VALUE!</v>
      </c>
      <c r="Y117" t="e">
        <f>AND('GA55 Entry'!#REF!,"AAAAAH/3/hg=")</f>
        <v>#REF!</v>
      </c>
      <c r="Z117">
        <f>IF('GA55 Entry'!354:354,"AAAAAH/3/hk=",0)</f>
        <v>0</v>
      </c>
      <c r="AA117" t="e">
        <f>AND('GA55 Entry'!B354,"AAAAAH/3/ho=")</f>
        <v>#VALUE!</v>
      </c>
      <c r="AB117" t="e">
        <f>AND('GA55 Entry'!#REF!,"AAAAAH/3/hs=")</f>
        <v>#REF!</v>
      </c>
      <c r="AC117" t="e">
        <f>AND('GA55 Entry'!C354,"AAAAAH/3/hw=")</f>
        <v>#VALUE!</v>
      </c>
      <c r="AD117" t="e">
        <f>AND('GA55 Entry'!#REF!,"AAAAAH/3/h0=")</f>
        <v>#REF!</v>
      </c>
      <c r="AE117" t="e">
        <f>AND('GA55 Entry'!#REF!,"AAAAAH/3/h4=")</f>
        <v>#REF!</v>
      </c>
      <c r="AF117" t="e">
        <f>AND('GA55 Entry'!#REF!,"AAAAAH/3/h8=")</f>
        <v>#REF!</v>
      </c>
      <c r="AG117" t="e">
        <f>AND('GA55 Entry'!#REF!,"AAAAAH/3/iA=")</f>
        <v>#REF!</v>
      </c>
      <c r="AH117" t="e">
        <f>AND('GA55 Entry'!#REF!,"AAAAAH/3/iE=")</f>
        <v>#REF!</v>
      </c>
      <c r="AI117" t="e">
        <f>AND('GA55 Entry'!D354,"AAAAAH/3/iI=")</f>
        <v>#VALUE!</v>
      </c>
      <c r="AJ117" t="e">
        <f>AND('GA55 Entry'!#REF!,"AAAAAH/3/iM=")</f>
        <v>#REF!</v>
      </c>
      <c r="AK117" t="e">
        <f>AND('GA55 Entry'!E354,"AAAAAH/3/iQ=")</f>
        <v>#VALUE!</v>
      </c>
      <c r="AL117" t="e">
        <f>AND('GA55 Entry'!F354,"AAAAAH/3/iU=")</f>
        <v>#VALUE!</v>
      </c>
      <c r="AM117" t="e">
        <f>AND('GA55 Entry'!G354,"AAAAAH/3/iY=")</f>
        <v>#VALUE!</v>
      </c>
      <c r="AN117" t="e">
        <f>AND('GA55 Entry'!H354,"AAAAAH/3/ic=")</f>
        <v>#VALUE!</v>
      </c>
      <c r="AO117" t="e">
        <f>AND('GA55 Entry'!I354,"AAAAAH/3/ig=")</f>
        <v>#VALUE!</v>
      </c>
      <c r="AP117" t="e">
        <f>AND('GA55 Entry'!J354,"AAAAAH/3/ik=")</f>
        <v>#VALUE!</v>
      </c>
      <c r="AQ117" t="e">
        <f>AND('GA55 Entry'!#REF!,"AAAAAH/3/io=")</f>
        <v>#REF!</v>
      </c>
      <c r="AR117" t="e">
        <f>AND('GA55 Entry'!K354,"AAAAAH/3/is=")</f>
        <v>#VALUE!</v>
      </c>
      <c r="AS117" t="e">
        <f>AND('GA55 Entry'!L354,"AAAAAH/3/iw=")</f>
        <v>#VALUE!</v>
      </c>
      <c r="AT117" t="e">
        <f>AND('GA55 Entry'!M354,"AAAAAH/3/i0=")</f>
        <v>#VALUE!</v>
      </c>
      <c r="AU117" t="e">
        <f>AND('GA55 Entry'!N354,"AAAAAH/3/i4=")</f>
        <v>#VALUE!</v>
      </c>
      <c r="AV117" t="e">
        <f>AND('GA55 Entry'!O354,"AAAAAH/3/i8=")</f>
        <v>#VALUE!</v>
      </c>
      <c r="AW117" t="e">
        <f>AND('GA55 Entry'!P354,"AAAAAH/3/jA=")</f>
        <v>#VALUE!</v>
      </c>
      <c r="AX117" t="e">
        <f>AND('GA55 Entry'!Q354,"AAAAAH/3/jE=")</f>
        <v>#VALUE!</v>
      </c>
      <c r="AY117" t="e">
        <f>AND('GA55 Entry'!S354,"AAAAAH/3/jI=")</f>
        <v>#VALUE!</v>
      </c>
      <c r="AZ117" t="e">
        <f>AND('GA55 Entry'!#REF!,"AAAAAH/3/jM=")</f>
        <v>#REF!</v>
      </c>
      <c r="BA117" t="e">
        <f>AND('GA55 Entry'!T354,"AAAAAH/3/jQ=")</f>
        <v>#VALUE!</v>
      </c>
      <c r="BB117" t="e">
        <f>AND('GA55 Entry'!U354,"AAAAAH/3/jU=")</f>
        <v>#VALUE!</v>
      </c>
      <c r="BC117" t="e">
        <f>AND('GA55 Entry'!V354,"AAAAAH/3/jY=")</f>
        <v>#VALUE!</v>
      </c>
      <c r="BD117" t="e">
        <f>AND('GA55 Entry'!#REF!,"AAAAAH/3/jc=")</f>
        <v>#REF!</v>
      </c>
      <c r="BE117" t="e">
        <f>AND('GA55 Entry'!#REF!,"AAAAAH/3/jg=")</f>
        <v>#REF!</v>
      </c>
      <c r="BF117" t="e">
        <f>AND('GA55 Entry'!X354,"AAAAAH/3/jk=")</f>
        <v>#VALUE!</v>
      </c>
      <c r="BG117" t="e">
        <f>AND('GA55 Entry'!Y354,"AAAAAH/3/jo=")</f>
        <v>#VALUE!</v>
      </c>
      <c r="BH117" t="e">
        <f>AND('GA55 Entry'!#REF!,"AAAAAH/3/js=")</f>
        <v>#REF!</v>
      </c>
      <c r="BI117" t="e">
        <f>AND('GA55 Entry'!#REF!,"AAAAAH/3/jw=")</f>
        <v>#REF!</v>
      </c>
      <c r="BJ117" t="e">
        <f>AND('GA55 Entry'!#REF!,"AAAAAH/3/j0=")</f>
        <v>#REF!</v>
      </c>
      <c r="BK117" t="e">
        <f>AND('GA55 Entry'!#REF!,"AAAAAH/3/j4=")</f>
        <v>#REF!</v>
      </c>
      <c r="BL117" t="e">
        <f>AND('GA55 Entry'!#REF!,"AAAAAH/3/j8=")</f>
        <v>#REF!</v>
      </c>
      <c r="BM117" t="e">
        <f>AND('GA55 Entry'!#REF!,"AAAAAH/3/kA=")</f>
        <v>#REF!</v>
      </c>
      <c r="BN117" t="e">
        <f>AND('GA55 Entry'!#REF!,"AAAAAH/3/kE=")</f>
        <v>#REF!</v>
      </c>
      <c r="BO117" t="e">
        <f>AND('GA55 Entry'!#REF!,"AAAAAH/3/kI=")</f>
        <v>#REF!</v>
      </c>
      <c r="BP117" t="e">
        <f>AND('GA55 Entry'!#REF!,"AAAAAH/3/kM=")</f>
        <v>#REF!</v>
      </c>
      <c r="BQ117" t="e">
        <f>AND('GA55 Entry'!Z354,"AAAAAH/3/kQ=")</f>
        <v>#VALUE!</v>
      </c>
      <c r="BR117" t="e">
        <f>AND('GA55 Entry'!AA354,"AAAAAH/3/kU=")</f>
        <v>#VALUE!</v>
      </c>
      <c r="BS117" t="e">
        <f>AND('GA55 Entry'!#REF!,"AAAAAH/3/kY=")</f>
        <v>#REF!</v>
      </c>
      <c r="BT117" t="e">
        <f>AND('GA55 Entry'!#REF!,"AAAAAH/3/kc=")</f>
        <v>#REF!</v>
      </c>
      <c r="BU117" t="e">
        <f>AND('GA55 Entry'!#REF!,"AAAAAH/3/kg=")</f>
        <v>#REF!</v>
      </c>
      <c r="BV117" t="e">
        <f>AND('GA55 Entry'!AB354,"AAAAAH/3/kk=")</f>
        <v>#VALUE!</v>
      </c>
      <c r="BW117" t="e">
        <f>AND('GA55 Entry'!AC354,"AAAAAH/3/ko=")</f>
        <v>#VALUE!</v>
      </c>
      <c r="BX117" t="e">
        <f>AND('GA55 Entry'!#REF!,"AAAAAH/3/ks=")</f>
        <v>#REF!</v>
      </c>
      <c r="BY117">
        <f>IF('GA55 Entry'!355:355,"AAAAAH/3/kw=",0)</f>
        <v>0</v>
      </c>
      <c r="BZ117" t="e">
        <f>AND('GA55 Entry'!B355,"AAAAAH/3/k0=")</f>
        <v>#VALUE!</v>
      </c>
      <c r="CA117" t="e">
        <f>AND('GA55 Entry'!#REF!,"AAAAAH/3/k4=")</f>
        <v>#REF!</v>
      </c>
      <c r="CB117" t="e">
        <f>AND('GA55 Entry'!C355,"AAAAAH/3/k8=")</f>
        <v>#VALUE!</v>
      </c>
      <c r="CC117" t="e">
        <f>AND('GA55 Entry'!#REF!,"AAAAAH/3/lA=")</f>
        <v>#REF!</v>
      </c>
      <c r="CD117" t="e">
        <f>AND('GA55 Entry'!#REF!,"AAAAAH/3/lE=")</f>
        <v>#REF!</v>
      </c>
      <c r="CE117" t="e">
        <f>AND('GA55 Entry'!#REF!,"AAAAAH/3/lI=")</f>
        <v>#REF!</v>
      </c>
      <c r="CF117" t="e">
        <f>AND('GA55 Entry'!#REF!,"AAAAAH/3/lM=")</f>
        <v>#REF!</v>
      </c>
      <c r="CG117" t="e">
        <f>AND('GA55 Entry'!#REF!,"AAAAAH/3/lQ=")</f>
        <v>#REF!</v>
      </c>
      <c r="CH117" t="e">
        <f>AND('GA55 Entry'!D355,"AAAAAH/3/lU=")</f>
        <v>#VALUE!</v>
      </c>
      <c r="CI117" t="e">
        <f>AND('GA55 Entry'!#REF!,"AAAAAH/3/lY=")</f>
        <v>#REF!</v>
      </c>
      <c r="CJ117" t="e">
        <f>AND('GA55 Entry'!E355,"AAAAAH/3/lc=")</f>
        <v>#VALUE!</v>
      </c>
      <c r="CK117" t="e">
        <f>AND('GA55 Entry'!F355,"AAAAAH/3/lg=")</f>
        <v>#VALUE!</v>
      </c>
      <c r="CL117" t="e">
        <f>AND('GA55 Entry'!G355,"AAAAAH/3/lk=")</f>
        <v>#VALUE!</v>
      </c>
      <c r="CM117" t="e">
        <f>AND('GA55 Entry'!H355,"AAAAAH/3/lo=")</f>
        <v>#VALUE!</v>
      </c>
      <c r="CN117" t="e">
        <f>AND('GA55 Entry'!I355,"AAAAAH/3/ls=")</f>
        <v>#VALUE!</v>
      </c>
      <c r="CO117" t="e">
        <f>AND('GA55 Entry'!J355,"AAAAAH/3/lw=")</f>
        <v>#VALUE!</v>
      </c>
      <c r="CP117" t="e">
        <f>AND('GA55 Entry'!#REF!,"AAAAAH/3/l0=")</f>
        <v>#REF!</v>
      </c>
      <c r="CQ117" t="e">
        <f>AND('GA55 Entry'!K355,"AAAAAH/3/l4=")</f>
        <v>#VALUE!</v>
      </c>
      <c r="CR117" t="e">
        <f>AND('GA55 Entry'!L355,"AAAAAH/3/l8=")</f>
        <v>#VALUE!</v>
      </c>
      <c r="CS117" t="e">
        <f>AND('GA55 Entry'!M355,"AAAAAH/3/mA=")</f>
        <v>#VALUE!</v>
      </c>
      <c r="CT117" t="e">
        <f>AND('GA55 Entry'!N355,"AAAAAH/3/mE=")</f>
        <v>#VALUE!</v>
      </c>
      <c r="CU117" t="e">
        <f>AND('GA55 Entry'!O355,"AAAAAH/3/mI=")</f>
        <v>#VALUE!</v>
      </c>
      <c r="CV117" t="e">
        <f>AND('GA55 Entry'!P355,"AAAAAH/3/mM=")</f>
        <v>#VALUE!</v>
      </c>
      <c r="CW117" t="e">
        <f>AND('GA55 Entry'!Q355,"AAAAAH/3/mQ=")</f>
        <v>#VALUE!</v>
      </c>
      <c r="CX117" t="e">
        <f>AND('GA55 Entry'!S355,"AAAAAH/3/mU=")</f>
        <v>#VALUE!</v>
      </c>
      <c r="CY117" t="e">
        <f>AND('GA55 Entry'!#REF!,"AAAAAH/3/mY=")</f>
        <v>#REF!</v>
      </c>
      <c r="CZ117" t="e">
        <f>AND('GA55 Entry'!T355,"AAAAAH/3/mc=")</f>
        <v>#VALUE!</v>
      </c>
      <c r="DA117" t="e">
        <f>AND('GA55 Entry'!U355,"AAAAAH/3/mg=")</f>
        <v>#VALUE!</v>
      </c>
      <c r="DB117" t="e">
        <f>AND('GA55 Entry'!V355,"AAAAAH/3/mk=")</f>
        <v>#VALUE!</v>
      </c>
      <c r="DC117" t="e">
        <f>AND('GA55 Entry'!#REF!,"AAAAAH/3/mo=")</f>
        <v>#REF!</v>
      </c>
      <c r="DD117" t="e">
        <f>AND('GA55 Entry'!#REF!,"AAAAAH/3/ms=")</f>
        <v>#REF!</v>
      </c>
      <c r="DE117" t="e">
        <f>AND('GA55 Entry'!X355,"AAAAAH/3/mw=")</f>
        <v>#VALUE!</v>
      </c>
      <c r="DF117" t="e">
        <f>AND('GA55 Entry'!Y355,"AAAAAH/3/m0=")</f>
        <v>#VALUE!</v>
      </c>
      <c r="DG117" t="e">
        <f>AND('GA55 Entry'!#REF!,"AAAAAH/3/m4=")</f>
        <v>#REF!</v>
      </c>
      <c r="DH117" t="e">
        <f>AND('GA55 Entry'!#REF!,"AAAAAH/3/m8=")</f>
        <v>#REF!</v>
      </c>
      <c r="DI117" t="e">
        <f>AND('GA55 Entry'!#REF!,"AAAAAH/3/nA=")</f>
        <v>#REF!</v>
      </c>
      <c r="DJ117" t="e">
        <f>AND('GA55 Entry'!#REF!,"AAAAAH/3/nE=")</f>
        <v>#REF!</v>
      </c>
      <c r="DK117" t="e">
        <f>AND('GA55 Entry'!#REF!,"AAAAAH/3/nI=")</f>
        <v>#REF!</v>
      </c>
      <c r="DL117" t="e">
        <f>AND('GA55 Entry'!#REF!,"AAAAAH/3/nM=")</f>
        <v>#REF!</v>
      </c>
      <c r="DM117" t="e">
        <f>AND('GA55 Entry'!#REF!,"AAAAAH/3/nQ=")</f>
        <v>#REF!</v>
      </c>
      <c r="DN117" t="e">
        <f>AND('GA55 Entry'!#REF!,"AAAAAH/3/nU=")</f>
        <v>#REF!</v>
      </c>
      <c r="DO117" t="e">
        <f>AND('GA55 Entry'!#REF!,"AAAAAH/3/nY=")</f>
        <v>#REF!</v>
      </c>
      <c r="DP117" t="e">
        <f>AND('GA55 Entry'!Z355,"AAAAAH/3/nc=")</f>
        <v>#VALUE!</v>
      </c>
      <c r="DQ117" t="e">
        <f>AND('GA55 Entry'!AA355,"AAAAAH/3/ng=")</f>
        <v>#VALUE!</v>
      </c>
      <c r="DR117" t="e">
        <f>AND('GA55 Entry'!#REF!,"AAAAAH/3/nk=")</f>
        <v>#REF!</v>
      </c>
      <c r="DS117" t="e">
        <f>AND('GA55 Entry'!#REF!,"AAAAAH/3/no=")</f>
        <v>#REF!</v>
      </c>
      <c r="DT117" t="e">
        <f>AND('GA55 Entry'!#REF!,"AAAAAH/3/ns=")</f>
        <v>#REF!</v>
      </c>
      <c r="DU117" t="e">
        <f>AND('GA55 Entry'!AB355,"AAAAAH/3/nw=")</f>
        <v>#VALUE!</v>
      </c>
      <c r="DV117" t="e">
        <f>AND('GA55 Entry'!AC355,"AAAAAH/3/n0=")</f>
        <v>#VALUE!</v>
      </c>
      <c r="DW117" t="e">
        <f>AND('GA55 Entry'!#REF!,"AAAAAH/3/n4=")</f>
        <v>#REF!</v>
      </c>
      <c r="DX117">
        <f>IF('GA55 Entry'!356:356,"AAAAAH/3/n8=",0)</f>
        <v>0</v>
      </c>
      <c r="DY117" t="e">
        <f>AND('GA55 Entry'!B356,"AAAAAH/3/oA=")</f>
        <v>#VALUE!</v>
      </c>
      <c r="DZ117" t="e">
        <f>AND('GA55 Entry'!#REF!,"AAAAAH/3/oE=")</f>
        <v>#REF!</v>
      </c>
      <c r="EA117" t="e">
        <f>AND('GA55 Entry'!C356,"AAAAAH/3/oI=")</f>
        <v>#VALUE!</v>
      </c>
      <c r="EB117" t="e">
        <f>AND('GA55 Entry'!#REF!,"AAAAAH/3/oM=")</f>
        <v>#REF!</v>
      </c>
      <c r="EC117" t="e">
        <f>AND('GA55 Entry'!#REF!,"AAAAAH/3/oQ=")</f>
        <v>#REF!</v>
      </c>
      <c r="ED117" t="e">
        <f>AND('GA55 Entry'!#REF!,"AAAAAH/3/oU=")</f>
        <v>#REF!</v>
      </c>
      <c r="EE117" t="e">
        <f>AND('GA55 Entry'!#REF!,"AAAAAH/3/oY=")</f>
        <v>#REF!</v>
      </c>
      <c r="EF117" t="e">
        <f>AND('GA55 Entry'!#REF!,"AAAAAH/3/oc=")</f>
        <v>#REF!</v>
      </c>
      <c r="EG117" t="e">
        <f>AND('GA55 Entry'!D356,"AAAAAH/3/og=")</f>
        <v>#VALUE!</v>
      </c>
      <c r="EH117" t="e">
        <f>AND('GA55 Entry'!#REF!,"AAAAAH/3/ok=")</f>
        <v>#REF!</v>
      </c>
      <c r="EI117" t="e">
        <f>AND('GA55 Entry'!E356,"AAAAAH/3/oo=")</f>
        <v>#VALUE!</v>
      </c>
      <c r="EJ117" t="e">
        <f>AND('GA55 Entry'!F356,"AAAAAH/3/os=")</f>
        <v>#VALUE!</v>
      </c>
      <c r="EK117" t="e">
        <f>AND('GA55 Entry'!G356,"AAAAAH/3/ow=")</f>
        <v>#VALUE!</v>
      </c>
      <c r="EL117" t="e">
        <f>AND('GA55 Entry'!H356,"AAAAAH/3/o0=")</f>
        <v>#VALUE!</v>
      </c>
      <c r="EM117" t="e">
        <f>AND('GA55 Entry'!I356,"AAAAAH/3/o4=")</f>
        <v>#VALUE!</v>
      </c>
      <c r="EN117" t="e">
        <f>AND('GA55 Entry'!J356,"AAAAAH/3/o8=")</f>
        <v>#VALUE!</v>
      </c>
      <c r="EO117" t="e">
        <f>AND('GA55 Entry'!#REF!,"AAAAAH/3/pA=")</f>
        <v>#REF!</v>
      </c>
      <c r="EP117" t="e">
        <f>AND('GA55 Entry'!K356,"AAAAAH/3/pE=")</f>
        <v>#VALUE!</v>
      </c>
      <c r="EQ117" t="e">
        <f>AND('GA55 Entry'!L356,"AAAAAH/3/pI=")</f>
        <v>#VALUE!</v>
      </c>
      <c r="ER117" t="e">
        <f>AND('GA55 Entry'!M356,"AAAAAH/3/pM=")</f>
        <v>#VALUE!</v>
      </c>
      <c r="ES117" t="e">
        <f>AND('GA55 Entry'!N356,"AAAAAH/3/pQ=")</f>
        <v>#VALUE!</v>
      </c>
      <c r="ET117" t="e">
        <f>AND('GA55 Entry'!O356,"AAAAAH/3/pU=")</f>
        <v>#VALUE!</v>
      </c>
      <c r="EU117" t="e">
        <f>AND('GA55 Entry'!P356,"AAAAAH/3/pY=")</f>
        <v>#VALUE!</v>
      </c>
      <c r="EV117" t="e">
        <f>AND('GA55 Entry'!Q356,"AAAAAH/3/pc=")</f>
        <v>#VALUE!</v>
      </c>
      <c r="EW117" t="e">
        <f>AND('GA55 Entry'!S356,"AAAAAH/3/pg=")</f>
        <v>#VALUE!</v>
      </c>
      <c r="EX117" t="e">
        <f>AND('GA55 Entry'!#REF!,"AAAAAH/3/pk=")</f>
        <v>#REF!</v>
      </c>
      <c r="EY117" t="e">
        <f>AND('GA55 Entry'!T356,"AAAAAH/3/po=")</f>
        <v>#VALUE!</v>
      </c>
      <c r="EZ117" t="e">
        <f>AND('GA55 Entry'!U356,"AAAAAH/3/ps=")</f>
        <v>#VALUE!</v>
      </c>
      <c r="FA117" t="e">
        <f>AND('GA55 Entry'!V356,"AAAAAH/3/pw=")</f>
        <v>#VALUE!</v>
      </c>
      <c r="FB117" t="e">
        <f>AND('GA55 Entry'!#REF!,"AAAAAH/3/p0=")</f>
        <v>#REF!</v>
      </c>
      <c r="FC117" t="e">
        <f>AND('GA55 Entry'!#REF!,"AAAAAH/3/p4=")</f>
        <v>#REF!</v>
      </c>
      <c r="FD117" t="e">
        <f>AND('GA55 Entry'!X356,"AAAAAH/3/p8=")</f>
        <v>#VALUE!</v>
      </c>
      <c r="FE117" t="e">
        <f>AND('GA55 Entry'!Y356,"AAAAAH/3/qA=")</f>
        <v>#VALUE!</v>
      </c>
      <c r="FF117" t="e">
        <f>AND('GA55 Entry'!#REF!,"AAAAAH/3/qE=")</f>
        <v>#REF!</v>
      </c>
      <c r="FG117" t="e">
        <f>AND('GA55 Entry'!#REF!,"AAAAAH/3/qI=")</f>
        <v>#REF!</v>
      </c>
      <c r="FH117" t="e">
        <f>AND('GA55 Entry'!#REF!,"AAAAAH/3/qM=")</f>
        <v>#REF!</v>
      </c>
      <c r="FI117" t="e">
        <f>AND('GA55 Entry'!#REF!,"AAAAAH/3/qQ=")</f>
        <v>#REF!</v>
      </c>
      <c r="FJ117" t="e">
        <f>AND('GA55 Entry'!#REF!,"AAAAAH/3/qU=")</f>
        <v>#REF!</v>
      </c>
      <c r="FK117" t="e">
        <f>AND('GA55 Entry'!#REF!,"AAAAAH/3/qY=")</f>
        <v>#REF!</v>
      </c>
      <c r="FL117" t="e">
        <f>AND('GA55 Entry'!#REF!,"AAAAAH/3/qc=")</f>
        <v>#REF!</v>
      </c>
      <c r="FM117" t="e">
        <f>AND('GA55 Entry'!#REF!,"AAAAAH/3/qg=")</f>
        <v>#REF!</v>
      </c>
      <c r="FN117" t="e">
        <f>AND('GA55 Entry'!#REF!,"AAAAAH/3/qk=")</f>
        <v>#REF!</v>
      </c>
      <c r="FO117" t="e">
        <f>AND('GA55 Entry'!Z356,"AAAAAH/3/qo=")</f>
        <v>#VALUE!</v>
      </c>
      <c r="FP117" t="e">
        <f>AND('GA55 Entry'!AA356,"AAAAAH/3/qs=")</f>
        <v>#VALUE!</v>
      </c>
      <c r="FQ117" t="e">
        <f>AND('GA55 Entry'!#REF!,"AAAAAH/3/qw=")</f>
        <v>#REF!</v>
      </c>
      <c r="FR117" t="e">
        <f>AND('GA55 Entry'!#REF!,"AAAAAH/3/q0=")</f>
        <v>#REF!</v>
      </c>
      <c r="FS117" t="e">
        <f>AND('GA55 Entry'!#REF!,"AAAAAH/3/q4=")</f>
        <v>#REF!</v>
      </c>
      <c r="FT117" t="e">
        <f>AND('GA55 Entry'!AB356,"AAAAAH/3/q8=")</f>
        <v>#VALUE!</v>
      </c>
      <c r="FU117" t="e">
        <f>AND('GA55 Entry'!AC356,"AAAAAH/3/rA=")</f>
        <v>#VALUE!</v>
      </c>
      <c r="FV117" t="e">
        <f>AND('GA55 Entry'!#REF!,"AAAAAH/3/rE=")</f>
        <v>#REF!</v>
      </c>
      <c r="FW117">
        <f>IF('GA55 Entry'!357:357,"AAAAAH/3/rI=",0)</f>
        <v>0</v>
      </c>
      <c r="FX117" t="e">
        <f>AND('GA55 Entry'!B357,"AAAAAH/3/rM=")</f>
        <v>#VALUE!</v>
      </c>
      <c r="FY117" t="e">
        <f>AND('GA55 Entry'!#REF!,"AAAAAH/3/rQ=")</f>
        <v>#REF!</v>
      </c>
      <c r="FZ117" t="e">
        <f>AND('GA55 Entry'!C357,"AAAAAH/3/rU=")</f>
        <v>#VALUE!</v>
      </c>
      <c r="GA117" t="e">
        <f>AND('GA55 Entry'!#REF!,"AAAAAH/3/rY=")</f>
        <v>#REF!</v>
      </c>
      <c r="GB117" t="e">
        <f>AND('GA55 Entry'!#REF!,"AAAAAH/3/rc=")</f>
        <v>#REF!</v>
      </c>
      <c r="GC117" t="e">
        <f>AND('GA55 Entry'!#REF!,"AAAAAH/3/rg=")</f>
        <v>#REF!</v>
      </c>
      <c r="GD117" t="e">
        <f>AND('GA55 Entry'!#REF!,"AAAAAH/3/rk=")</f>
        <v>#REF!</v>
      </c>
      <c r="GE117" t="e">
        <f>AND('GA55 Entry'!#REF!,"AAAAAH/3/ro=")</f>
        <v>#REF!</v>
      </c>
      <c r="GF117" t="e">
        <f>AND('GA55 Entry'!D357,"AAAAAH/3/rs=")</f>
        <v>#VALUE!</v>
      </c>
      <c r="GG117" t="e">
        <f>AND('GA55 Entry'!#REF!,"AAAAAH/3/rw=")</f>
        <v>#REF!</v>
      </c>
      <c r="GH117" t="e">
        <f>AND('GA55 Entry'!E357,"AAAAAH/3/r0=")</f>
        <v>#VALUE!</v>
      </c>
      <c r="GI117" t="e">
        <f>AND('GA55 Entry'!F357,"AAAAAH/3/r4=")</f>
        <v>#VALUE!</v>
      </c>
      <c r="GJ117" t="e">
        <f>AND('GA55 Entry'!G357,"AAAAAH/3/r8=")</f>
        <v>#VALUE!</v>
      </c>
      <c r="GK117" t="e">
        <f>AND('GA55 Entry'!H357,"AAAAAH/3/sA=")</f>
        <v>#VALUE!</v>
      </c>
      <c r="GL117" t="e">
        <f>AND('GA55 Entry'!I357,"AAAAAH/3/sE=")</f>
        <v>#VALUE!</v>
      </c>
      <c r="GM117" t="e">
        <f>AND('GA55 Entry'!J357,"AAAAAH/3/sI=")</f>
        <v>#VALUE!</v>
      </c>
      <c r="GN117" t="e">
        <f>AND('GA55 Entry'!#REF!,"AAAAAH/3/sM=")</f>
        <v>#REF!</v>
      </c>
      <c r="GO117" t="e">
        <f>AND('GA55 Entry'!K357,"AAAAAH/3/sQ=")</f>
        <v>#VALUE!</v>
      </c>
      <c r="GP117" t="e">
        <f>AND('GA55 Entry'!L357,"AAAAAH/3/sU=")</f>
        <v>#VALUE!</v>
      </c>
      <c r="GQ117" t="e">
        <f>AND('GA55 Entry'!M357,"AAAAAH/3/sY=")</f>
        <v>#VALUE!</v>
      </c>
      <c r="GR117" t="e">
        <f>AND('GA55 Entry'!N357,"AAAAAH/3/sc=")</f>
        <v>#VALUE!</v>
      </c>
      <c r="GS117" t="e">
        <f>AND('GA55 Entry'!O357,"AAAAAH/3/sg=")</f>
        <v>#VALUE!</v>
      </c>
      <c r="GT117" t="e">
        <f>AND('GA55 Entry'!P357,"AAAAAH/3/sk=")</f>
        <v>#VALUE!</v>
      </c>
      <c r="GU117" t="e">
        <f>AND('GA55 Entry'!Q357,"AAAAAH/3/so=")</f>
        <v>#VALUE!</v>
      </c>
      <c r="GV117" t="e">
        <f>AND('GA55 Entry'!S357,"AAAAAH/3/ss=")</f>
        <v>#VALUE!</v>
      </c>
      <c r="GW117" t="e">
        <f>AND('GA55 Entry'!#REF!,"AAAAAH/3/sw=")</f>
        <v>#REF!</v>
      </c>
      <c r="GX117" t="e">
        <f>AND('GA55 Entry'!T357,"AAAAAH/3/s0=")</f>
        <v>#VALUE!</v>
      </c>
      <c r="GY117" t="e">
        <f>AND('GA55 Entry'!U357,"AAAAAH/3/s4=")</f>
        <v>#VALUE!</v>
      </c>
      <c r="GZ117" t="e">
        <f>AND('GA55 Entry'!V357,"AAAAAH/3/s8=")</f>
        <v>#VALUE!</v>
      </c>
      <c r="HA117" t="e">
        <f>AND('GA55 Entry'!#REF!,"AAAAAH/3/tA=")</f>
        <v>#REF!</v>
      </c>
      <c r="HB117" t="e">
        <f>AND('GA55 Entry'!#REF!,"AAAAAH/3/tE=")</f>
        <v>#REF!</v>
      </c>
      <c r="HC117" t="e">
        <f>AND('GA55 Entry'!X357,"AAAAAH/3/tI=")</f>
        <v>#VALUE!</v>
      </c>
      <c r="HD117" t="e">
        <f>AND('GA55 Entry'!Y357,"AAAAAH/3/tM=")</f>
        <v>#VALUE!</v>
      </c>
      <c r="HE117" t="e">
        <f>AND('GA55 Entry'!#REF!,"AAAAAH/3/tQ=")</f>
        <v>#REF!</v>
      </c>
      <c r="HF117" t="e">
        <f>AND('GA55 Entry'!#REF!,"AAAAAH/3/tU=")</f>
        <v>#REF!</v>
      </c>
      <c r="HG117" t="e">
        <f>AND('GA55 Entry'!#REF!,"AAAAAH/3/tY=")</f>
        <v>#REF!</v>
      </c>
      <c r="HH117" t="e">
        <f>AND('GA55 Entry'!#REF!,"AAAAAH/3/tc=")</f>
        <v>#REF!</v>
      </c>
      <c r="HI117" t="e">
        <f>AND('GA55 Entry'!#REF!,"AAAAAH/3/tg=")</f>
        <v>#REF!</v>
      </c>
      <c r="HJ117" t="e">
        <f>AND('GA55 Entry'!#REF!,"AAAAAH/3/tk=")</f>
        <v>#REF!</v>
      </c>
      <c r="HK117" t="e">
        <f>AND('GA55 Entry'!#REF!,"AAAAAH/3/to=")</f>
        <v>#REF!</v>
      </c>
      <c r="HL117" t="e">
        <f>AND('GA55 Entry'!#REF!,"AAAAAH/3/ts=")</f>
        <v>#REF!</v>
      </c>
      <c r="HM117" t="e">
        <f>AND('GA55 Entry'!#REF!,"AAAAAH/3/tw=")</f>
        <v>#REF!</v>
      </c>
      <c r="HN117" t="e">
        <f>AND('GA55 Entry'!Z357,"AAAAAH/3/t0=")</f>
        <v>#VALUE!</v>
      </c>
      <c r="HO117" t="e">
        <f>AND('GA55 Entry'!AA357,"AAAAAH/3/t4=")</f>
        <v>#VALUE!</v>
      </c>
      <c r="HP117" t="e">
        <f>AND('GA55 Entry'!#REF!,"AAAAAH/3/t8=")</f>
        <v>#REF!</v>
      </c>
      <c r="HQ117" t="e">
        <f>AND('GA55 Entry'!#REF!,"AAAAAH/3/uA=")</f>
        <v>#REF!</v>
      </c>
      <c r="HR117" t="e">
        <f>AND('GA55 Entry'!#REF!,"AAAAAH/3/uE=")</f>
        <v>#REF!</v>
      </c>
      <c r="HS117" t="e">
        <f>AND('GA55 Entry'!AB357,"AAAAAH/3/uI=")</f>
        <v>#VALUE!</v>
      </c>
      <c r="HT117" t="e">
        <f>AND('GA55 Entry'!AC357,"AAAAAH/3/uM=")</f>
        <v>#VALUE!</v>
      </c>
      <c r="HU117" t="e">
        <f>AND('GA55 Entry'!#REF!,"AAAAAH/3/uQ=")</f>
        <v>#REF!</v>
      </c>
      <c r="HV117">
        <f>IF('GA55 Entry'!358:358,"AAAAAH/3/uU=",0)</f>
        <v>0</v>
      </c>
      <c r="HW117" t="e">
        <f>AND('GA55 Entry'!B358,"AAAAAH/3/uY=")</f>
        <v>#VALUE!</v>
      </c>
      <c r="HX117" t="e">
        <f>AND('GA55 Entry'!#REF!,"AAAAAH/3/uc=")</f>
        <v>#REF!</v>
      </c>
      <c r="HY117" t="e">
        <f>AND('GA55 Entry'!C358,"AAAAAH/3/ug=")</f>
        <v>#VALUE!</v>
      </c>
      <c r="HZ117" t="e">
        <f>AND('GA55 Entry'!#REF!,"AAAAAH/3/uk=")</f>
        <v>#REF!</v>
      </c>
      <c r="IA117" t="e">
        <f>AND('GA55 Entry'!#REF!,"AAAAAH/3/uo=")</f>
        <v>#REF!</v>
      </c>
      <c r="IB117" t="e">
        <f>AND('GA55 Entry'!#REF!,"AAAAAH/3/us=")</f>
        <v>#REF!</v>
      </c>
      <c r="IC117" t="e">
        <f>AND('GA55 Entry'!#REF!,"AAAAAH/3/uw=")</f>
        <v>#REF!</v>
      </c>
      <c r="ID117" t="e">
        <f>AND('GA55 Entry'!#REF!,"AAAAAH/3/u0=")</f>
        <v>#REF!</v>
      </c>
      <c r="IE117" t="e">
        <f>AND('GA55 Entry'!D358,"AAAAAH/3/u4=")</f>
        <v>#VALUE!</v>
      </c>
      <c r="IF117" t="e">
        <f>AND('GA55 Entry'!#REF!,"AAAAAH/3/u8=")</f>
        <v>#REF!</v>
      </c>
      <c r="IG117" t="e">
        <f>AND('GA55 Entry'!E358,"AAAAAH/3/vA=")</f>
        <v>#VALUE!</v>
      </c>
      <c r="IH117" t="e">
        <f>AND('GA55 Entry'!F358,"AAAAAH/3/vE=")</f>
        <v>#VALUE!</v>
      </c>
      <c r="II117" t="e">
        <f>AND('GA55 Entry'!G358,"AAAAAH/3/vI=")</f>
        <v>#VALUE!</v>
      </c>
      <c r="IJ117" t="e">
        <f>AND('GA55 Entry'!H358,"AAAAAH/3/vM=")</f>
        <v>#VALUE!</v>
      </c>
      <c r="IK117" t="e">
        <f>AND('GA55 Entry'!I358,"AAAAAH/3/vQ=")</f>
        <v>#VALUE!</v>
      </c>
      <c r="IL117" t="e">
        <f>AND('GA55 Entry'!J358,"AAAAAH/3/vU=")</f>
        <v>#VALUE!</v>
      </c>
      <c r="IM117" t="e">
        <f>AND('GA55 Entry'!#REF!,"AAAAAH/3/vY=")</f>
        <v>#REF!</v>
      </c>
      <c r="IN117" t="e">
        <f>AND('GA55 Entry'!K358,"AAAAAH/3/vc=")</f>
        <v>#VALUE!</v>
      </c>
      <c r="IO117" t="e">
        <f>AND('GA55 Entry'!L358,"AAAAAH/3/vg=")</f>
        <v>#VALUE!</v>
      </c>
      <c r="IP117" t="e">
        <f>AND('GA55 Entry'!M358,"AAAAAH/3/vk=")</f>
        <v>#VALUE!</v>
      </c>
      <c r="IQ117" t="e">
        <f>AND('GA55 Entry'!N358,"AAAAAH/3/vo=")</f>
        <v>#VALUE!</v>
      </c>
      <c r="IR117" t="e">
        <f>AND('GA55 Entry'!O358,"AAAAAH/3/vs=")</f>
        <v>#VALUE!</v>
      </c>
      <c r="IS117" t="e">
        <f>AND('GA55 Entry'!P358,"AAAAAH/3/vw=")</f>
        <v>#VALUE!</v>
      </c>
      <c r="IT117" t="e">
        <f>AND('GA55 Entry'!Q358,"AAAAAH/3/v0=")</f>
        <v>#VALUE!</v>
      </c>
      <c r="IU117" t="e">
        <f>AND('GA55 Entry'!S358,"AAAAAH/3/v4=")</f>
        <v>#VALUE!</v>
      </c>
      <c r="IV117" t="e">
        <f>AND('GA55 Entry'!#REF!,"AAAAAH/3/v8=")</f>
        <v>#REF!</v>
      </c>
    </row>
    <row r="118" spans="1:256">
      <c r="A118" t="e">
        <f>AND('GA55 Entry'!T358,"AAAAAHv/zwA=")</f>
        <v>#VALUE!</v>
      </c>
      <c r="B118" t="e">
        <f>AND('GA55 Entry'!U358,"AAAAAHv/zwE=")</f>
        <v>#VALUE!</v>
      </c>
      <c r="C118" t="e">
        <f>AND('GA55 Entry'!V358,"AAAAAHv/zwI=")</f>
        <v>#VALUE!</v>
      </c>
      <c r="D118" t="e">
        <f>AND('GA55 Entry'!#REF!,"AAAAAHv/zwM=")</f>
        <v>#REF!</v>
      </c>
      <c r="E118" t="e">
        <f>AND('GA55 Entry'!#REF!,"AAAAAHv/zwQ=")</f>
        <v>#REF!</v>
      </c>
      <c r="F118" t="e">
        <f>AND('GA55 Entry'!X358,"AAAAAHv/zwU=")</f>
        <v>#VALUE!</v>
      </c>
      <c r="G118" t="e">
        <f>AND('GA55 Entry'!Y358,"AAAAAHv/zwY=")</f>
        <v>#VALUE!</v>
      </c>
      <c r="H118" t="e">
        <f>AND('GA55 Entry'!#REF!,"AAAAAHv/zwc=")</f>
        <v>#REF!</v>
      </c>
      <c r="I118" t="e">
        <f>AND('GA55 Entry'!#REF!,"AAAAAHv/zwg=")</f>
        <v>#REF!</v>
      </c>
      <c r="J118" t="e">
        <f>AND('GA55 Entry'!#REF!,"AAAAAHv/zwk=")</f>
        <v>#REF!</v>
      </c>
      <c r="K118" t="e">
        <f>AND('GA55 Entry'!#REF!,"AAAAAHv/zwo=")</f>
        <v>#REF!</v>
      </c>
      <c r="L118" t="e">
        <f>AND('GA55 Entry'!#REF!,"AAAAAHv/zws=")</f>
        <v>#REF!</v>
      </c>
      <c r="M118" t="e">
        <f>AND('GA55 Entry'!#REF!,"AAAAAHv/zww=")</f>
        <v>#REF!</v>
      </c>
      <c r="N118" t="e">
        <f>AND('GA55 Entry'!#REF!,"AAAAAHv/zw0=")</f>
        <v>#REF!</v>
      </c>
      <c r="O118" t="e">
        <f>AND('GA55 Entry'!#REF!,"AAAAAHv/zw4=")</f>
        <v>#REF!</v>
      </c>
      <c r="P118" t="e">
        <f>AND('GA55 Entry'!#REF!,"AAAAAHv/zw8=")</f>
        <v>#REF!</v>
      </c>
      <c r="Q118" t="e">
        <f>AND('GA55 Entry'!Z358,"AAAAAHv/zxA=")</f>
        <v>#VALUE!</v>
      </c>
      <c r="R118" t="e">
        <f>AND('GA55 Entry'!AA358,"AAAAAHv/zxE=")</f>
        <v>#VALUE!</v>
      </c>
      <c r="S118" t="e">
        <f>AND('GA55 Entry'!#REF!,"AAAAAHv/zxI=")</f>
        <v>#REF!</v>
      </c>
      <c r="T118" t="e">
        <f>AND('GA55 Entry'!#REF!,"AAAAAHv/zxM=")</f>
        <v>#REF!</v>
      </c>
      <c r="U118" t="e">
        <f>AND('GA55 Entry'!#REF!,"AAAAAHv/zxQ=")</f>
        <v>#REF!</v>
      </c>
      <c r="V118" t="e">
        <f>AND('GA55 Entry'!AB358,"AAAAAHv/zxU=")</f>
        <v>#VALUE!</v>
      </c>
      <c r="W118" t="e">
        <f>AND('GA55 Entry'!AC358,"AAAAAHv/zxY=")</f>
        <v>#VALUE!</v>
      </c>
      <c r="X118" t="e">
        <f>AND('GA55 Entry'!#REF!,"AAAAAHv/zxc=")</f>
        <v>#REF!</v>
      </c>
      <c r="Y118">
        <f>IF('GA55 Entry'!359:359,"AAAAAHv/zxg=",0)</f>
        <v>0</v>
      </c>
      <c r="Z118" t="e">
        <f>AND('GA55 Entry'!B359,"AAAAAHv/zxk=")</f>
        <v>#VALUE!</v>
      </c>
      <c r="AA118" t="e">
        <f>AND('GA55 Entry'!#REF!,"AAAAAHv/zxo=")</f>
        <v>#REF!</v>
      </c>
      <c r="AB118" t="e">
        <f>AND('GA55 Entry'!C359,"AAAAAHv/zxs=")</f>
        <v>#VALUE!</v>
      </c>
      <c r="AC118" t="e">
        <f>AND('GA55 Entry'!#REF!,"AAAAAHv/zxw=")</f>
        <v>#REF!</v>
      </c>
      <c r="AD118" t="e">
        <f>AND('GA55 Entry'!#REF!,"AAAAAHv/zx0=")</f>
        <v>#REF!</v>
      </c>
      <c r="AE118" t="e">
        <f>AND('GA55 Entry'!#REF!,"AAAAAHv/zx4=")</f>
        <v>#REF!</v>
      </c>
      <c r="AF118" t="e">
        <f>AND('GA55 Entry'!#REF!,"AAAAAHv/zx8=")</f>
        <v>#REF!</v>
      </c>
      <c r="AG118" t="e">
        <f>AND('GA55 Entry'!#REF!,"AAAAAHv/zyA=")</f>
        <v>#REF!</v>
      </c>
      <c r="AH118" t="e">
        <f>AND('GA55 Entry'!D359,"AAAAAHv/zyE=")</f>
        <v>#VALUE!</v>
      </c>
      <c r="AI118" t="e">
        <f>AND('GA55 Entry'!#REF!,"AAAAAHv/zyI=")</f>
        <v>#REF!</v>
      </c>
      <c r="AJ118" t="e">
        <f>AND('GA55 Entry'!E359,"AAAAAHv/zyM=")</f>
        <v>#VALUE!</v>
      </c>
      <c r="AK118" t="e">
        <f>AND('GA55 Entry'!F359,"AAAAAHv/zyQ=")</f>
        <v>#VALUE!</v>
      </c>
      <c r="AL118" t="e">
        <f>AND('GA55 Entry'!G359,"AAAAAHv/zyU=")</f>
        <v>#VALUE!</v>
      </c>
      <c r="AM118" t="e">
        <f>AND('GA55 Entry'!H359,"AAAAAHv/zyY=")</f>
        <v>#VALUE!</v>
      </c>
      <c r="AN118" t="e">
        <f>AND('GA55 Entry'!I359,"AAAAAHv/zyc=")</f>
        <v>#VALUE!</v>
      </c>
      <c r="AO118" t="e">
        <f>AND('GA55 Entry'!J359,"AAAAAHv/zyg=")</f>
        <v>#VALUE!</v>
      </c>
      <c r="AP118" t="e">
        <f>AND('GA55 Entry'!#REF!,"AAAAAHv/zyk=")</f>
        <v>#REF!</v>
      </c>
      <c r="AQ118" t="e">
        <f>AND('GA55 Entry'!K359,"AAAAAHv/zyo=")</f>
        <v>#VALUE!</v>
      </c>
      <c r="AR118" t="e">
        <f>AND('GA55 Entry'!L359,"AAAAAHv/zys=")</f>
        <v>#VALUE!</v>
      </c>
      <c r="AS118" t="e">
        <f>AND('GA55 Entry'!M359,"AAAAAHv/zyw=")</f>
        <v>#VALUE!</v>
      </c>
      <c r="AT118" t="e">
        <f>AND('GA55 Entry'!N359,"AAAAAHv/zy0=")</f>
        <v>#VALUE!</v>
      </c>
      <c r="AU118" t="e">
        <f>AND('GA55 Entry'!O359,"AAAAAHv/zy4=")</f>
        <v>#VALUE!</v>
      </c>
      <c r="AV118" t="e">
        <f>AND('GA55 Entry'!P359,"AAAAAHv/zy8=")</f>
        <v>#VALUE!</v>
      </c>
      <c r="AW118" t="e">
        <f>AND('GA55 Entry'!Q359,"AAAAAHv/zzA=")</f>
        <v>#VALUE!</v>
      </c>
      <c r="AX118" t="e">
        <f>AND('GA55 Entry'!S359,"AAAAAHv/zzE=")</f>
        <v>#VALUE!</v>
      </c>
      <c r="AY118" t="e">
        <f>AND('GA55 Entry'!#REF!,"AAAAAHv/zzI=")</f>
        <v>#REF!</v>
      </c>
      <c r="AZ118" t="e">
        <f>AND('GA55 Entry'!T359,"AAAAAHv/zzM=")</f>
        <v>#VALUE!</v>
      </c>
      <c r="BA118" t="e">
        <f>AND('GA55 Entry'!U359,"AAAAAHv/zzQ=")</f>
        <v>#VALUE!</v>
      </c>
      <c r="BB118" t="e">
        <f>AND('GA55 Entry'!V359,"AAAAAHv/zzU=")</f>
        <v>#VALUE!</v>
      </c>
      <c r="BC118" t="e">
        <f>AND('GA55 Entry'!#REF!,"AAAAAHv/zzY=")</f>
        <v>#REF!</v>
      </c>
      <c r="BD118" t="e">
        <f>AND('GA55 Entry'!#REF!,"AAAAAHv/zzc=")</f>
        <v>#REF!</v>
      </c>
      <c r="BE118" t="e">
        <f>AND('GA55 Entry'!X359,"AAAAAHv/zzg=")</f>
        <v>#VALUE!</v>
      </c>
      <c r="BF118" t="e">
        <f>AND('GA55 Entry'!Y359,"AAAAAHv/zzk=")</f>
        <v>#VALUE!</v>
      </c>
      <c r="BG118" t="e">
        <f>AND('GA55 Entry'!#REF!,"AAAAAHv/zzo=")</f>
        <v>#REF!</v>
      </c>
      <c r="BH118" t="e">
        <f>AND('GA55 Entry'!#REF!,"AAAAAHv/zzs=")</f>
        <v>#REF!</v>
      </c>
      <c r="BI118" t="e">
        <f>AND('GA55 Entry'!#REF!,"AAAAAHv/zzw=")</f>
        <v>#REF!</v>
      </c>
      <c r="BJ118" t="e">
        <f>AND('GA55 Entry'!#REF!,"AAAAAHv/zz0=")</f>
        <v>#REF!</v>
      </c>
      <c r="BK118" t="e">
        <f>AND('GA55 Entry'!#REF!,"AAAAAHv/zz4=")</f>
        <v>#REF!</v>
      </c>
      <c r="BL118" t="e">
        <f>AND('GA55 Entry'!#REF!,"AAAAAHv/zz8=")</f>
        <v>#REF!</v>
      </c>
      <c r="BM118" t="e">
        <f>AND('GA55 Entry'!#REF!,"AAAAAHv/z0A=")</f>
        <v>#REF!</v>
      </c>
      <c r="BN118" t="e">
        <f>AND('GA55 Entry'!#REF!,"AAAAAHv/z0E=")</f>
        <v>#REF!</v>
      </c>
      <c r="BO118" t="e">
        <f>AND('GA55 Entry'!#REF!,"AAAAAHv/z0I=")</f>
        <v>#REF!</v>
      </c>
      <c r="BP118" t="e">
        <f>AND('GA55 Entry'!Z359,"AAAAAHv/z0M=")</f>
        <v>#VALUE!</v>
      </c>
      <c r="BQ118" t="e">
        <f>AND('GA55 Entry'!AA359,"AAAAAHv/z0Q=")</f>
        <v>#VALUE!</v>
      </c>
      <c r="BR118" t="e">
        <f>AND('GA55 Entry'!#REF!,"AAAAAHv/z0U=")</f>
        <v>#REF!</v>
      </c>
      <c r="BS118" t="e">
        <f>AND('GA55 Entry'!#REF!,"AAAAAHv/z0Y=")</f>
        <v>#REF!</v>
      </c>
      <c r="BT118" t="e">
        <f>AND('GA55 Entry'!#REF!,"AAAAAHv/z0c=")</f>
        <v>#REF!</v>
      </c>
      <c r="BU118" t="e">
        <f>AND('GA55 Entry'!AB359,"AAAAAHv/z0g=")</f>
        <v>#VALUE!</v>
      </c>
      <c r="BV118" t="e">
        <f>AND('GA55 Entry'!AC359,"AAAAAHv/z0k=")</f>
        <v>#VALUE!</v>
      </c>
      <c r="BW118" t="e">
        <f>AND('GA55 Entry'!#REF!,"AAAAAHv/z0o=")</f>
        <v>#REF!</v>
      </c>
      <c r="BX118">
        <f>IF('GA55 Entry'!360:360,"AAAAAHv/z0s=",0)</f>
        <v>0</v>
      </c>
      <c r="BY118" t="e">
        <f>AND('GA55 Entry'!B360,"AAAAAHv/z0w=")</f>
        <v>#VALUE!</v>
      </c>
      <c r="BZ118" t="e">
        <f>AND('GA55 Entry'!#REF!,"AAAAAHv/z00=")</f>
        <v>#REF!</v>
      </c>
      <c r="CA118" t="e">
        <f>AND('GA55 Entry'!C360,"AAAAAHv/z04=")</f>
        <v>#VALUE!</v>
      </c>
      <c r="CB118" t="e">
        <f>AND('GA55 Entry'!#REF!,"AAAAAHv/z08=")</f>
        <v>#REF!</v>
      </c>
      <c r="CC118" t="e">
        <f>AND('GA55 Entry'!#REF!,"AAAAAHv/z1A=")</f>
        <v>#REF!</v>
      </c>
      <c r="CD118" t="e">
        <f>AND('GA55 Entry'!#REF!,"AAAAAHv/z1E=")</f>
        <v>#REF!</v>
      </c>
      <c r="CE118" t="e">
        <f>AND('GA55 Entry'!#REF!,"AAAAAHv/z1I=")</f>
        <v>#REF!</v>
      </c>
      <c r="CF118" t="e">
        <f>AND('GA55 Entry'!#REF!,"AAAAAHv/z1M=")</f>
        <v>#REF!</v>
      </c>
      <c r="CG118" t="e">
        <f>AND('GA55 Entry'!D360,"AAAAAHv/z1Q=")</f>
        <v>#VALUE!</v>
      </c>
      <c r="CH118" t="e">
        <f>AND('GA55 Entry'!#REF!,"AAAAAHv/z1U=")</f>
        <v>#REF!</v>
      </c>
      <c r="CI118" t="e">
        <f>AND('GA55 Entry'!E360,"AAAAAHv/z1Y=")</f>
        <v>#VALUE!</v>
      </c>
      <c r="CJ118" t="e">
        <f>AND('GA55 Entry'!F360,"AAAAAHv/z1c=")</f>
        <v>#VALUE!</v>
      </c>
      <c r="CK118" t="e">
        <f>AND('GA55 Entry'!G360,"AAAAAHv/z1g=")</f>
        <v>#VALUE!</v>
      </c>
      <c r="CL118" t="e">
        <f>AND('GA55 Entry'!H360,"AAAAAHv/z1k=")</f>
        <v>#VALUE!</v>
      </c>
      <c r="CM118" t="e">
        <f>AND('GA55 Entry'!I360,"AAAAAHv/z1o=")</f>
        <v>#VALUE!</v>
      </c>
      <c r="CN118" t="e">
        <f>AND('GA55 Entry'!J360,"AAAAAHv/z1s=")</f>
        <v>#VALUE!</v>
      </c>
      <c r="CO118" t="e">
        <f>AND('GA55 Entry'!#REF!,"AAAAAHv/z1w=")</f>
        <v>#REF!</v>
      </c>
      <c r="CP118" t="e">
        <f>AND('GA55 Entry'!K360,"AAAAAHv/z10=")</f>
        <v>#VALUE!</v>
      </c>
      <c r="CQ118" t="e">
        <f>AND('GA55 Entry'!L360,"AAAAAHv/z14=")</f>
        <v>#VALUE!</v>
      </c>
      <c r="CR118" t="e">
        <f>AND('GA55 Entry'!M360,"AAAAAHv/z18=")</f>
        <v>#VALUE!</v>
      </c>
      <c r="CS118" t="e">
        <f>AND('GA55 Entry'!N360,"AAAAAHv/z2A=")</f>
        <v>#VALUE!</v>
      </c>
      <c r="CT118" t="e">
        <f>AND('GA55 Entry'!O360,"AAAAAHv/z2E=")</f>
        <v>#VALUE!</v>
      </c>
      <c r="CU118" t="e">
        <f>AND('GA55 Entry'!P360,"AAAAAHv/z2I=")</f>
        <v>#VALUE!</v>
      </c>
      <c r="CV118" t="e">
        <f>AND('GA55 Entry'!Q360,"AAAAAHv/z2M=")</f>
        <v>#VALUE!</v>
      </c>
      <c r="CW118" t="e">
        <f>AND('GA55 Entry'!S360,"AAAAAHv/z2Q=")</f>
        <v>#VALUE!</v>
      </c>
      <c r="CX118" t="e">
        <f>AND('GA55 Entry'!#REF!,"AAAAAHv/z2U=")</f>
        <v>#REF!</v>
      </c>
      <c r="CY118" t="e">
        <f>AND('GA55 Entry'!T360,"AAAAAHv/z2Y=")</f>
        <v>#VALUE!</v>
      </c>
      <c r="CZ118" t="e">
        <f>AND('GA55 Entry'!U360,"AAAAAHv/z2c=")</f>
        <v>#VALUE!</v>
      </c>
      <c r="DA118" t="e">
        <f>AND('GA55 Entry'!V360,"AAAAAHv/z2g=")</f>
        <v>#VALUE!</v>
      </c>
      <c r="DB118" t="e">
        <f>AND('GA55 Entry'!#REF!,"AAAAAHv/z2k=")</f>
        <v>#REF!</v>
      </c>
      <c r="DC118" t="e">
        <f>AND('GA55 Entry'!#REF!,"AAAAAHv/z2o=")</f>
        <v>#REF!</v>
      </c>
      <c r="DD118" t="e">
        <f>AND('GA55 Entry'!X360,"AAAAAHv/z2s=")</f>
        <v>#VALUE!</v>
      </c>
      <c r="DE118" t="e">
        <f>AND('GA55 Entry'!Y360,"AAAAAHv/z2w=")</f>
        <v>#VALUE!</v>
      </c>
      <c r="DF118" t="e">
        <f>AND('GA55 Entry'!#REF!,"AAAAAHv/z20=")</f>
        <v>#REF!</v>
      </c>
      <c r="DG118" t="e">
        <f>AND('GA55 Entry'!#REF!,"AAAAAHv/z24=")</f>
        <v>#REF!</v>
      </c>
      <c r="DH118" t="e">
        <f>AND('GA55 Entry'!#REF!,"AAAAAHv/z28=")</f>
        <v>#REF!</v>
      </c>
      <c r="DI118" t="e">
        <f>AND('GA55 Entry'!#REF!,"AAAAAHv/z3A=")</f>
        <v>#REF!</v>
      </c>
      <c r="DJ118" t="e">
        <f>AND('GA55 Entry'!#REF!,"AAAAAHv/z3E=")</f>
        <v>#REF!</v>
      </c>
      <c r="DK118" t="e">
        <f>AND('GA55 Entry'!#REF!,"AAAAAHv/z3I=")</f>
        <v>#REF!</v>
      </c>
      <c r="DL118" t="e">
        <f>AND('GA55 Entry'!#REF!,"AAAAAHv/z3M=")</f>
        <v>#REF!</v>
      </c>
      <c r="DM118" t="e">
        <f>AND('GA55 Entry'!#REF!,"AAAAAHv/z3Q=")</f>
        <v>#REF!</v>
      </c>
      <c r="DN118" t="e">
        <f>AND('GA55 Entry'!#REF!,"AAAAAHv/z3U=")</f>
        <v>#REF!</v>
      </c>
      <c r="DO118" t="e">
        <f>AND('GA55 Entry'!Z360,"AAAAAHv/z3Y=")</f>
        <v>#VALUE!</v>
      </c>
      <c r="DP118" t="e">
        <f>AND('GA55 Entry'!AA360,"AAAAAHv/z3c=")</f>
        <v>#VALUE!</v>
      </c>
      <c r="DQ118" t="e">
        <f>AND('GA55 Entry'!#REF!,"AAAAAHv/z3g=")</f>
        <v>#REF!</v>
      </c>
      <c r="DR118" t="e">
        <f>AND('GA55 Entry'!#REF!,"AAAAAHv/z3k=")</f>
        <v>#REF!</v>
      </c>
      <c r="DS118" t="e">
        <f>AND('GA55 Entry'!#REF!,"AAAAAHv/z3o=")</f>
        <v>#REF!</v>
      </c>
      <c r="DT118" t="e">
        <f>AND('GA55 Entry'!AB360,"AAAAAHv/z3s=")</f>
        <v>#VALUE!</v>
      </c>
      <c r="DU118" t="e">
        <f>AND('GA55 Entry'!AC360,"AAAAAHv/z3w=")</f>
        <v>#VALUE!</v>
      </c>
      <c r="DV118" t="e">
        <f>AND('GA55 Entry'!#REF!,"AAAAAHv/z30=")</f>
        <v>#REF!</v>
      </c>
      <c r="DW118">
        <f>IF('GA55 Entry'!361:361,"AAAAAHv/z34=",0)</f>
        <v>0</v>
      </c>
      <c r="DX118" t="e">
        <f>AND('GA55 Entry'!B361,"AAAAAHv/z38=")</f>
        <v>#VALUE!</v>
      </c>
      <c r="DY118" t="e">
        <f>AND('GA55 Entry'!#REF!,"AAAAAHv/z4A=")</f>
        <v>#REF!</v>
      </c>
      <c r="DZ118" t="e">
        <f>AND('GA55 Entry'!C361,"AAAAAHv/z4E=")</f>
        <v>#VALUE!</v>
      </c>
      <c r="EA118" t="e">
        <f>AND('GA55 Entry'!#REF!,"AAAAAHv/z4I=")</f>
        <v>#REF!</v>
      </c>
      <c r="EB118" t="e">
        <f>AND('GA55 Entry'!#REF!,"AAAAAHv/z4M=")</f>
        <v>#REF!</v>
      </c>
      <c r="EC118" t="e">
        <f>AND('GA55 Entry'!#REF!,"AAAAAHv/z4Q=")</f>
        <v>#REF!</v>
      </c>
      <c r="ED118" t="e">
        <f>AND('GA55 Entry'!#REF!,"AAAAAHv/z4U=")</f>
        <v>#REF!</v>
      </c>
      <c r="EE118" t="e">
        <f>AND('GA55 Entry'!#REF!,"AAAAAHv/z4Y=")</f>
        <v>#REF!</v>
      </c>
      <c r="EF118" t="e">
        <f>AND('GA55 Entry'!D361,"AAAAAHv/z4c=")</f>
        <v>#VALUE!</v>
      </c>
      <c r="EG118" t="e">
        <f>AND('GA55 Entry'!#REF!,"AAAAAHv/z4g=")</f>
        <v>#REF!</v>
      </c>
      <c r="EH118" t="e">
        <f>AND('GA55 Entry'!E361,"AAAAAHv/z4k=")</f>
        <v>#VALUE!</v>
      </c>
      <c r="EI118" t="e">
        <f>AND('GA55 Entry'!F361,"AAAAAHv/z4o=")</f>
        <v>#VALUE!</v>
      </c>
      <c r="EJ118" t="e">
        <f>AND('GA55 Entry'!G361,"AAAAAHv/z4s=")</f>
        <v>#VALUE!</v>
      </c>
      <c r="EK118" t="e">
        <f>AND('GA55 Entry'!H361,"AAAAAHv/z4w=")</f>
        <v>#VALUE!</v>
      </c>
      <c r="EL118" t="e">
        <f>AND('GA55 Entry'!I361,"AAAAAHv/z40=")</f>
        <v>#VALUE!</v>
      </c>
      <c r="EM118" t="e">
        <f>AND('GA55 Entry'!J361,"AAAAAHv/z44=")</f>
        <v>#VALUE!</v>
      </c>
      <c r="EN118" t="e">
        <f>AND('GA55 Entry'!#REF!,"AAAAAHv/z48=")</f>
        <v>#REF!</v>
      </c>
      <c r="EO118" t="e">
        <f>AND('GA55 Entry'!K361,"AAAAAHv/z5A=")</f>
        <v>#VALUE!</v>
      </c>
      <c r="EP118" t="e">
        <f>AND('GA55 Entry'!L361,"AAAAAHv/z5E=")</f>
        <v>#VALUE!</v>
      </c>
      <c r="EQ118" t="e">
        <f>AND('GA55 Entry'!M361,"AAAAAHv/z5I=")</f>
        <v>#VALUE!</v>
      </c>
      <c r="ER118" t="e">
        <f>AND('GA55 Entry'!N361,"AAAAAHv/z5M=")</f>
        <v>#VALUE!</v>
      </c>
      <c r="ES118" t="e">
        <f>AND('GA55 Entry'!O361,"AAAAAHv/z5Q=")</f>
        <v>#VALUE!</v>
      </c>
      <c r="ET118" t="e">
        <f>AND('GA55 Entry'!P361,"AAAAAHv/z5U=")</f>
        <v>#VALUE!</v>
      </c>
      <c r="EU118" t="e">
        <f>AND('GA55 Entry'!Q361,"AAAAAHv/z5Y=")</f>
        <v>#VALUE!</v>
      </c>
      <c r="EV118" t="e">
        <f>AND('GA55 Entry'!S361,"AAAAAHv/z5c=")</f>
        <v>#VALUE!</v>
      </c>
      <c r="EW118" t="e">
        <f>AND('GA55 Entry'!#REF!,"AAAAAHv/z5g=")</f>
        <v>#REF!</v>
      </c>
      <c r="EX118" t="e">
        <f>AND('GA55 Entry'!T361,"AAAAAHv/z5k=")</f>
        <v>#VALUE!</v>
      </c>
      <c r="EY118" t="e">
        <f>AND('GA55 Entry'!U361,"AAAAAHv/z5o=")</f>
        <v>#VALUE!</v>
      </c>
      <c r="EZ118" t="e">
        <f>AND('GA55 Entry'!V361,"AAAAAHv/z5s=")</f>
        <v>#VALUE!</v>
      </c>
      <c r="FA118" t="e">
        <f>AND('GA55 Entry'!#REF!,"AAAAAHv/z5w=")</f>
        <v>#REF!</v>
      </c>
      <c r="FB118" t="e">
        <f>AND('GA55 Entry'!#REF!,"AAAAAHv/z50=")</f>
        <v>#REF!</v>
      </c>
      <c r="FC118" t="e">
        <f>AND('GA55 Entry'!X361,"AAAAAHv/z54=")</f>
        <v>#VALUE!</v>
      </c>
      <c r="FD118" t="e">
        <f>AND('GA55 Entry'!Y361,"AAAAAHv/z58=")</f>
        <v>#VALUE!</v>
      </c>
      <c r="FE118" t="e">
        <f>AND('GA55 Entry'!#REF!,"AAAAAHv/z6A=")</f>
        <v>#REF!</v>
      </c>
      <c r="FF118" t="e">
        <f>AND('GA55 Entry'!#REF!,"AAAAAHv/z6E=")</f>
        <v>#REF!</v>
      </c>
      <c r="FG118" t="e">
        <f>AND('GA55 Entry'!#REF!,"AAAAAHv/z6I=")</f>
        <v>#REF!</v>
      </c>
      <c r="FH118" t="e">
        <f>AND('GA55 Entry'!#REF!,"AAAAAHv/z6M=")</f>
        <v>#REF!</v>
      </c>
      <c r="FI118" t="e">
        <f>AND('GA55 Entry'!#REF!,"AAAAAHv/z6Q=")</f>
        <v>#REF!</v>
      </c>
      <c r="FJ118" t="e">
        <f>AND('GA55 Entry'!#REF!,"AAAAAHv/z6U=")</f>
        <v>#REF!</v>
      </c>
      <c r="FK118" t="e">
        <f>AND('GA55 Entry'!#REF!,"AAAAAHv/z6Y=")</f>
        <v>#REF!</v>
      </c>
      <c r="FL118" t="e">
        <f>AND('GA55 Entry'!#REF!,"AAAAAHv/z6c=")</f>
        <v>#REF!</v>
      </c>
      <c r="FM118" t="e">
        <f>AND('GA55 Entry'!#REF!,"AAAAAHv/z6g=")</f>
        <v>#REF!</v>
      </c>
      <c r="FN118" t="e">
        <f>AND('GA55 Entry'!Z361,"AAAAAHv/z6k=")</f>
        <v>#VALUE!</v>
      </c>
      <c r="FO118" t="e">
        <f>AND('GA55 Entry'!AA361,"AAAAAHv/z6o=")</f>
        <v>#VALUE!</v>
      </c>
      <c r="FP118" t="e">
        <f>AND('GA55 Entry'!#REF!,"AAAAAHv/z6s=")</f>
        <v>#REF!</v>
      </c>
      <c r="FQ118" t="e">
        <f>AND('GA55 Entry'!#REF!,"AAAAAHv/z6w=")</f>
        <v>#REF!</v>
      </c>
      <c r="FR118" t="e">
        <f>AND('GA55 Entry'!#REF!,"AAAAAHv/z60=")</f>
        <v>#REF!</v>
      </c>
      <c r="FS118" t="e">
        <f>AND('GA55 Entry'!AB361,"AAAAAHv/z64=")</f>
        <v>#VALUE!</v>
      </c>
      <c r="FT118" t="e">
        <f>AND('GA55 Entry'!AC361,"AAAAAHv/z68=")</f>
        <v>#VALUE!</v>
      </c>
      <c r="FU118" t="e">
        <f>AND('GA55 Entry'!#REF!,"AAAAAHv/z7A=")</f>
        <v>#REF!</v>
      </c>
      <c r="FV118">
        <f>IF('GA55 Entry'!362:362,"AAAAAHv/z7E=",0)</f>
        <v>0</v>
      </c>
      <c r="FW118" t="e">
        <f>AND('GA55 Entry'!B362,"AAAAAHv/z7I=")</f>
        <v>#VALUE!</v>
      </c>
      <c r="FX118" t="e">
        <f>AND('GA55 Entry'!#REF!,"AAAAAHv/z7M=")</f>
        <v>#REF!</v>
      </c>
      <c r="FY118" t="e">
        <f>AND('GA55 Entry'!C362,"AAAAAHv/z7Q=")</f>
        <v>#VALUE!</v>
      </c>
      <c r="FZ118" t="e">
        <f>AND('GA55 Entry'!#REF!,"AAAAAHv/z7U=")</f>
        <v>#REF!</v>
      </c>
      <c r="GA118" t="e">
        <f>AND('GA55 Entry'!#REF!,"AAAAAHv/z7Y=")</f>
        <v>#REF!</v>
      </c>
      <c r="GB118" t="e">
        <f>AND('GA55 Entry'!#REF!,"AAAAAHv/z7c=")</f>
        <v>#REF!</v>
      </c>
      <c r="GC118" t="e">
        <f>AND('GA55 Entry'!#REF!,"AAAAAHv/z7g=")</f>
        <v>#REF!</v>
      </c>
      <c r="GD118" t="e">
        <f>AND('GA55 Entry'!#REF!,"AAAAAHv/z7k=")</f>
        <v>#REF!</v>
      </c>
      <c r="GE118" t="e">
        <f>AND('GA55 Entry'!D362,"AAAAAHv/z7o=")</f>
        <v>#VALUE!</v>
      </c>
      <c r="GF118" t="e">
        <f>AND('GA55 Entry'!#REF!,"AAAAAHv/z7s=")</f>
        <v>#REF!</v>
      </c>
      <c r="GG118" t="e">
        <f>AND('GA55 Entry'!E362,"AAAAAHv/z7w=")</f>
        <v>#VALUE!</v>
      </c>
      <c r="GH118" t="e">
        <f>AND('GA55 Entry'!F362,"AAAAAHv/z70=")</f>
        <v>#VALUE!</v>
      </c>
      <c r="GI118" t="e">
        <f>AND('GA55 Entry'!G362,"AAAAAHv/z74=")</f>
        <v>#VALUE!</v>
      </c>
      <c r="GJ118" t="e">
        <f>AND('GA55 Entry'!H362,"AAAAAHv/z78=")</f>
        <v>#VALUE!</v>
      </c>
      <c r="GK118" t="e">
        <f>AND('GA55 Entry'!I362,"AAAAAHv/z8A=")</f>
        <v>#VALUE!</v>
      </c>
      <c r="GL118" t="e">
        <f>AND('GA55 Entry'!J362,"AAAAAHv/z8E=")</f>
        <v>#VALUE!</v>
      </c>
      <c r="GM118" t="e">
        <f>AND('GA55 Entry'!#REF!,"AAAAAHv/z8I=")</f>
        <v>#REF!</v>
      </c>
      <c r="GN118" t="e">
        <f>AND('GA55 Entry'!K362,"AAAAAHv/z8M=")</f>
        <v>#VALUE!</v>
      </c>
      <c r="GO118" t="e">
        <f>AND('GA55 Entry'!L362,"AAAAAHv/z8Q=")</f>
        <v>#VALUE!</v>
      </c>
      <c r="GP118" t="e">
        <f>AND('GA55 Entry'!M362,"AAAAAHv/z8U=")</f>
        <v>#VALUE!</v>
      </c>
      <c r="GQ118" t="e">
        <f>AND('GA55 Entry'!N362,"AAAAAHv/z8Y=")</f>
        <v>#VALUE!</v>
      </c>
      <c r="GR118" t="e">
        <f>AND('GA55 Entry'!O362,"AAAAAHv/z8c=")</f>
        <v>#VALUE!</v>
      </c>
      <c r="GS118" t="e">
        <f>AND('GA55 Entry'!P362,"AAAAAHv/z8g=")</f>
        <v>#VALUE!</v>
      </c>
      <c r="GT118" t="e">
        <f>AND('GA55 Entry'!Q362,"AAAAAHv/z8k=")</f>
        <v>#VALUE!</v>
      </c>
      <c r="GU118" t="e">
        <f>AND('GA55 Entry'!S362,"AAAAAHv/z8o=")</f>
        <v>#VALUE!</v>
      </c>
      <c r="GV118" t="e">
        <f>AND('GA55 Entry'!#REF!,"AAAAAHv/z8s=")</f>
        <v>#REF!</v>
      </c>
      <c r="GW118" t="e">
        <f>AND('GA55 Entry'!T362,"AAAAAHv/z8w=")</f>
        <v>#VALUE!</v>
      </c>
      <c r="GX118" t="e">
        <f>AND('GA55 Entry'!U362,"AAAAAHv/z80=")</f>
        <v>#VALUE!</v>
      </c>
      <c r="GY118" t="e">
        <f>AND('GA55 Entry'!V362,"AAAAAHv/z84=")</f>
        <v>#VALUE!</v>
      </c>
      <c r="GZ118" t="e">
        <f>AND('GA55 Entry'!#REF!,"AAAAAHv/z88=")</f>
        <v>#REF!</v>
      </c>
      <c r="HA118" t="e">
        <f>AND('GA55 Entry'!#REF!,"AAAAAHv/z9A=")</f>
        <v>#REF!</v>
      </c>
      <c r="HB118" t="e">
        <f>AND('GA55 Entry'!X362,"AAAAAHv/z9E=")</f>
        <v>#VALUE!</v>
      </c>
      <c r="HC118" t="e">
        <f>AND('GA55 Entry'!Y362,"AAAAAHv/z9I=")</f>
        <v>#VALUE!</v>
      </c>
      <c r="HD118" t="e">
        <f>AND('GA55 Entry'!#REF!,"AAAAAHv/z9M=")</f>
        <v>#REF!</v>
      </c>
      <c r="HE118" t="e">
        <f>AND('GA55 Entry'!#REF!,"AAAAAHv/z9Q=")</f>
        <v>#REF!</v>
      </c>
      <c r="HF118" t="e">
        <f>AND('GA55 Entry'!#REF!,"AAAAAHv/z9U=")</f>
        <v>#REF!</v>
      </c>
      <c r="HG118" t="e">
        <f>AND('GA55 Entry'!#REF!,"AAAAAHv/z9Y=")</f>
        <v>#REF!</v>
      </c>
      <c r="HH118" t="e">
        <f>AND('GA55 Entry'!#REF!,"AAAAAHv/z9c=")</f>
        <v>#REF!</v>
      </c>
      <c r="HI118" t="e">
        <f>AND('GA55 Entry'!#REF!,"AAAAAHv/z9g=")</f>
        <v>#REF!</v>
      </c>
      <c r="HJ118" t="e">
        <f>AND('GA55 Entry'!#REF!,"AAAAAHv/z9k=")</f>
        <v>#REF!</v>
      </c>
      <c r="HK118" t="e">
        <f>AND('GA55 Entry'!#REF!,"AAAAAHv/z9o=")</f>
        <v>#REF!</v>
      </c>
      <c r="HL118" t="e">
        <f>AND('GA55 Entry'!#REF!,"AAAAAHv/z9s=")</f>
        <v>#REF!</v>
      </c>
      <c r="HM118" t="e">
        <f>AND('GA55 Entry'!Z362,"AAAAAHv/z9w=")</f>
        <v>#VALUE!</v>
      </c>
      <c r="HN118" t="e">
        <f>AND('GA55 Entry'!AA362,"AAAAAHv/z90=")</f>
        <v>#VALUE!</v>
      </c>
      <c r="HO118" t="e">
        <f>AND('GA55 Entry'!#REF!,"AAAAAHv/z94=")</f>
        <v>#REF!</v>
      </c>
      <c r="HP118" t="e">
        <f>AND('GA55 Entry'!#REF!,"AAAAAHv/z98=")</f>
        <v>#REF!</v>
      </c>
      <c r="HQ118" t="e">
        <f>AND('GA55 Entry'!#REF!,"AAAAAHv/z+A=")</f>
        <v>#REF!</v>
      </c>
      <c r="HR118" t="e">
        <f>AND('GA55 Entry'!AB362,"AAAAAHv/z+E=")</f>
        <v>#VALUE!</v>
      </c>
      <c r="HS118" t="e">
        <f>AND('GA55 Entry'!AC362,"AAAAAHv/z+I=")</f>
        <v>#VALUE!</v>
      </c>
      <c r="HT118" t="e">
        <f>AND('GA55 Entry'!#REF!,"AAAAAHv/z+M=")</f>
        <v>#REF!</v>
      </c>
      <c r="HU118">
        <f>IF('GA55 Entry'!363:363,"AAAAAHv/z+Q=",0)</f>
        <v>0</v>
      </c>
      <c r="HV118" t="e">
        <f>AND('GA55 Entry'!B363,"AAAAAHv/z+U=")</f>
        <v>#VALUE!</v>
      </c>
      <c r="HW118" t="e">
        <f>AND('GA55 Entry'!#REF!,"AAAAAHv/z+Y=")</f>
        <v>#REF!</v>
      </c>
      <c r="HX118" t="e">
        <f>AND('GA55 Entry'!C363,"AAAAAHv/z+c=")</f>
        <v>#VALUE!</v>
      </c>
      <c r="HY118" t="e">
        <f>AND('GA55 Entry'!#REF!,"AAAAAHv/z+g=")</f>
        <v>#REF!</v>
      </c>
      <c r="HZ118" t="e">
        <f>AND('GA55 Entry'!#REF!,"AAAAAHv/z+k=")</f>
        <v>#REF!</v>
      </c>
      <c r="IA118" t="e">
        <f>AND('GA55 Entry'!#REF!,"AAAAAHv/z+o=")</f>
        <v>#REF!</v>
      </c>
      <c r="IB118" t="e">
        <f>AND('GA55 Entry'!#REF!,"AAAAAHv/z+s=")</f>
        <v>#REF!</v>
      </c>
      <c r="IC118" t="e">
        <f>AND('GA55 Entry'!#REF!,"AAAAAHv/z+w=")</f>
        <v>#REF!</v>
      </c>
      <c r="ID118" t="e">
        <f>AND('GA55 Entry'!D363,"AAAAAHv/z+0=")</f>
        <v>#VALUE!</v>
      </c>
      <c r="IE118" t="e">
        <f>AND('GA55 Entry'!#REF!,"AAAAAHv/z+4=")</f>
        <v>#REF!</v>
      </c>
      <c r="IF118" t="e">
        <f>AND('GA55 Entry'!E363,"AAAAAHv/z+8=")</f>
        <v>#VALUE!</v>
      </c>
      <c r="IG118" t="e">
        <f>AND('GA55 Entry'!F363,"AAAAAHv/z/A=")</f>
        <v>#VALUE!</v>
      </c>
      <c r="IH118" t="e">
        <f>AND('GA55 Entry'!G363,"AAAAAHv/z/E=")</f>
        <v>#VALUE!</v>
      </c>
      <c r="II118" t="e">
        <f>AND('GA55 Entry'!H363,"AAAAAHv/z/I=")</f>
        <v>#VALUE!</v>
      </c>
      <c r="IJ118" t="e">
        <f>AND('GA55 Entry'!I363,"AAAAAHv/z/M=")</f>
        <v>#VALUE!</v>
      </c>
      <c r="IK118" t="e">
        <f>AND('GA55 Entry'!J363,"AAAAAHv/z/Q=")</f>
        <v>#VALUE!</v>
      </c>
      <c r="IL118" t="e">
        <f>AND('GA55 Entry'!#REF!,"AAAAAHv/z/U=")</f>
        <v>#REF!</v>
      </c>
      <c r="IM118" t="e">
        <f>AND('GA55 Entry'!K363,"AAAAAHv/z/Y=")</f>
        <v>#VALUE!</v>
      </c>
      <c r="IN118" t="e">
        <f>AND('GA55 Entry'!L363,"AAAAAHv/z/c=")</f>
        <v>#VALUE!</v>
      </c>
      <c r="IO118" t="e">
        <f>AND('GA55 Entry'!M363,"AAAAAHv/z/g=")</f>
        <v>#VALUE!</v>
      </c>
      <c r="IP118" t="e">
        <f>AND('GA55 Entry'!N363,"AAAAAHv/z/k=")</f>
        <v>#VALUE!</v>
      </c>
      <c r="IQ118" t="e">
        <f>AND('GA55 Entry'!O363,"AAAAAHv/z/o=")</f>
        <v>#VALUE!</v>
      </c>
      <c r="IR118" t="e">
        <f>AND('GA55 Entry'!P363,"AAAAAHv/z/s=")</f>
        <v>#VALUE!</v>
      </c>
      <c r="IS118" t="e">
        <f>AND('GA55 Entry'!Q363,"AAAAAHv/z/w=")</f>
        <v>#VALUE!</v>
      </c>
      <c r="IT118" t="e">
        <f>AND('GA55 Entry'!S363,"AAAAAHv/z/0=")</f>
        <v>#VALUE!</v>
      </c>
      <c r="IU118" t="e">
        <f>AND('GA55 Entry'!#REF!,"AAAAAHv/z/4=")</f>
        <v>#REF!</v>
      </c>
      <c r="IV118" t="e">
        <f>AND('GA55 Entry'!T363,"AAAAAHv/z/8=")</f>
        <v>#VALUE!</v>
      </c>
    </row>
    <row r="119" spans="1:256">
      <c r="A119" t="e">
        <f>AND('GA55 Entry'!U363,"AAAAADt//wA=")</f>
        <v>#VALUE!</v>
      </c>
      <c r="B119" t="e">
        <f>AND('GA55 Entry'!V363,"AAAAADt//wE=")</f>
        <v>#VALUE!</v>
      </c>
      <c r="C119" t="e">
        <f>AND('GA55 Entry'!#REF!,"AAAAADt//wI=")</f>
        <v>#REF!</v>
      </c>
      <c r="D119" t="e">
        <f>AND('GA55 Entry'!#REF!,"AAAAADt//wM=")</f>
        <v>#REF!</v>
      </c>
      <c r="E119" t="e">
        <f>AND('GA55 Entry'!X363,"AAAAADt//wQ=")</f>
        <v>#VALUE!</v>
      </c>
      <c r="F119" t="e">
        <f>AND('GA55 Entry'!Y363,"AAAAADt//wU=")</f>
        <v>#VALUE!</v>
      </c>
      <c r="G119" t="e">
        <f>AND('GA55 Entry'!#REF!,"AAAAADt//wY=")</f>
        <v>#REF!</v>
      </c>
      <c r="H119" t="e">
        <f>AND('GA55 Entry'!#REF!,"AAAAADt//wc=")</f>
        <v>#REF!</v>
      </c>
      <c r="I119" t="e">
        <f>AND('GA55 Entry'!#REF!,"AAAAADt//wg=")</f>
        <v>#REF!</v>
      </c>
      <c r="J119" t="e">
        <f>AND('GA55 Entry'!#REF!,"AAAAADt//wk=")</f>
        <v>#REF!</v>
      </c>
      <c r="K119" t="e">
        <f>AND('GA55 Entry'!#REF!,"AAAAADt//wo=")</f>
        <v>#REF!</v>
      </c>
      <c r="L119" t="e">
        <f>AND('GA55 Entry'!#REF!,"AAAAADt//ws=")</f>
        <v>#REF!</v>
      </c>
      <c r="M119" t="e">
        <f>AND('GA55 Entry'!#REF!,"AAAAADt//ww=")</f>
        <v>#REF!</v>
      </c>
      <c r="N119" t="e">
        <f>AND('GA55 Entry'!#REF!,"AAAAADt//w0=")</f>
        <v>#REF!</v>
      </c>
      <c r="O119" t="e">
        <f>AND('GA55 Entry'!#REF!,"AAAAADt//w4=")</f>
        <v>#REF!</v>
      </c>
      <c r="P119" t="e">
        <f>AND('GA55 Entry'!Z363,"AAAAADt//w8=")</f>
        <v>#VALUE!</v>
      </c>
      <c r="Q119" t="e">
        <f>AND('GA55 Entry'!AA363,"AAAAADt//xA=")</f>
        <v>#VALUE!</v>
      </c>
      <c r="R119" t="e">
        <f>AND('GA55 Entry'!#REF!,"AAAAADt//xE=")</f>
        <v>#REF!</v>
      </c>
      <c r="S119" t="e">
        <f>AND('GA55 Entry'!#REF!,"AAAAADt//xI=")</f>
        <v>#REF!</v>
      </c>
      <c r="T119" t="e">
        <f>AND('GA55 Entry'!#REF!,"AAAAADt//xM=")</f>
        <v>#REF!</v>
      </c>
      <c r="U119" t="e">
        <f>AND('GA55 Entry'!AB363,"AAAAADt//xQ=")</f>
        <v>#VALUE!</v>
      </c>
      <c r="V119" t="e">
        <f>AND('GA55 Entry'!AC363,"AAAAADt//xU=")</f>
        <v>#VALUE!</v>
      </c>
      <c r="W119" t="e">
        <f>AND('GA55 Entry'!#REF!,"AAAAADt//xY=")</f>
        <v>#REF!</v>
      </c>
      <c r="X119">
        <f>IF('GA55 Entry'!364:364,"AAAAADt//xc=",0)</f>
        <v>0</v>
      </c>
      <c r="Y119" t="e">
        <f>AND('GA55 Entry'!B364,"AAAAADt//xg=")</f>
        <v>#VALUE!</v>
      </c>
      <c r="Z119" t="e">
        <f>AND('GA55 Entry'!#REF!,"AAAAADt//xk=")</f>
        <v>#REF!</v>
      </c>
      <c r="AA119" t="e">
        <f>AND('GA55 Entry'!C364,"AAAAADt//xo=")</f>
        <v>#VALUE!</v>
      </c>
      <c r="AB119" t="e">
        <f>AND('GA55 Entry'!#REF!,"AAAAADt//xs=")</f>
        <v>#REF!</v>
      </c>
      <c r="AC119" t="e">
        <f>AND('GA55 Entry'!#REF!,"AAAAADt//xw=")</f>
        <v>#REF!</v>
      </c>
      <c r="AD119" t="e">
        <f>AND('GA55 Entry'!#REF!,"AAAAADt//x0=")</f>
        <v>#REF!</v>
      </c>
      <c r="AE119" t="e">
        <f>AND('GA55 Entry'!#REF!,"AAAAADt//x4=")</f>
        <v>#REF!</v>
      </c>
      <c r="AF119" t="e">
        <f>AND('GA55 Entry'!#REF!,"AAAAADt//x8=")</f>
        <v>#REF!</v>
      </c>
      <c r="AG119" t="e">
        <f>AND('GA55 Entry'!D364,"AAAAADt//yA=")</f>
        <v>#VALUE!</v>
      </c>
      <c r="AH119" t="e">
        <f>AND('GA55 Entry'!#REF!,"AAAAADt//yE=")</f>
        <v>#REF!</v>
      </c>
      <c r="AI119" t="e">
        <f>AND('GA55 Entry'!E364,"AAAAADt//yI=")</f>
        <v>#VALUE!</v>
      </c>
      <c r="AJ119" t="e">
        <f>AND('GA55 Entry'!F364,"AAAAADt//yM=")</f>
        <v>#VALUE!</v>
      </c>
      <c r="AK119" t="e">
        <f>AND('GA55 Entry'!G364,"AAAAADt//yQ=")</f>
        <v>#VALUE!</v>
      </c>
      <c r="AL119" t="e">
        <f>AND('GA55 Entry'!H364,"AAAAADt//yU=")</f>
        <v>#VALUE!</v>
      </c>
      <c r="AM119" t="e">
        <f>AND('GA55 Entry'!I364,"AAAAADt//yY=")</f>
        <v>#VALUE!</v>
      </c>
      <c r="AN119" t="e">
        <f>AND('GA55 Entry'!J364,"AAAAADt//yc=")</f>
        <v>#VALUE!</v>
      </c>
      <c r="AO119" t="e">
        <f>AND('GA55 Entry'!#REF!,"AAAAADt//yg=")</f>
        <v>#REF!</v>
      </c>
      <c r="AP119" t="e">
        <f>AND('GA55 Entry'!K364,"AAAAADt//yk=")</f>
        <v>#VALUE!</v>
      </c>
      <c r="AQ119" t="e">
        <f>AND('GA55 Entry'!L364,"AAAAADt//yo=")</f>
        <v>#VALUE!</v>
      </c>
      <c r="AR119" t="e">
        <f>AND('GA55 Entry'!M364,"AAAAADt//ys=")</f>
        <v>#VALUE!</v>
      </c>
      <c r="AS119" t="e">
        <f>AND('GA55 Entry'!N364,"AAAAADt//yw=")</f>
        <v>#VALUE!</v>
      </c>
      <c r="AT119" t="e">
        <f>AND('GA55 Entry'!O364,"AAAAADt//y0=")</f>
        <v>#VALUE!</v>
      </c>
      <c r="AU119" t="e">
        <f>AND('GA55 Entry'!P364,"AAAAADt//y4=")</f>
        <v>#VALUE!</v>
      </c>
      <c r="AV119" t="e">
        <f>AND('GA55 Entry'!Q364,"AAAAADt//y8=")</f>
        <v>#VALUE!</v>
      </c>
      <c r="AW119" t="e">
        <f>AND('GA55 Entry'!S364,"AAAAADt//zA=")</f>
        <v>#VALUE!</v>
      </c>
      <c r="AX119" t="e">
        <f>AND('GA55 Entry'!#REF!,"AAAAADt//zE=")</f>
        <v>#REF!</v>
      </c>
      <c r="AY119" t="e">
        <f>AND('GA55 Entry'!T364,"AAAAADt//zI=")</f>
        <v>#VALUE!</v>
      </c>
      <c r="AZ119" t="e">
        <f>AND('GA55 Entry'!U364,"AAAAADt//zM=")</f>
        <v>#VALUE!</v>
      </c>
      <c r="BA119" t="e">
        <f>AND('GA55 Entry'!V364,"AAAAADt//zQ=")</f>
        <v>#VALUE!</v>
      </c>
      <c r="BB119" t="e">
        <f>AND('GA55 Entry'!#REF!,"AAAAADt//zU=")</f>
        <v>#REF!</v>
      </c>
      <c r="BC119" t="e">
        <f>AND('GA55 Entry'!#REF!,"AAAAADt//zY=")</f>
        <v>#REF!</v>
      </c>
      <c r="BD119" t="e">
        <f>AND('GA55 Entry'!X364,"AAAAADt//zc=")</f>
        <v>#VALUE!</v>
      </c>
      <c r="BE119" t="e">
        <f>AND('GA55 Entry'!Y364,"AAAAADt//zg=")</f>
        <v>#VALUE!</v>
      </c>
      <c r="BF119" t="e">
        <f>AND('GA55 Entry'!#REF!,"AAAAADt//zk=")</f>
        <v>#REF!</v>
      </c>
      <c r="BG119" t="e">
        <f>AND('GA55 Entry'!#REF!,"AAAAADt//zo=")</f>
        <v>#REF!</v>
      </c>
      <c r="BH119" t="e">
        <f>AND('GA55 Entry'!#REF!,"AAAAADt//zs=")</f>
        <v>#REF!</v>
      </c>
      <c r="BI119" t="e">
        <f>AND('GA55 Entry'!#REF!,"AAAAADt//zw=")</f>
        <v>#REF!</v>
      </c>
      <c r="BJ119" t="e">
        <f>AND('GA55 Entry'!#REF!,"AAAAADt//z0=")</f>
        <v>#REF!</v>
      </c>
      <c r="BK119" t="e">
        <f>AND('GA55 Entry'!#REF!,"AAAAADt//z4=")</f>
        <v>#REF!</v>
      </c>
      <c r="BL119" t="e">
        <f>AND('GA55 Entry'!#REF!,"AAAAADt//z8=")</f>
        <v>#REF!</v>
      </c>
      <c r="BM119" t="e">
        <f>AND('GA55 Entry'!#REF!,"AAAAADt//0A=")</f>
        <v>#REF!</v>
      </c>
      <c r="BN119" t="e">
        <f>AND('GA55 Entry'!#REF!,"AAAAADt//0E=")</f>
        <v>#REF!</v>
      </c>
      <c r="BO119" t="e">
        <f>AND('GA55 Entry'!Z364,"AAAAADt//0I=")</f>
        <v>#VALUE!</v>
      </c>
      <c r="BP119" t="e">
        <f>AND('GA55 Entry'!AA364,"AAAAADt//0M=")</f>
        <v>#VALUE!</v>
      </c>
      <c r="BQ119" t="e">
        <f>AND('GA55 Entry'!#REF!,"AAAAADt//0Q=")</f>
        <v>#REF!</v>
      </c>
      <c r="BR119" t="e">
        <f>AND('GA55 Entry'!#REF!,"AAAAADt//0U=")</f>
        <v>#REF!</v>
      </c>
      <c r="BS119" t="e">
        <f>AND('GA55 Entry'!#REF!,"AAAAADt//0Y=")</f>
        <v>#REF!</v>
      </c>
      <c r="BT119" t="e">
        <f>AND('GA55 Entry'!AB364,"AAAAADt//0c=")</f>
        <v>#VALUE!</v>
      </c>
      <c r="BU119" t="e">
        <f>AND('GA55 Entry'!AC364,"AAAAADt//0g=")</f>
        <v>#VALUE!</v>
      </c>
      <c r="BV119" t="e">
        <f>AND('GA55 Entry'!#REF!,"AAAAADt//0k=")</f>
        <v>#REF!</v>
      </c>
      <c r="BW119">
        <f>IF('GA55 Entry'!365:365,"AAAAADt//0o=",0)</f>
        <v>0</v>
      </c>
      <c r="BX119" t="e">
        <f>AND('GA55 Entry'!B365,"AAAAADt//0s=")</f>
        <v>#VALUE!</v>
      </c>
      <c r="BY119" t="e">
        <f>AND('GA55 Entry'!#REF!,"AAAAADt//0w=")</f>
        <v>#REF!</v>
      </c>
      <c r="BZ119" t="e">
        <f>AND('GA55 Entry'!C365,"AAAAADt//00=")</f>
        <v>#VALUE!</v>
      </c>
      <c r="CA119" t="e">
        <f>AND('GA55 Entry'!#REF!,"AAAAADt//04=")</f>
        <v>#REF!</v>
      </c>
      <c r="CB119" t="e">
        <f>AND('GA55 Entry'!#REF!,"AAAAADt//08=")</f>
        <v>#REF!</v>
      </c>
      <c r="CC119" t="e">
        <f>AND('GA55 Entry'!#REF!,"AAAAADt//1A=")</f>
        <v>#REF!</v>
      </c>
      <c r="CD119" t="e">
        <f>AND('GA55 Entry'!#REF!,"AAAAADt//1E=")</f>
        <v>#REF!</v>
      </c>
      <c r="CE119" t="e">
        <f>AND('GA55 Entry'!#REF!,"AAAAADt//1I=")</f>
        <v>#REF!</v>
      </c>
      <c r="CF119" t="e">
        <f>AND('GA55 Entry'!D365,"AAAAADt//1M=")</f>
        <v>#VALUE!</v>
      </c>
      <c r="CG119" t="e">
        <f>AND('GA55 Entry'!#REF!,"AAAAADt//1Q=")</f>
        <v>#REF!</v>
      </c>
      <c r="CH119" t="e">
        <f>AND('GA55 Entry'!E365,"AAAAADt//1U=")</f>
        <v>#VALUE!</v>
      </c>
      <c r="CI119" t="e">
        <f>AND('GA55 Entry'!F365,"AAAAADt//1Y=")</f>
        <v>#VALUE!</v>
      </c>
      <c r="CJ119" t="e">
        <f>AND('GA55 Entry'!G365,"AAAAADt//1c=")</f>
        <v>#VALUE!</v>
      </c>
      <c r="CK119" t="e">
        <f>AND('GA55 Entry'!H365,"AAAAADt//1g=")</f>
        <v>#VALUE!</v>
      </c>
      <c r="CL119" t="e">
        <f>AND('GA55 Entry'!I365,"AAAAADt//1k=")</f>
        <v>#VALUE!</v>
      </c>
      <c r="CM119" t="e">
        <f>AND('GA55 Entry'!J365,"AAAAADt//1o=")</f>
        <v>#VALUE!</v>
      </c>
      <c r="CN119" t="e">
        <f>AND('GA55 Entry'!#REF!,"AAAAADt//1s=")</f>
        <v>#REF!</v>
      </c>
      <c r="CO119" t="e">
        <f>AND('GA55 Entry'!K365,"AAAAADt//1w=")</f>
        <v>#VALUE!</v>
      </c>
      <c r="CP119" t="e">
        <f>AND('GA55 Entry'!L365,"AAAAADt//10=")</f>
        <v>#VALUE!</v>
      </c>
      <c r="CQ119" t="e">
        <f>AND('GA55 Entry'!M365,"AAAAADt//14=")</f>
        <v>#VALUE!</v>
      </c>
      <c r="CR119" t="e">
        <f>AND('GA55 Entry'!N365,"AAAAADt//18=")</f>
        <v>#VALUE!</v>
      </c>
      <c r="CS119" t="e">
        <f>AND('GA55 Entry'!O365,"AAAAADt//2A=")</f>
        <v>#VALUE!</v>
      </c>
      <c r="CT119" t="e">
        <f>AND('GA55 Entry'!P365,"AAAAADt//2E=")</f>
        <v>#VALUE!</v>
      </c>
      <c r="CU119" t="e">
        <f>AND('GA55 Entry'!Q365,"AAAAADt//2I=")</f>
        <v>#VALUE!</v>
      </c>
      <c r="CV119" t="e">
        <f>AND('GA55 Entry'!S365,"AAAAADt//2M=")</f>
        <v>#VALUE!</v>
      </c>
      <c r="CW119" t="e">
        <f>AND('GA55 Entry'!#REF!,"AAAAADt//2Q=")</f>
        <v>#REF!</v>
      </c>
      <c r="CX119" t="e">
        <f>AND('GA55 Entry'!T365,"AAAAADt//2U=")</f>
        <v>#VALUE!</v>
      </c>
      <c r="CY119" t="e">
        <f>AND('GA55 Entry'!U365,"AAAAADt//2Y=")</f>
        <v>#VALUE!</v>
      </c>
      <c r="CZ119" t="e">
        <f>AND('GA55 Entry'!V365,"AAAAADt//2c=")</f>
        <v>#VALUE!</v>
      </c>
      <c r="DA119" t="e">
        <f>AND('GA55 Entry'!#REF!,"AAAAADt//2g=")</f>
        <v>#REF!</v>
      </c>
      <c r="DB119" t="e">
        <f>AND('GA55 Entry'!#REF!,"AAAAADt//2k=")</f>
        <v>#REF!</v>
      </c>
      <c r="DC119" t="e">
        <f>AND('GA55 Entry'!X365,"AAAAADt//2o=")</f>
        <v>#VALUE!</v>
      </c>
      <c r="DD119" t="e">
        <f>AND('GA55 Entry'!Y365,"AAAAADt//2s=")</f>
        <v>#VALUE!</v>
      </c>
      <c r="DE119" t="e">
        <f>AND('GA55 Entry'!#REF!,"AAAAADt//2w=")</f>
        <v>#REF!</v>
      </c>
      <c r="DF119" t="e">
        <f>AND('GA55 Entry'!#REF!,"AAAAADt//20=")</f>
        <v>#REF!</v>
      </c>
      <c r="DG119" t="e">
        <f>AND('GA55 Entry'!#REF!,"AAAAADt//24=")</f>
        <v>#REF!</v>
      </c>
      <c r="DH119" t="e">
        <f>AND('GA55 Entry'!#REF!,"AAAAADt//28=")</f>
        <v>#REF!</v>
      </c>
      <c r="DI119" t="e">
        <f>AND('GA55 Entry'!#REF!,"AAAAADt//3A=")</f>
        <v>#REF!</v>
      </c>
      <c r="DJ119" t="e">
        <f>AND('GA55 Entry'!#REF!,"AAAAADt//3E=")</f>
        <v>#REF!</v>
      </c>
      <c r="DK119" t="e">
        <f>AND('GA55 Entry'!#REF!,"AAAAADt//3I=")</f>
        <v>#REF!</v>
      </c>
      <c r="DL119" t="e">
        <f>AND('GA55 Entry'!#REF!,"AAAAADt//3M=")</f>
        <v>#REF!</v>
      </c>
      <c r="DM119" t="e">
        <f>AND('GA55 Entry'!#REF!,"AAAAADt//3Q=")</f>
        <v>#REF!</v>
      </c>
      <c r="DN119" t="e">
        <f>AND('GA55 Entry'!Z365,"AAAAADt//3U=")</f>
        <v>#VALUE!</v>
      </c>
      <c r="DO119" t="e">
        <f>AND('GA55 Entry'!AA365,"AAAAADt//3Y=")</f>
        <v>#VALUE!</v>
      </c>
      <c r="DP119" t="e">
        <f>AND('GA55 Entry'!#REF!,"AAAAADt//3c=")</f>
        <v>#REF!</v>
      </c>
      <c r="DQ119" t="e">
        <f>AND('GA55 Entry'!#REF!,"AAAAADt//3g=")</f>
        <v>#REF!</v>
      </c>
      <c r="DR119" t="e">
        <f>AND('GA55 Entry'!#REF!,"AAAAADt//3k=")</f>
        <v>#REF!</v>
      </c>
      <c r="DS119" t="e">
        <f>AND('GA55 Entry'!AB365,"AAAAADt//3o=")</f>
        <v>#VALUE!</v>
      </c>
      <c r="DT119" t="e">
        <f>AND('GA55 Entry'!AC365,"AAAAADt//3s=")</f>
        <v>#VALUE!</v>
      </c>
      <c r="DU119" t="e">
        <f>AND('GA55 Entry'!#REF!,"AAAAADt//3w=")</f>
        <v>#REF!</v>
      </c>
      <c r="DV119">
        <f>IF('GA55 Entry'!366:366,"AAAAADt//30=",0)</f>
        <v>0</v>
      </c>
      <c r="DW119" t="e">
        <f>AND('GA55 Entry'!B366,"AAAAADt//34=")</f>
        <v>#VALUE!</v>
      </c>
      <c r="DX119" t="e">
        <f>AND('GA55 Entry'!#REF!,"AAAAADt//38=")</f>
        <v>#REF!</v>
      </c>
      <c r="DY119" t="e">
        <f>AND('GA55 Entry'!C366,"AAAAADt//4A=")</f>
        <v>#VALUE!</v>
      </c>
      <c r="DZ119" t="e">
        <f>AND('GA55 Entry'!#REF!,"AAAAADt//4E=")</f>
        <v>#REF!</v>
      </c>
      <c r="EA119" t="e">
        <f>AND('GA55 Entry'!#REF!,"AAAAADt//4I=")</f>
        <v>#REF!</v>
      </c>
      <c r="EB119" t="e">
        <f>AND('GA55 Entry'!#REF!,"AAAAADt//4M=")</f>
        <v>#REF!</v>
      </c>
      <c r="EC119" t="e">
        <f>AND('GA55 Entry'!#REF!,"AAAAADt//4Q=")</f>
        <v>#REF!</v>
      </c>
      <c r="ED119" t="e">
        <f>AND('GA55 Entry'!#REF!,"AAAAADt//4U=")</f>
        <v>#REF!</v>
      </c>
      <c r="EE119" t="e">
        <f>AND('GA55 Entry'!D366,"AAAAADt//4Y=")</f>
        <v>#VALUE!</v>
      </c>
      <c r="EF119" t="e">
        <f>AND('GA55 Entry'!#REF!,"AAAAADt//4c=")</f>
        <v>#REF!</v>
      </c>
      <c r="EG119" t="e">
        <f>AND('GA55 Entry'!E366,"AAAAADt//4g=")</f>
        <v>#VALUE!</v>
      </c>
      <c r="EH119" t="e">
        <f>AND('GA55 Entry'!F366,"AAAAADt//4k=")</f>
        <v>#VALUE!</v>
      </c>
      <c r="EI119" t="e">
        <f>AND('GA55 Entry'!G366,"AAAAADt//4o=")</f>
        <v>#VALUE!</v>
      </c>
      <c r="EJ119" t="e">
        <f>AND('GA55 Entry'!H366,"AAAAADt//4s=")</f>
        <v>#VALUE!</v>
      </c>
      <c r="EK119" t="e">
        <f>AND('GA55 Entry'!I366,"AAAAADt//4w=")</f>
        <v>#VALUE!</v>
      </c>
      <c r="EL119" t="e">
        <f>AND('GA55 Entry'!J366,"AAAAADt//40=")</f>
        <v>#VALUE!</v>
      </c>
      <c r="EM119" t="e">
        <f>AND('GA55 Entry'!#REF!,"AAAAADt//44=")</f>
        <v>#REF!</v>
      </c>
      <c r="EN119" t="e">
        <f>AND('GA55 Entry'!K366,"AAAAADt//48=")</f>
        <v>#VALUE!</v>
      </c>
      <c r="EO119" t="e">
        <f>AND('GA55 Entry'!L366,"AAAAADt//5A=")</f>
        <v>#VALUE!</v>
      </c>
      <c r="EP119" t="e">
        <f>AND('GA55 Entry'!M366,"AAAAADt//5E=")</f>
        <v>#VALUE!</v>
      </c>
      <c r="EQ119" t="e">
        <f>AND('GA55 Entry'!N366,"AAAAADt//5I=")</f>
        <v>#VALUE!</v>
      </c>
      <c r="ER119" t="e">
        <f>AND('GA55 Entry'!O366,"AAAAADt//5M=")</f>
        <v>#VALUE!</v>
      </c>
      <c r="ES119" t="e">
        <f>AND('GA55 Entry'!P366,"AAAAADt//5Q=")</f>
        <v>#VALUE!</v>
      </c>
      <c r="ET119" t="e">
        <f>AND('GA55 Entry'!Q366,"AAAAADt//5U=")</f>
        <v>#VALUE!</v>
      </c>
      <c r="EU119" t="e">
        <f>AND('GA55 Entry'!S366,"AAAAADt//5Y=")</f>
        <v>#VALUE!</v>
      </c>
      <c r="EV119" t="e">
        <f>AND('GA55 Entry'!#REF!,"AAAAADt//5c=")</f>
        <v>#REF!</v>
      </c>
      <c r="EW119" t="e">
        <f>AND('GA55 Entry'!T366,"AAAAADt//5g=")</f>
        <v>#VALUE!</v>
      </c>
      <c r="EX119" t="e">
        <f>AND('GA55 Entry'!U366,"AAAAADt//5k=")</f>
        <v>#VALUE!</v>
      </c>
      <c r="EY119" t="e">
        <f>AND('GA55 Entry'!V366,"AAAAADt//5o=")</f>
        <v>#VALUE!</v>
      </c>
      <c r="EZ119" t="e">
        <f>AND('GA55 Entry'!#REF!,"AAAAADt//5s=")</f>
        <v>#REF!</v>
      </c>
      <c r="FA119" t="e">
        <f>AND('GA55 Entry'!#REF!,"AAAAADt//5w=")</f>
        <v>#REF!</v>
      </c>
      <c r="FB119" t="e">
        <f>AND('GA55 Entry'!X366,"AAAAADt//50=")</f>
        <v>#VALUE!</v>
      </c>
      <c r="FC119" t="e">
        <f>AND('GA55 Entry'!Y366,"AAAAADt//54=")</f>
        <v>#VALUE!</v>
      </c>
      <c r="FD119" t="e">
        <f>AND('GA55 Entry'!#REF!,"AAAAADt//58=")</f>
        <v>#REF!</v>
      </c>
      <c r="FE119" t="e">
        <f>AND('GA55 Entry'!#REF!,"AAAAADt//6A=")</f>
        <v>#REF!</v>
      </c>
      <c r="FF119" t="e">
        <f>AND('GA55 Entry'!#REF!,"AAAAADt//6E=")</f>
        <v>#REF!</v>
      </c>
      <c r="FG119" t="e">
        <f>AND('GA55 Entry'!#REF!,"AAAAADt//6I=")</f>
        <v>#REF!</v>
      </c>
      <c r="FH119" t="e">
        <f>AND('GA55 Entry'!#REF!,"AAAAADt//6M=")</f>
        <v>#REF!</v>
      </c>
      <c r="FI119" t="e">
        <f>AND('GA55 Entry'!#REF!,"AAAAADt//6Q=")</f>
        <v>#REF!</v>
      </c>
      <c r="FJ119" t="e">
        <f>AND('GA55 Entry'!#REF!,"AAAAADt//6U=")</f>
        <v>#REF!</v>
      </c>
      <c r="FK119" t="e">
        <f>AND('GA55 Entry'!#REF!,"AAAAADt//6Y=")</f>
        <v>#REF!</v>
      </c>
      <c r="FL119" t="e">
        <f>AND('GA55 Entry'!#REF!,"AAAAADt//6c=")</f>
        <v>#REF!</v>
      </c>
      <c r="FM119" t="e">
        <f>AND('GA55 Entry'!Z366,"AAAAADt//6g=")</f>
        <v>#VALUE!</v>
      </c>
      <c r="FN119" t="e">
        <f>AND('GA55 Entry'!AA366,"AAAAADt//6k=")</f>
        <v>#VALUE!</v>
      </c>
      <c r="FO119" t="e">
        <f>AND('GA55 Entry'!#REF!,"AAAAADt//6o=")</f>
        <v>#REF!</v>
      </c>
      <c r="FP119" t="e">
        <f>AND('GA55 Entry'!#REF!,"AAAAADt//6s=")</f>
        <v>#REF!</v>
      </c>
      <c r="FQ119" t="e">
        <f>AND('GA55 Entry'!#REF!,"AAAAADt//6w=")</f>
        <v>#REF!</v>
      </c>
      <c r="FR119" t="e">
        <f>AND('GA55 Entry'!AB366,"AAAAADt//60=")</f>
        <v>#VALUE!</v>
      </c>
      <c r="FS119" t="e">
        <f>AND('GA55 Entry'!AC366,"AAAAADt//64=")</f>
        <v>#VALUE!</v>
      </c>
      <c r="FT119" t="e">
        <f>AND('GA55 Entry'!#REF!,"AAAAADt//68=")</f>
        <v>#REF!</v>
      </c>
      <c r="FU119">
        <f>IF('GA55 Entry'!367:367,"AAAAADt//7A=",0)</f>
        <v>0</v>
      </c>
      <c r="FV119" t="e">
        <f>AND('GA55 Entry'!B367,"AAAAADt//7E=")</f>
        <v>#VALUE!</v>
      </c>
      <c r="FW119" t="e">
        <f>AND('GA55 Entry'!#REF!,"AAAAADt//7I=")</f>
        <v>#REF!</v>
      </c>
      <c r="FX119" t="e">
        <f>AND('GA55 Entry'!C367,"AAAAADt//7M=")</f>
        <v>#VALUE!</v>
      </c>
      <c r="FY119" t="e">
        <f>AND('GA55 Entry'!#REF!,"AAAAADt//7Q=")</f>
        <v>#REF!</v>
      </c>
      <c r="FZ119" t="e">
        <f>AND('GA55 Entry'!#REF!,"AAAAADt//7U=")</f>
        <v>#REF!</v>
      </c>
      <c r="GA119" t="e">
        <f>AND('GA55 Entry'!#REF!,"AAAAADt//7Y=")</f>
        <v>#REF!</v>
      </c>
      <c r="GB119" t="e">
        <f>AND('GA55 Entry'!#REF!,"AAAAADt//7c=")</f>
        <v>#REF!</v>
      </c>
      <c r="GC119" t="e">
        <f>AND('GA55 Entry'!#REF!,"AAAAADt//7g=")</f>
        <v>#REF!</v>
      </c>
      <c r="GD119" t="e">
        <f>AND('GA55 Entry'!D367,"AAAAADt//7k=")</f>
        <v>#VALUE!</v>
      </c>
      <c r="GE119" t="e">
        <f>AND('GA55 Entry'!#REF!,"AAAAADt//7o=")</f>
        <v>#REF!</v>
      </c>
      <c r="GF119" t="e">
        <f>AND('GA55 Entry'!E367,"AAAAADt//7s=")</f>
        <v>#VALUE!</v>
      </c>
      <c r="GG119" t="e">
        <f>AND('GA55 Entry'!F367,"AAAAADt//7w=")</f>
        <v>#VALUE!</v>
      </c>
      <c r="GH119" t="e">
        <f>AND('GA55 Entry'!G367,"AAAAADt//70=")</f>
        <v>#VALUE!</v>
      </c>
      <c r="GI119" t="e">
        <f>AND('GA55 Entry'!H367,"AAAAADt//74=")</f>
        <v>#VALUE!</v>
      </c>
      <c r="GJ119" t="e">
        <f>AND('GA55 Entry'!I367,"AAAAADt//78=")</f>
        <v>#VALUE!</v>
      </c>
      <c r="GK119" t="e">
        <f>AND('GA55 Entry'!J367,"AAAAADt//8A=")</f>
        <v>#VALUE!</v>
      </c>
      <c r="GL119" t="e">
        <f>AND('GA55 Entry'!#REF!,"AAAAADt//8E=")</f>
        <v>#REF!</v>
      </c>
      <c r="GM119" t="e">
        <f>AND('GA55 Entry'!K367,"AAAAADt//8I=")</f>
        <v>#VALUE!</v>
      </c>
      <c r="GN119" t="e">
        <f>AND('GA55 Entry'!L367,"AAAAADt//8M=")</f>
        <v>#VALUE!</v>
      </c>
      <c r="GO119" t="e">
        <f>AND('GA55 Entry'!M367,"AAAAADt//8Q=")</f>
        <v>#VALUE!</v>
      </c>
      <c r="GP119" t="e">
        <f>AND('GA55 Entry'!N367,"AAAAADt//8U=")</f>
        <v>#VALUE!</v>
      </c>
      <c r="GQ119" t="e">
        <f>AND('GA55 Entry'!O367,"AAAAADt//8Y=")</f>
        <v>#VALUE!</v>
      </c>
      <c r="GR119" t="e">
        <f>AND('GA55 Entry'!P367,"AAAAADt//8c=")</f>
        <v>#VALUE!</v>
      </c>
      <c r="GS119" t="e">
        <f>AND('GA55 Entry'!Q367,"AAAAADt//8g=")</f>
        <v>#VALUE!</v>
      </c>
      <c r="GT119" t="e">
        <f>AND('GA55 Entry'!S367,"AAAAADt//8k=")</f>
        <v>#VALUE!</v>
      </c>
      <c r="GU119" t="e">
        <f>AND('GA55 Entry'!#REF!,"AAAAADt//8o=")</f>
        <v>#REF!</v>
      </c>
      <c r="GV119" t="e">
        <f>AND('GA55 Entry'!T367,"AAAAADt//8s=")</f>
        <v>#VALUE!</v>
      </c>
      <c r="GW119" t="e">
        <f>AND('GA55 Entry'!U367,"AAAAADt//8w=")</f>
        <v>#VALUE!</v>
      </c>
      <c r="GX119" t="e">
        <f>AND('GA55 Entry'!V367,"AAAAADt//80=")</f>
        <v>#VALUE!</v>
      </c>
      <c r="GY119" t="e">
        <f>AND('GA55 Entry'!#REF!,"AAAAADt//84=")</f>
        <v>#REF!</v>
      </c>
      <c r="GZ119" t="e">
        <f>AND('GA55 Entry'!#REF!,"AAAAADt//88=")</f>
        <v>#REF!</v>
      </c>
      <c r="HA119" t="e">
        <f>AND('GA55 Entry'!X367,"AAAAADt//9A=")</f>
        <v>#VALUE!</v>
      </c>
      <c r="HB119" t="e">
        <f>AND('GA55 Entry'!Y367,"AAAAADt//9E=")</f>
        <v>#VALUE!</v>
      </c>
      <c r="HC119" t="e">
        <f>AND('GA55 Entry'!#REF!,"AAAAADt//9I=")</f>
        <v>#REF!</v>
      </c>
      <c r="HD119" t="e">
        <f>AND('GA55 Entry'!#REF!,"AAAAADt//9M=")</f>
        <v>#REF!</v>
      </c>
      <c r="HE119" t="e">
        <f>AND('GA55 Entry'!#REF!,"AAAAADt//9Q=")</f>
        <v>#REF!</v>
      </c>
      <c r="HF119" t="e">
        <f>AND('GA55 Entry'!#REF!,"AAAAADt//9U=")</f>
        <v>#REF!</v>
      </c>
      <c r="HG119" t="e">
        <f>AND('GA55 Entry'!#REF!,"AAAAADt//9Y=")</f>
        <v>#REF!</v>
      </c>
      <c r="HH119" t="e">
        <f>AND('GA55 Entry'!#REF!,"AAAAADt//9c=")</f>
        <v>#REF!</v>
      </c>
      <c r="HI119" t="e">
        <f>AND('GA55 Entry'!#REF!,"AAAAADt//9g=")</f>
        <v>#REF!</v>
      </c>
      <c r="HJ119" t="e">
        <f>AND('GA55 Entry'!#REF!,"AAAAADt//9k=")</f>
        <v>#REF!</v>
      </c>
      <c r="HK119" t="e">
        <f>AND('GA55 Entry'!#REF!,"AAAAADt//9o=")</f>
        <v>#REF!</v>
      </c>
      <c r="HL119" t="e">
        <f>AND('GA55 Entry'!Z367,"AAAAADt//9s=")</f>
        <v>#VALUE!</v>
      </c>
      <c r="HM119" t="e">
        <f>AND('GA55 Entry'!AA367,"AAAAADt//9w=")</f>
        <v>#VALUE!</v>
      </c>
      <c r="HN119" t="e">
        <f>AND('GA55 Entry'!#REF!,"AAAAADt//90=")</f>
        <v>#REF!</v>
      </c>
      <c r="HO119" t="e">
        <f>AND('GA55 Entry'!#REF!,"AAAAADt//94=")</f>
        <v>#REF!</v>
      </c>
      <c r="HP119" t="e">
        <f>AND('GA55 Entry'!#REF!,"AAAAADt//98=")</f>
        <v>#REF!</v>
      </c>
      <c r="HQ119" t="e">
        <f>AND('GA55 Entry'!AB367,"AAAAADt//+A=")</f>
        <v>#VALUE!</v>
      </c>
      <c r="HR119" t="e">
        <f>AND('GA55 Entry'!AC367,"AAAAADt//+E=")</f>
        <v>#VALUE!</v>
      </c>
      <c r="HS119" t="e">
        <f>AND('GA55 Entry'!#REF!,"AAAAADt//+I=")</f>
        <v>#REF!</v>
      </c>
      <c r="HT119">
        <f>IF('GA55 Entry'!368:368,"AAAAADt//+M=",0)</f>
        <v>0</v>
      </c>
      <c r="HU119" t="e">
        <f>AND('GA55 Entry'!B368,"AAAAADt//+Q=")</f>
        <v>#VALUE!</v>
      </c>
      <c r="HV119" t="e">
        <f>AND('GA55 Entry'!#REF!,"AAAAADt//+U=")</f>
        <v>#REF!</v>
      </c>
      <c r="HW119" t="e">
        <f>AND('GA55 Entry'!C368,"AAAAADt//+Y=")</f>
        <v>#VALUE!</v>
      </c>
      <c r="HX119" t="e">
        <f>AND('GA55 Entry'!#REF!,"AAAAADt//+c=")</f>
        <v>#REF!</v>
      </c>
      <c r="HY119" t="e">
        <f>AND('GA55 Entry'!#REF!,"AAAAADt//+g=")</f>
        <v>#REF!</v>
      </c>
      <c r="HZ119" t="e">
        <f>AND('GA55 Entry'!#REF!,"AAAAADt//+k=")</f>
        <v>#REF!</v>
      </c>
      <c r="IA119" t="e">
        <f>AND('GA55 Entry'!#REF!,"AAAAADt//+o=")</f>
        <v>#REF!</v>
      </c>
      <c r="IB119" t="e">
        <f>AND('GA55 Entry'!#REF!,"AAAAADt//+s=")</f>
        <v>#REF!</v>
      </c>
      <c r="IC119" t="e">
        <f>AND('GA55 Entry'!D368,"AAAAADt//+w=")</f>
        <v>#VALUE!</v>
      </c>
      <c r="ID119" t="e">
        <f>AND('GA55 Entry'!#REF!,"AAAAADt//+0=")</f>
        <v>#REF!</v>
      </c>
      <c r="IE119" t="e">
        <f>AND('GA55 Entry'!E368,"AAAAADt//+4=")</f>
        <v>#VALUE!</v>
      </c>
      <c r="IF119" t="e">
        <f>AND('GA55 Entry'!F368,"AAAAADt//+8=")</f>
        <v>#VALUE!</v>
      </c>
      <c r="IG119" t="e">
        <f>AND('GA55 Entry'!G368,"AAAAADt///A=")</f>
        <v>#VALUE!</v>
      </c>
      <c r="IH119" t="e">
        <f>AND('GA55 Entry'!H368,"AAAAADt///E=")</f>
        <v>#VALUE!</v>
      </c>
      <c r="II119" t="e">
        <f>AND('GA55 Entry'!I368,"AAAAADt///I=")</f>
        <v>#VALUE!</v>
      </c>
      <c r="IJ119" t="e">
        <f>AND('GA55 Entry'!J368,"AAAAADt///M=")</f>
        <v>#VALUE!</v>
      </c>
      <c r="IK119" t="e">
        <f>AND('GA55 Entry'!#REF!,"AAAAADt///Q=")</f>
        <v>#REF!</v>
      </c>
      <c r="IL119" t="e">
        <f>AND('GA55 Entry'!K368,"AAAAADt///U=")</f>
        <v>#VALUE!</v>
      </c>
      <c r="IM119" t="e">
        <f>AND('GA55 Entry'!L368,"AAAAADt///Y=")</f>
        <v>#VALUE!</v>
      </c>
      <c r="IN119" t="e">
        <f>AND('GA55 Entry'!M368,"AAAAADt///c=")</f>
        <v>#VALUE!</v>
      </c>
      <c r="IO119" t="e">
        <f>AND('GA55 Entry'!N368,"AAAAADt///g=")</f>
        <v>#VALUE!</v>
      </c>
      <c r="IP119" t="e">
        <f>AND('GA55 Entry'!O368,"AAAAADt///k=")</f>
        <v>#VALUE!</v>
      </c>
      <c r="IQ119" t="e">
        <f>AND('GA55 Entry'!P368,"AAAAADt///o=")</f>
        <v>#VALUE!</v>
      </c>
      <c r="IR119" t="e">
        <f>AND('GA55 Entry'!Q368,"AAAAADt///s=")</f>
        <v>#VALUE!</v>
      </c>
      <c r="IS119" t="e">
        <f>AND('GA55 Entry'!S368,"AAAAADt///w=")</f>
        <v>#VALUE!</v>
      </c>
      <c r="IT119" t="e">
        <f>AND('GA55 Entry'!#REF!,"AAAAADt///0=")</f>
        <v>#REF!</v>
      </c>
      <c r="IU119" t="e">
        <f>AND('GA55 Entry'!T368,"AAAAADt///4=")</f>
        <v>#VALUE!</v>
      </c>
      <c r="IV119" t="e">
        <f>AND('GA55 Entry'!U368,"AAAAADt///8=")</f>
        <v>#VALUE!</v>
      </c>
    </row>
    <row r="120" spans="1:256">
      <c r="A120" t="e">
        <f>AND('GA55 Entry'!V368,"AAAAAAX3dwA=")</f>
        <v>#VALUE!</v>
      </c>
      <c r="B120" t="e">
        <f>AND('GA55 Entry'!#REF!,"AAAAAAX3dwE=")</f>
        <v>#REF!</v>
      </c>
      <c r="C120" t="e">
        <f>AND('GA55 Entry'!#REF!,"AAAAAAX3dwI=")</f>
        <v>#REF!</v>
      </c>
      <c r="D120" t="e">
        <f>AND('GA55 Entry'!X368,"AAAAAAX3dwM=")</f>
        <v>#VALUE!</v>
      </c>
      <c r="E120" t="e">
        <f>AND('GA55 Entry'!Y368,"AAAAAAX3dwQ=")</f>
        <v>#VALUE!</v>
      </c>
      <c r="F120" t="e">
        <f>AND('GA55 Entry'!#REF!,"AAAAAAX3dwU=")</f>
        <v>#REF!</v>
      </c>
      <c r="G120" t="e">
        <f>AND('GA55 Entry'!#REF!,"AAAAAAX3dwY=")</f>
        <v>#REF!</v>
      </c>
      <c r="H120" t="e">
        <f>AND('GA55 Entry'!#REF!,"AAAAAAX3dwc=")</f>
        <v>#REF!</v>
      </c>
      <c r="I120" t="e">
        <f>AND('GA55 Entry'!#REF!,"AAAAAAX3dwg=")</f>
        <v>#REF!</v>
      </c>
      <c r="J120" t="e">
        <f>AND('GA55 Entry'!#REF!,"AAAAAAX3dwk=")</f>
        <v>#REF!</v>
      </c>
      <c r="K120" t="e">
        <f>AND('GA55 Entry'!#REF!,"AAAAAAX3dwo=")</f>
        <v>#REF!</v>
      </c>
      <c r="L120" t="e">
        <f>AND('GA55 Entry'!#REF!,"AAAAAAX3dws=")</f>
        <v>#REF!</v>
      </c>
      <c r="M120" t="e">
        <f>AND('GA55 Entry'!#REF!,"AAAAAAX3dww=")</f>
        <v>#REF!</v>
      </c>
      <c r="N120" t="e">
        <f>AND('GA55 Entry'!#REF!,"AAAAAAX3dw0=")</f>
        <v>#REF!</v>
      </c>
      <c r="O120" t="e">
        <f>AND('GA55 Entry'!Z368,"AAAAAAX3dw4=")</f>
        <v>#VALUE!</v>
      </c>
      <c r="P120" t="e">
        <f>AND('GA55 Entry'!AA368,"AAAAAAX3dw8=")</f>
        <v>#VALUE!</v>
      </c>
      <c r="Q120" t="e">
        <f>AND('GA55 Entry'!#REF!,"AAAAAAX3dxA=")</f>
        <v>#REF!</v>
      </c>
      <c r="R120" t="e">
        <f>AND('GA55 Entry'!#REF!,"AAAAAAX3dxE=")</f>
        <v>#REF!</v>
      </c>
      <c r="S120" t="e">
        <f>AND('GA55 Entry'!#REF!,"AAAAAAX3dxI=")</f>
        <v>#REF!</v>
      </c>
      <c r="T120" t="e">
        <f>AND('GA55 Entry'!AB368,"AAAAAAX3dxM=")</f>
        <v>#VALUE!</v>
      </c>
      <c r="U120" t="e">
        <f>AND('GA55 Entry'!AC368,"AAAAAAX3dxQ=")</f>
        <v>#VALUE!</v>
      </c>
      <c r="V120" t="e">
        <f>AND('GA55 Entry'!#REF!,"AAAAAAX3dxU=")</f>
        <v>#REF!</v>
      </c>
      <c r="W120">
        <f>IF('GA55 Entry'!369:369,"AAAAAAX3dxY=",0)</f>
        <v>0</v>
      </c>
      <c r="X120" t="e">
        <f>AND('GA55 Entry'!B369,"AAAAAAX3dxc=")</f>
        <v>#VALUE!</v>
      </c>
      <c r="Y120" t="e">
        <f>AND('GA55 Entry'!#REF!,"AAAAAAX3dxg=")</f>
        <v>#REF!</v>
      </c>
      <c r="Z120" t="e">
        <f>AND('GA55 Entry'!C369,"AAAAAAX3dxk=")</f>
        <v>#VALUE!</v>
      </c>
      <c r="AA120" t="e">
        <f>AND('GA55 Entry'!#REF!,"AAAAAAX3dxo=")</f>
        <v>#REF!</v>
      </c>
      <c r="AB120" t="e">
        <f>AND('GA55 Entry'!#REF!,"AAAAAAX3dxs=")</f>
        <v>#REF!</v>
      </c>
      <c r="AC120" t="e">
        <f>AND('GA55 Entry'!#REF!,"AAAAAAX3dxw=")</f>
        <v>#REF!</v>
      </c>
      <c r="AD120" t="e">
        <f>AND('GA55 Entry'!#REF!,"AAAAAAX3dx0=")</f>
        <v>#REF!</v>
      </c>
      <c r="AE120" t="e">
        <f>AND('GA55 Entry'!#REF!,"AAAAAAX3dx4=")</f>
        <v>#REF!</v>
      </c>
      <c r="AF120" t="e">
        <f>AND('GA55 Entry'!D369,"AAAAAAX3dx8=")</f>
        <v>#VALUE!</v>
      </c>
      <c r="AG120" t="e">
        <f>AND('GA55 Entry'!#REF!,"AAAAAAX3dyA=")</f>
        <v>#REF!</v>
      </c>
      <c r="AH120" t="e">
        <f>AND('GA55 Entry'!E369,"AAAAAAX3dyE=")</f>
        <v>#VALUE!</v>
      </c>
      <c r="AI120" t="e">
        <f>AND('GA55 Entry'!F369,"AAAAAAX3dyI=")</f>
        <v>#VALUE!</v>
      </c>
      <c r="AJ120" t="e">
        <f>AND('GA55 Entry'!G369,"AAAAAAX3dyM=")</f>
        <v>#VALUE!</v>
      </c>
      <c r="AK120" t="e">
        <f>AND('GA55 Entry'!H369,"AAAAAAX3dyQ=")</f>
        <v>#VALUE!</v>
      </c>
      <c r="AL120" t="e">
        <f>AND('GA55 Entry'!I369,"AAAAAAX3dyU=")</f>
        <v>#VALUE!</v>
      </c>
      <c r="AM120" t="e">
        <f>AND('GA55 Entry'!J369,"AAAAAAX3dyY=")</f>
        <v>#VALUE!</v>
      </c>
      <c r="AN120" t="e">
        <f>AND('GA55 Entry'!#REF!,"AAAAAAX3dyc=")</f>
        <v>#REF!</v>
      </c>
      <c r="AO120" t="e">
        <f>AND('GA55 Entry'!K369,"AAAAAAX3dyg=")</f>
        <v>#VALUE!</v>
      </c>
      <c r="AP120" t="e">
        <f>AND('GA55 Entry'!L369,"AAAAAAX3dyk=")</f>
        <v>#VALUE!</v>
      </c>
      <c r="AQ120" t="e">
        <f>AND('GA55 Entry'!M369,"AAAAAAX3dyo=")</f>
        <v>#VALUE!</v>
      </c>
      <c r="AR120" t="e">
        <f>AND('GA55 Entry'!N369,"AAAAAAX3dys=")</f>
        <v>#VALUE!</v>
      </c>
      <c r="AS120" t="e">
        <f>AND('GA55 Entry'!O369,"AAAAAAX3dyw=")</f>
        <v>#VALUE!</v>
      </c>
      <c r="AT120" t="e">
        <f>AND('GA55 Entry'!P369,"AAAAAAX3dy0=")</f>
        <v>#VALUE!</v>
      </c>
      <c r="AU120" t="e">
        <f>AND('GA55 Entry'!Q369,"AAAAAAX3dy4=")</f>
        <v>#VALUE!</v>
      </c>
      <c r="AV120" t="e">
        <f>AND('GA55 Entry'!S369,"AAAAAAX3dy8=")</f>
        <v>#VALUE!</v>
      </c>
      <c r="AW120" t="e">
        <f>AND('GA55 Entry'!#REF!,"AAAAAAX3dzA=")</f>
        <v>#REF!</v>
      </c>
      <c r="AX120" t="e">
        <f>AND('GA55 Entry'!T369,"AAAAAAX3dzE=")</f>
        <v>#VALUE!</v>
      </c>
      <c r="AY120" t="e">
        <f>AND('GA55 Entry'!U369,"AAAAAAX3dzI=")</f>
        <v>#VALUE!</v>
      </c>
      <c r="AZ120" t="e">
        <f>AND('GA55 Entry'!V369,"AAAAAAX3dzM=")</f>
        <v>#VALUE!</v>
      </c>
      <c r="BA120" t="e">
        <f>AND('GA55 Entry'!#REF!,"AAAAAAX3dzQ=")</f>
        <v>#REF!</v>
      </c>
      <c r="BB120" t="e">
        <f>AND('GA55 Entry'!#REF!,"AAAAAAX3dzU=")</f>
        <v>#REF!</v>
      </c>
      <c r="BC120" t="e">
        <f>AND('GA55 Entry'!X369,"AAAAAAX3dzY=")</f>
        <v>#VALUE!</v>
      </c>
      <c r="BD120" t="e">
        <f>AND('GA55 Entry'!Y369,"AAAAAAX3dzc=")</f>
        <v>#VALUE!</v>
      </c>
      <c r="BE120" t="e">
        <f>AND('GA55 Entry'!#REF!,"AAAAAAX3dzg=")</f>
        <v>#REF!</v>
      </c>
      <c r="BF120" t="e">
        <f>AND('GA55 Entry'!#REF!,"AAAAAAX3dzk=")</f>
        <v>#REF!</v>
      </c>
      <c r="BG120" t="e">
        <f>AND('GA55 Entry'!#REF!,"AAAAAAX3dzo=")</f>
        <v>#REF!</v>
      </c>
      <c r="BH120" t="e">
        <f>AND('GA55 Entry'!#REF!,"AAAAAAX3dzs=")</f>
        <v>#REF!</v>
      </c>
      <c r="BI120" t="e">
        <f>AND('GA55 Entry'!#REF!,"AAAAAAX3dzw=")</f>
        <v>#REF!</v>
      </c>
      <c r="BJ120" t="e">
        <f>AND('GA55 Entry'!#REF!,"AAAAAAX3dz0=")</f>
        <v>#REF!</v>
      </c>
      <c r="BK120" t="e">
        <f>AND('GA55 Entry'!#REF!,"AAAAAAX3dz4=")</f>
        <v>#REF!</v>
      </c>
      <c r="BL120" t="e">
        <f>AND('GA55 Entry'!#REF!,"AAAAAAX3dz8=")</f>
        <v>#REF!</v>
      </c>
      <c r="BM120" t="e">
        <f>AND('GA55 Entry'!#REF!,"AAAAAAX3d0A=")</f>
        <v>#REF!</v>
      </c>
      <c r="BN120" t="e">
        <f>AND('GA55 Entry'!Z369,"AAAAAAX3d0E=")</f>
        <v>#VALUE!</v>
      </c>
      <c r="BO120" t="e">
        <f>AND('GA55 Entry'!AA369,"AAAAAAX3d0I=")</f>
        <v>#VALUE!</v>
      </c>
      <c r="BP120" t="e">
        <f>AND('GA55 Entry'!#REF!,"AAAAAAX3d0M=")</f>
        <v>#REF!</v>
      </c>
      <c r="BQ120" t="e">
        <f>AND('GA55 Entry'!#REF!,"AAAAAAX3d0Q=")</f>
        <v>#REF!</v>
      </c>
      <c r="BR120" t="e">
        <f>AND('GA55 Entry'!#REF!,"AAAAAAX3d0U=")</f>
        <v>#REF!</v>
      </c>
      <c r="BS120" t="e">
        <f>AND('GA55 Entry'!AB369,"AAAAAAX3d0Y=")</f>
        <v>#VALUE!</v>
      </c>
      <c r="BT120" t="e">
        <f>AND('GA55 Entry'!AC369,"AAAAAAX3d0c=")</f>
        <v>#VALUE!</v>
      </c>
      <c r="BU120" t="e">
        <f>AND('GA55 Entry'!#REF!,"AAAAAAX3d0g=")</f>
        <v>#REF!</v>
      </c>
      <c r="BV120">
        <f>IF('GA55 Entry'!370:370,"AAAAAAX3d0k=",0)</f>
        <v>0</v>
      </c>
      <c r="BW120" t="e">
        <f>AND('GA55 Entry'!B370,"AAAAAAX3d0o=")</f>
        <v>#VALUE!</v>
      </c>
      <c r="BX120" t="e">
        <f>AND('GA55 Entry'!#REF!,"AAAAAAX3d0s=")</f>
        <v>#REF!</v>
      </c>
      <c r="BY120" t="e">
        <f>AND('GA55 Entry'!C370,"AAAAAAX3d0w=")</f>
        <v>#VALUE!</v>
      </c>
      <c r="BZ120" t="e">
        <f>AND('GA55 Entry'!#REF!,"AAAAAAX3d00=")</f>
        <v>#REF!</v>
      </c>
      <c r="CA120" t="e">
        <f>AND('GA55 Entry'!#REF!,"AAAAAAX3d04=")</f>
        <v>#REF!</v>
      </c>
      <c r="CB120" t="e">
        <f>AND('GA55 Entry'!#REF!,"AAAAAAX3d08=")</f>
        <v>#REF!</v>
      </c>
      <c r="CC120" t="e">
        <f>AND('GA55 Entry'!#REF!,"AAAAAAX3d1A=")</f>
        <v>#REF!</v>
      </c>
      <c r="CD120" t="e">
        <f>AND('GA55 Entry'!#REF!,"AAAAAAX3d1E=")</f>
        <v>#REF!</v>
      </c>
      <c r="CE120" t="e">
        <f>AND('GA55 Entry'!D370,"AAAAAAX3d1I=")</f>
        <v>#VALUE!</v>
      </c>
      <c r="CF120" t="e">
        <f>AND('GA55 Entry'!#REF!,"AAAAAAX3d1M=")</f>
        <v>#REF!</v>
      </c>
      <c r="CG120" t="e">
        <f>AND('GA55 Entry'!E370,"AAAAAAX3d1Q=")</f>
        <v>#VALUE!</v>
      </c>
      <c r="CH120" t="e">
        <f>AND('GA55 Entry'!F370,"AAAAAAX3d1U=")</f>
        <v>#VALUE!</v>
      </c>
      <c r="CI120" t="e">
        <f>AND('GA55 Entry'!G370,"AAAAAAX3d1Y=")</f>
        <v>#VALUE!</v>
      </c>
      <c r="CJ120" t="e">
        <f>AND('GA55 Entry'!H370,"AAAAAAX3d1c=")</f>
        <v>#VALUE!</v>
      </c>
      <c r="CK120" t="e">
        <f>AND('GA55 Entry'!I370,"AAAAAAX3d1g=")</f>
        <v>#VALUE!</v>
      </c>
      <c r="CL120" t="e">
        <f>AND('GA55 Entry'!J370,"AAAAAAX3d1k=")</f>
        <v>#VALUE!</v>
      </c>
      <c r="CM120" t="e">
        <f>AND('GA55 Entry'!#REF!,"AAAAAAX3d1o=")</f>
        <v>#REF!</v>
      </c>
      <c r="CN120" t="e">
        <f>AND('GA55 Entry'!K370,"AAAAAAX3d1s=")</f>
        <v>#VALUE!</v>
      </c>
      <c r="CO120" t="e">
        <f>AND('GA55 Entry'!L370,"AAAAAAX3d1w=")</f>
        <v>#VALUE!</v>
      </c>
      <c r="CP120" t="e">
        <f>AND('GA55 Entry'!M370,"AAAAAAX3d10=")</f>
        <v>#VALUE!</v>
      </c>
      <c r="CQ120" t="e">
        <f>AND('GA55 Entry'!N370,"AAAAAAX3d14=")</f>
        <v>#VALUE!</v>
      </c>
      <c r="CR120" t="e">
        <f>AND('GA55 Entry'!O370,"AAAAAAX3d18=")</f>
        <v>#VALUE!</v>
      </c>
      <c r="CS120" t="e">
        <f>AND('GA55 Entry'!P370,"AAAAAAX3d2A=")</f>
        <v>#VALUE!</v>
      </c>
      <c r="CT120" t="e">
        <f>AND('GA55 Entry'!Q370,"AAAAAAX3d2E=")</f>
        <v>#VALUE!</v>
      </c>
      <c r="CU120" t="e">
        <f>AND('GA55 Entry'!S370,"AAAAAAX3d2I=")</f>
        <v>#VALUE!</v>
      </c>
      <c r="CV120" t="e">
        <f>AND('GA55 Entry'!#REF!,"AAAAAAX3d2M=")</f>
        <v>#REF!</v>
      </c>
      <c r="CW120" t="e">
        <f>AND('GA55 Entry'!T370,"AAAAAAX3d2Q=")</f>
        <v>#VALUE!</v>
      </c>
      <c r="CX120" t="e">
        <f>AND('GA55 Entry'!U370,"AAAAAAX3d2U=")</f>
        <v>#VALUE!</v>
      </c>
      <c r="CY120" t="e">
        <f>AND('GA55 Entry'!V370,"AAAAAAX3d2Y=")</f>
        <v>#VALUE!</v>
      </c>
      <c r="CZ120" t="e">
        <f>AND('GA55 Entry'!#REF!,"AAAAAAX3d2c=")</f>
        <v>#REF!</v>
      </c>
      <c r="DA120" t="e">
        <f>AND('GA55 Entry'!#REF!,"AAAAAAX3d2g=")</f>
        <v>#REF!</v>
      </c>
      <c r="DB120" t="e">
        <f>AND('GA55 Entry'!X370,"AAAAAAX3d2k=")</f>
        <v>#VALUE!</v>
      </c>
      <c r="DC120" t="e">
        <f>AND('GA55 Entry'!Y370,"AAAAAAX3d2o=")</f>
        <v>#VALUE!</v>
      </c>
      <c r="DD120" t="e">
        <f>AND('GA55 Entry'!#REF!,"AAAAAAX3d2s=")</f>
        <v>#REF!</v>
      </c>
      <c r="DE120" t="e">
        <f>AND('GA55 Entry'!#REF!,"AAAAAAX3d2w=")</f>
        <v>#REF!</v>
      </c>
      <c r="DF120" t="e">
        <f>AND('GA55 Entry'!#REF!,"AAAAAAX3d20=")</f>
        <v>#REF!</v>
      </c>
      <c r="DG120" t="e">
        <f>AND('GA55 Entry'!#REF!,"AAAAAAX3d24=")</f>
        <v>#REF!</v>
      </c>
      <c r="DH120" t="e">
        <f>AND('GA55 Entry'!#REF!,"AAAAAAX3d28=")</f>
        <v>#REF!</v>
      </c>
      <c r="DI120" t="e">
        <f>AND('GA55 Entry'!#REF!,"AAAAAAX3d3A=")</f>
        <v>#REF!</v>
      </c>
      <c r="DJ120" t="e">
        <f>AND('GA55 Entry'!#REF!,"AAAAAAX3d3E=")</f>
        <v>#REF!</v>
      </c>
      <c r="DK120" t="e">
        <f>AND('GA55 Entry'!#REF!,"AAAAAAX3d3I=")</f>
        <v>#REF!</v>
      </c>
      <c r="DL120" t="e">
        <f>AND('GA55 Entry'!#REF!,"AAAAAAX3d3M=")</f>
        <v>#REF!</v>
      </c>
      <c r="DM120" t="e">
        <f>AND('GA55 Entry'!Z370,"AAAAAAX3d3Q=")</f>
        <v>#VALUE!</v>
      </c>
      <c r="DN120" t="e">
        <f>AND('GA55 Entry'!AA370,"AAAAAAX3d3U=")</f>
        <v>#VALUE!</v>
      </c>
      <c r="DO120" t="e">
        <f>AND('GA55 Entry'!#REF!,"AAAAAAX3d3Y=")</f>
        <v>#REF!</v>
      </c>
      <c r="DP120" t="e">
        <f>AND('GA55 Entry'!#REF!,"AAAAAAX3d3c=")</f>
        <v>#REF!</v>
      </c>
      <c r="DQ120" t="e">
        <f>AND('GA55 Entry'!#REF!,"AAAAAAX3d3g=")</f>
        <v>#REF!</v>
      </c>
      <c r="DR120" t="e">
        <f>AND('GA55 Entry'!AB370,"AAAAAAX3d3k=")</f>
        <v>#VALUE!</v>
      </c>
      <c r="DS120" t="e">
        <f>AND('GA55 Entry'!AC370,"AAAAAAX3d3o=")</f>
        <v>#VALUE!</v>
      </c>
      <c r="DT120" t="e">
        <f>AND('GA55 Entry'!#REF!,"AAAAAAX3d3s=")</f>
        <v>#REF!</v>
      </c>
      <c r="DU120">
        <f>IF('GA55 Entry'!371:371,"AAAAAAX3d3w=",0)</f>
        <v>0</v>
      </c>
      <c r="DV120" t="e">
        <f>AND('GA55 Entry'!B371,"AAAAAAX3d30=")</f>
        <v>#VALUE!</v>
      </c>
      <c r="DW120" t="e">
        <f>AND('GA55 Entry'!#REF!,"AAAAAAX3d34=")</f>
        <v>#REF!</v>
      </c>
      <c r="DX120" t="e">
        <f>AND('GA55 Entry'!C371,"AAAAAAX3d38=")</f>
        <v>#VALUE!</v>
      </c>
      <c r="DY120" t="e">
        <f>AND('GA55 Entry'!#REF!,"AAAAAAX3d4A=")</f>
        <v>#REF!</v>
      </c>
      <c r="DZ120" t="e">
        <f>AND('GA55 Entry'!#REF!,"AAAAAAX3d4E=")</f>
        <v>#REF!</v>
      </c>
      <c r="EA120" t="e">
        <f>AND('GA55 Entry'!#REF!,"AAAAAAX3d4I=")</f>
        <v>#REF!</v>
      </c>
      <c r="EB120" t="e">
        <f>AND('GA55 Entry'!#REF!,"AAAAAAX3d4M=")</f>
        <v>#REF!</v>
      </c>
      <c r="EC120" t="e">
        <f>AND('GA55 Entry'!#REF!,"AAAAAAX3d4Q=")</f>
        <v>#REF!</v>
      </c>
      <c r="ED120" t="e">
        <f>AND('GA55 Entry'!D371,"AAAAAAX3d4U=")</f>
        <v>#VALUE!</v>
      </c>
      <c r="EE120" t="e">
        <f>AND('GA55 Entry'!#REF!,"AAAAAAX3d4Y=")</f>
        <v>#REF!</v>
      </c>
      <c r="EF120" t="e">
        <f>AND('GA55 Entry'!E371,"AAAAAAX3d4c=")</f>
        <v>#VALUE!</v>
      </c>
      <c r="EG120" t="e">
        <f>AND('GA55 Entry'!F371,"AAAAAAX3d4g=")</f>
        <v>#VALUE!</v>
      </c>
      <c r="EH120" t="e">
        <f>AND('GA55 Entry'!G371,"AAAAAAX3d4k=")</f>
        <v>#VALUE!</v>
      </c>
      <c r="EI120" t="e">
        <f>AND('GA55 Entry'!H371,"AAAAAAX3d4o=")</f>
        <v>#VALUE!</v>
      </c>
      <c r="EJ120" t="e">
        <f>AND('GA55 Entry'!I371,"AAAAAAX3d4s=")</f>
        <v>#VALUE!</v>
      </c>
      <c r="EK120" t="e">
        <f>AND('GA55 Entry'!J371,"AAAAAAX3d4w=")</f>
        <v>#VALUE!</v>
      </c>
      <c r="EL120" t="e">
        <f>AND('GA55 Entry'!#REF!,"AAAAAAX3d40=")</f>
        <v>#REF!</v>
      </c>
      <c r="EM120" t="e">
        <f>AND('GA55 Entry'!K371,"AAAAAAX3d44=")</f>
        <v>#VALUE!</v>
      </c>
      <c r="EN120" t="e">
        <f>AND('GA55 Entry'!L371,"AAAAAAX3d48=")</f>
        <v>#VALUE!</v>
      </c>
      <c r="EO120" t="e">
        <f>AND('GA55 Entry'!M371,"AAAAAAX3d5A=")</f>
        <v>#VALUE!</v>
      </c>
      <c r="EP120" t="e">
        <f>AND('GA55 Entry'!N371,"AAAAAAX3d5E=")</f>
        <v>#VALUE!</v>
      </c>
      <c r="EQ120" t="e">
        <f>AND('GA55 Entry'!O371,"AAAAAAX3d5I=")</f>
        <v>#VALUE!</v>
      </c>
      <c r="ER120" t="e">
        <f>AND('GA55 Entry'!P371,"AAAAAAX3d5M=")</f>
        <v>#VALUE!</v>
      </c>
      <c r="ES120" t="e">
        <f>AND('GA55 Entry'!Q371,"AAAAAAX3d5Q=")</f>
        <v>#VALUE!</v>
      </c>
      <c r="ET120" t="e">
        <f>AND('GA55 Entry'!S371,"AAAAAAX3d5U=")</f>
        <v>#VALUE!</v>
      </c>
      <c r="EU120" t="e">
        <f>AND('GA55 Entry'!#REF!,"AAAAAAX3d5Y=")</f>
        <v>#REF!</v>
      </c>
      <c r="EV120" t="e">
        <f>AND('GA55 Entry'!T371,"AAAAAAX3d5c=")</f>
        <v>#VALUE!</v>
      </c>
      <c r="EW120" t="e">
        <f>AND('GA55 Entry'!U371,"AAAAAAX3d5g=")</f>
        <v>#VALUE!</v>
      </c>
      <c r="EX120" t="e">
        <f>AND('GA55 Entry'!V371,"AAAAAAX3d5k=")</f>
        <v>#VALUE!</v>
      </c>
      <c r="EY120" t="e">
        <f>AND('GA55 Entry'!#REF!,"AAAAAAX3d5o=")</f>
        <v>#REF!</v>
      </c>
      <c r="EZ120" t="e">
        <f>AND('GA55 Entry'!#REF!,"AAAAAAX3d5s=")</f>
        <v>#REF!</v>
      </c>
      <c r="FA120" t="e">
        <f>AND('GA55 Entry'!X371,"AAAAAAX3d5w=")</f>
        <v>#VALUE!</v>
      </c>
      <c r="FB120" t="e">
        <f>AND('GA55 Entry'!Y371,"AAAAAAX3d50=")</f>
        <v>#VALUE!</v>
      </c>
      <c r="FC120" t="e">
        <f>AND('GA55 Entry'!#REF!,"AAAAAAX3d54=")</f>
        <v>#REF!</v>
      </c>
      <c r="FD120" t="e">
        <f>AND('GA55 Entry'!#REF!,"AAAAAAX3d58=")</f>
        <v>#REF!</v>
      </c>
      <c r="FE120" t="e">
        <f>AND('GA55 Entry'!#REF!,"AAAAAAX3d6A=")</f>
        <v>#REF!</v>
      </c>
      <c r="FF120" t="e">
        <f>AND('GA55 Entry'!#REF!,"AAAAAAX3d6E=")</f>
        <v>#REF!</v>
      </c>
      <c r="FG120" t="e">
        <f>AND('GA55 Entry'!#REF!,"AAAAAAX3d6I=")</f>
        <v>#REF!</v>
      </c>
      <c r="FH120" t="e">
        <f>AND('GA55 Entry'!#REF!,"AAAAAAX3d6M=")</f>
        <v>#REF!</v>
      </c>
      <c r="FI120" t="e">
        <f>AND('GA55 Entry'!#REF!,"AAAAAAX3d6Q=")</f>
        <v>#REF!</v>
      </c>
      <c r="FJ120" t="e">
        <f>AND('GA55 Entry'!#REF!,"AAAAAAX3d6U=")</f>
        <v>#REF!</v>
      </c>
      <c r="FK120" t="e">
        <f>AND('GA55 Entry'!#REF!,"AAAAAAX3d6Y=")</f>
        <v>#REF!</v>
      </c>
      <c r="FL120" t="e">
        <f>AND('GA55 Entry'!Z371,"AAAAAAX3d6c=")</f>
        <v>#VALUE!</v>
      </c>
      <c r="FM120" t="e">
        <f>AND('GA55 Entry'!AA371,"AAAAAAX3d6g=")</f>
        <v>#VALUE!</v>
      </c>
      <c r="FN120" t="e">
        <f>AND('GA55 Entry'!#REF!,"AAAAAAX3d6k=")</f>
        <v>#REF!</v>
      </c>
      <c r="FO120" t="e">
        <f>AND('GA55 Entry'!#REF!,"AAAAAAX3d6o=")</f>
        <v>#REF!</v>
      </c>
      <c r="FP120" t="e">
        <f>AND('GA55 Entry'!#REF!,"AAAAAAX3d6s=")</f>
        <v>#REF!</v>
      </c>
      <c r="FQ120" t="e">
        <f>AND('GA55 Entry'!AB371,"AAAAAAX3d6w=")</f>
        <v>#VALUE!</v>
      </c>
      <c r="FR120" t="e">
        <f>AND('GA55 Entry'!AC371,"AAAAAAX3d60=")</f>
        <v>#VALUE!</v>
      </c>
      <c r="FS120" t="e">
        <f>AND('GA55 Entry'!#REF!,"AAAAAAX3d64=")</f>
        <v>#REF!</v>
      </c>
      <c r="FT120">
        <f>IF('GA55 Entry'!372:372,"AAAAAAX3d68=",0)</f>
        <v>0</v>
      </c>
      <c r="FU120" t="e">
        <f>AND('GA55 Entry'!B372,"AAAAAAX3d7A=")</f>
        <v>#VALUE!</v>
      </c>
      <c r="FV120" t="e">
        <f>AND('GA55 Entry'!#REF!,"AAAAAAX3d7E=")</f>
        <v>#REF!</v>
      </c>
      <c r="FW120" t="e">
        <f>AND('GA55 Entry'!C372,"AAAAAAX3d7I=")</f>
        <v>#VALUE!</v>
      </c>
      <c r="FX120" t="e">
        <f>AND('GA55 Entry'!#REF!,"AAAAAAX3d7M=")</f>
        <v>#REF!</v>
      </c>
      <c r="FY120" t="e">
        <f>AND('GA55 Entry'!#REF!,"AAAAAAX3d7Q=")</f>
        <v>#REF!</v>
      </c>
      <c r="FZ120" t="e">
        <f>AND('GA55 Entry'!#REF!,"AAAAAAX3d7U=")</f>
        <v>#REF!</v>
      </c>
      <c r="GA120" t="e">
        <f>AND('GA55 Entry'!#REF!,"AAAAAAX3d7Y=")</f>
        <v>#REF!</v>
      </c>
      <c r="GB120" t="e">
        <f>AND('GA55 Entry'!#REF!,"AAAAAAX3d7c=")</f>
        <v>#REF!</v>
      </c>
      <c r="GC120" t="e">
        <f>AND('GA55 Entry'!D372,"AAAAAAX3d7g=")</f>
        <v>#VALUE!</v>
      </c>
      <c r="GD120" t="e">
        <f>AND('GA55 Entry'!#REF!,"AAAAAAX3d7k=")</f>
        <v>#REF!</v>
      </c>
      <c r="GE120" t="e">
        <f>AND('GA55 Entry'!E372,"AAAAAAX3d7o=")</f>
        <v>#VALUE!</v>
      </c>
      <c r="GF120" t="e">
        <f>AND('GA55 Entry'!F372,"AAAAAAX3d7s=")</f>
        <v>#VALUE!</v>
      </c>
      <c r="GG120" t="e">
        <f>AND('GA55 Entry'!G372,"AAAAAAX3d7w=")</f>
        <v>#VALUE!</v>
      </c>
      <c r="GH120" t="e">
        <f>AND('GA55 Entry'!H372,"AAAAAAX3d70=")</f>
        <v>#VALUE!</v>
      </c>
      <c r="GI120" t="e">
        <f>AND('GA55 Entry'!I372,"AAAAAAX3d74=")</f>
        <v>#VALUE!</v>
      </c>
      <c r="GJ120" t="e">
        <f>AND('GA55 Entry'!J372,"AAAAAAX3d78=")</f>
        <v>#VALUE!</v>
      </c>
      <c r="GK120" t="e">
        <f>AND('GA55 Entry'!#REF!,"AAAAAAX3d8A=")</f>
        <v>#REF!</v>
      </c>
      <c r="GL120" t="e">
        <f>AND('GA55 Entry'!K372,"AAAAAAX3d8E=")</f>
        <v>#VALUE!</v>
      </c>
      <c r="GM120" t="e">
        <f>AND('GA55 Entry'!L372,"AAAAAAX3d8I=")</f>
        <v>#VALUE!</v>
      </c>
      <c r="GN120" t="e">
        <f>AND('GA55 Entry'!M372,"AAAAAAX3d8M=")</f>
        <v>#VALUE!</v>
      </c>
      <c r="GO120" t="e">
        <f>AND('GA55 Entry'!N372,"AAAAAAX3d8Q=")</f>
        <v>#VALUE!</v>
      </c>
      <c r="GP120" t="e">
        <f>AND('GA55 Entry'!O372,"AAAAAAX3d8U=")</f>
        <v>#VALUE!</v>
      </c>
      <c r="GQ120" t="e">
        <f>AND('GA55 Entry'!P372,"AAAAAAX3d8Y=")</f>
        <v>#VALUE!</v>
      </c>
      <c r="GR120" t="e">
        <f>AND('GA55 Entry'!Q372,"AAAAAAX3d8c=")</f>
        <v>#VALUE!</v>
      </c>
      <c r="GS120" t="e">
        <f>AND('GA55 Entry'!S372,"AAAAAAX3d8g=")</f>
        <v>#VALUE!</v>
      </c>
      <c r="GT120" t="e">
        <f>AND('GA55 Entry'!#REF!,"AAAAAAX3d8k=")</f>
        <v>#REF!</v>
      </c>
      <c r="GU120" t="e">
        <f>AND('GA55 Entry'!T372,"AAAAAAX3d8o=")</f>
        <v>#VALUE!</v>
      </c>
      <c r="GV120" t="e">
        <f>AND('GA55 Entry'!U372,"AAAAAAX3d8s=")</f>
        <v>#VALUE!</v>
      </c>
      <c r="GW120" t="e">
        <f>AND('GA55 Entry'!V372,"AAAAAAX3d8w=")</f>
        <v>#VALUE!</v>
      </c>
      <c r="GX120" t="e">
        <f>AND('GA55 Entry'!#REF!,"AAAAAAX3d80=")</f>
        <v>#REF!</v>
      </c>
      <c r="GY120" t="e">
        <f>AND('GA55 Entry'!#REF!,"AAAAAAX3d84=")</f>
        <v>#REF!</v>
      </c>
      <c r="GZ120" t="e">
        <f>AND('GA55 Entry'!X372,"AAAAAAX3d88=")</f>
        <v>#VALUE!</v>
      </c>
      <c r="HA120" t="e">
        <f>AND('GA55 Entry'!Y372,"AAAAAAX3d9A=")</f>
        <v>#VALUE!</v>
      </c>
      <c r="HB120" t="e">
        <f>AND('GA55 Entry'!#REF!,"AAAAAAX3d9E=")</f>
        <v>#REF!</v>
      </c>
      <c r="HC120" t="e">
        <f>AND('GA55 Entry'!#REF!,"AAAAAAX3d9I=")</f>
        <v>#REF!</v>
      </c>
      <c r="HD120" t="e">
        <f>AND('GA55 Entry'!#REF!,"AAAAAAX3d9M=")</f>
        <v>#REF!</v>
      </c>
      <c r="HE120" t="e">
        <f>AND('GA55 Entry'!#REF!,"AAAAAAX3d9Q=")</f>
        <v>#REF!</v>
      </c>
      <c r="HF120" t="e">
        <f>AND('GA55 Entry'!#REF!,"AAAAAAX3d9U=")</f>
        <v>#REF!</v>
      </c>
      <c r="HG120" t="e">
        <f>AND('GA55 Entry'!#REF!,"AAAAAAX3d9Y=")</f>
        <v>#REF!</v>
      </c>
      <c r="HH120" t="e">
        <f>AND('GA55 Entry'!#REF!,"AAAAAAX3d9c=")</f>
        <v>#REF!</v>
      </c>
      <c r="HI120" t="e">
        <f>AND('GA55 Entry'!#REF!,"AAAAAAX3d9g=")</f>
        <v>#REF!</v>
      </c>
      <c r="HJ120" t="e">
        <f>AND('GA55 Entry'!#REF!,"AAAAAAX3d9k=")</f>
        <v>#REF!</v>
      </c>
      <c r="HK120" t="e">
        <f>AND('GA55 Entry'!Z372,"AAAAAAX3d9o=")</f>
        <v>#VALUE!</v>
      </c>
      <c r="HL120" t="e">
        <f>AND('GA55 Entry'!AA372,"AAAAAAX3d9s=")</f>
        <v>#VALUE!</v>
      </c>
      <c r="HM120" t="e">
        <f>AND('GA55 Entry'!#REF!,"AAAAAAX3d9w=")</f>
        <v>#REF!</v>
      </c>
      <c r="HN120" t="e">
        <f>AND('GA55 Entry'!#REF!,"AAAAAAX3d90=")</f>
        <v>#REF!</v>
      </c>
      <c r="HO120" t="e">
        <f>AND('GA55 Entry'!#REF!,"AAAAAAX3d94=")</f>
        <v>#REF!</v>
      </c>
      <c r="HP120" t="e">
        <f>AND('GA55 Entry'!AB372,"AAAAAAX3d98=")</f>
        <v>#VALUE!</v>
      </c>
      <c r="HQ120" t="e">
        <f>AND('GA55 Entry'!AC372,"AAAAAAX3d+A=")</f>
        <v>#VALUE!</v>
      </c>
      <c r="HR120" t="e">
        <f>AND('GA55 Entry'!#REF!,"AAAAAAX3d+E=")</f>
        <v>#REF!</v>
      </c>
      <c r="HS120">
        <f>IF('GA55 Entry'!373:373,"AAAAAAX3d+I=",0)</f>
        <v>0</v>
      </c>
      <c r="HT120" t="e">
        <f>AND('GA55 Entry'!B373,"AAAAAAX3d+M=")</f>
        <v>#VALUE!</v>
      </c>
      <c r="HU120" t="e">
        <f>AND('GA55 Entry'!#REF!,"AAAAAAX3d+Q=")</f>
        <v>#REF!</v>
      </c>
      <c r="HV120" t="e">
        <f>AND('GA55 Entry'!C373,"AAAAAAX3d+U=")</f>
        <v>#VALUE!</v>
      </c>
      <c r="HW120" t="e">
        <f>AND('GA55 Entry'!#REF!,"AAAAAAX3d+Y=")</f>
        <v>#REF!</v>
      </c>
      <c r="HX120" t="e">
        <f>AND('GA55 Entry'!#REF!,"AAAAAAX3d+c=")</f>
        <v>#REF!</v>
      </c>
      <c r="HY120" t="e">
        <f>AND('GA55 Entry'!#REF!,"AAAAAAX3d+g=")</f>
        <v>#REF!</v>
      </c>
      <c r="HZ120" t="e">
        <f>AND('GA55 Entry'!#REF!,"AAAAAAX3d+k=")</f>
        <v>#REF!</v>
      </c>
      <c r="IA120" t="e">
        <f>AND('GA55 Entry'!#REF!,"AAAAAAX3d+o=")</f>
        <v>#REF!</v>
      </c>
      <c r="IB120" t="e">
        <f>AND('GA55 Entry'!D373,"AAAAAAX3d+s=")</f>
        <v>#VALUE!</v>
      </c>
      <c r="IC120" t="e">
        <f>AND('GA55 Entry'!#REF!,"AAAAAAX3d+w=")</f>
        <v>#REF!</v>
      </c>
      <c r="ID120" t="e">
        <f>AND('GA55 Entry'!E373,"AAAAAAX3d+0=")</f>
        <v>#VALUE!</v>
      </c>
      <c r="IE120" t="e">
        <f>AND('GA55 Entry'!F373,"AAAAAAX3d+4=")</f>
        <v>#VALUE!</v>
      </c>
      <c r="IF120" t="e">
        <f>AND('GA55 Entry'!G373,"AAAAAAX3d+8=")</f>
        <v>#VALUE!</v>
      </c>
      <c r="IG120" t="e">
        <f>AND('GA55 Entry'!H373,"AAAAAAX3d/A=")</f>
        <v>#VALUE!</v>
      </c>
      <c r="IH120" t="e">
        <f>AND('GA55 Entry'!I373,"AAAAAAX3d/E=")</f>
        <v>#VALUE!</v>
      </c>
      <c r="II120" t="e">
        <f>AND('GA55 Entry'!J373,"AAAAAAX3d/I=")</f>
        <v>#VALUE!</v>
      </c>
      <c r="IJ120" t="e">
        <f>AND('GA55 Entry'!#REF!,"AAAAAAX3d/M=")</f>
        <v>#REF!</v>
      </c>
      <c r="IK120" t="e">
        <f>AND('GA55 Entry'!K373,"AAAAAAX3d/Q=")</f>
        <v>#VALUE!</v>
      </c>
      <c r="IL120" t="e">
        <f>AND('GA55 Entry'!L373,"AAAAAAX3d/U=")</f>
        <v>#VALUE!</v>
      </c>
      <c r="IM120" t="e">
        <f>AND('GA55 Entry'!M373,"AAAAAAX3d/Y=")</f>
        <v>#VALUE!</v>
      </c>
      <c r="IN120" t="e">
        <f>AND('GA55 Entry'!N373,"AAAAAAX3d/c=")</f>
        <v>#VALUE!</v>
      </c>
      <c r="IO120" t="e">
        <f>AND('GA55 Entry'!O373,"AAAAAAX3d/g=")</f>
        <v>#VALUE!</v>
      </c>
      <c r="IP120" t="e">
        <f>AND('GA55 Entry'!P373,"AAAAAAX3d/k=")</f>
        <v>#VALUE!</v>
      </c>
      <c r="IQ120" t="e">
        <f>AND('GA55 Entry'!Q373,"AAAAAAX3d/o=")</f>
        <v>#VALUE!</v>
      </c>
      <c r="IR120" t="e">
        <f>AND('GA55 Entry'!S373,"AAAAAAX3d/s=")</f>
        <v>#VALUE!</v>
      </c>
      <c r="IS120" t="e">
        <f>AND('GA55 Entry'!#REF!,"AAAAAAX3d/w=")</f>
        <v>#REF!</v>
      </c>
      <c r="IT120" t="e">
        <f>AND('GA55 Entry'!T373,"AAAAAAX3d/0=")</f>
        <v>#VALUE!</v>
      </c>
      <c r="IU120" t="e">
        <f>AND('GA55 Entry'!U373,"AAAAAAX3d/4=")</f>
        <v>#VALUE!</v>
      </c>
      <c r="IV120" t="e">
        <f>AND('GA55 Entry'!V373,"AAAAAAX3d/8=")</f>
        <v>#VALUE!</v>
      </c>
    </row>
    <row r="121" spans="1:256">
      <c r="A121" t="e">
        <f>AND('GA55 Entry'!#REF!,"AAAAAH7e5wA=")</f>
        <v>#REF!</v>
      </c>
      <c r="B121" t="e">
        <f>AND('GA55 Entry'!#REF!,"AAAAAH7e5wE=")</f>
        <v>#REF!</v>
      </c>
      <c r="C121" t="e">
        <f>AND('GA55 Entry'!X373,"AAAAAH7e5wI=")</f>
        <v>#VALUE!</v>
      </c>
      <c r="D121" t="e">
        <f>AND('GA55 Entry'!Y373,"AAAAAH7e5wM=")</f>
        <v>#VALUE!</v>
      </c>
      <c r="E121" t="e">
        <f>AND('GA55 Entry'!#REF!,"AAAAAH7e5wQ=")</f>
        <v>#REF!</v>
      </c>
      <c r="F121" t="e">
        <f>AND('GA55 Entry'!#REF!,"AAAAAH7e5wU=")</f>
        <v>#REF!</v>
      </c>
      <c r="G121" t="e">
        <f>AND('GA55 Entry'!#REF!,"AAAAAH7e5wY=")</f>
        <v>#REF!</v>
      </c>
      <c r="H121" t="e">
        <f>AND('GA55 Entry'!#REF!,"AAAAAH7e5wc=")</f>
        <v>#REF!</v>
      </c>
      <c r="I121" t="e">
        <f>AND('GA55 Entry'!#REF!,"AAAAAH7e5wg=")</f>
        <v>#REF!</v>
      </c>
      <c r="J121" t="e">
        <f>AND('GA55 Entry'!#REF!,"AAAAAH7e5wk=")</f>
        <v>#REF!</v>
      </c>
      <c r="K121" t="e">
        <f>AND('GA55 Entry'!#REF!,"AAAAAH7e5wo=")</f>
        <v>#REF!</v>
      </c>
      <c r="L121" t="e">
        <f>AND('GA55 Entry'!#REF!,"AAAAAH7e5ws=")</f>
        <v>#REF!</v>
      </c>
      <c r="M121" t="e">
        <f>AND('GA55 Entry'!#REF!,"AAAAAH7e5ww=")</f>
        <v>#REF!</v>
      </c>
      <c r="N121" t="e">
        <f>AND('GA55 Entry'!Z373,"AAAAAH7e5w0=")</f>
        <v>#VALUE!</v>
      </c>
      <c r="O121" t="e">
        <f>AND('GA55 Entry'!AA373,"AAAAAH7e5w4=")</f>
        <v>#VALUE!</v>
      </c>
      <c r="P121" t="e">
        <f>AND('GA55 Entry'!#REF!,"AAAAAH7e5w8=")</f>
        <v>#REF!</v>
      </c>
      <c r="Q121" t="e">
        <f>AND('GA55 Entry'!#REF!,"AAAAAH7e5xA=")</f>
        <v>#REF!</v>
      </c>
      <c r="R121" t="e">
        <f>AND('GA55 Entry'!#REF!,"AAAAAH7e5xE=")</f>
        <v>#REF!</v>
      </c>
      <c r="S121" t="e">
        <f>AND('GA55 Entry'!AB373,"AAAAAH7e5xI=")</f>
        <v>#VALUE!</v>
      </c>
      <c r="T121" t="e">
        <f>AND('GA55 Entry'!AC373,"AAAAAH7e5xM=")</f>
        <v>#VALUE!</v>
      </c>
      <c r="U121" t="e">
        <f>AND('GA55 Entry'!#REF!,"AAAAAH7e5xQ=")</f>
        <v>#REF!</v>
      </c>
      <c r="V121">
        <f>IF('GA55 Entry'!374:374,"AAAAAH7e5xU=",0)</f>
        <v>0</v>
      </c>
      <c r="W121" t="e">
        <f>AND('GA55 Entry'!B374,"AAAAAH7e5xY=")</f>
        <v>#VALUE!</v>
      </c>
      <c r="X121" t="e">
        <f>AND('GA55 Entry'!#REF!,"AAAAAH7e5xc=")</f>
        <v>#REF!</v>
      </c>
      <c r="Y121" t="e">
        <f>AND('GA55 Entry'!C374,"AAAAAH7e5xg=")</f>
        <v>#VALUE!</v>
      </c>
      <c r="Z121" t="e">
        <f>AND('GA55 Entry'!#REF!,"AAAAAH7e5xk=")</f>
        <v>#REF!</v>
      </c>
      <c r="AA121" t="e">
        <f>AND('GA55 Entry'!#REF!,"AAAAAH7e5xo=")</f>
        <v>#REF!</v>
      </c>
      <c r="AB121" t="e">
        <f>AND('GA55 Entry'!#REF!,"AAAAAH7e5xs=")</f>
        <v>#REF!</v>
      </c>
      <c r="AC121" t="e">
        <f>AND('GA55 Entry'!#REF!,"AAAAAH7e5xw=")</f>
        <v>#REF!</v>
      </c>
      <c r="AD121" t="e">
        <f>AND('GA55 Entry'!#REF!,"AAAAAH7e5x0=")</f>
        <v>#REF!</v>
      </c>
      <c r="AE121" t="e">
        <f>AND('GA55 Entry'!D374,"AAAAAH7e5x4=")</f>
        <v>#VALUE!</v>
      </c>
      <c r="AF121" t="e">
        <f>AND('GA55 Entry'!#REF!,"AAAAAH7e5x8=")</f>
        <v>#REF!</v>
      </c>
      <c r="AG121" t="e">
        <f>AND('GA55 Entry'!E374,"AAAAAH7e5yA=")</f>
        <v>#VALUE!</v>
      </c>
      <c r="AH121" t="e">
        <f>AND('GA55 Entry'!F374,"AAAAAH7e5yE=")</f>
        <v>#VALUE!</v>
      </c>
      <c r="AI121" t="e">
        <f>AND('GA55 Entry'!G374,"AAAAAH7e5yI=")</f>
        <v>#VALUE!</v>
      </c>
      <c r="AJ121" t="e">
        <f>AND('GA55 Entry'!H374,"AAAAAH7e5yM=")</f>
        <v>#VALUE!</v>
      </c>
      <c r="AK121" t="e">
        <f>AND('GA55 Entry'!I374,"AAAAAH7e5yQ=")</f>
        <v>#VALUE!</v>
      </c>
      <c r="AL121" t="e">
        <f>AND('GA55 Entry'!J374,"AAAAAH7e5yU=")</f>
        <v>#VALUE!</v>
      </c>
      <c r="AM121" t="e">
        <f>AND('GA55 Entry'!#REF!,"AAAAAH7e5yY=")</f>
        <v>#REF!</v>
      </c>
      <c r="AN121" t="e">
        <f>AND('GA55 Entry'!K374,"AAAAAH7e5yc=")</f>
        <v>#VALUE!</v>
      </c>
      <c r="AO121" t="e">
        <f>AND('GA55 Entry'!L374,"AAAAAH7e5yg=")</f>
        <v>#VALUE!</v>
      </c>
      <c r="AP121" t="e">
        <f>AND('GA55 Entry'!M374,"AAAAAH7e5yk=")</f>
        <v>#VALUE!</v>
      </c>
      <c r="AQ121" t="e">
        <f>AND('GA55 Entry'!N374,"AAAAAH7e5yo=")</f>
        <v>#VALUE!</v>
      </c>
      <c r="AR121" t="e">
        <f>AND('GA55 Entry'!O374,"AAAAAH7e5ys=")</f>
        <v>#VALUE!</v>
      </c>
      <c r="AS121" t="e">
        <f>AND('GA55 Entry'!P374,"AAAAAH7e5yw=")</f>
        <v>#VALUE!</v>
      </c>
      <c r="AT121" t="e">
        <f>AND('GA55 Entry'!Q374,"AAAAAH7e5y0=")</f>
        <v>#VALUE!</v>
      </c>
      <c r="AU121" t="e">
        <f>AND('GA55 Entry'!S374,"AAAAAH7e5y4=")</f>
        <v>#VALUE!</v>
      </c>
      <c r="AV121" t="e">
        <f>AND('GA55 Entry'!#REF!,"AAAAAH7e5y8=")</f>
        <v>#REF!</v>
      </c>
      <c r="AW121" t="e">
        <f>AND('GA55 Entry'!T374,"AAAAAH7e5zA=")</f>
        <v>#VALUE!</v>
      </c>
      <c r="AX121" t="e">
        <f>AND('GA55 Entry'!U374,"AAAAAH7e5zE=")</f>
        <v>#VALUE!</v>
      </c>
      <c r="AY121" t="e">
        <f>AND('GA55 Entry'!V374,"AAAAAH7e5zI=")</f>
        <v>#VALUE!</v>
      </c>
      <c r="AZ121" t="e">
        <f>AND('GA55 Entry'!#REF!,"AAAAAH7e5zM=")</f>
        <v>#REF!</v>
      </c>
      <c r="BA121" t="e">
        <f>AND('GA55 Entry'!#REF!,"AAAAAH7e5zQ=")</f>
        <v>#REF!</v>
      </c>
      <c r="BB121" t="e">
        <f>AND('GA55 Entry'!X374,"AAAAAH7e5zU=")</f>
        <v>#VALUE!</v>
      </c>
      <c r="BC121" t="e">
        <f>AND('GA55 Entry'!Y374,"AAAAAH7e5zY=")</f>
        <v>#VALUE!</v>
      </c>
      <c r="BD121" t="e">
        <f>AND('GA55 Entry'!#REF!,"AAAAAH7e5zc=")</f>
        <v>#REF!</v>
      </c>
      <c r="BE121" t="e">
        <f>AND('GA55 Entry'!#REF!,"AAAAAH7e5zg=")</f>
        <v>#REF!</v>
      </c>
      <c r="BF121" t="e">
        <f>AND('GA55 Entry'!#REF!,"AAAAAH7e5zk=")</f>
        <v>#REF!</v>
      </c>
      <c r="BG121" t="e">
        <f>AND('GA55 Entry'!#REF!,"AAAAAH7e5zo=")</f>
        <v>#REF!</v>
      </c>
      <c r="BH121" t="e">
        <f>AND('GA55 Entry'!#REF!,"AAAAAH7e5zs=")</f>
        <v>#REF!</v>
      </c>
      <c r="BI121" t="e">
        <f>AND('GA55 Entry'!#REF!,"AAAAAH7e5zw=")</f>
        <v>#REF!</v>
      </c>
      <c r="BJ121" t="e">
        <f>AND('GA55 Entry'!#REF!,"AAAAAH7e5z0=")</f>
        <v>#REF!</v>
      </c>
      <c r="BK121" t="e">
        <f>AND('GA55 Entry'!#REF!,"AAAAAH7e5z4=")</f>
        <v>#REF!</v>
      </c>
      <c r="BL121" t="e">
        <f>AND('GA55 Entry'!#REF!,"AAAAAH7e5z8=")</f>
        <v>#REF!</v>
      </c>
      <c r="BM121" t="e">
        <f>AND('GA55 Entry'!Z374,"AAAAAH7e50A=")</f>
        <v>#VALUE!</v>
      </c>
      <c r="BN121" t="e">
        <f>AND('GA55 Entry'!AA374,"AAAAAH7e50E=")</f>
        <v>#VALUE!</v>
      </c>
      <c r="BO121" t="e">
        <f>AND('GA55 Entry'!#REF!,"AAAAAH7e50I=")</f>
        <v>#REF!</v>
      </c>
      <c r="BP121" t="e">
        <f>AND('GA55 Entry'!#REF!,"AAAAAH7e50M=")</f>
        <v>#REF!</v>
      </c>
      <c r="BQ121" t="e">
        <f>AND('GA55 Entry'!#REF!,"AAAAAH7e50Q=")</f>
        <v>#REF!</v>
      </c>
      <c r="BR121" t="e">
        <f>AND('GA55 Entry'!AB374,"AAAAAH7e50U=")</f>
        <v>#VALUE!</v>
      </c>
      <c r="BS121" t="e">
        <f>AND('GA55 Entry'!AC374,"AAAAAH7e50Y=")</f>
        <v>#VALUE!</v>
      </c>
      <c r="BT121" t="e">
        <f>AND('GA55 Entry'!#REF!,"AAAAAH7e50c=")</f>
        <v>#REF!</v>
      </c>
      <c r="BU121">
        <f>IF('GA55 Entry'!375:375,"AAAAAH7e50g=",0)</f>
        <v>0</v>
      </c>
      <c r="BV121" t="e">
        <f>AND('GA55 Entry'!B375,"AAAAAH7e50k=")</f>
        <v>#VALUE!</v>
      </c>
      <c r="BW121" t="e">
        <f>AND('GA55 Entry'!#REF!,"AAAAAH7e50o=")</f>
        <v>#REF!</v>
      </c>
      <c r="BX121" t="e">
        <f>AND('GA55 Entry'!C375,"AAAAAH7e50s=")</f>
        <v>#VALUE!</v>
      </c>
      <c r="BY121" t="e">
        <f>AND('GA55 Entry'!#REF!,"AAAAAH7e50w=")</f>
        <v>#REF!</v>
      </c>
      <c r="BZ121" t="e">
        <f>AND('GA55 Entry'!#REF!,"AAAAAH7e500=")</f>
        <v>#REF!</v>
      </c>
      <c r="CA121" t="e">
        <f>AND('GA55 Entry'!#REF!,"AAAAAH7e504=")</f>
        <v>#REF!</v>
      </c>
      <c r="CB121" t="e">
        <f>AND('GA55 Entry'!#REF!,"AAAAAH7e508=")</f>
        <v>#REF!</v>
      </c>
      <c r="CC121" t="e">
        <f>AND('GA55 Entry'!#REF!,"AAAAAH7e51A=")</f>
        <v>#REF!</v>
      </c>
      <c r="CD121" t="e">
        <f>AND('GA55 Entry'!D375,"AAAAAH7e51E=")</f>
        <v>#VALUE!</v>
      </c>
      <c r="CE121" t="e">
        <f>AND('GA55 Entry'!#REF!,"AAAAAH7e51I=")</f>
        <v>#REF!</v>
      </c>
      <c r="CF121" t="e">
        <f>AND('GA55 Entry'!E375,"AAAAAH7e51M=")</f>
        <v>#VALUE!</v>
      </c>
      <c r="CG121" t="e">
        <f>AND('GA55 Entry'!F375,"AAAAAH7e51Q=")</f>
        <v>#VALUE!</v>
      </c>
      <c r="CH121" t="e">
        <f>AND('GA55 Entry'!G375,"AAAAAH7e51U=")</f>
        <v>#VALUE!</v>
      </c>
      <c r="CI121" t="e">
        <f>AND('GA55 Entry'!H375,"AAAAAH7e51Y=")</f>
        <v>#VALUE!</v>
      </c>
      <c r="CJ121" t="e">
        <f>AND('GA55 Entry'!I375,"AAAAAH7e51c=")</f>
        <v>#VALUE!</v>
      </c>
      <c r="CK121" t="e">
        <f>AND('GA55 Entry'!J375,"AAAAAH7e51g=")</f>
        <v>#VALUE!</v>
      </c>
      <c r="CL121" t="e">
        <f>AND('GA55 Entry'!#REF!,"AAAAAH7e51k=")</f>
        <v>#REF!</v>
      </c>
      <c r="CM121" t="e">
        <f>AND('GA55 Entry'!K375,"AAAAAH7e51o=")</f>
        <v>#VALUE!</v>
      </c>
      <c r="CN121" t="e">
        <f>AND('GA55 Entry'!L375,"AAAAAH7e51s=")</f>
        <v>#VALUE!</v>
      </c>
      <c r="CO121" t="e">
        <f>AND('GA55 Entry'!M375,"AAAAAH7e51w=")</f>
        <v>#VALUE!</v>
      </c>
      <c r="CP121" t="e">
        <f>AND('GA55 Entry'!N375,"AAAAAH7e510=")</f>
        <v>#VALUE!</v>
      </c>
      <c r="CQ121" t="e">
        <f>AND('GA55 Entry'!O375,"AAAAAH7e514=")</f>
        <v>#VALUE!</v>
      </c>
      <c r="CR121" t="e">
        <f>AND('GA55 Entry'!P375,"AAAAAH7e518=")</f>
        <v>#VALUE!</v>
      </c>
      <c r="CS121" t="e">
        <f>AND('GA55 Entry'!Q375,"AAAAAH7e52A=")</f>
        <v>#VALUE!</v>
      </c>
      <c r="CT121" t="e">
        <f>AND('GA55 Entry'!S375,"AAAAAH7e52E=")</f>
        <v>#VALUE!</v>
      </c>
      <c r="CU121" t="e">
        <f>AND('GA55 Entry'!#REF!,"AAAAAH7e52I=")</f>
        <v>#REF!</v>
      </c>
      <c r="CV121" t="e">
        <f>AND('GA55 Entry'!T375,"AAAAAH7e52M=")</f>
        <v>#VALUE!</v>
      </c>
      <c r="CW121" t="e">
        <f>AND('GA55 Entry'!U375,"AAAAAH7e52Q=")</f>
        <v>#VALUE!</v>
      </c>
      <c r="CX121" t="e">
        <f>AND('GA55 Entry'!V375,"AAAAAH7e52U=")</f>
        <v>#VALUE!</v>
      </c>
      <c r="CY121" t="e">
        <f>AND('GA55 Entry'!#REF!,"AAAAAH7e52Y=")</f>
        <v>#REF!</v>
      </c>
      <c r="CZ121" t="e">
        <f>AND('GA55 Entry'!#REF!,"AAAAAH7e52c=")</f>
        <v>#REF!</v>
      </c>
      <c r="DA121" t="e">
        <f>AND('GA55 Entry'!X375,"AAAAAH7e52g=")</f>
        <v>#VALUE!</v>
      </c>
      <c r="DB121" t="e">
        <f>AND('GA55 Entry'!Y375,"AAAAAH7e52k=")</f>
        <v>#VALUE!</v>
      </c>
      <c r="DC121" t="e">
        <f>AND('GA55 Entry'!#REF!,"AAAAAH7e52o=")</f>
        <v>#REF!</v>
      </c>
      <c r="DD121" t="e">
        <f>AND('GA55 Entry'!#REF!,"AAAAAH7e52s=")</f>
        <v>#REF!</v>
      </c>
      <c r="DE121" t="e">
        <f>AND('GA55 Entry'!#REF!,"AAAAAH7e52w=")</f>
        <v>#REF!</v>
      </c>
      <c r="DF121" t="e">
        <f>AND('GA55 Entry'!#REF!,"AAAAAH7e520=")</f>
        <v>#REF!</v>
      </c>
      <c r="DG121" t="e">
        <f>AND('GA55 Entry'!#REF!,"AAAAAH7e524=")</f>
        <v>#REF!</v>
      </c>
      <c r="DH121" t="e">
        <f>AND('GA55 Entry'!#REF!,"AAAAAH7e528=")</f>
        <v>#REF!</v>
      </c>
      <c r="DI121" t="e">
        <f>AND('GA55 Entry'!#REF!,"AAAAAH7e53A=")</f>
        <v>#REF!</v>
      </c>
      <c r="DJ121" t="e">
        <f>AND('GA55 Entry'!#REF!,"AAAAAH7e53E=")</f>
        <v>#REF!</v>
      </c>
      <c r="DK121" t="e">
        <f>AND('GA55 Entry'!#REF!,"AAAAAH7e53I=")</f>
        <v>#REF!</v>
      </c>
      <c r="DL121" t="e">
        <f>AND('GA55 Entry'!Z375,"AAAAAH7e53M=")</f>
        <v>#VALUE!</v>
      </c>
      <c r="DM121" t="e">
        <f>AND('GA55 Entry'!AA375,"AAAAAH7e53Q=")</f>
        <v>#VALUE!</v>
      </c>
      <c r="DN121" t="e">
        <f>AND('GA55 Entry'!#REF!,"AAAAAH7e53U=")</f>
        <v>#REF!</v>
      </c>
      <c r="DO121" t="e">
        <f>AND('GA55 Entry'!#REF!,"AAAAAH7e53Y=")</f>
        <v>#REF!</v>
      </c>
      <c r="DP121" t="e">
        <f>AND('GA55 Entry'!#REF!,"AAAAAH7e53c=")</f>
        <v>#REF!</v>
      </c>
      <c r="DQ121" t="e">
        <f>AND('GA55 Entry'!AB375,"AAAAAH7e53g=")</f>
        <v>#VALUE!</v>
      </c>
      <c r="DR121" t="e">
        <f>AND('GA55 Entry'!AC375,"AAAAAH7e53k=")</f>
        <v>#VALUE!</v>
      </c>
      <c r="DS121" t="e">
        <f>AND('GA55 Entry'!#REF!,"AAAAAH7e53o=")</f>
        <v>#REF!</v>
      </c>
      <c r="DT121">
        <f>IF('GA55 Entry'!376:376,"AAAAAH7e53s=",0)</f>
        <v>0</v>
      </c>
      <c r="DU121" t="e">
        <f>AND('GA55 Entry'!B376,"AAAAAH7e53w=")</f>
        <v>#VALUE!</v>
      </c>
      <c r="DV121" t="e">
        <f>AND('GA55 Entry'!#REF!,"AAAAAH7e530=")</f>
        <v>#REF!</v>
      </c>
      <c r="DW121" t="e">
        <f>AND('GA55 Entry'!C376,"AAAAAH7e534=")</f>
        <v>#VALUE!</v>
      </c>
      <c r="DX121" t="e">
        <f>AND('GA55 Entry'!#REF!,"AAAAAH7e538=")</f>
        <v>#REF!</v>
      </c>
      <c r="DY121" t="e">
        <f>AND('GA55 Entry'!#REF!,"AAAAAH7e54A=")</f>
        <v>#REF!</v>
      </c>
      <c r="DZ121" t="e">
        <f>AND('GA55 Entry'!#REF!,"AAAAAH7e54E=")</f>
        <v>#REF!</v>
      </c>
      <c r="EA121" t="e">
        <f>AND('GA55 Entry'!#REF!,"AAAAAH7e54I=")</f>
        <v>#REF!</v>
      </c>
      <c r="EB121" t="e">
        <f>AND('GA55 Entry'!#REF!,"AAAAAH7e54M=")</f>
        <v>#REF!</v>
      </c>
      <c r="EC121" t="e">
        <f>AND('GA55 Entry'!D376,"AAAAAH7e54Q=")</f>
        <v>#VALUE!</v>
      </c>
      <c r="ED121" t="e">
        <f>AND('GA55 Entry'!#REF!,"AAAAAH7e54U=")</f>
        <v>#REF!</v>
      </c>
      <c r="EE121" t="e">
        <f>AND('GA55 Entry'!E376,"AAAAAH7e54Y=")</f>
        <v>#VALUE!</v>
      </c>
      <c r="EF121" t="e">
        <f>AND('GA55 Entry'!F376,"AAAAAH7e54c=")</f>
        <v>#VALUE!</v>
      </c>
      <c r="EG121" t="e">
        <f>AND('GA55 Entry'!G376,"AAAAAH7e54g=")</f>
        <v>#VALUE!</v>
      </c>
      <c r="EH121" t="e">
        <f>AND('GA55 Entry'!H376,"AAAAAH7e54k=")</f>
        <v>#VALUE!</v>
      </c>
      <c r="EI121" t="e">
        <f>AND('GA55 Entry'!I376,"AAAAAH7e54o=")</f>
        <v>#VALUE!</v>
      </c>
      <c r="EJ121" t="e">
        <f>AND('GA55 Entry'!J376,"AAAAAH7e54s=")</f>
        <v>#VALUE!</v>
      </c>
      <c r="EK121" t="e">
        <f>AND('GA55 Entry'!#REF!,"AAAAAH7e54w=")</f>
        <v>#REF!</v>
      </c>
      <c r="EL121" t="e">
        <f>AND('GA55 Entry'!K376,"AAAAAH7e540=")</f>
        <v>#VALUE!</v>
      </c>
      <c r="EM121" t="e">
        <f>AND('GA55 Entry'!L376,"AAAAAH7e544=")</f>
        <v>#VALUE!</v>
      </c>
      <c r="EN121" t="e">
        <f>AND('GA55 Entry'!M376,"AAAAAH7e548=")</f>
        <v>#VALUE!</v>
      </c>
      <c r="EO121" t="e">
        <f>AND('GA55 Entry'!N376,"AAAAAH7e55A=")</f>
        <v>#VALUE!</v>
      </c>
      <c r="EP121" t="e">
        <f>AND('GA55 Entry'!O376,"AAAAAH7e55E=")</f>
        <v>#VALUE!</v>
      </c>
      <c r="EQ121" t="e">
        <f>AND('GA55 Entry'!P376,"AAAAAH7e55I=")</f>
        <v>#VALUE!</v>
      </c>
      <c r="ER121" t="e">
        <f>AND('GA55 Entry'!Q376,"AAAAAH7e55M=")</f>
        <v>#VALUE!</v>
      </c>
      <c r="ES121" t="e">
        <f>AND('GA55 Entry'!S376,"AAAAAH7e55Q=")</f>
        <v>#VALUE!</v>
      </c>
      <c r="ET121" t="e">
        <f>AND('GA55 Entry'!#REF!,"AAAAAH7e55U=")</f>
        <v>#REF!</v>
      </c>
      <c r="EU121" t="e">
        <f>AND('GA55 Entry'!T376,"AAAAAH7e55Y=")</f>
        <v>#VALUE!</v>
      </c>
      <c r="EV121" t="e">
        <f>AND('GA55 Entry'!U376,"AAAAAH7e55c=")</f>
        <v>#VALUE!</v>
      </c>
      <c r="EW121" t="e">
        <f>AND('GA55 Entry'!V376,"AAAAAH7e55g=")</f>
        <v>#VALUE!</v>
      </c>
      <c r="EX121" t="e">
        <f>AND('GA55 Entry'!#REF!,"AAAAAH7e55k=")</f>
        <v>#REF!</v>
      </c>
      <c r="EY121" t="e">
        <f>AND('GA55 Entry'!#REF!,"AAAAAH7e55o=")</f>
        <v>#REF!</v>
      </c>
      <c r="EZ121" t="e">
        <f>AND('GA55 Entry'!X376,"AAAAAH7e55s=")</f>
        <v>#VALUE!</v>
      </c>
      <c r="FA121" t="e">
        <f>AND('GA55 Entry'!Y376,"AAAAAH7e55w=")</f>
        <v>#VALUE!</v>
      </c>
      <c r="FB121" t="e">
        <f>AND('GA55 Entry'!#REF!,"AAAAAH7e550=")</f>
        <v>#REF!</v>
      </c>
      <c r="FC121" t="e">
        <f>AND('GA55 Entry'!#REF!,"AAAAAH7e554=")</f>
        <v>#REF!</v>
      </c>
      <c r="FD121" t="e">
        <f>AND('GA55 Entry'!#REF!,"AAAAAH7e558=")</f>
        <v>#REF!</v>
      </c>
      <c r="FE121" t="e">
        <f>AND('GA55 Entry'!#REF!,"AAAAAH7e56A=")</f>
        <v>#REF!</v>
      </c>
      <c r="FF121" t="e">
        <f>AND('GA55 Entry'!#REF!,"AAAAAH7e56E=")</f>
        <v>#REF!</v>
      </c>
      <c r="FG121" t="e">
        <f>AND('GA55 Entry'!#REF!,"AAAAAH7e56I=")</f>
        <v>#REF!</v>
      </c>
      <c r="FH121" t="e">
        <f>AND('GA55 Entry'!#REF!,"AAAAAH7e56M=")</f>
        <v>#REF!</v>
      </c>
      <c r="FI121" t="e">
        <f>AND('GA55 Entry'!#REF!,"AAAAAH7e56Q=")</f>
        <v>#REF!</v>
      </c>
      <c r="FJ121" t="e">
        <f>AND('GA55 Entry'!#REF!,"AAAAAH7e56U=")</f>
        <v>#REF!</v>
      </c>
      <c r="FK121" t="e">
        <f>AND('GA55 Entry'!Z376,"AAAAAH7e56Y=")</f>
        <v>#VALUE!</v>
      </c>
      <c r="FL121" t="e">
        <f>AND('GA55 Entry'!AA376,"AAAAAH7e56c=")</f>
        <v>#VALUE!</v>
      </c>
      <c r="FM121" t="e">
        <f>AND('GA55 Entry'!#REF!,"AAAAAH7e56g=")</f>
        <v>#REF!</v>
      </c>
      <c r="FN121" t="e">
        <f>AND('GA55 Entry'!#REF!,"AAAAAH7e56k=")</f>
        <v>#REF!</v>
      </c>
      <c r="FO121" t="e">
        <f>AND('GA55 Entry'!#REF!,"AAAAAH7e56o=")</f>
        <v>#REF!</v>
      </c>
      <c r="FP121" t="e">
        <f>AND('GA55 Entry'!AB376,"AAAAAH7e56s=")</f>
        <v>#VALUE!</v>
      </c>
      <c r="FQ121" t="e">
        <f>AND('GA55 Entry'!AC376,"AAAAAH7e56w=")</f>
        <v>#VALUE!</v>
      </c>
      <c r="FR121" t="e">
        <f>AND('GA55 Entry'!#REF!,"AAAAAH7e560=")</f>
        <v>#REF!</v>
      </c>
      <c r="FS121">
        <f>IF('GA55 Entry'!377:377,"AAAAAH7e564=",0)</f>
        <v>0</v>
      </c>
      <c r="FT121" t="e">
        <f>AND('GA55 Entry'!B377,"AAAAAH7e568=")</f>
        <v>#VALUE!</v>
      </c>
      <c r="FU121" t="e">
        <f>AND('GA55 Entry'!#REF!,"AAAAAH7e57A=")</f>
        <v>#REF!</v>
      </c>
      <c r="FV121" t="e">
        <f>AND('GA55 Entry'!C377,"AAAAAH7e57E=")</f>
        <v>#VALUE!</v>
      </c>
      <c r="FW121" t="e">
        <f>AND('GA55 Entry'!#REF!,"AAAAAH7e57I=")</f>
        <v>#REF!</v>
      </c>
      <c r="FX121" t="e">
        <f>AND('GA55 Entry'!#REF!,"AAAAAH7e57M=")</f>
        <v>#REF!</v>
      </c>
      <c r="FY121" t="e">
        <f>AND('GA55 Entry'!#REF!,"AAAAAH7e57Q=")</f>
        <v>#REF!</v>
      </c>
      <c r="FZ121" t="e">
        <f>AND('GA55 Entry'!#REF!,"AAAAAH7e57U=")</f>
        <v>#REF!</v>
      </c>
      <c r="GA121" t="e">
        <f>AND('GA55 Entry'!#REF!,"AAAAAH7e57Y=")</f>
        <v>#REF!</v>
      </c>
      <c r="GB121" t="e">
        <f>AND('GA55 Entry'!D377,"AAAAAH7e57c=")</f>
        <v>#VALUE!</v>
      </c>
      <c r="GC121" t="e">
        <f>AND('GA55 Entry'!#REF!,"AAAAAH7e57g=")</f>
        <v>#REF!</v>
      </c>
      <c r="GD121" t="e">
        <f>AND('GA55 Entry'!E377,"AAAAAH7e57k=")</f>
        <v>#VALUE!</v>
      </c>
      <c r="GE121" t="e">
        <f>AND('GA55 Entry'!F377,"AAAAAH7e57o=")</f>
        <v>#VALUE!</v>
      </c>
      <c r="GF121" t="e">
        <f>AND('GA55 Entry'!G377,"AAAAAH7e57s=")</f>
        <v>#VALUE!</v>
      </c>
      <c r="GG121" t="e">
        <f>AND('GA55 Entry'!H377,"AAAAAH7e57w=")</f>
        <v>#VALUE!</v>
      </c>
      <c r="GH121" t="e">
        <f>AND('GA55 Entry'!I377,"AAAAAH7e570=")</f>
        <v>#VALUE!</v>
      </c>
      <c r="GI121" t="e">
        <f>AND('GA55 Entry'!J377,"AAAAAH7e574=")</f>
        <v>#VALUE!</v>
      </c>
      <c r="GJ121" t="e">
        <f>AND('GA55 Entry'!#REF!,"AAAAAH7e578=")</f>
        <v>#REF!</v>
      </c>
      <c r="GK121" t="e">
        <f>AND('GA55 Entry'!K377,"AAAAAH7e58A=")</f>
        <v>#VALUE!</v>
      </c>
      <c r="GL121" t="e">
        <f>AND('GA55 Entry'!L377,"AAAAAH7e58E=")</f>
        <v>#VALUE!</v>
      </c>
      <c r="GM121" t="e">
        <f>AND('GA55 Entry'!M377,"AAAAAH7e58I=")</f>
        <v>#VALUE!</v>
      </c>
      <c r="GN121" t="e">
        <f>AND('GA55 Entry'!N377,"AAAAAH7e58M=")</f>
        <v>#VALUE!</v>
      </c>
      <c r="GO121" t="e">
        <f>AND('GA55 Entry'!O377,"AAAAAH7e58Q=")</f>
        <v>#VALUE!</v>
      </c>
      <c r="GP121" t="e">
        <f>AND('GA55 Entry'!P377,"AAAAAH7e58U=")</f>
        <v>#VALUE!</v>
      </c>
      <c r="GQ121" t="e">
        <f>AND('GA55 Entry'!Q377,"AAAAAH7e58Y=")</f>
        <v>#VALUE!</v>
      </c>
      <c r="GR121" t="e">
        <f>AND('GA55 Entry'!S377,"AAAAAH7e58c=")</f>
        <v>#VALUE!</v>
      </c>
      <c r="GS121" t="e">
        <f>AND('GA55 Entry'!#REF!,"AAAAAH7e58g=")</f>
        <v>#REF!</v>
      </c>
      <c r="GT121" t="e">
        <f>AND('GA55 Entry'!T377,"AAAAAH7e58k=")</f>
        <v>#VALUE!</v>
      </c>
      <c r="GU121" t="e">
        <f>AND('GA55 Entry'!U377,"AAAAAH7e58o=")</f>
        <v>#VALUE!</v>
      </c>
      <c r="GV121" t="e">
        <f>AND('GA55 Entry'!V377,"AAAAAH7e58s=")</f>
        <v>#VALUE!</v>
      </c>
      <c r="GW121" t="e">
        <f>AND('GA55 Entry'!#REF!,"AAAAAH7e58w=")</f>
        <v>#REF!</v>
      </c>
      <c r="GX121" t="e">
        <f>AND('GA55 Entry'!#REF!,"AAAAAH7e580=")</f>
        <v>#REF!</v>
      </c>
      <c r="GY121" t="e">
        <f>AND('GA55 Entry'!X377,"AAAAAH7e584=")</f>
        <v>#VALUE!</v>
      </c>
      <c r="GZ121" t="e">
        <f>AND('GA55 Entry'!Y377,"AAAAAH7e588=")</f>
        <v>#VALUE!</v>
      </c>
      <c r="HA121" t="e">
        <f>AND('GA55 Entry'!#REF!,"AAAAAH7e59A=")</f>
        <v>#REF!</v>
      </c>
      <c r="HB121" t="e">
        <f>AND('GA55 Entry'!#REF!,"AAAAAH7e59E=")</f>
        <v>#REF!</v>
      </c>
      <c r="HC121" t="e">
        <f>AND('GA55 Entry'!#REF!,"AAAAAH7e59I=")</f>
        <v>#REF!</v>
      </c>
      <c r="HD121" t="e">
        <f>AND('GA55 Entry'!#REF!,"AAAAAH7e59M=")</f>
        <v>#REF!</v>
      </c>
      <c r="HE121" t="e">
        <f>AND('GA55 Entry'!#REF!,"AAAAAH7e59Q=")</f>
        <v>#REF!</v>
      </c>
      <c r="HF121" t="e">
        <f>AND('GA55 Entry'!#REF!,"AAAAAH7e59U=")</f>
        <v>#REF!</v>
      </c>
      <c r="HG121" t="e">
        <f>AND('GA55 Entry'!#REF!,"AAAAAH7e59Y=")</f>
        <v>#REF!</v>
      </c>
      <c r="HH121" t="e">
        <f>AND('GA55 Entry'!#REF!,"AAAAAH7e59c=")</f>
        <v>#REF!</v>
      </c>
      <c r="HI121" t="e">
        <f>AND('GA55 Entry'!#REF!,"AAAAAH7e59g=")</f>
        <v>#REF!</v>
      </c>
      <c r="HJ121" t="e">
        <f>AND('GA55 Entry'!Z377,"AAAAAH7e59k=")</f>
        <v>#VALUE!</v>
      </c>
      <c r="HK121" t="e">
        <f>AND('GA55 Entry'!AA377,"AAAAAH7e59o=")</f>
        <v>#VALUE!</v>
      </c>
      <c r="HL121" t="e">
        <f>AND('GA55 Entry'!#REF!,"AAAAAH7e59s=")</f>
        <v>#REF!</v>
      </c>
      <c r="HM121" t="e">
        <f>AND('GA55 Entry'!#REF!,"AAAAAH7e59w=")</f>
        <v>#REF!</v>
      </c>
      <c r="HN121" t="e">
        <f>AND('GA55 Entry'!#REF!,"AAAAAH7e590=")</f>
        <v>#REF!</v>
      </c>
      <c r="HO121" t="e">
        <f>AND('GA55 Entry'!AB377,"AAAAAH7e594=")</f>
        <v>#VALUE!</v>
      </c>
      <c r="HP121" t="e">
        <f>AND('GA55 Entry'!AC377,"AAAAAH7e598=")</f>
        <v>#VALUE!</v>
      </c>
      <c r="HQ121" t="e">
        <f>AND('GA55 Entry'!#REF!,"AAAAAH7e5+A=")</f>
        <v>#REF!</v>
      </c>
      <c r="HR121">
        <f>IF('GA55 Entry'!378:378,"AAAAAH7e5+E=",0)</f>
        <v>0</v>
      </c>
      <c r="HS121" t="e">
        <f>AND('GA55 Entry'!B378,"AAAAAH7e5+I=")</f>
        <v>#VALUE!</v>
      </c>
      <c r="HT121" t="e">
        <f>AND('GA55 Entry'!#REF!,"AAAAAH7e5+M=")</f>
        <v>#REF!</v>
      </c>
      <c r="HU121" t="e">
        <f>AND('GA55 Entry'!C378,"AAAAAH7e5+Q=")</f>
        <v>#VALUE!</v>
      </c>
      <c r="HV121" t="e">
        <f>AND('GA55 Entry'!#REF!,"AAAAAH7e5+U=")</f>
        <v>#REF!</v>
      </c>
      <c r="HW121" t="e">
        <f>AND('GA55 Entry'!#REF!,"AAAAAH7e5+Y=")</f>
        <v>#REF!</v>
      </c>
      <c r="HX121" t="e">
        <f>AND('GA55 Entry'!#REF!,"AAAAAH7e5+c=")</f>
        <v>#REF!</v>
      </c>
      <c r="HY121" t="e">
        <f>AND('GA55 Entry'!#REF!,"AAAAAH7e5+g=")</f>
        <v>#REF!</v>
      </c>
      <c r="HZ121" t="e">
        <f>AND('GA55 Entry'!#REF!,"AAAAAH7e5+k=")</f>
        <v>#REF!</v>
      </c>
      <c r="IA121" t="e">
        <f>AND('GA55 Entry'!D378,"AAAAAH7e5+o=")</f>
        <v>#VALUE!</v>
      </c>
      <c r="IB121" t="e">
        <f>AND('GA55 Entry'!#REF!,"AAAAAH7e5+s=")</f>
        <v>#REF!</v>
      </c>
      <c r="IC121" t="e">
        <f>AND('GA55 Entry'!E378,"AAAAAH7e5+w=")</f>
        <v>#VALUE!</v>
      </c>
      <c r="ID121" t="e">
        <f>AND('GA55 Entry'!F378,"AAAAAH7e5+0=")</f>
        <v>#VALUE!</v>
      </c>
      <c r="IE121" t="e">
        <f>AND('GA55 Entry'!G378,"AAAAAH7e5+4=")</f>
        <v>#VALUE!</v>
      </c>
      <c r="IF121" t="e">
        <f>AND('GA55 Entry'!H378,"AAAAAH7e5+8=")</f>
        <v>#VALUE!</v>
      </c>
      <c r="IG121" t="e">
        <f>AND('GA55 Entry'!I378,"AAAAAH7e5/A=")</f>
        <v>#VALUE!</v>
      </c>
      <c r="IH121" t="e">
        <f>AND('GA55 Entry'!J378,"AAAAAH7e5/E=")</f>
        <v>#VALUE!</v>
      </c>
      <c r="II121" t="e">
        <f>AND('GA55 Entry'!#REF!,"AAAAAH7e5/I=")</f>
        <v>#REF!</v>
      </c>
      <c r="IJ121" t="e">
        <f>AND('GA55 Entry'!K378,"AAAAAH7e5/M=")</f>
        <v>#VALUE!</v>
      </c>
      <c r="IK121" t="e">
        <f>AND('GA55 Entry'!L378,"AAAAAH7e5/Q=")</f>
        <v>#VALUE!</v>
      </c>
      <c r="IL121" t="e">
        <f>AND('GA55 Entry'!M378,"AAAAAH7e5/U=")</f>
        <v>#VALUE!</v>
      </c>
      <c r="IM121" t="e">
        <f>AND('GA55 Entry'!N378,"AAAAAH7e5/Y=")</f>
        <v>#VALUE!</v>
      </c>
      <c r="IN121" t="e">
        <f>AND('GA55 Entry'!O378,"AAAAAH7e5/c=")</f>
        <v>#VALUE!</v>
      </c>
      <c r="IO121" t="e">
        <f>AND('GA55 Entry'!P378,"AAAAAH7e5/g=")</f>
        <v>#VALUE!</v>
      </c>
      <c r="IP121" t="e">
        <f>AND('GA55 Entry'!Q378,"AAAAAH7e5/k=")</f>
        <v>#VALUE!</v>
      </c>
      <c r="IQ121" t="e">
        <f>AND('GA55 Entry'!S378,"AAAAAH7e5/o=")</f>
        <v>#VALUE!</v>
      </c>
      <c r="IR121" t="e">
        <f>AND('GA55 Entry'!#REF!,"AAAAAH7e5/s=")</f>
        <v>#REF!</v>
      </c>
      <c r="IS121" t="e">
        <f>AND('GA55 Entry'!T378,"AAAAAH7e5/w=")</f>
        <v>#VALUE!</v>
      </c>
      <c r="IT121" t="e">
        <f>AND('GA55 Entry'!U378,"AAAAAH7e5/0=")</f>
        <v>#VALUE!</v>
      </c>
      <c r="IU121" t="e">
        <f>AND('GA55 Entry'!V378,"AAAAAH7e5/4=")</f>
        <v>#VALUE!</v>
      </c>
      <c r="IV121" t="e">
        <f>AND('GA55 Entry'!#REF!,"AAAAAH7e5/8=")</f>
        <v>#REF!</v>
      </c>
    </row>
    <row r="122" spans="1:256">
      <c r="A122" t="e">
        <f>AND('GA55 Entry'!#REF!,"AAAAAGzM6wA=")</f>
        <v>#REF!</v>
      </c>
      <c r="B122" t="e">
        <f>AND('GA55 Entry'!X378,"AAAAAGzM6wE=")</f>
        <v>#VALUE!</v>
      </c>
      <c r="C122" t="e">
        <f>AND('GA55 Entry'!Y378,"AAAAAGzM6wI=")</f>
        <v>#VALUE!</v>
      </c>
      <c r="D122" t="e">
        <f>AND('GA55 Entry'!#REF!,"AAAAAGzM6wM=")</f>
        <v>#REF!</v>
      </c>
      <c r="E122" t="e">
        <f>AND('GA55 Entry'!#REF!,"AAAAAGzM6wQ=")</f>
        <v>#REF!</v>
      </c>
      <c r="F122" t="e">
        <f>AND('GA55 Entry'!#REF!,"AAAAAGzM6wU=")</f>
        <v>#REF!</v>
      </c>
      <c r="G122" t="e">
        <f>AND('GA55 Entry'!#REF!,"AAAAAGzM6wY=")</f>
        <v>#REF!</v>
      </c>
      <c r="H122" t="e">
        <f>AND('GA55 Entry'!#REF!,"AAAAAGzM6wc=")</f>
        <v>#REF!</v>
      </c>
      <c r="I122" t="e">
        <f>AND('GA55 Entry'!#REF!,"AAAAAGzM6wg=")</f>
        <v>#REF!</v>
      </c>
      <c r="J122" t="e">
        <f>AND('GA55 Entry'!#REF!,"AAAAAGzM6wk=")</f>
        <v>#REF!</v>
      </c>
      <c r="K122" t="e">
        <f>AND('GA55 Entry'!#REF!,"AAAAAGzM6wo=")</f>
        <v>#REF!</v>
      </c>
      <c r="L122" t="e">
        <f>AND('GA55 Entry'!#REF!,"AAAAAGzM6ws=")</f>
        <v>#REF!</v>
      </c>
      <c r="M122" t="e">
        <f>AND('GA55 Entry'!Z378,"AAAAAGzM6ww=")</f>
        <v>#VALUE!</v>
      </c>
      <c r="N122" t="e">
        <f>AND('GA55 Entry'!AA378,"AAAAAGzM6w0=")</f>
        <v>#VALUE!</v>
      </c>
      <c r="O122" t="e">
        <f>AND('GA55 Entry'!#REF!,"AAAAAGzM6w4=")</f>
        <v>#REF!</v>
      </c>
      <c r="P122" t="e">
        <f>AND('GA55 Entry'!#REF!,"AAAAAGzM6w8=")</f>
        <v>#REF!</v>
      </c>
      <c r="Q122" t="e">
        <f>AND('GA55 Entry'!#REF!,"AAAAAGzM6xA=")</f>
        <v>#REF!</v>
      </c>
      <c r="R122" t="e">
        <f>AND('GA55 Entry'!AB378,"AAAAAGzM6xE=")</f>
        <v>#VALUE!</v>
      </c>
      <c r="S122" t="e">
        <f>AND('GA55 Entry'!AC378,"AAAAAGzM6xI=")</f>
        <v>#VALUE!</v>
      </c>
      <c r="T122" t="e">
        <f>AND('GA55 Entry'!#REF!,"AAAAAGzM6xM=")</f>
        <v>#REF!</v>
      </c>
      <c r="U122">
        <f>IF('GA55 Entry'!379:379,"AAAAAGzM6xQ=",0)</f>
        <v>0</v>
      </c>
      <c r="V122" t="e">
        <f>AND('GA55 Entry'!B379,"AAAAAGzM6xU=")</f>
        <v>#VALUE!</v>
      </c>
      <c r="W122" t="e">
        <f>AND('GA55 Entry'!#REF!,"AAAAAGzM6xY=")</f>
        <v>#REF!</v>
      </c>
      <c r="X122" t="e">
        <f>AND('GA55 Entry'!C379,"AAAAAGzM6xc=")</f>
        <v>#VALUE!</v>
      </c>
      <c r="Y122" t="e">
        <f>AND('GA55 Entry'!#REF!,"AAAAAGzM6xg=")</f>
        <v>#REF!</v>
      </c>
      <c r="Z122" t="e">
        <f>AND('GA55 Entry'!#REF!,"AAAAAGzM6xk=")</f>
        <v>#REF!</v>
      </c>
      <c r="AA122" t="e">
        <f>AND('GA55 Entry'!#REF!,"AAAAAGzM6xo=")</f>
        <v>#REF!</v>
      </c>
      <c r="AB122" t="e">
        <f>AND('GA55 Entry'!#REF!,"AAAAAGzM6xs=")</f>
        <v>#REF!</v>
      </c>
      <c r="AC122" t="e">
        <f>AND('GA55 Entry'!#REF!,"AAAAAGzM6xw=")</f>
        <v>#REF!</v>
      </c>
      <c r="AD122" t="e">
        <f>AND('GA55 Entry'!D379,"AAAAAGzM6x0=")</f>
        <v>#VALUE!</v>
      </c>
      <c r="AE122" t="e">
        <f>AND('GA55 Entry'!#REF!,"AAAAAGzM6x4=")</f>
        <v>#REF!</v>
      </c>
      <c r="AF122" t="e">
        <f>AND('GA55 Entry'!E379,"AAAAAGzM6x8=")</f>
        <v>#VALUE!</v>
      </c>
      <c r="AG122" t="e">
        <f>AND('GA55 Entry'!F379,"AAAAAGzM6yA=")</f>
        <v>#VALUE!</v>
      </c>
      <c r="AH122" t="e">
        <f>AND('GA55 Entry'!G379,"AAAAAGzM6yE=")</f>
        <v>#VALUE!</v>
      </c>
      <c r="AI122" t="e">
        <f>AND('GA55 Entry'!H379,"AAAAAGzM6yI=")</f>
        <v>#VALUE!</v>
      </c>
      <c r="AJ122" t="e">
        <f>AND('GA55 Entry'!I379,"AAAAAGzM6yM=")</f>
        <v>#VALUE!</v>
      </c>
      <c r="AK122" t="e">
        <f>AND('GA55 Entry'!J379,"AAAAAGzM6yQ=")</f>
        <v>#VALUE!</v>
      </c>
      <c r="AL122" t="e">
        <f>AND('GA55 Entry'!#REF!,"AAAAAGzM6yU=")</f>
        <v>#REF!</v>
      </c>
      <c r="AM122" t="e">
        <f>AND('GA55 Entry'!K379,"AAAAAGzM6yY=")</f>
        <v>#VALUE!</v>
      </c>
      <c r="AN122" t="e">
        <f>AND('GA55 Entry'!L379,"AAAAAGzM6yc=")</f>
        <v>#VALUE!</v>
      </c>
      <c r="AO122" t="e">
        <f>AND('GA55 Entry'!M379,"AAAAAGzM6yg=")</f>
        <v>#VALUE!</v>
      </c>
      <c r="AP122" t="e">
        <f>AND('GA55 Entry'!N379,"AAAAAGzM6yk=")</f>
        <v>#VALUE!</v>
      </c>
      <c r="AQ122" t="e">
        <f>AND('GA55 Entry'!O379,"AAAAAGzM6yo=")</f>
        <v>#VALUE!</v>
      </c>
      <c r="AR122" t="e">
        <f>AND('GA55 Entry'!P379,"AAAAAGzM6ys=")</f>
        <v>#VALUE!</v>
      </c>
      <c r="AS122" t="e">
        <f>AND('GA55 Entry'!Q379,"AAAAAGzM6yw=")</f>
        <v>#VALUE!</v>
      </c>
      <c r="AT122" t="e">
        <f>AND('GA55 Entry'!S379,"AAAAAGzM6y0=")</f>
        <v>#VALUE!</v>
      </c>
      <c r="AU122" t="e">
        <f>AND('GA55 Entry'!#REF!,"AAAAAGzM6y4=")</f>
        <v>#REF!</v>
      </c>
      <c r="AV122" t="e">
        <f>AND('GA55 Entry'!T379,"AAAAAGzM6y8=")</f>
        <v>#VALUE!</v>
      </c>
      <c r="AW122" t="e">
        <f>AND('GA55 Entry'!U379,"AAAAAGzM6zA=")</f>
        <v>#VALUE!</v>
      </c>
      <c r="AX122" t="e">
        <f>AND('GA55 Entry'!V379,"AAAAAGzM6zE=")</f>
        <v>#VALUE!</v>
      </c>
      <c r="AY122" t="e">
        <f>AND('GA55 Entry'!#REF!,"AAAAAGzM6zI=")</f>
        <v>#REF!</v>
      </c>
      <c r="AZ122" t="e">
        <f>AND('GA55 Entry'!#REF!,"AAAAAGzM6zM=")</f>
        <v>#REF!</v>
      </c>
      <c r="BA122" t="e">
        <f>AND('GA55 Entry'!X379,"AAAAAGzM6zQ=")</f>
        <v>#VALUE!</v>
      </c>
      <c r="BB122" t="e">
        <f>AND('GA55 Entry'!Y379,"AAAAAGzM6zU=")</f>
        <v>#VALUE!</v>
      </c>
      <c r="BC122" t="e">
        <f>AND('GA55 Entry'!#REF!,"AAAAAGzM6zY=")</f>
        <v>#REF!</v>
      </c>
      <c r="BD122" t="e">
        <f>AND('GA55 Entry'!#REF!,"AAAAAGzM6zc=")</f>
        <v>#REF!</v>
      </c>
      <c r="BE122" t="e">
        <f>AND('GA55 Entry'!#REF!,"AAAAAGzM6zg=")</f>
        <v>#REF!</v>
      </c>
      <c r="BF122" t="e">
        <f>AND('GA55 Entry'!#REF!,"AAAAAGzM6zk=")</f>
        <v>#REF!</v>
      </c>
      <c r="BG122" t="e">
        <f>AND('GA55 Entry'!#REF!,"AAAAAGzM6zo=")</f>
        <v>#REF!</v>
      </c>
      <c r="BH122" t="e">
        <f>AND('GA55 Entry'!#REF!,"AAAAAGzM6zs=")</f>
        <v>#REF!</v>
      </c>
      <c r="BI122" t="e">
        <f>AND('GA55 Entry'!#REF!,"AAAAAGzM6zw=")</f>
        <v>#REF!</v>
      </c>
      <c r="BJ122" t="e">
        <f>AND('GA55 Entry'!#REF!,"AAAAAGzM6z0=")</f>
        <v>#REF!</v>
      </c>
      <c r="BK122" t="e">
        <f>AND('GA55 Entry'!#REF!,"AAAAAGzM6z4=")</f>
        <v>#REF!</v>
      </c>
      <c r="BL122" t="e">
        <f>AND('GA55 Entry'!Z379,"AAAAAGzM6z8=")</f>
        <v>#VALUE!</v>
      </c>
      <c r="BM122" t="e">
        <f>AND('GA55 Entry'!AA379,"AAAAAGzM60A=")</f>
        <v>#VALUE!</v>
      </c>
      <c r="BN122" t="e">
        <f>AND('GA55 Entry'!#REF!,"AAAAAGzM60E=")</f>
        <v>#REF!</v>
      </c>
      <c r="BO122" t="e">
        <f>AND('GA55 Entry'!#REF!,"AAAAAGzM60I=")</f>
        <v>#REF!</v>
      </c>
      <c r="BP122" t="e">
        <f>AND('GA55 Entry'!#REF!,"AAAAAGzM60M=")</f>
        <v>#REF!</v>
      </c>
      <c r="BQ122" t="e">
        <f>AND('GA55 Entry'!AB379,"AAAAAGzM60Q=")</f>
        <v>#VALUE!</v>
      </c>
      <c r="BR122" t="e">
        <f>AND('GA55 Entry'!AC379,"AAAAAGzM60U=")</f>
        <v>#VALUE!</v>
      </c>
      <c r="BS122" t="e">
        <f>AND('GA55 Entry'!#REF!,"AAAAAGzM60Y=")</f>
        <v>#REF!</v>
      </c>
      <c r="BT122">
        <f>IF('GA55 Entry'!380:380,"AAAAAGzM60c=",0)</f>
        <v>0</v>
      </c>
      <c r="BU122" t="e">
        <f>AND('GA55 Entry'!B380,"AAAAAGzM60g=")</f>
        <v>#VALUE!</v>
      </c>
      <c r="BV122" t="e">
        <f>AND('GA55 Entry'!#REF!,"AAAAAGzM60k=")</f>
        <v>#REF!</v>
      </c>
      <c r="BW122" t="e">
        <f>AND('GA55 Entry'!C380,"AAAAAGzM60o=")</f>
        <v>#VALUE!</v>
      </c>
      <c r="BX122" t="e">
        <f>AND('GA55 Entry'!#REF!,"AAAAAGzM60s=")</f>
        <v>#REF!</v>
      </c>
      <c r="BY122" t="e">
        <f>AND('GA55 Entry'!#REF!,"AAAAAGzM60w=")</f>
        <v>#REF!</v>
      </c>
      <c r="BZ122" t="e">
        <f>AND('GA55 Entry'!#REF!,"AAAAAGzM600=")</f>
        <v>#REF!</v>
      </c>
      <c r="CA122" t="e">
        <f>AND('GA55 Entry'!#REF!,"AAAAAGzM604=")</f>
        <v>#REF!</v>
      </c>
      <c r="CB122" t="e">
        <f>AND('GA55 Entry'!#REF!,"AAAAAGzM608=")</f>
        <v>#REF!</v>
      </c>
      <c r="CC122" t="e">
        <f>AND('GA55 Entry'!D380,"AAAAAGzM61A=")</f>
        <v>#VALUE!</v>
      </c>
      <c r="CD122" t="e">
        <f>AND('GA55 Entry'!#REF!,"AAAAAGzM61E=")</f>
        <v>#REF!</v>
      </c>
      <c r="CE122" t="e">
        <f>AND('GA55 Entry'!E380,"AAAAAGzM61I=")</f>
        <v>#VALUE!</v>
      </c>
      <c r="CF122" t="e">
        <f>AND('GA55 Entry'!F380,"AAAAAGzM61M=")</f>
        <v>#VALUE!</v>
      </c>
      <c r="CG122" t="e">
        <f>AND('GA55 Entry'!G380,"AAAAAGzM61Q=")</f>
        <v>#VALUE!</v>
      </c>
      <c r="CH122" t="e">
        <f>AND('GA55 Entry'!H380,"AAAAAGzM61U=")</f>
        <v>#VALUE!</v>
      </c>
      <c r="CI122" t="e">
        <f>AND('GA55 Entry'!I380,"AAAAAGzM61Y=")</f>
        <v>#VALUE!</v>
      </c>
      <c r="CJ122" t="e">
        <f>AND('GA55 Entry'!J380,"AAAAAGzM61c=")</f>
        <v>#VALUE!</v>
      </c>
      <c r="CK122" t="e">
        <f>AND('GA55 Entry'!#REF!,"AAAAAGzM61g=")</f>
        <v>#REF!</v>
      </c>
      <c r="CL122" t="e">
        <f>AND('GA55 Entry'!K380,"AAAAAGzM61k=")</f>
        <v>#VALUE!</v>
      </c>
      <c r="CM122" t="e">
        <f>AND('GA55 Entry'!L380,"AAAAAGzM61o=")</f>
        <v>#VALUE!</v>
      </c>
      <c r="CN122" t="e">
        <f>AND('GA55 Entry'!M380,"AAAAAGzM61s=")</f>
        <v>#VALUE!</v>
      </c>
      <c r="CO122" t="e">
        <f>AND('GA55 Entry'!N380,"AAAAAGzM61w=")</f>
        <v>#VALUE!</v>
      </c>
      <c r="CP122" t="e">
        <f>AND('GA55 Entry'!O380,"AAAAAGzM610=")</f>
        <v>#VALUE!</v>
      </c>
      <c r="CQ122" t="e">
        <f>AND('GA55 Entry'!P380,"AAAAAGzM614=")</f>
        <v>#VALUE!</v>
      </c>
      <c r="CR122" t="e">
        <f>AND('GA55 Entry'!Q380,"AAAAAGzM618=")</f>
        <v>#VALUE!</v>
      </c>
      <c r="CS122" t="e">
        <f>AND('GA55 Entry'!S380,"AAAAAGzM62A=")</f>
        <v>#VALUE!</v>
      </c>
      <c r="CT122" t="e">
        <f>AND('GA55 Entry'!#REF!,"AAAAAGzM62E=")</f>
        <v>#REF!</v>
      </c>
      <c r="CU122" t="e">
        <f>AND('GA55 Entry'!T380,"AAAAAGzM62I=")</f>
        <v>#VALUE!</v>
      </c>
      <c r="CV122" t="e">
        <f>AND('GA55 Entry'!U380,"AAAAAGzM62M=")</f>
        <v>#VALUE!</v>
      </c>
      <c r="CW122" t="e">
        <f>AND('GA55 Entry'!V380,"AAAAAGzM62Q=")</f>
        <v>#VALUE!</v>
      </c>
      <c r="CX122" t="e">
        <f>AND('GA55 Entry'!#REF!,"AAAAAGzM62U=")</f>
        <v>#REF!</v>
      </c>
      <c r="CY122" t="e">
        <f>AND('GA55 Entry'!#REF!,"AAAAAGzM62Y=")</f>
        <v>#REF!</v>
      </c>
      <c r="CZ122" t="e">
        <f>AND('GA55 Entry'!X380,"AAAAAGzM62c=")</f>
        <v>#VALUE!</v>
      </c>
      <c r="DA122" t="e">
        <f>AND('GA55 Entry'!Y380,"AAAAAGzM62g=")</f>
        <v>#VALUE!</v>
      </c>
      <c r="DB122" t="e">
        <f>AND('GA55 Entry'!#REF!,"AAAAAGzM62k=")</f>
        <v>#REF!</v>
      </c>
      <c r="DC122" t="e">
        <f>AND('GA55 Entry'!#REF!,"AAAAAGzM62o=")</f>
        <v>#REF!</v>
      </c>
      <c r="DD122" t="e">
        <f>AND('GA55 Entry'!#REF!,"AAAAAGzM62s=")</f>
        <v>#REF!</v>
      </c>
      <c r="DE122" t="e">
        <f>AND('GA55 Entry'!#REF!,"AAAAAGzM62w=")</f>
        <v>#REF!</v>
      </c>
      <c r="DF122" t="e">
        <f>AND('GA55 Entry'!#REF!,"AAAAAGzM620=")</f>
        <v>#REF!</v>
      </c>
      <c r="DG122" t="e">
        <f>AND('GA55 Entry'!#REF!,"AAAAAGzM624=")</f>
        <v>#REF!</v>
      </c>
      <c r="DH122" t="e">
        <f>AND('GA55 Entry'!#REF!,"AAAAAGzM628=")</f>
        <v>#REF!</v>
      </c>
      <c r="DI122" t="e">
        <f>AND('GA55 Entry'!#REF!,"AAAAAGzM63A=")</f>
        <v>#REF!</v>
      </c>
      <c r="DJ122" t="e">
        <f>AND('GA55 Entry'!#REF!,"AAAAAGzM63E=")</f>
        <v>#REF!</v>
      </c>
      <c r="DK122" t="e">
        <f>AND('GA55 Entry'!Z380,"AAAAAGzM63I=")</f>
        <v>#VALUE!</v>
      </c>
      <c r="DL122" t="e">
        <f>AND('GA55 Entry'!AA380,"AAAAAGzM63M=")</f>
        <v>#VALUE!</v>
      </c>
      <c r="DM122" t="e">
        <f>AND('GA55 Entry'!#REF!,"AAAAAGzM63Q=")</f>
        <v>#REF!</v>
      </c>
      <c r="DN122" t="e">
        <f>AND('GA55 Entry'!#REF!,"AAAAAGzM63U=")</f>
        <v>#REF!</v>
      </c>
      <c r="DO122" t="e">
        <f>AND('GA55 Entry'!#REF!,"AAAAAGzM63Y=")</f>
        <v>#REF!</v>
      </c>
      <c r="DP122" t="e">
        <f>AND('GA55 Entry'!AB380,"AAAAAGzM63c=")</f>
        <v>#VALUE!</v>
      </c>
      <c r="DQ122" t="e">
        <f>AND('GA55 Entry'!AC380,"AAAAAGzM63g=")</f>
        <v>#VALUE!</v>
      </c>
      <c r="DR122" t="e">
        <f>AND('GA55 Entry'!#REF!,"AAAAAGzM63k=")</f>
        <v>#REF!</v>
      </c>
      <c r="DS122">
        <f>IF('GA55 Entry'!381:381,"AAAAAGzM63o=",0)</f>
        <v>0</v>
      </c>
      <c r="DT122" t="e">
        <f>AND('GA55 Entry'!B381,"AAAAAGzM63s=")</f>
        <v>#VALUE!</v>
      </c>
      <c r="DU122" t="e">
        <f>AND('GA55 Entry'!#REF!,"AAAAAGzM63w=")</f>
        <v>#REF!</v>
      </c>
      <c r="DV122" t="e">
        <f>AND('GA55 Entry'!C381,"AAAAAGzM630=")</f>
        <v>#VALUE!</v>
      </c>
      <c r="DW122" t="e">
        <f>AND('GA55 Entry'!#REF!,"AAAAAGzM634=")</f>
        <v>#REF!</v>
      </c>
      <c r="DX122" t="e">
        <f>AND('GA55 Entry'!#REF!,"AAAAAGzM638=")</f>
        <v>#REF!</v>
      </c>
      <c r="DY122" t="e">
        <f>AND('GA55 Entry'!#REF!,"AAAAAGzM64A=")</f>
        <v>#REF!</v>
      </c>
      <c r="DZ122" t="e">
        <f>AND('GA55 Entry'!#REF!,"AAAAAGzM64E=")</f>
        <v>#REF!</v>
      </c>
      <c r="EA122" t="e">
        <f>AND('GA55 Entry'!#REF!,"AAAAAGzM64I=")</f>
        <v>#REF!</v>
      </c>
      <c r="EB122" t="e">
        <f>AND('GA55 Entry'!D381,"AAAAAGzM64M=")</f>
        <v>#VALUE!</v>
      </c>
      <c r="EC122" t="e">
        <f>AND('GA55 Entry'!#REF!,"AAAAAGzM64Q=")</f>
        <v>#REF!</v>
      </c>
      <c r="ED122" t="e">
        <f>AND('GA55 Entry'!E381,"AAAAAGzM64U=")</f>
        <v>#VALUE!</v>
      </c>
      <c r="EE122" t="e">
        <f>AND('GA55 Entry'!F381,"AAAAAGzM64Y=")</f>
        <v>#VALUE!</v>
      </c>
      <c r="EF122" t="e">
        <f>AND('GA55 Entry'!G381,"AAAAAGzM64c=")</f>
        <v>#VALUE!</v>
      </c>
      <c r="EG122" t="e">
        <f>AND('GA55 Entry'!H381,"AAAAAGzM64g=")</f>
        <v>#VALUE!</v>
      </c>
      <c r="EH122" t="e">
        <f>AND('GA55 Entry'!I381,"AAAAAGzM64k=")</f>
        <v>#VALUE!</v>
      </c>
      <c r="EI122" t="e">
        <f>AND('GA55 Entry'!J381,"AAAAAGzM64o=")</f>
        <v>#VALUE!</v>
      </c>
      <c r="EJ122" t="e">
        <f>AND('GA55 Entry'!#REF!,"AAAAAGzM64s=")</f>
        <v>#REF!</v>
      </c>
      <c r="EK122" t="e">
        <f>AND('GA55 Entry'!K381,"AAAAAGzM64w=")</f>
        <v>#VALUE!</v>
      </c>
      <c r="EL122" t="e">
        <f>AND('GA55 Entry'!L381,"AAAAAGzM640=")</f>
        <v>#VALUE!</v>
      </c>
      <c r="EM122" t="e">
        <f>AND('GA55 Entry'!M381,"AAAAAGzM644=")</f>
        <v>#VALUE!</v>
      </c>
      <c r="EN122" t="e">
        <f>AND('GA55 Entry'!N381,"AAAAAGzM648=")</f>
        <v>#VALUE!</v>
      </c>
      <c r="EO122" t="e">
        <f>AND('GA55 Entry'!O381,"AAAAAGzM65A=")</f>
        <v>#VALUE!</v>
      </c>
      <c r="EP122" t="e">
        <f>AND('GA55 Entry'!P381,"AAAAAGzM65E=")</f>
        <v>#VALUE!</v>
      </c>
      <c r="EQ122" t="e">
        <f>AND('GA55 Entry'!Q381,"AAAAAGzM65I=")</f>
        <v>#VALUE!</v>
      </c>
      <c r="ER122" t="e">
        <f>AND('GA55 Entry'!S381,"AAAAAGzM65M=")</f>
        <v>#VALUE!</v>
      </c>
      <c r="ES122" t="e">
        <f>AND('GA55 Entry'!#REF!,"AAAAAGzM65Q=")</f>
        <v>#REF!</v>
      </c>
      <c r="ET122" t="e">
        <f>AND('GA55 Entry'!T381,"AAAAAGzM65U=")</f>
        <v>#VALUE!</v>
      </c>
      <c r="EU122" t="e">
        <f>AND('GA55 Entry'!U381,"AAAAAGzM65Y=")</f>
        <v>#VALUE!</v>
      </c>
      <c r="EV122" t="e">
        <f>AND('GA55 Entry'!V381,"AAAAAGzM65c=")</f>
        <v>#VALUE!</v>
      </c>
      <c r="EW122" t="e">
        <f>AND('GA55 Entry'!#REF!,"AAAAAGzM65g=")</f>
        <v>#REF!</v>
      </c>
      <c r="EX122" t="e">
        <f>AND('GA55 Entry'!#REF!,"AAAAAGzM65k=")</f>
        <v>#REF!</v>
      </c>
      <c r="EY122" t="e">
        <f>AND('GA55 Entry'!X381,"AAAAAGzM65o=")</f>
        <v>#VALUE!</v>
      </c>
      <c r="EZ122" t="e">
        <f>AND('GA55 Entry'!Y381,"AAAAAGzM65s=")</f>
        <v>#VALUE!</v>
      </c>
      <c r="FA122" t="e">
        <f>AND('GA55 Entry'!#REF!,"AAAAAGzM65w=")</f>
        <v>#REF!</v>
      </c>
      <c r="FB122" t="e">
        <f>AND('GA55 Entry'!#REF!,"AAAAAGzM650=")</f>
        <v>#REF!</v>
      </c>
      <c r="FC122" t="e">
        <f>AND('GA55 Entry'!#REF!,"AAAAAGzM654=")</f>
        <v>#REF!</v>
      </c>
      <c r="FD122" t="e">
        <f>AND('GA55 Entry'!#REF!,"AAAAAGzM658=")</f>
        <v>#REF!</v>
      </c>
      <c r="FE122" t="e">
        <f>AND('GA55 Entry'!#REF!,"AAAAAGzM66A=")</f>
        <v>#REF!</v>
      </c>
      <c r="FF122" t="e">
        <f>AND('GA55 Entry'!#REF!,"AAAAAGzM66E=")</f>
        <v>#REF!</v>
      </c>
      <c r="FG122" t="e">
        <f>AND('GA55 Entry'!#REF!,"AAAAAGzM66I=")</f>
        <v>#REF!</v>
      </c>
      <c r="FH122" t="e">
        <f>AND('GA55 Entry'!#REF!,"AAAAAGzM66M=")</f>
        <v>#REF!</v>
      </c>
      <c r="FI122" t="e">
        <f>AND('GA55 Entry'!#REF!,"AAAAAGzM66Q=")</f>
        <v>#REF!</v>
      </c>
      <c r="FJ122" t="e">
        <f>AND('GA55 Entry'!Z381,"AAAAAGzM66U=")</f>
        <v>#VALUE!</v>
      </c>
      <c r="FK122" t="e">
        <f>AND('GA55 Entry'!AA381,"AAAAAGzM66Y=")</f>
        <v>#VALUE!</v>
      </c>
      <c r="FL122" t="e">
        <f>AND('GA55 Entry'!#REF!,"AAAAAGzM66c=")</f>
        <v>#REF!</v>
      </c>
      <c r="FM122" t="e">
        <f>AND('GA55 Entry'!#REF!,"AAAAAGzM66g=")</f>
        <v>#REF!</v>
      </c>
      <c r="FN122" t="e">
        <f>AND('GA55 Entry'!#REF!,"AAAAAGzM66k=")</f>
        <v>#REF!</v>
      </c>
      <c r="FO122" t="e">
        <f>AND('GA55 Entry'!AB381,"AAAAAGzM66o=")</f>
        <v>#VALUE!</v>
      </c>
      <c r="FP122" t="e">
        <f>AND('GA55 Entry'!AC381,"AAAAAGzM66s=")</f>
        <v>#VALUE!</v>
      </c>
      <c r="FQ122" t="e">
        <f>AND('GA55 Entry'!#REF!,"AAAAAGzM66w=")</f>
        <v>#REF!</v>
      </c>
      <c r="FR122">
        <f>IF('GA55 Entry'!382:382,"AAAAAGzM660=",0)</f>
        <v>0</v>
      </c>
      <c r="FS122" t="e">
        <f>AND('GA55 Entry'!B382,"AAAAAGzM664=")</f>
        <v>#VALUE!</v>
      </c>
      <c r="FT122" t="e">
        <f>AND('GA55 Entry'!#REF!,"AAAAAGzM668=")</f>
        <v>#REF!</v>
      </c>
      <c r="FU122" t="e">
        <f>AND('GA55 Entry'!C382,"AAAAAGzM67A=")</f>
        <v>#VALUE!</v>
      </c>
      <c r="FV122" t="e">
        <f>AND('GA55 Entry'!#REF!,"AAAAAGzM67E=")</f>
        <v>#REF!</v>
      </c>
      <c r="FW122" t="e">
        <f>AND('GA55 Entry'!#REF!,"AAAAAGzM67I=")</f>
        <v>#REF!</v>
      </c>
      <c r="FX122" t="e">
        <f>AND('GA55 Entry'!#REF!,"AAAAAGzM67M=")</f>
        <v>#REF!</v>
      </c>
      <c r="FY122" t="e">
        <f>AND('GA55 Entry'!#REF!,"AAAAAGzM67Q=")</f>
        <v>#REF!</v>
      </c>
      <c r="FZ122" t="e">
        <f>AND('GA55 Entry'!#REF!,"AAAAAGzM67U=")</f>
        <v>#REF!</v>
      </c>
      <c r="GA122" t="e">
        <f>AND('GA55 Entry'!D382,"AAAAAGzM67Y=")</f>
        <v>#VALUE!</v>
      </c>
      <c r="GB122" t="e">
        <f>AND('GA55 Entry'!#REF!,"AAAAAGzM67c=")</f>
        <v>#REF!</v>
      </c>
      <c r="GC122" t="e">
        <f>AND('GA55 Entry'!E382,"AAAAAGzM67g=")</f>
        <v>#VALUE!</v>
      </c>
      <c r="GD122" t="e">
        <f>AND('GA55 Entry'!F382,"AAAAAGzM67k=")</f>
        <v>#VALUE!</v>
      </c>
      <c r="GE122" t="e">
        <f>AND('GA55 Entry'!G382,"AAAAAGzM67o=")</f>
        <v>#VALUE!</v>
      </c>
      <c r="GF122" t="e">
        <f>AND('GA55 Entry'!H382,"AAAAAGzM67s=")</f>
        <v>#VALUE!</v>
      </c>
      <c r="GG122" t="e">
        <f>AND('GA55 Entry'!I382,"AAAAAGzM67w=")</f>
        <v>#VALUE!</v>
      </c>
      <c r="GH122" t="e">
        <f>AND('GA55 Entry'!J382,"AAAAAGzM670=")</f>
        <v>#VALUE!</v>
      </c>
      <c r="GI122" t="e">
        <f>AND('GA55 Entry'!#REF!,"AAAAAGzM674=")</f>
        <v>#REF!</v>
      </c>
      <c r="GJ122" t="e">
        <f>AND('GA55 Entry'!K382,"AAAAAGzM678=")</f>
        <v>#VALUE!</v>
      </c>
      <c r="GK122" t="e">
        <f>AND('GA55 Entry'!L382,"AAAAAGzM68A=")</f>
        <v>#VALUE!</v>
      </c>
      <c r="GL122" t="e">
        <f>AND('GA55 Entry'!M382,"AAAAAGzM68E=")</f>
        <v>#VALUE!</v>
      </c>
      <c r="GM122" t="e">
        <f>AND('GA55 Entry'!N382,"AAAAAGzM68I=")</f>
        <v>#VALUE!</v>
      </c>
      <c r="GN122" t="e">
        <f>AND('GA55 Entry'!O382,"AAAAAGzM68M=")</f>
        <v>#VALUE!</v>
      </c>
      <c r="GO122" t="e">
        <f>AND('GA55 Entry'!P382,"AAAAAGzM68Q=")</f>
        <v>#VALUE!</v>
      </c>
      <c r="GP122" t="e">
        <f>AND('GA55 Entry'!Q382,"AAAAAGzM68U=")</f>
        <v>#VALUE!</v>
      </c>
      <c r="GQ122" t="e">
        <f>AND('GA55 Entry'!S382,"AAAAAGzM68Y=")</f>
        <v>#VALUE!</v>
      </c>
      <c r="GR122" t="e">
        <f>AND('GA55 Entry'!#REF!,"AAAAAGzM68c=")</f>
        <v>#REF!</v>
      </c>
      <c r="GS122" t="e">
        <f>AND('GA55 Entry'!T382,"AAAAAGzM68g=")</f>
        <v>#VALUE!</v>
      </c>
      <c r="GT122" t="e">
        <f>AND('GA55 Entry'!U382,"AAAAAGzM68k=")</f>
        <v>#VALUE!</v>
      </c>
      <c r="GU122" t="e">
        <f>AND('GA55 Entry'!V382,"AAAAAGzM68o=")</f>
        <v>#VALUE!</v>
      </c>
      <c r="GV122" t="e">
        <f>AND('GA55 Entry'!#REF!,"AAAAAGzM68s=")</f>
        <v>#REF!</v>
      </c>
      <c r="GW122" t="e">
        <f>AND('GA55 Entry'!#REF!,"AAAAAGzM68w=")</f>
        <v>#REF!</v>
      </c>
      <c r="GX122" t="e">
        <f>AND('GA55 Entry'!X382,"AAAAAGzM680=")</f>
        <v>#VALUE!</v>
      </c>
      <c r="GY122" t="e">
        <f>AND('GA55 Entry'!Y382,"AAAAAGzM684=")</f>
        <v>#VALUE!</v>
      </c>
      <c r="GZ122" t="e">
        <f>AND('GA55 Entry'!#REF!,"AAAAAGzM688=")</f>
        <v>#REF!</v>
      </c>
      <c r="HA122" t="e">
        <f>AND('GA55 Entry'!#REF!,"AAAAAGzM69A=")</f>
        <v>#REF!</v>
      </c>
      <c r="HB122" t="e">
        <f>AND('GA55 Entry'!#REF!,"AAAAAGzM69E=")</f>
        <v>#REF!</v>
      </c>
      <c r="HC122" t="e">
        <f>AND('GA55 Entry'!#REF!,"AAAAAGzM69I=")</f>
        <v>#REF!</v>
      </c>
      <c r="HD122" t="e">
        <f>AND('GA55 Entry'!#REF!,"AAAAAGzM69M=")</f>
        <v>#REF!</v>
      </c>
      <c r="HE122" t="e">
        <f>AND('GA55 Entry'!#REF!,"AAAAAGzM69Q=")</f>
        <v>#REF!</v>
      </c>
      <c r="HF122" t="e">
        <f>AND('GA55 Entry'!#REF!,"AAAAAGzM69U=")</f>
        <v>#REF!</v>
      </c>
      <c r="HG122" t="e">
        <f>AND('GA55 Entry'!#REF!,"AAAAAGzM69Y=")</f>
        <v>#REF!</v>
      </c>
      <c r="HH122" t="e">
        <f>AND('GA55 Entry'!#REF!,"AAAAAGzM69c=")</f>
        <v>#REF!</v>
      </c>
      <c r="HI122" t="e">
        <f>AND('GA55 Entry'!Z382,"AAAAAGzM69g=")</f>
        <v>#VALUE!</v>
      </c>
      <c r="HJ122" t="e">
        <f>AND('GA55 Entry'!AA382,"AAAAAGzM69k=")</f>
        <v>#VALUE!</v>
      </c>
      <c r="HK122" t="e">
        <f>AND('GA55 Entry'!#REF!,"AAAAAGzM69o=")</f>
        <v>#REF!</v>
      </c>
      <c r="HL122" t="e">
        <f>AND('GA55 Entry'!#REF!,"AAAAAGzM69s=")</f>
        <v>#REF!</v>
      </c>
      <c r="HM122" t="e">
        <f>AND('GA55 Entry'!#REF!,"AAAAAGzM69w=")</f>
        <v>#REF!</v>
      </c>
      <c r="HN122" t="e">
        <f>AND('GA55 Entry'!AB382,"AAAAAGzM690=")</f>
        <v>#VALUE!</v>
      </c>
      <c r="HO122" t="e">
        <f>AND('GA55 Entry'!AC382,"AAAAAGzM694=")</f>
        <v>#VALUE!</v>
      </c>
      <c r="HP122" t="e">
        <f>AND('GA55 Entry'!#REF!,"AAAAAGzM698=")</f>
        <v>#REF!</v>
      </c>
      <c r="HQ122">
        <f>IF('GA55 Entry'!383:383,"AAAAAGzM6+A=",0)</f>
        <v>0</v>
      </c>
      <c r="HR122" t="e">
        <f>AND('GA55 Entry'!B383,"AAAAAGzM6+E=")</f>
        <v>#VALUE!</v>
      </c>
      <c r="HS122" t="e">
        <f>AND('GA55 Entry'!#REF!,"AAAAAGzM6+I=")</f>
        <v>#REF!</v>
      </c>
      <c r="HT122" t="e">
        <f>AND('GA55 Entry'!C383,"AAAAAGzM6+M=")</f>
        <v>#VALUE!</v>
      </c>
      <c r="HU122" t="e">
        <f>AND('GA55 Entry'!#REF!,"AAAAAGzM6+Q=")</f>
        <v>#REF!</v>
      </c>
      <c r="HV122" t="e">
        <f>AND('GA55 Entry'!#REF!,"AAAAAGzM6+U=")</f>
        <v>#REF!</v>
      </c>
      <c r="HW122" t="e">
        <f>AND('GA55 Entry'!#REF!,"AAAAAGzM6+Y=")</f>
        <v>#REF!</v>
      </c>
      <c r="HX122" t="e">
        <f>AND('GA55 Entry'!#REF!,"AAAAAGzM6+c=")</f>
        <v>#REF!</v>
      </c>
      <c r="HY122" t="e">
        <f>AND('GA55 Entry'!#REF!,"AAAAAGzM6+g=")</f>
        <v>#REF!</v>
      </c>
      <c r="HZ122" t="e">
        <f>AND('GA55 Entry'!D383,"AAAAAGzM6+k=")</f>
        <v>#VALUE!</v>
      </c>
      <c r="IA122" t="e">
        <f>AND('GA55 Entry'!#REF!,"AAAAAGzM6+o=")</f>
        <v>#REF!</v>
      </c>
      <c r="IB122" t="e">
        <f>AND('GA55 Entry'!E383,"AAAAAGzM6+s=")</f>
        <v>#VALUE!</v>
      </c>
      <c r="IC122" t="e">
        <f>AND('GA55 Entry'!F383,"AAAAAGzM6+w=")</f>
        <v>#VALUE!</v>
      </c>
      <c r="ID122" t="e">
        <f>AND('GA55 Entry'!G383,"AAAAAGzM6+0=")</f>
        <v>#VALUE!</v>
      </c>
      <c r="IE122" t="e">
        <f>AND('GA55 Entry'!H383,"AAAAAGzM6+4=")</f>
        <v>#VALUE!</v>
      </c>
      <c r="IF122" t="e">
        <f>AND('GA55 Entry'!I383,"AAAAAGzM6+8=")</f>
        <v>#VALUE!</v>
      </c>
      <c r="IG122" t="e">
        <f>AND('GA55 Entry'!J383,"AAAAAGzM6/A=")</f>
        <v>#VALUE!</v>
      </c>
      <c r="IH122" t="e">
        <f>AND('GA55 Entry'!#REF!,"AAAAAGzM6/E=")</f>
        <v>#REF!</v>
      </c>
      <c r="II122" t="e">
        <f>AND('GA55 Entry'!K383,"AAAAAGzM6/I=")</f>
        <v>#VALUE!</v>
      </c>
      <c r="IJ122" t="e">
        <f>AND('GA55 Entry'!L383,"AAAAAGzM6/M=")</f>
        <v>#VALUE!</v>
      </c>
      <c r="IK122" t="e">
        <f>AND('GA55 Entry'!M383,"AAAAAGzM6/Q=")</f>
        <v>#VALUE!</v>
      </c>
      <c r="IL122" t="e">
        <f>AND('GA55 Entry'!N383,"AAAAAGzM6/U=")</f>
        <v>#VALUE!</v>
      </c>
      <c r="IM122" t="e">
        <f>AND('GA55 Entry'!O383,"AAAAAGzM6/Y=")</f>
        <v>#VALUE!</v>
      </c>
      <c r="IN122" t="e">
        <f>AND('GA55 Entry'!P383,"AAAAAGzM6/c=")</f>
        <v>#VALUE!</v>
      </c>
      <c r="IO122" t="e">
        <f>AND('GA55 Entry'!Q383,"AAAAAGzM6/g=")</f>
        <v>#VALUE!</v>
      </c>
      <c r="IP122" t="e">
        <f>AND('GA55 Entry'!S383,"AAAAAGzM6/k=")</f>
        <v>#VALUE!</v>
      </c>
      <c r="IQ122" t="e">
        <f>AND('GA55 Entry'!#REF!,"AAAAAGzM6/o=")</f>
        <v>#REF!</v>
      </c>
      <c r="IR122" t="e">
        <f>AND('GA55 Entry'!T383,"AAAAAGzM6/s=")</f>
        <v>#VALUE!</v>
      </c>
      <c r="IS122" t="e">
        <f>AND('GA55 Entry'!U383,"AAAAAGzM6/w=")</f>
        <v>#VALUE!</v>
      </c>
      <c r="IT122" t="e">
        <f>AND('GA55 Entry'!V383,"AAAAAGzM6/0=")</f>
        <v>#VALUE!</v>
      </c>
      <c r="IU122" t="e">
        <f>AND('GA55 Entry'!#REF!,"AAAAAGzM6/4=")</f>
        <v>#REF!</v>
      </c>
      <c r="IV122" t="e">
        <f>AND('GA55 Entry'!#REF!,"AAAAAGzM6/8=")</f>
        <v>#REF!</v>
      </c>
    </row>
    <row r="123" spans="1:256">
      <c r="A123" t="e">
        <f>AND('GA55 Entry'!X383,"AAAAAD/9/QA=")</f>
        <v>#VALUE!</v>
      </c>
      <c r="B123" t="e">
        <f>AND('GA55 Entry'!Y383,"AAAAAD/9/QE=")</f>
        <v>#VALUE!</v>
      </c>
      <c r="C123" t="e">
        <f>AND('GA55 Entry'!#REF!,"AAAAAD/9/QI=")</f>
        <v>#REF!</v>
      </c>
      <c r="D123" t="e">
        <f>AND('GA55 Entry'!#REF!,"AAAAAD/9/QM=")</f>
        <v>#REF!</v>
      </c>
      <c r="E123" t="e">
        <f>AND('GA55 Entry'!#REF!,"AAAAAD/9/QQ=")</f>
        <v>#REF!</v>
      </c>
      <c r="F123" t="e">
        <f>AND('GA55 Entry'!#REF!,"AAAAAD/9/QU=")</f>
        <v>#REF!</v>
      </c>
      <c r="G123" t="e">
        <f>AND('GA55 Entry'!#REF!,"AAAAAD/9/QY=")</f>
        <v>#REF!</v>
      </c>
      <c r="H123" t="e">
        <f>AND('GA55 Entry'!#REF!,"AAAAAD/9/Qc=")</f>
        <v>#REF!</v>
      </c>
      <c r="I123" t="e">
        <f>AND('GA55 Entry'!#REF!,"AAAAAD/9/Qg=")</f>
        <v>#REF!</v>
      </c>
      <c r="J123" t="e">
        <f>AND('GA55 Entry'!#REF!,"AAAAAD/9/Qk=")</f>
        <v>#REF!</v>
      </c>
      <c r="K123" t="e">
        <f>AND('GA55 Entry'!#REF!,"AAAAAD/9/Qo=")</f>
        <v>#REF!</v>
      </c>
      <c r="L123" t="e">
        <f>AND('GA55 Entry'!Z383,"AAAAAD/9/Qs=")</f>
        <v>#VALUE!</v>
      </c>
      <c r="M123" t="e">
        <f>AND('GA55 Entry'!AA383,"AAAAAD/9/Qw=")</f>
        <v>#VALUE!</v>
      </c>
      <c r="N123" t="e">
        <f>AND('GA55 Entry'!#REF!,"AAAAAD/9/Q0=")</f>
        <v>#REF!</v>
      </c>
      <c r="O123" t="e">
        <f>AND('GA55 Entry'!#REF!,"AAAAAD/9/Q4=")</f>
        <v>#REF!</v>
      </c>
      <c r="P123" t="e">
        <f>AND('GA55 Entry'!#REF!,"AAAAAD/9/Q8=")</f>
        <v>#REF!</v>
      </c>
      <c r="Q123" t="e">
        <f>AND('GA55 Entry'!AB383,"AAAAAD/9/RA=")</f>
        <v>#VALUE!</v>
      </c>
      <c r="R123" t="e">
        <f>AND('GA55 Entry'!AC383,"AAAAAD/9/RE=")</f>
        <v>#VALUE!</v>
      </c>
      <c r="S123" t="e">
        <f>AND('GA55 Entry'!#REF!,"AAAAAD/9/RI=")</f>
        <v>#REF!</v>
      </c>
      <c r="T123">
        <f>IF('GA55 Entry'!384:384,"AAAAAD/9/RM=",0)</f>
        <v>0</v>
      </c>
      <c r="U123" t="e">
        <f>AND('GA55 Entry'!B384,"AAAAAD/9/RQ=")</f>
        <v>#VALUE!</v>
      </c>
      <c r="V123" t="e">
        <f>AND('GA55 Entry'!#REF!,"AAAAAD/9/RU=")</f>
        <v>#REF!</v>
      </c>
      <c r="W123" t="e">
        <f>AND('GA55 Entry'!C384,"AAAAAD/9/RY=")</f>
        <v>#VALUE!</v>
      </c>
      <c r="X123" t="e">
        <f>AND('GA55 Entry'!#REF!,"AAAAAD/9/Rc=")</f>
        <v>#REF!</v>
      </c>
      <c r="Y123" t="e">
        <f>AND('GA55 Entry'!#REF!,"AAAAAD/9/Rg=")</f>
        <v>#REF!</v>
      </c>
      <c r="Z123" t="e">
        <f>AND('GA55 Entry'!#REF!,"AAAAAD/9/Rk=")</f>
        <v>#REF!</v>
      </c>
      <c r="AA123" t="e">
        <f>AND('GA55 Entry'!#REF!,"AAAAAD/9/Ro=")</f>
        <v>#REF!</v>
      </c>
      <c r="AB123" t="e">
        <f>AND('GA55 Entry'!#REF!,"AAAAAD/9/Rs=")</f>
        <v>#REF!</v>
      </c>
      <c r="AC123" t="e">
        <f>AND('GA55 Entry'!D384,"AAAAAD/9/Rw=")</f>
        <v>#VALUE!</v>
      </c>
      <c r="AD123" t="e">
        <f>AND('GA55 Entry'!#REF!,"AAAAAD/9/R0=")</f>
        <v>#REF!</v>
      </c>
      <c r="AE123" t="e">
        <f>AND('GA55 Entry'!E384,"AAAAAD/9/R4=")</f>
        <v>#VALUE!</v>
      </c>
      <c r="AF123" t="e">
        <f>AND('GA55 Entry'!F384,"AAAAAD/9/R8=")</f>
        <v>#VALUE!</v>
      </c>
      <c r="AG123" t="e">
        <f>AND('GA55 Entry'!G384,"AAAAAD/9/SA=")</f>
        <v>#VALUE!</v>
      </c>
      <c r="AH123" t="e">
        <f>AND('GA55 Entry'!H384,"AAAAAD/9/SE=")</f>
        <v>#VALUE!</v>
      </c>
      <c r="AI123" t="e">
        <f>AND('GA55 Entry'!I384,"AAAAAD/9/SI=")</f>
        <v>#VALUE!</v>
      </c>
      <c r="AJ123" t="e">
        <f>AND('GA55 Entry'!J384,"AAAAAD/9/SM=")</f>
        <v>#VALUE!</v>
      </c>
      <c r="AK123" t="e">
        <f>AND('GA55 Entry'!#REF!,"AAAAAD/9/SQ=")</f>
        <v>#REF!</v>
      </c>
      <c r="AL123" t="e">
        <f>AND('GA55 Entry'!K384,"AAAAAD/9/SU=")</f>
        <v>#VALUE!</v>
      </c>
      <c r="AM123" t="e">
        <f>AND('GA55 Entry'!L384,"AAAAAD/9/SY=")</f>
        <v>#VALUE!</v>
      </c>
      <c r="AN123" t="e">
        <f>AND('GA55 Entry'!M384,"AAAAAD/9/Sc=")</f>
        <v>#VALUE!</v>
      </c>
      <c r="AO123" t="e">
        <f>AND('GA55 Entry'!N384,"AAAAAD/9/Sg=")</f>
        <v>#VALUE!</v>
      </c>
      <c r="AP123" t="e">
        <f>AND('GA55 Entry'!O384,"AAAAAD/9/Sk=")</f>
        <v>#VALUE!</v>
      </c>
      <c r="AQ123" t="e">
        <f>AND('GA55 Entry'!P384,"AAAAAD/9/So=")</f>
        <v>#VALUE!</v>
      </c>
      <c r="AR123" t="e">
        <f>AND('GA55 Entry'!Q384,"AAAAAD/9/Ss=")</f>
        <v>#VALUE!</v>
      </c>
      <c r="AS123" t="e">
        <f>AND('GA55 Entry'!S384,"AAAAAD/9/Sw=")</f>
        <v>#VALUE!</v>
      </c>
      <c r="AT123" t="e">
        <f>AND('GA55 Entry'!#REF!,"AAAAAD/9/S0=")</f>
        <v>#REF!</v>
      </c>
      <c r="AU123" t="e">
        <f>AND('GA55 Entry'!T384,"AAAAAD/9/S4=")</f>
        <v>#VALUE!</v>
      </c>
      <c r="AV123" t="e">
        <f>AND('GA55 Entry'!U384,"AAAAAD/9/S8=")</f>
        <v>#VALUE!</v>
      </c>
      <c r="AW123" t="e">
        <f>AND('GA55 Entry'!V384,"AAAAAD/9/TA=")</f>
        <v>#VALUE!</v>
      </c>
      <c r="AX123" t="e">
        <f>AND('GA55 Entry'!#REF!,"AAAAAD/9/TE=")</f>
        <v>#REF!</v>
      </c>
      <c r="AY123" t="e">
        <f>AND('GA55 Entry'!#REF!,"AAAAAD/9/TI=")</f>
        <v>#REF!</v>
      </c>
      <c r="AZ123" t="e">
        <f>AND('GA55 Entry'!X384,"AAAAAD/9/TM=")</f>
        <v>#VALUE!</v>
      </c>
      <c r="BA123" t="e">
        <f>AND('GA55 Entry'!Y384,"AAAAAD/9/TQ=")</f>
        <v>#VALUE!</v>
      </c>
      <c r="BB123" t="e">
        <f>AND('GA55 Entry'!#REF!,"AAAAAD/9/TU=")</f>
        <v>#REF!</v>
      </c>
      <c r="BC123" t="e">
        <f>AND('GA55 Entry'!#REF!,"AAAAAD/9/TY=")</f>
        <v>#REF!</v>
      </c>
      <c r="BD123" t="e">
        <f>AND('GA55 Entry'!#REF!,"AAAAAD/9/Tc=")</f>
        <v>#REF!</v>
      </c>
      <c r="BE123" t="e">
        <f>AND('GA55 Entry'!#REF!,"AAAAAD/9/Tg=")</f>
        <v>#REF!</v>
      </c>
      <c r="BF123" t="e">
        <f>AND('GA55 Entry'!#REF!,"AAAAAD/9/Tk=")</f>
        <v>#REF!</v>
      </c>
      <c r="BG123" t="e">
        <f>AND('GA55 Entry'!#REF!,"AAAAAD/9/To=")</f>
        <v>#REF!</v>
      </c>
      <c r="BH123" t="e">
        <f>AND('GA55 Entry'!#REF!,"AAAAAD/9/Ts=")</f>
        <v>#REF!</v>
      </c>
      <c r="BI123" t="e">
        <f>AND('GA55 Entry'!#REF!,"AAAAAD/9/Tw=")</f>
        <v>#REF!</v>
      </c>
      <c r="BJ123" t="e">
        <f>AND('GA55 Entry'!#REF!,"AAAAAD/9/T0=")</f>
        <v>#REF!</v>
      </c>
      <c r="BK123" t="e">
        <f>AND('GA55 Entry'!Z384,"AAAAAD/9/T4=")</f>
        <v>#VALUE!</v>
      </c>
      <c r="BL123" t="e">
        <f>AND('GA55 Entry'!AA384,"AAAAAD/9/T8=")</f>
        <v>#VALUE!</v>
      </c>
      <c r="BM123" t="e">
        <f>AND('GA55 Entry'!#REF!,"AAAAAD/9/UA=")</f>
        <v>#REF!</v>
      </c>
      <c r="BN123" t="e">
        <f>AND('GA55 Entry'!#REF!,"AAAAAD/9/UE=")</f>
        <v>#REF!</v>
      </c>
      <c r="BO123" t="e">
        <f>AND('GA55 Entry'!#REF!,"AAAAAD/9/UI=")</f>
        <v>#REF!</v>
      </c>
      <c r="BP123" t="e">
        <f>AND('GA55 Entry'!AB384,"AAAAAD/9/UM=")</f>
        <v>#VALUE!</v>
      </c>
      <c r="BQ123" t="e">
        <f>AND('GA55 Entry'!AC384,"AAAAAD/9/UQ=")</f>
        <v>#VALUE!</v>
      </c>
      <c r="BR123" t="e">
        <f>AND('GA55 Entry'!#REF!,"AAAAAD/9/UU=")</f>
        <v>#REF!</v>
      </c>
      <c r="BS123">
        <f>IF('GA55 Entry'!385:385,"AAAAAD/9/UY=",0)</f>
        <v>0</v>
      </c>
      <c r="BT123" t="e">
        <f>AND('GA55 Entry'!B385,"AAAAAD/9/Uc=")</f>
        <v>#VALUE!</v>
      </c>
      <c r="BU123" t="e">
        <f>AND('GA55 Entry'!#REF!,"AAAAAD/9/Ug=")</f>
        <v>#REF!</v>
      </c>
      <c r="BV123" t="e">
        <f>AND('GA55 Entry'!C385,"AAAAAD/9/Uk=")</f>
        <v>#VALUE!</v>
      </c>
      <c r="BW123" t="e">
        <f>AND('GA55 Entry'!#REF!,"AAAAAD/9/Uo=")</f>
        <v>#REF!</v>
      </c>
      <c r="BX123" t="e">
        <f>AND('GA55 Entry'!#REF!,"AAAAAD/9/Us=")</f>
        <v>#REF!</v>
      </c>
      <c r="BY123" t="e">
        <f>AND('GA55 Entry'!#REF!,"AAAAAD/9/Uw=")</f>
        <v>#REF!</v>
      </c>
      <c r="BZ123" t="e">
        <f>AND('GA55 Entry'!#REF!,"AAAAAD/9/U0=")</f>
        <v>#REF!</v>
      </c>
      <c r="CA123" t="e">
        <f>AND('GA55 Entry'!#REF!,"AAAAAD/9/U4=")</f>
        <v>#REF!</v>
      </c>
      <c r="CB123" t="e">
        <f>AND('GA55 Entry'!D385,"AAAAAD/9/U8=")</f>
        <v>#VALUE!</v>
      </c>
      <c r="CC123" t="e">
        <f>AND('GA55 Entry'!#REF!,"AAAAAD/9/VA=")</f>
        <v>#REF!</v>
      </c>
      <c r="CD123" t="e">
        <f>AND('GA55 Entry'!E385,"AAAAAD/9/VE=")</f>
        <v>#VALUE!</v>
      </c>
      <c r="CE123" t="e">
        <f>AND('GA55 Entry'!F385,"AAAAAD/9/VI=")</f>
        <v>#VALUE!</v>
      </c>
      <c r="CF123" t="e">
        <f>AND('GA55 Entry'!G385,"AAAAAD/9/VM=")</f>
        <v>#VALUE!</v>
      </c>
      <c r="CG123" t="e">
        <f>AND('GA55 Entry'!H385,"AAAAAD/9/VQ=")</f>
        <v>#VALUE!</v>
      </c>
      <c r="CH123" t="e">
        <f>AND('GA55 Entry'!I385,"AAAAAD/9/VU=")</f>
        <v>#VALUE!</v>
      </c>
      <c r="CI123" t="e">
        <f>AND('GA55 Entry'!J385,"AAAAAD/9/VY=")</f>
        <v>#VALUE!</v>
      </c>
      <c r="CJ123" t="e">
        <f>AND('GA55 Entry'!#REF!,"AAAAAD/9/Vc=")</f>
        <v>#REF!</v>
      </c>
      <c r="CK123" t="e">
        <f>AND('GA55 Entry'!K385,"AAAAAD/9/Vg=")</f>
        <v>#VALUE!</v>
      </c>
      <c r="CL123" t="e">
        <f>AND('GA55 Entry'!L385,"AAAAAD/9/Vk=")</f>
        <v>#VALUE!</v>
      </c>
      <c r="CM123" t="e">
        <f>AND('GA55 Entry'!M385,"AAAAAD/9/Vo=")</f>
        <v>#VALUE!</v>
      </c>
      <c r="CN123" t="e">
        <f>AND('GA55 Entry'!N385,"AAAAAD/9/Vs=")</f>
        <v>#VALUE!</v>
      </c>
      <c r="CO123" t="e">
        <f>AND('GA55 Entry'!O385,"AAAAAD/9/Vw=")</f>
        <v>#VALUE!</v>
      </c>
      <c r="CP123" t="e">
        <f>AND('GA55 Entry'!P385,"AAAAAD/9/V0=")</f>
        <v>#VALUE!</v>
      </c>
      <c r="CQ123" t="e">
        <f>AND('GA55 Entry'!Q385,"AAAAAD/9/V4=")</f>
        <v>#VALUE!</v>
      </c>
      <c r="CR123" t="e">
        <f>AND('GA55 Entry'!S385,"AAAAAD/9/V8=")</f>
        <v>#VALUE!</v>
      </c>
      <c r="CS123" t="e">
        <f>AND('GA55 Entry'!#REF!,"AAAAAD/9/WA=")</f>
        <v>#REF!</v>
      </c>
      <c r="CT123" t="e">
        <f>AND('GA55 Entry'!T385,"AAAAAD/9/WE=")</f>
        <v>#VALUE!</v>
      </c>
      <c r="CU123" t="e">
        <f>AND('GA55 Entry'!U385,"AAAAAD/9/WI=")</f>
        <v>#VALUE!</v>
      </c>
      <c r="CV123" t="e">
        <f>AND('GA55 Entry'!V385,"AAAAAD/9/WM=")</f>
        <v>#VALUE!</v>
      </c>
      <c r="CW123" t="e">
        <f>AND('GA55 Entry'!#REF!,"AAAAAD/9/WQ=")</f>
        <v>#REF!</v>
      </c>
      <c r="CX123" t="e">
        <f>AND('GA55 Entry'!#REF!,"AAAAAD/9/WU=")</f>
        <v>#REF!</v>
      </c>
      <c r="CY123" t="e">
        <f>AND('GA55 Entry'!X385,"AAAAAD/9/WY=")</f>
        <v>#VALUE!</v>
      </c>
      <c r="CZ123" t="e">
        <f>AND('GA55 Entry'!Y385,"AAAAAD/9/Wc=")</f>
        <v>#VALUE!</v>
      </c>
      <c r="DA123" t="e">
        <f>AND('GA55 Entry'!#REF!,"AAAAAD/9/Wg=")</f>
        <v>#REF!</v>
      </c>
      <c r="DB123" t="e">
        <f>AND('GA55 Entry'!#REF!,"AAAAAD/9/Wk=")</f>
        <v>#REF!</v>
      </c>
      <c r="DC123" t="e">
        <f>AND('GA55 Entry'!#REF!,"AAAAAD/9/Wo=")</f>
        <v>#REF!</v>
      </c>
      <c r="DD123" t="e">
        <f>AND('GA55 Entry'!#REF!,"AAAAAD/9/Ws=")</f>
        <v>#REF!</v>
      </c>
      <c r="DE123" t="e">
        <f>AND('GA55 Entry'!#REF!,"AAAAAD/9/Ww=")</f>
        <v>#REF!</v>
      </c>
      <c r="DF123" t="e">
        <f>AND('GA55 Entry'!#REF!,"AAAAAD/9/W0=")</f>
        <v>#REF!</v>
      </c>
      <c r="DG123" t="e">
        <f>AND('GA55 Entry'!#REF!,"AAAAAD/9/W4=")</f>
        <v>#REF!</v>
      </c>
      <c r="DH123" t="e">
        <f>AND('GA55 Entry'!#REF!,"AAAAAD/9/W8=")</f>
        <v>#REF!</v>
      </c>
      <c r="DI123" t="e">
        <f>AND('GA55 Entry'!#REF!,"AAAAAD/9/XA=")</f>
        <v>#REF!</v>
      </c>
      <c r="DJ123" t="e">
        <f>AND('GA55 Entry'!Z385,"AAAAAD/9/XE=")</f>
        <v>#VALUE!</v>
      </c>
      <c r="DK123" t="e">
        <f>AND('GA55 Entry'!AA385,"AAAAAD/9/XI=")</f>
        <v>#VALUE!</v>
      </c>
      <c r="DL123" t="e">
        <f>AND('GA55 Entry'!#REF!,"AAAAAD/9/XM=")</f>
        <v>#REF!</v>
      </c>
      <c r="DM123" t="e">
        <f>AND('GA55 Entry'!#REF!,"AAAAAD/9/XQ=")</f>
        <v>#REF!</v>
      </c>
      <c r="DN123" t="e">
        <f>AND('GA55 Entry'!#REF!,"AAAAAD/9/XU=")</f>
        <v>#REF!</v>
      </c>
      <c r="DO123" t="e">
        <f>AND('GA55 Entry'!AB385,"AAAAAD/9/XY=")</f>
        <v>#VALUE!</v>
      </c>
      <c r="DP123" t="e">
        <f>AND('GA55 Entry'!AC385,"AAAAAD/9/Xc=")</f>
        <v>#VALUE!</v>
      </c>
      <c r="DQ123" t="e">
        <f>AND('GA55 Entry'!#REF!,"AAAAAD/9/Xg=")</f>
        <v>#REF!</v>
      </c>
      <c r="DR123">
        <f>IF('GA55 Entry'!386:386,"AAAAAD/9/Xk=",0)</f>
        <v>0</v>
      </c>
      <c r="DS123" t="e">
        <f>AND('GA55 Entry'!B386,"AAAAAD/9/Xo=")</f>
        <v>#VALUE!</v>
      </c>
      <c r="DT123" t="e">
        <f>AND('GA55 Entry'!#REF!,"AAAAAD/9/Xs=")</f>
        <v>#REF!</v>
      </c>
      <c r="DU123" t="e">
        <f>AND('GA55 Entry'!C386,"AAAAAD/9/Xw=")</f>
        <v>#VALUE!</v>
      </c>
      <c r="DV123" t="e">
        <f>AND('GA55 Entry'!#REF!,"AAAAAD/9/X0=")</f>
        <v>#REF!</v>
      </c>
      <c r="DW123" t="e">
        <f>AND('GA55 Entry'!#REF!,"AAAAAD/9/X4=")</f>
        <v>#REF!</v>
      </c>
      <c r="DX123" t="e">
        <f>AND('GA55 Entry'!#REF!,"AAAAAD/9/X8=")</f>
        <v>#REF!</v>
      </c>
      <c r="DY123" t="e">
        <f>AND('GA55 Entry'!#REF!,"AAAAAD/9/YA=")</f>
        <v>#REF!</v>
      </c>
      <c r="DZ123" t="e">
        <f>AND('GA55 Entry'!#REF!,"AAAAAD/9/YE=")</f>
        <v>#REF!</v>
      </c>
      <c r="EA123" t="e">
        <f>AND('GA55 Entry'!D386,"AAAAAD/9/YI=")</f>
        <v>#VALUE!</v>
      </c>
      <c r="EB123" t="e">
        <f>AND('GA55 Entry'!#REF!,"AAAAAD/9/YM=")</f>
        <v>#REF!</v>
      </c>
      <c r="EC123" t="e">
        <f>AND('GA55 Entry'!E386,"AAAAAD/9/YQ=")</f>
        <v>#VALUE!</v>
      </c>
      <c r="ED123" t="e">
        <f>AND('GA55 Entry'!F386,"AAAAAD/9/YU=")</f>
        <v>#VALUE!</v>
      </c>
      <c r="EE123" t="e">
        <f>AND('GA55 Entry'!G386,"AAAAAD/9/YY=")</f>
        <v>#VALUE!</v>
      </c>
      <c r="EF123" t="e">
        <f>AND('GA55 Entry'!H386,"AAAAAD/9/Yc=")</f>
        <v>#VALUE!</v>
      </c>
      <c r="EG123" t="e">
        <f>AND('GA55 Entry'!I386,"AAAAAD/9/Yg=")</f>
        <v>#VALUE!</v>
      </c>
      <c r="EH123" t="e">
        <f>AND('GA55 Entry'!J386,"AAAAAD/9/Yk=")</f>
        <v>#VALUE!</v>
      </c>
      <c r="EI123" t="e">
        <f>AND('GA55 Entry'!#REF!,"AAAAAD/9/Yo=")</f>
        <v>#REF!</v>
      </c>
      <c r="EJ123" t="e">
        <f>AND('GA55 Entry'!K386,"AAAAAD/9/Ys=")</f>
        <v>#VALUE!</v>
      </c>
      <c r="EK123" t="e">
        <f>AND('GA55 Entry'!L386,"AAAAAD/9/Yw=")</f>
        <v>#VALUE!</v>
      </c>
      <c r="EL123" t="e">
        <f>AND('GA55 Entry'!M386,"AAAAAD/9/Y0=")</f>
        <v>#VALUE!</v>
      </c>
      <c r="EM123" t="e">
        <f>AND('GA55 Entry'!N386,"AAAAAD/9/Y4=")</f>
        <v>#VALUE!</v>
      </c>
      <c r="EN123" t="e">
        <f>AND('GA55 Entry'!O386,"AAAAAD/9/Y8=")</f>
        <v>#VALUE!</v>
      </c>
      <c r="EO123" t="e">
        <f>AND('GA55 Entry'!P386,"AAAAAD/9/ZA=")</f>
        <v>#VALUE!</v>
      </c>
      <c r="EP123" t="e">
        <f>AND('GA55 Entry'!Q386,"AAAAAD/9/ZE=")</f>
        <v>#VALUE!</v>
      </c>
      <c r="EQ123" t="e">
        <f>AND('GA55 Entry'!S386,"AAAAAD/9/ZI=")</f>
        <v>#VALUE!</v>
      </c>
      <c r="ER123" t="e">
        <f>AND('GA55 Entry'!#REF!,"AAAAAD/9/ZM=")</f>
        <v>#REF!</v>
      </c>
      <c r="ES123" t="e">
        <f>AND('GA55 Entry'!T386,"AAAAAD/9/ZQ=")</f>
        <v>#VALUE!</v>
      </c>
      <c r="ET123" t="e">
        <f>AND('GA55 Entry'!U386,"AAAAAD/9/ZU=")</f>
        <v>#VALUE!</v>
      </c>
      <c r="EU123" t="e">
        <f>AND('GA55 Entry'!V386,"AAAAAD/9/ZY=")</f>
        <v>#VALUE!</v>
      </c>
      <c r="EV123" t="e">
        <f>AND('GA55 Entry'!#REF!,"AAAAAD/9/Zc=")</f>
        <v>#REF!</v>
      </c>
      <c r="EW123" t="e">
        <f>AND('GA55 Entry'!#REF!,"AAAAAD/9/Zg=")</f>
        <v>#REF!</v>
      </c>
      <c r="EX123" t="e">
        <f>AND('GA55 Entry'!X386,"AAAAAD/9/Zk=")</f>
        <v>#VALUE!</v>
      </c>
      <c r="EY123" t="e">
        <f>AND('GA55 Entry'!Y386,"AAAAAD/9/Zo=")</f>
        <v>#VALUE!</v>
      </c>
      <c r="EZ123" t="e">
        <f>AND('GA55 Entry'!#REF!,"AAAAAD/9/Zs=")</f>
        <v>#REF!</v>
      </c>
      <c r="FA123" t="e">
        <f>AND('GA55 Entry'!#REF!,"AAAAAD/9/Zw=")</f>
        <v>#REF!</v>
      </c>
      <c r="FB123" t="e">
        <f>AND('GA55 Entry'!#REF!,"AAAAAD/9/Z0=")</f>
        <v>#REF!</v>
      </c>
      <c r="FC123" t="e">
        <f>AND('GA55 Entry'!#REF!,"AAAAAD/9/Z4=")</f>
        <v>#REF!</v>
      </c>
      <c r="FD123" t="e">
        <f>AND('GA55 Entry'!#REF!,"AAAAAD/9/Z8=")</f>
        <v>#REF!</v>
      </c>
      <c r="FE123" t="e">
        <f>AND('GA55 Entry'!#REF!,"AAAAAD/9/aA=")</f>
        <v>#REF!</v>
      </c>
      <c r="FF123" t="e">
        <f>AND('GA55 Entry'!#REF!,"AAAAAD/9/aE=")</f>
        <v>#REF!</v>
      </c>
      <c r="FG123" t="e">
        <f>AND('GA55 Entry'!#REF!,"AAAAAD/9/aI=")</f>
        <v>#REF!</v>
      </c>
      <c r="FH123" t="e">
        <f>AND('GA55 Entry'!#REF!,"AAAAAD/9/aM=")</f>
        <v>#REF!</v>
      </c>
      <c r="FI123" t="e">
        <f>AND('GA55 Entry'!Z386,"AAAAAD/9/aQ=")</f>
        <v>#VALUE!</v>
      </c>
      <c r="FJ123" t="e">
        <f>AND('GA55 Entry'!AA386,"AAAAAD/9/aU=")</f>
        <v>#VALUE!</v>
      </c>
      <c r="FK123" t="e">
        <f>AND('GA55 Entry'!#REF!,"AAAAAD/9/aY=")</f>
        <v>#REF!</v>
      </c>
      <c r="FL123" t="e">
        <f>AND('GA55 Entry'!#REF!,"AAAAAD/9/ac=")</f>
        <v>#REF!</v>
      </c>
      <c r="FM123" t="e">
        <f>AND('GA55 Entry'!#REF!,"AAAAAD/9/ag=")</f>
        <v>#REF!</v>
      </c>
      <c r="FN123" t="e">
        <f>AND('GA55 Entry'!AB386,"AAAAAD/9/ak=")</f>
        <v>#VALUE!</v>
      </c>
      <c r="FO123" t="e">
        <f>AND('GA55 Entry'!AC386,"AAAAAD/9/ao=")</f>
        <v>#VALUE!</v>
      </c>
      <c r="FP123" t="e">
        <f>AND('GA55 Entry'!#REF!,"AAAAAD/9/as=")</f>
        <v>#REF!</v>
      </c>
      <c r="FQ123">
        <f>IF('GA55 Entry'!387:387,"AAAAAD/9/aw=",0)</f>
        <v>0</v>
      </c>
      <c r="FR123" t="e">
        <f>AND('GA55 Entry'!B387,"AAAAAD/9/a0=")</f>
        <v>#VALUE!</v>
      </c>
      <c r="FS123" t="e">
        <f>AND('GA55 Entry'!#REF!,"AAAAAD/9/a4=")</f>
        <v>#REF!</v>
      </c>
      <c r="FT123" t="e">
        <f>AND('GA55 Entry'!C387,"AAAAAD/9/a8=")</f>
        <v>#VALUE!</v>
      </c>
      <c r="FU123" t="e">
        <f>AND('GA55 Entry'!#REF!,"AAAAAD/9/bA=")</f>
        <v>#REF!</v>
      </c>
      <c r="FV123" t="e">
        <f>AND('GA55 Entry'!#REF!,"AAAAAD/9/bE=")</f>
        <v>#REF!</v>
      </c>
      <c r="FW123" t="e">
        <f>AND('GA55 Entry'!#REF!,"AAAAAD/9/bI=")</f>
        <v>#REF!</v>
      </c>
      <c r="FX123" t="e">
        <f>AND('GA55 Entry'!#REF!,"AAAAAD/9/bM=")</f>
        <v>#REF!</v>
      </c>
      <c r="FY123" t="e">
        <f>AND('GA55 Entry'!#REF!,"AAAAAD/9/bQ=")</f>
        <v>#REF!</v>
      </c>
      <c r="FZ123" t="e">
        <f>AND('GA55 Entry'!D387,"AAAAAD/9/bU=")</f>
        <v>#VALUE!</v>
      </c>
      <c r="GA123" t="e">
        <f>AND('GA55 Entry'!#REF!,"AAAAAD/9/bY=")</f>
        <v>#REF!</v>
      </c>
      <c r="GB123" t="e">
        <f>AND('GA55 Entry'!E387,"AAAAAD/9/bc=")</f>
        <v>#VALUE!</v>
      </c>
      <c r="GC123" t="e">
        <f>AND('GA55 Entry'!F387,"AAAAAD/9/bg=")</f>
        <v>#VALUE!</v>
      </c>
      <c r="GD123" t="e">
        <f>AND('GA55 Entry'!G387,"AAAAAD/9/bk=")</f>
        <v>#VALUE!</v>
      </c>
      <c r="GE123" t="e">
        <f>AND('GA55 Entry'!H387,"AAAAAD/9/bo=")</f>
        <v>#VALUE!</v>
      </c>
      <c r="GF123" t="e">
        <f>AND('GA55 Entry'!I387,"AAAAAD/9/bs=")</f>
        <v>#VALUE!</v>
      </c>
      <c r="GG123" t="e">
        <f>AND('GA55 Entry'!J387,"AAAAAD/9/bw=")</f>
        <v>#VALUE!</v>
      </c>
      <c r="GH123" t="e">
        <f>AND('GA55 Entry'!#REF!,"AAAAAD/9/b0=")</f>
        <v>#REF!</v>
      </c>
      <c r="GI123" t="e">
        <f>AND('GA55 Entry'!K387,"AAAAAD/9/b4=")</f>
        <v>#VALUE!</v>
      </c>
      <c r="GJ123" t="e">
        <f>AND('GA55 Entry'!L387,"AAAAAD/9/b8=")</f>
        <v>#VALUE!</v>
      </c>
      <c r="GK123" t="e">
        <f>AND('GA55 Entry'!M387,"AAAAAD/9/cA=")</f>
        <v>#VALUE!</v>
      </c>
      <c r="GL123" t="e">
        <f>AND('GA55 Entry'!N387,"AAAAAD/9/cE=")</f>
        <v>#VALUE!</v>
      </c>
      <c r="GM123" t="e">
        <f>AND('GA55 Entry'!O387,"AAAAAD/9/cI=")</f>
        <v>#VALUE!</v>
      </c>
      <c r="GN123" t="e">
        <f>AND('GA55 Entry'!P387,"AAAAAD/9/cM=")</f>
        <v>#VALUE!</v>
      </c>
      <c r="GO123" t="e">
        <f>AND('GA55 Entry'!Q387,"AAAAAD/9/cQ=")</f>
        <v>#VALUE!</v>
      </c>
      <c r="GP123" t="e">
        <f>AND('GA55 Entry'!S387,"AAAAAD/9/cU=")</f>
        <v>#VALUE!</v>
      </c>
      <c r="GQ123" t="e">
        <f>AND('GA55 Entry'!#REF!,"AAAAAD/9/cY=")</f>
        <v>#REF!</v>
      </c>
      <c r="GR123" t="e">
        <f>AND('GA55 Entry'!T387,"AAAAAD/9/cc=")</f>
        <v>#VALUE!</v>
      </c>
      <c r="GS123" t="e">
        <f>AND('GA55 Entry'!U387,"AAAAAD/9/cg=")</f>
        <v>#VALUE!</v>
      </c>
      <c r="GT123" t="e">
        <f>AND('GA55 Entry'!V387,"AAAAAD/9/ck=")</f>
        <v>#VALUE!</v>
      </c>
      <c r="GU123" t="e">
        <f>AND('GA55 Entry'!#REF!,"AAAAAD/9/co=")</f>
        <v>#REF!</v>
      </c>
      <c r="GV123" t="e">
        <f>AND('GA55 Entry'!#REF!,"AAAAAD/9/cs=")</f>
        <v>#REF!</v>
      </c>
      <c r="GW123" t="e">
        <f>AND('GA55 Entry'!X387,"AAAAAD/9/cw=")</f>
        <v>#VALUE!</v>
      </c>
      <c r="GX123" t="e">
        <f>AND('GA55 Entry'!Y387,"AAAAAD/9/c0=")</f>
        <v>#VALUE!</v>
      </c>
      <c r="GY123" t="e">
        <f>AND('GA55 Entry'!#REF!,"AAAAAD/9/c4=")</f>
        <v>#REF!</v>
      </c>
      <c r="GZ123" t="e">
        <f>AND('GA55 Entry'!#REF!,"AAAAAD/9/c8=")</f>
        <v>#REF!</v>
      </c>
      <c r="HA123" t="e">
        <f>AND('GA55 Entry'!#REF!,"AAAAAD/9/dA=")</f>
        <v>#REF!</v>
      </c>
      <c r="HB123" t="e">
        <f>AND('GA55 Entry'!#REF!,"AAAAAD/9/dE=")</f>
        <v>#REF!</v>
      </c>
      <c r="HC123" t="e">
        <f>AND('GA55 Entry'!#REF!,"AAAAAD/9/dI=")</f>
        <v>#REF!</v>
      </c>
      <c r="HD123" t="e">
        <f>AND('GA55 Entry'!#REF!,"AAAAAD/9/dM=")</f>
        <v>#REF!</v>
      </c>
      <c r="HE123" t="e">
        <f>AND('GA55 Entry'!#REF!,"AAAAAD/9/dQ=")</f>
        <v>#REF!</v>
      </c>
      <c r="HF123" t="e">
        <f>AND('GA55 Entry'!#REF!,"AAAAAD/9/dU=")</f>
        <v>#REF!</v>
      </c>
      <c r="HG123" t="e">
        <f>AND('GA55 Entry'!#REF!,"AAAAAD/9/dY=")</f>
        <v>#REF!</v>
      </c>
      <c r="HH123" t="e">
        <f>AND('GA55 Entry'!Z387,"AAAAAD/9/dc=")</f>
        <v>#VALUE!</v>
      </c>
      <c r="HI123" t="e">
        <f>AND('GA55 Entry'!AA387,"AAAAAD/9/dg=")</f>
        <v>#VALUE!</v>
      </c>
      <c r="HJ123" t="e">
        <f>AND('GA55 Entry'!#REF!,"AAAAAD/9/dk=")</f>
        <v>#REF!</v>
      </c>
      <c r="HK123" t="e">
        <f>AND('GA55 Entry'!#REF!,"AAAAAD/9/do=")</f>
        <v>#REF!</v>
      </c>
      <c r="HL123" t="e">
        <f>AND('GA55 Entry'!#REF!,"AAAAAD/9/ds=")</f>
        <v>#REF!</v>
      </c>
      <c r="HM123" t="e">
        <f>AND('GA55 Entry'!AB387,"AAAAAD/9/dw=")</f>
        <v>#VALUE!</v>
      </c>
      <c r="HN123" t="e">
        <f>AND('GA55 Entry'!AC387,"AAAAAD/9/d0=")</f>
        <v>#VALUE!</v>
      </c>
      <c r="HO123" t="e">
        <f>AND('GA55 Entry'!#REF!,"AAAAAD/9/d4=")</f>
        <v>#REF!</v>
      </c>
      <c r="HP123">
        <f>IF('GA55 Entry'!388:388,"AAAAAD/9/d8=",0)</f>
        <v>0</v>
      </c>
      <c r="HQ123" t="e">
        <f>AND('GA55 Entry'!B388,"AAAAAD/9/eA=")</f>
        <v>#VALUE!</v>
      </c>
      <c r="HR123" t="e">
        <f>AND('GA55 Entry'!#REF!,"AAAAAD/9/eE=")</f>
        <v>#REF!</v>
      </c>
      <c r="HS123" t="e">
        <f>AND('GA55 Entry'!C388,"AAAAAD/9/eI=")</f>
        <v>#VALUE!</v>
      </c>
      <c r="HT123" t="e">
        <f>AND('GA55 Entry'!#REF!,"AAAAAD/9/eM=")</f>
        <v>#REF!</v>
      </c>
      <c r="HU123" t="e">
        <f>AND('GA55 Entry'!#REF!,"AAAAAD/9/eQ=")</f>
        <v>#REF!</v>
      </c>
      <c r="HV123" t="e">
        <f>AND('GA55 Entry'!#REF!,"AAAAAD/9/eU=")</f>
        <v>#REF!</v>
      </c>
      <c r="HW123" t="e">
        <f>AND('GA55 Entry'!#REF!,"AAAAAD/9/eY=")</f>
        <v>#REF!</v>
      </c>
      <c r="HX123" t="e">
        <f>AND('GA55 Entry'!#REF!,"AAAAAD/9/ec=")</f>
        <v>#REF!</v>
      </c>
      <c r="HY123" t="e">
        <f>AND('GA55 Entry'!D388,"AAAAAD/9/eg=")</f>
        <v>#VALUE!</v>
      </c>
      <c r="HZ123" t="e">
        <f>AND('GA55 Entry'!#REF!,"AAAAAD/9/ek=")</f>
        <v>#REF!</v>
      </c>
      <c r="IA123" t="e">
        <f>AND('GA55 Entry'!E388,"AAAAAD/9/eo=")</f>
        <v>#VALUE!</v>
      </c>
      <c r="IB123" t="e">
        <f>AND('GA55 Entry'!F388,"AAAAAD/9/es=")</f>
        <v>#VALUE!</v>
      </c>
      <c r="IC123" t="e">
        <f>AND('GA55 Entry'!G388,"AAAAAD/9/ew=")</f>
        <v>#VALUE!</v>
      </c>
      <c r="ID123" t="e">
        <f>AND('GA55 Entry'!H388,"AAAAAD/9/e0=")</f>
        <v>#VALUE!</v>
      </c>
      <c r="IE123" t="e">
        <f>AND('GA55 Entry'!I388,"AAAAAD/9/e4=")</f>
        <v>#VALUE!</v>
      </c>
      <c r="IF123" t="e">
        <f>AND('GA55 Entry'!J388,"AAAAAD/9/e8=")</f>
        <v>#VALUE!</v>
      </c>
      <c r="IG123" t="e">
        <f>AND('GA55 Entry'!#REF!,"AAAAAD/9/fA=")</f>
        <v>#REF!</v>
      </c>
      <c r="IH123" t="e">
        <f>AND('GA55 Entry'!K388,"AAAAAD/9/fE=")</f>
        <v>#VALUE!</v>
      </c>
      <c r="II123" t="e">
        <f>AND('GA55 Entry'!L388,"AAAAAD/9/fI=")</f>
        <v>#VALUE!</v>
      </c>
      <c r="IJ123" t="e">
        <f>AND('GA55 Entry'!M388,"AAAAAD/9/fM=")</f>
        <v>#VALUE!</v>
      </c>
      <c r="IK123" t="e">
        <f>AND('GA55 Entry'!N388,"AAAAAD/9/fQ=")</f>
        <v>#VALUE!</v>
      </c>
      <c r="IL123" t="e">
        <f>AND('GA55 Entry'!O388,"AAAAAD/9/fU=")</f>
        <v>#VALUE!</v>
      </c>
      <c r="IM123" t="e">
        <f>AND('GA55 Entry'!P388,"AAAAAD/9/fY=")</f>
        <v>#VALUE!</v>
      </c>
      <c r="IN123" t="e">
        <f>AND('GA55 Entry'!Q388,"AAAAAD/9/fc=")</f>
        <v>#VALUE!</v>
      </c>
      <c r="IO123" t="e">
        <f>AND('GA55 Entry'!S388,"AAAAAD/9/fg=")</f>
        <v>#VALUE!</v>
      </c>
      <c r="IP123" t="e">
        <f>AND('GA55 Entry'!#REF!,"AAAAAD/9/fk=")</f>
        <v>#REF!</v>
      </c>
      <c r="IQ123" t="e">
        <f>AND('GA55 Entry'!T388,"AAAAAD/9/fo=")</f>
        <v>#VALUE!</v>
      </c>
      <c r="IR123" t="e">
        <f>AND('GA55 Entry'!U388,"AAAAAD/9/fs=")</f>
        <v>#VALUE!</v>
      </c>
      <c r="IS123" t="e">
        <f>AND('GA55 Entry'!V388,"AAAAAD/9/fw=")</f>
        <v>#VALUE!</v>
      </c>
      <c r="IT123" t="e">
        <f>AND('GA55 Entry'!#REF!,"AAAAAD/9/f0=")</f>
        <v>#REF!</v>
      </c>
      <c r="IU123" t="e">
        <f>AND('GA55 Entry'!#REF!,"AAAAAD/9/f4=")</f>
        <v>#REF!</v>
      </c>
      <c r="IV123" t="e">
        <f>AND('GA55 Entry'!X388,"AAAAAD/9/f8=")</f>
        <v>#VALUE!</v>
      </c>
    </row>
    <row r="124" spans="1:256">
      <c r="A124" t="e">
        <f>AND('GA55 Entry'!Y388,"AAAAAG/9fgA=")</f>
        <v>#VALUE!</v>
      </c>
      <c r="B124" t="e">
        <f>AND('GA55 Entry'!#REF!,"AAAAAG/9fgE=")</f>
        <v>#REF!</v>
      </c>
      <c r="C124" t="e">
        <f>AND('GA55 Entry'!#REF!,"AAAAAG/9fgI=")</f>
        <v>#REF!</v>
      </c>
      <c r="D124" t="e">
        <f>AND('GA55 Entry'!#REF!,"AAAAAG/9fgM=")</f>
        <v>#REF!</v>
      </c>
      <c r="E124" t="e">
        <f>AND('GA55 Entry'!#REF!,"AAAAAG/9fgQ=")</f>
        <v>#REF!</v>
      </c>
      <c r="F124" t="e">
        <f>AND('GA55 Entry'!#REF!,"AAAAAG/9fgU=")</f>
        <v>#REF!</v>
      </c>
      <c r="G124" t="e">
        <f>AND('GA55 Entry'!#REF!,"AAAAAG/9fgY=")</f>
        <v>#REF!</v>
      </c>
      <c r="H124" t="e">
        <f>AND('GA55 Entry'!#REF!,"AAAAAG/9fgc=")</f>
        <v>#REF!</v>
      </c>
      <c r="I124" t="e">
        <f>AND('GA55 Entry'!#REF!,"AAAAAG/9fgg=")</f>
        <v>#REF!</v>
      </c>
      <c r="J124" t="e">
        <f>AND('GA55 Entry'!#REF!,"AAAAAG/9fgk=")</f>
        <v>#REF!</v>
      </c>
      <c r="K124" t="e">
        <f>AND('GA55 Entry'!Z388,"AAAAAG/9fgo=")</f>
        <v>#VALUE!</v>
      </c>
      <c r="L124" t="e">
        <f>AND('GA55 Entry'!AA388,"AAAAAG/9fgs=")</f>
        <v>#VALUE!</v>
      </c>
      <c r="M124" t="e">
        <f>AND('GA55 Entry'!#REF!,"AAAAAG/9fgw=")</f>
        <v>#REF!</v>
      </c>
      <c r="N124" t="e">
        <f>AND('GA55 Entry'!#REF!,"AAAAAG/9fg0=")</f>
        <v>#REF!</v>
      </c>
      <c r="O124" t="e">
        <f>AND('GA55 Entry'!#REF!,"AAAAAG/9fg4=")</f>
        <v>#REF!</v>
      </c>
      <c r="P124" t="e">
        <f>AND('GA55 Entry'!AB388,"AAAAAG/9fg8=")</f>
        <v>#VALUE!</v>
      </c>
      <c r="Q124" t="e">
        <f>AND('GA55 Entry'!AC388,"AAAAAG/9fhA=")</f>
        <v>#VALUE!</v>
      </c>
      <c r="R124" t="e">
        <f>AND('GA55 Entry'!#REF!,"AAAAAG/9fhE=")</f>
        <v>#REF!</v>
      </c>
      <c r="S124">
        <f>IF('GA55 Entry'!389:389,"AAAAAG/9fhI=",0)</f>
        <v>0</v>
      </c>
      <c r="T124" t="e">
        <f>AND('GA55 Entry'!B389,"AAAAAG/9fhM=")</f>
        <v>#VALUE!</v>
      </c>
      <c r="U124" t="e">
        <f>AND('GA55 Entry'!#REF!,"AAAAAG/9fhQ=")</f>
        <v>#REF!</v>
      </c>
      <c r="V124" t="e">
        <f>AND('GA55 Entry'!C389,"AAAAAG/9fhU=")</f>
        <v>#VALUE!</v>
      </c>
      <c r="W124" t="e">
        <f>AND('GA55 Entry'!#REF!,"AAAAAG/9fhY=")</f>
        <v>#REF!</v>
      </c>
      <c r="X124" t="e">
        <f>AND('GA55 Entry'!#REF!,"AAAAAG/9fhc=")</f>
        <v>#REF!</v>
      </c>
      <c r="Y124" t="e">
        <f>AND('GA55 Entry'!#REF!,"AAAAAG/9fhg=")</f>
        <v>#REF!</v>
      </c>
      <c r="Z124" t="e">
        <f>AND('GA55 Entry'!#REF!,"AAAAAG/9fhk=")</f>
        <v>#REF!</v>
      </c>
      <c r="AA124" t="e">
        <f>AND('GA55 Entry'!#REF!,"AAAAAG/9fho=")</f>
        <v>#REF!</v>
      </c>
      <c r="AB124" t="e">
        <f>AND('GA55 Entry'!D389,"AAAAAG/9fhs=")</f>
        <v>#VALUE!</v>
      </c>
      <c r="AC124" t="e">
        <f>AND('GA55 Entry'!#REF!,"AAAAAG/9fhw=")</f>
        <v>#REF!</v>
      </c>
      <c r="AD124" t="e">
        <f>AND('GA55 Entry'!E389,"AAAAAG/9fh0=")</f>
        <v>#VALUE!</v>
      </c>
      <c r="AE124" t="e">
        <f>AND('GA55 Entry'!F389,"AAAAAG/9fh4=")</f>
        <v>#VALUE!</v>
      </c>
      <c r="AF124" t="e">
        <f>AND('GA55 Entry'!G389,"AAAAAG/9fh8=")</f>
        <v>#VALUE!</v>
      </c>
      <c r="AG124" t="e">
        <f>AND('GA55 Entry'!H389,"AAAAAG/9fiA=")</f>
        <v>#VALUE!</v>
      </c>
      <c r="AH124" t="e">
        <f>AND('GA55 Entry'!I389,"AAAAAG/9fiE=")</f>
        <v>#VALUE!</v>
      </c>
      <c r="AI124" t="e">
        <f>AND('GA55 Entry'!J389,"AAAAAG/9fiI=")</f>
        <v>#VALUE!</v>
      </c>
      <c r="AJ124" t="e">
        <f>AND('GA55 Entry'!#REF!,"AAAAAG/9fiM=")</f>
        <v>#REF!</v>
      </c>
      <c r="AK124" t="e">
        <f>AND('GA55 Entry'!K389,"AAAAAG/9fiQ=")</f>
        <v>#VALUE!</v>
      </c>
      <c r="AL124" t="e">
        <f>AND('GA55 Entry'!L389,"AAAAAG/9fiU=")</f>
        <v>#VALUE!</v>
      </c>
      <c r="AM124" t="e">
        <f>AND('GA55 Entry'!M389,"AAAAAG/9fiY=")</f>
        <v>#VALUE!</v>
      </c>
      <c r="AN124" t="e">
        <f>AND('GA55 Entry'!N389,"AAAAAG/9fic=")</f>
        <v>#VALUE!</v>
      </c>
      <c r="AO124" t="e">
        <f>AND('GA55 Entry'!O389,"AAAAAG/9fig=")</f>
        <v>#VALUE!</v>
      </c>
      <c r="AP124" t="e">
        <f>AND('GA55 Entry'!P389,"AAAAAG/9fik=")</f>
        <v>#VALUE!</v>
      </c>
      <c r="AQ124" t="e">
        <f>AND('GA55 Entry'!Q389,"AAAAAG/9fio=")</f>
        <v>#VALUE!</v>
      </c>
      <c r="AR124" t="e">
        <f>AND('GA55 Entry'!S389,"AAAAAG/9fis=")</f>
        <v>#VALUE!</v>
      </c>
      <c r="AS124" t="e">
        <f>AND('GA55 Entry'!#REF!,"AAAAAG/9fiw=")</f>
        <v>#REF!</v>
      </c>
      <c r="AT124" t="e">
        <f>AND('GA55 Entry'!T389,"AAAAAG/9fi0=")</f>
        <v>#VALUE!</v>
      </c>
      <c r="AU124" t="e">
        <f>AND('GA55 Entry'!U389,"AAAAAG/9fi4=")</f>
        <v>#VALUE!</v>
      </c>
      <c r="AV124" t="e">
        <f>AND('GA55 Entry'!V389,"AAAAAG/9fi8=")</f>
        <v>#VALUE!</v>
      </c>
      <c r="AW124" t="e">
        <f>AND('GA55 Entry'!#REF!,"AAAAAG/9fjA=")</f>
        <v>#REF!</v>
      </c>
      <c r="AX124" t="e">
        <f>AND('GA55 Entry'!#REF!,"AAAAAG/9fjE=")</f>
        <v>#REF!</v>
      </c>
      <c r="AY124" t="e">
        <f>AND('GA55 Entry'!X389,"AAAAAG/9fjI=")</f>
        <v>#VALUE!</v>
      </c>
      <c r="AZ124" t="e">
        <f>AND('GA55 Entry'!Y389,"AAAAAG/9fjM=")</f>
        <v>#VALUE!</v>
      </c>
      <c r="BA124" t="e">
        <f>AND('GA55 Entry'!#REF!,"AAAAAG/9fjQ=")</f>
        <v>#REF!</v>
      </c>
      <c r="BB124" t="e">
        <f>AND('GA55 Entry'!#REF!,"AAAAAG/9fjU=")</f>
        <v>#REF!</v>
      </c>
      <c r="BC124" t="e">
        <f>AND('GA55 Entry'!#REF!,"AAAAAG/9fjY=")</f>
        <v>#REF!</v>
      </c>
      <c r="BD124" t="e">
        <f>AND('GA55 Entry'!#REF!,"AAAAAG/9fjc=")</f>
        <v>#REF!</v>
      </c>
      <c r="BE124" t="e">
        <f>AND('GA55 Entry'!#REF!,"AAAAAG/9fjg=")</f>
        <v>#REF!</v>
      </c>
      <c r="BF124" t="e">
        <f>AND('GA55 Entry'!#REF!,"AAAAAG/9fjk=")</f>
        <v>#REF!</v>
      </c>
      <c r="BG124" t="e">
        <f>AND('GA55 Entry'!#REF!,"AAAAAG/9fjo=")</f>
        <v>#REF!</v>
      </c>
      <c r="BH124" t="e">
        <f>AND('GA55 Entry'!#REF!,"AAAAAG/9fjs=")</f>
        <v>#REF!</v>
      </c>
      <c r="BI124" t="e">
        <f>AND('GA55 Entry'!#REF!,"AAAAAG/9fjw=")</f>
        <v>#REF!</v>
      </c>
      <c r="BJ124" t="e">
        <f>AND('GA55 Entry'!Z389,"AAAAAG/9fj0=")</f>
        <v>#VALUE!</v>
      </c>
      <c r="BK124" t="e">
        <f>AND('GA55 Entry'!AA389,"AAAAAG/9fj4=")</f>
        <v>#VALUE!</v>
      </c>
      <c r="BL124" t="e">
        <f>AND('GA55 Entry'!#REF!,"AAAAAG/9fj8=")</f>
        <v>#REF!</v>
      </c>
      <c r="BM124" t="e">
        <f>AND('GA55 Entry'!#REF!,"AAAAAG/9fkA=")</f>
        <v>#REF!</v>
      </c>
      <c r="BN124" t="e">
        <f>AND('GA55 Entry'!#REF!,"AAAAAG/9fkE=")</f>
        <v>#REF!</v>
      </c>
      <c r="BO124" t="e">
        <f>AND('GA55 Entry'!AB389,"AAAAAG/9fkI=")</f>
        <v>#VALUE!</v>
      </c>
      <c r="BP124" t="e">
        <f>AND('GA55 Entry'!AC389,"AAAAAG/9fkM=")</f>
        <v>#VALUE!</v>
      </c>
      <c r="BQ124" t="e">
        <f>AND('GA55 Entry'!#REF!,"AAAAAG/9fkQ=")</f>
        <v>#REF!</v>
      </c>
      <c r="BR124">
        <f>IF('GA55 Entry'!390:390,"AAAAAG/9fkU=",0)</f>
        <v>0</v>
      </c>
      <c r="BS124" t="e">
        <f>AND('GA55 Entry'!B390,"AAAAAG/9fkY=")</f>
        <v>#VALUE!</v>
      </c>
      <c r="BT124" t="e">
        <f>AND('GA55 Entry'!#REF!,"AAAAAG/9fkc=")</f>
        <v>#REF!</v>
      </c>
      <c r="BU124" t="e">
        <f>AND('GA55 Entry'!C390,"AAAAAG/9fkg=")</f>
        <v>#VALUE!</v>
      </c>
      <c r="BV124" t="e">
        <f>AND('GA55 Entry'!#REF!,"AAAAAG/9fkk=")</f>
        <v>#REF!</v>
      </c>
      <c r="BW124" t="e">
        <f>AND('GA55 Entry'!#REF!,"AAAAAG/9fko=")</f>
        <v>#REF!</v>
      </c>
      <c r="BX124" t="e">
        <f>AND('GA55 Entry'!#REF!,"AAAAAG/9fks=")</f>
        <v>#REF!</v>
      </c>
      <c r="BY124" t="e">
        <f>AND('GA55 Entry'!#REF!,"AAAAAG/9fkw=")</f>
        <v>#REF!</v>
      </c>
      <c r="BZ124" t="e">
        <f>AND('GA55 Entry'!#REF!,"AAAAAG/9fk0=")</f>
        <v>#REF!</v>
      </c>
      <c r="CA124" t="e">
        <f>AND('GA55 Entry'!D390,"AAAAAG/9fk4=")</f>
        <v>#VALUE!</v>
      </c>
      <c r="CB124" t="e">
        <f>AND('GA55 Entry'!#REF!,"AAAAAG/9fk8=")</f>
        <v>#REF!</v>
      </c>
      <c r="CC124" t="e">
        <f>AND('GA55 Entry'!E390,"AAAAAG/9flA=")</f>
        <v>#VALUE!</v>
      </c>
      <c r="CD124" t="e">
        <f>AND('GA55 Entry'!F390,"AAAAAG/9flE=")</f>
        <v>#VALUE!</v>
      </c>
      <c r="CE124" t="e">
        <f>AND('GA55 Entry'!G390,"AAAAAG/9flI=")</f>
        <v>#VALUE!</v>
      </c>
      <c r="CF124" t="e">
        <f>AND('GA55 Entry'!H390,"AAAAAG/9flM=")</f>
        <v>#VALUE!</v>
      </c>
      <c r="CG124" t="e">
        <f>AND('GA55 Entry'!I390,"AAAAAG/9flQ=")</f>
        <v>#VALUE!</v>
      </c>
      <c r="CH124" t="e">
        <f>AND('GA55 Entry'!J390,"AAAAAG/9flU=")</f>
        <v>#VALUE!</v>
      </c>
      <c r="CI124" t="e">
        <f>AND('GA55 Entry'!#REF!,"AAAAAG/9flY=")</f>
        <v>#REF!</v>
      </c>
      <c r="CJ124" t="e">
        <f>AND('GA55 Entry'!K390,"AAAAAG/9flc=")</f>
        <v>#VALUE!</v>
      </c>
      <c r="CK124" t="e">
        <f>AND('GA55 Entry'!L390,"AAAAAG/9flg=")</f>
        <v>#VALUE!</v>
      </c>
      <c r="CL124" t="e">
        <f>AND('GA55 Entry'!M390,"AAAAAG/9flk=")</f>
        <v>#VALUE!</v>
      </c>
      <c r="CM124" t="e">
        <f>AND('GA55 Entry'!N390,"AAAAAG/9flo=")</f>
        <v>#VALUE!</v>
      </c>
      <c r="CN124" t="e">
        <f>AND('GA55 Entry'!O390,"AAAAAG/9fls=")</f>
        <v>#VALUE!</v>
      </c>
      <c r="CO124" t="e">
        <f>AND('GA55 Entry'!P390,"AAAAAG/9flw=")</f>
        <v>#VALUE!</v>
      </c>
      <c r="CP124" t="e">
        <f>AND('GA55 Entry'!Q390,"AAAAAG/9fl0=")</f>
        <v>#VALUE!</v>
      </c>
      <c r="CQ124" t="e">
        <f>AND('GA55 Entry'!S390,"AAAAAG/9fl4=")</f>
        <v>#VALUE!</v>
      </c>
      <c r="CR124" t="e">
        <f>AND('GA55 Entry'!#REF!,"AAAAAG/9fl8=")</f>
        <v>#REF!</v>
      </c>
      <c r="CS124" t="e">
        <f>AND('GA55 Entry'!T390,"AAAAAG/9fmA=")</f>
        <v>#VALUE!</v>
      </c>
      <c r="CT124" t="e">
        <f>AND('GA55 Entry'!U390,"AAAAAG/9fmE=")</f>
        <v>#VALUE!</v>
      </c>
      <c r="CU124" t="e">
        <f>AND('GA55 Entry'!V390,"AAAAAG/9fmI=")</f>
        <v>#VALUE!</v>
      </c>
      <c r="CV124" t="e">
        <f>AND('GA55 Entry'!#REF!,"AAAAAG/9fmM=")</f>
        <v>#REF!</v>
      </c>
      <c r="CW124" t="e">
        <f>AND('GA55 Entry'!#REF!,"AAAAAG/9fmQ=")</f>
        <v>#REF!</v>
      </c>
      <c r="CX124" t="e">
        <f>AND('GA55 Entry'!X390,"AAAAAG/9fmU=")</f>
        <v>#VALUE!</v>
      </c>
      <c r="CY124" t="e">
        <f>AND('GA55 Entry'!Y390,"AAAAAG/9fmY=")</f>
        <v>#VALUE!</v>
      </c>
      <c r="CZ124" t="e">
        <f>AND('GA55 Entry'!#REF!,"AAAAAG/9fmc=")</f>
        <v>#REF!</v>
      </c>
      <c r="DA124" t="e">
        <f>AND('GA55 Entry'!#REF!,"AAAAAG/9fmg=")</f>
        <v>#REF!</v>
      </c>
      <c r="DB124" t="e">
        <f>AND('GA55 Entry'!#REF!,"AAAAAG/9fmk=")</f>
        <v>#REF!</v>
      </c>
      <c r="DC124" t="e">
        <f>AND('GA55 Entry'!#REF!,"AAAAAG/9fmo=")</f>
        <v>#REF!</v>
      </c>
      <c r="DD124" t="e">
        <f>AND('GA55 Entry'!#REF!,"AAAAAG/9fms=")</f>
        <v>#REF!</v>
      </c>
      <c r="DE124" t="e">
        <f>AND('GA55 Entry'!#REF!,"AAAAAG/9fmw=")</f>
        <v>#REF!</v>
      </c>
      <c r="DF124" t="e">
        <f>AND('GA55 Entry'!#REF!,"AAAAAG/9fm0=")</f>
        <v>#REF!</v>
      </c>
      <c r="DG124" t="e">
        <f>AND('GA55 Entry'!#REF!,"AAAAAG/9fm4=")</f>
        <v>#REF!</v>
      </c>
      <c r="DH124" t="e">
        <f>AND('GA55 Entry'!#REF!,"AAAAAG/9fm8=")</f>
        <v>#REF!</v>
      </c>
      <c r="DI124" t="e">
        <f>AND('GA55 Entry'!Z390,"AAAAAG/9fnA=")</f>
        <v>#VALUE!</v>
      </c>
      <c r="DJ124" t="e">
        <f>AND('GA55 Entry'!AA390,"AAAAAG/9fnE=")</f>
        <v>#VALUE!</v>
      </c>
      <c r="DK124" t="e">
        <f>AND('GA55 Entry'!#REF!,"AAAAAG/9fnI=")</f>
        <v>#REF!</v>
      </c>
      <c r="DL124" t="e">
        <f>AND('GA55 Entry'!#REF!,"AAAAAG/9fnM=")</f>
        <v>#REF!</v>
      </c>
      <c r="DM124" t="e">
        <f>AND('GA55 Entry'!#REF!,"AAAAAG/9fnQ=")</f>
        <v>#REF!</v>
      </c>
      <c r="DN124" t="e">
        <f>AND('GA55 Entry'!AB390,"AAAAAG/9fnU=")</f>
        <v>#VALUE!</v>
      </c>
      <c r="DO124" t="e">
        <f>AND('GA55 Entry'!AC390,"AAAAAG/9fnY=")</f>
        <v>#VALUE!</v>
      </c>
      <c r="DP124" t="e">
        <f>AND('GA55 Entry'!#REF!,"AAAAAG/9fnc=")</f>
        <v>#REF!</v>
      </c>
      <c r="DQ124">
        <f>IF('GA55 Entry'!391:391,"AAAAAG/9fng=",0)</f>
        <v>0</v>
      </c>
      <c r="DR124" t="e">
        <f>AND('GA55 Entry'!B391,"AAAAAG/9fnk=")</f>
        <v>#VALUE!</v>
      </c>
      <c r="DS124" t="e">
        <f>AND('GA55 Entry'!#REF!,"AAAAAG/9fno=")</f>
        <v>#REF!</v>
      </c>
      <c r="DT124" t="e">
        <f>AND('GA55 Entry'!C391,"AAAAAG/9fns=")</f>
        <v>#VALUE!</v>
      </c>
      <c r="DU124" t="e">
        <f>AND('GA55 Entry'!#REF!,"AAAAAG/9fnw=")</f>
        <v>#REF!</v>
      </c>
      <c r="DV124" t="e">
        <f>AND('GA55 Entry'!#REF!,"AAAAAG/9fn0=")</f>
        <v>#REF!</v>
      </c>
      <c r="DW124" t="e">
        <f>AND('GA55 Entry'!#REF!,"AAAAAG/9fn4=")</f>
        <v>#REF!</v>
      </c>
      <c r="DX124" t="e">
        <f>AND('GA55 Entry'!#REF!,"AAAAAG/9fn8=")</f>
        <v>#REF!</v>
      </c>
      <c r="DY124" t="e">
        <f>AND('GA55 Entry'!#REF!,"AAAAAG/9foA=")</f>
        <v>#REF!</v>
      </c>
      <c r="DZ124" t="e">
        <f>AND('GA55 Entry'!D391,"AAAAAG/9foE=")</f>
        <v>#VALUE!</v>
      </c>
      <c r="EA124" t="e">
        <f>AND('GA55 Entry'!#REF!,"AAAAAG/9foI=")</f>
        <v>#REF!</v>
      </c>
      <c r="EB124" t="e">
        <f>AND('GA55 Entry'!E391,"AAAAAG/9foM=")</f>
        <v>#VALUE!</v>
      </c>
      <c r="EC124" t="e">
        <f>AND('GA55 Entry'!F391,"AAAAAG/9foQ=")</f>
        <v>#VALUE!</v>
      </c>
      <c r="ED124" t="e">
        <f>AND('GA55 Entry'!G391,"AAAAAG/9foU=")</f>
        <v>#VALUE!</v>
      </c>
      <c r="EE124" t="e">
        <f>AND('GA55 Entry'!H391,"AAAAAG/9foY=")</f>
        <v>#VALUE!</v>
      </c>
      <c r="EF124" t="e">
        <f>AND('GA55 Entry'!I391,"AAAAAG/9foc=")</f>
        <v>#VALUE!</v>
      </c>
      <c r="EG124" t="e">
        <f>AND('GA55 Entry'!J391,"AAAAAG/9fog=")</f>
        <v>#VALUE!</v>
      </c>
      <c r="EH124" t="e">
        <f>AND('GA55 Entry'!#REF!,"AAAAAG/9fok=")</f>
        <v>#REF!</v>
      </c>
      <c r="EI124" t="e">
        <f>AND('GA55 Entry'!K391,"AAAAAG/9foo=")</f>
        <v>#VALUE!</v>
      </c>
      <c r="EJ124" t="e">
        <f>AND('GA55 Entry'!L391,"AAAAAG/9fos=")</f>
        <v>#VALUE!</v>
      </c>
      <c r="EK124" t="e">
        <f>AND('GA55 Entry'!M391,"AAAAAG/9fow=")</f>
        <v>#VALUE!</v>
      </c>
      <c r="EL124" t="e">
        <f>AND('GA55 Entry'!N391,"AAAAAG/9fo0=")</f>
        <v>#VALUE!</v>
      </c>
      <c r="EM124" t="e">
        <f>AND('GA55 Entry'!O391,"AAAAAG/9fo4=")</f>
        <v>#VALUE!</v>
      </c>
      <c r="EN124" t="e">
        <f>AND('GA55 Entry'!P391,"AAAAAG/9fo8=")</f>
        <v>#VALUE!</v>
      </c>
      <c r="EO124" t="e">
        <f>AND('GA55 Entry'!Q391,"AAAAAG/9fpA=")</f>
        <v>#VALUE!</v>
      </c>
      <c r="EP124" t="e">
        <f>AND('GA55 Entry'!S391,"AAAAAG/9fpE=")</f>
        <v>#VALUE!</v>
      </c>
      <c r="EQ124" t="e">
        <f>AND('GA55 Entry'!#REF!,"AAAAAG/9fpI=")</f>
        <v>#REF!</v>
      </c>
      <c r="ER124" t="e">
        <f>AND('GA55 Entry'!T391,"AAAAAG/9fpM=")</f>
        <v>#VALUE!</v>
      </c>
      <c r="ES124" t="e">
        <f>AND('GA55 Entry'!U391,"AAAAAG/9fpQ=")</f>
        <v>#VALUE!</v>
      </c>
      <c r="ET124" t="e">
        <f>AND('GA55 Entry'!V391,"AAAAAG/9fpU=")</f>
        <v>#VALUE!</v>
      </c>
      <c r="EU124" t="e">
        <f>AND('GA55 Entry'!#REF!,"AAAAAG/9fpY=")</f>
        <v>#REF!</v>
      </c>
      <c r="EV124" t="e">
        <f>AND('GA55 Entry'!#REF!,"AAAAAG/9fpc=")</f>
        <v>#REF!</v>
      </c>
      <c r="EW124" t="e">
        <f>AND('GA55 Entry'!X391,"AAAAAG/9fpg=")</f>
        <v>#VALUE!</v>
      </c>
      <c r="EX124" t="e">
        <f>AND('GA55 Entry'!Y391,"AAAAAG/9fpk=")</f>
        <v>#VALUE!</v>
      </c>
      <c r="EY124" t="e">
        <f>AND('GA55 Entry'!#REF!,"AAAAAG/9fpo=")</f>
        <v>#REF!</v>
      </c>
      <c r="EZ124" t="e">
        <f>AND('GA55 Entry'!#REF!,"AAAAAG/9fps=")</f>
        <v>#REF!</v>
      </c>
      <c r="FA124" t="e">
        <f>AND('GA55 Entry'!#REF!,"AAAAAG/9fpw=")</f>
        <v>#REF!</v>
      </c>
      <c r="FB124" t="e">
        <f>AND('GA55 Entry'!#REF!,"AAAAAG/9fp0=")</f>
        <v>#REF!</v>
      </c>
      <c r="FC124" t="e">
        <f>AND('GA55 Entry'!#REF!,"AAAAAG/9fp4=")</f>
        <v>#REF!</v>
      </c>
      <c r="FD124" t="e">
        <f>AND('GA55 Entry'!#REF!,"AAAAAG/9fp8=")</f>
        <v>#REF!</v>
      </c>
      <c r="FE124" t="e">
        <f>AND('GA55 Entry'!#REF!,"AAAAAG/9fqA=")</f>
        <v>#REF!</v>
      </c>
      <c r="FF124" t="e">
        <f>AND('GA55 Entry'!#REF!,"AAAAAG/9fqE=")</f>
        <v>#REF!</v>
      </c>
      <c r="FG124" t="e">
        <f>AND('GA55 Entry'!#REF!,"AAAAAG/9fqI=")</f>
        <v>#REF!</v>
      </c>
      <c r="FH124" t="e">
        <f>AND('GA55 Entry'!Z391,"AAAAAG/9fqM=")</f>
        <v>#VALUE!</v>
      </c>
      <c r="FI124" t="e">
        <f>AND('GA55 Entry'!AA391,"AAAAAG/9fqQ=")</f>
        <v>#VALUE!</v>
      </c>
      <c r="FJ124" t="e">
        <f>AND('GA55 Entry'!#REF!,"AAAAAG/9fqU=")</f>
        <v>#REF!</v>
      </c>
      <c r="FK124" t="e">
        <f>AND('GA55 Entry'!#REF!,"AAAAAG/9fqY=")</f>
        <v>#REF!</v>
      </c>
      <c r="FL124" t="e">
        <f>AND('GA55 Entry'!#REF!,"AAAAAG/9fqc=")</f>
        <v>#REF!</v>
      </c>
      <c r="FM124" t="e">
        <f>AND('GA55 Entry'!AB391,"AAAAAG/9fqg=")</f>
        <v>#VALUE!</v>
      </c>
      <c r="FN124" t="e">
        <f>AND('GA55 Entry'!AC391,"AAAAAG/9fqk=")</f>
        <v>#VALUE!</v>
      </c>
      <c r="FO124" t="e">
        <f>AND('GA55 Entry'!#REF!,"AAAAAG/9fqo=")</f>
        <v>#REF!</v>
      </c>
      <c r="FP124">
        <f>IF('GA55 Entry'!392:392,"AAAAAG/9fqs=",0)</f>
        <v>0</v>
      </c>
      <c r="FQ124" t="e">
        <f>AND('GA55 Entry'!B392,"AAAAAG/9fqw=")</f>
        <v>#VALUE!</v>
      </c>
      <c r="FR124" t="e">
        <f>AND('GA55 Entry'!#REF!,"AAAAAG/9fq0=")</f>
        <v>#REF!</v>
      </c>
      <c r="FS124" t="e">
        <f>AND('GA55 Entry'!C392,"AAAAAG/9fq4=")</f>
        <v>#VALUE!</v>
      </c>
      <c r="FT124" t="e">
        <f>AND('GA55 Entry'!#REF!,"AAAAAG/9fq8=")</f>
        <v>#REF!</v>
      </c>
      <c r="FU124" t="e">
        <f>AND('GA55 Entry'!#REF!,"AAAAAG/9frA=")</f>
        <v>#REF!</v>
      </c>
      <c r="FV124" t="e">
        <f>AND('GA55 Entry'!#REF!,"AAAAAG/9frE=")</f>
        <v>#REF!</v>
      </c>
      <c r="FW124" t="e">
        <f>AND('GA55 Entry'!#REF!,"AAAAAG/9frI=")</f>
        <v>#REF!</v>
      </c>
      <c r="FX124" t="e">
        <f>AND('GA55 Entry'!#REF!,"AAAAAG/9frM=")</f>
        <v>#REF!</v>
      </c>
      <c r="FY124" t="e">
        <f>AND('GA55 Entry'!D392,"AAAAAG/9frQ=")</f>
        <v>#VALUE!</v>
      </c>
      <c r="FZ124" t="e">
        <f>AND('GA55 Entry'!#REF!,"AAAAAG/9frU=")</f>
        <v>#REF!</v>
      </c>
      <c r="GA124" t="e">
        <f>AND('GA55 Entry'!E392,"AAAAAG/9frY=")</f>
        <v>#VALUE!</v>
      </c>
      <c r="GB124" t="e">
        <f>AND('GA55 Entry'!F392,"AAAAAG/9frc=")</f>
        <v>#VALUE!</v>
      </c>
      <c r="GC124" t="e">
        <f>AND('GA55 Entry'!G392,"AAAAAG/9frg=")</f>
        <v>#VALUE!</v>
      </c>
      <c r="GD124" t="e">
        <f>AND('GA55 Entry'!H392,"AAAAAG/9frk=")</f>
        <v>#VALUE!</v>
      </c>
      <c r="GE124" t="e">
        <f>AND('GA55 Entry'!I392,"AAAAAG/9fro=")</f>
        <v>#VALUE!</v>
      </c>
      <c r="GF124" t="e">
        <f>AND('GA55 Entry'!J392,"AAAAAG/9frs=")</f>
        <v>#VALUE!</v>
      </c>
      <c r="GG124" t="e">
        <f>AND('GA55 Entry'!#REF!,"AAAAAG/9frw=")</f>
        <v>#REF!</v>
      </c>
      <c r="GH124" t="e">
        <f>AND('GA55 Entry'!K392,"AAAAAG/9fr0=")</f>
        <v>#VALUE!</v>
      </c>
      <c r="GI124" t="e">
        <f>AND('GA55 Entry'!L392,"AAAAAG/9fr4=")</f>
        <v>#VALUE!</v>
      </c>
      <c r="GJ124" t="e">
        <f>AND('GA55 Entry'!M392,"AAAAAG/9fr8=")</f>
        <v>#VALUE!</v>
      </c>
      <c r="GK124" t="e">
        <f>AND('GA55 Entry'!N392,"AAAAAG/9fsA=")</f>
        <v>#VALUE!</v>
      </c>
      <c r="GL124" t="e">
        <f>AND('GA55 Entry'!O392,"AAAAAG/9fsE=")</f>
        <v>#VALUE!</v>
      </c>
      <c r="GM124" t="e">
        <f>AND('GA55 Entry'!P392,"AAAAAG/9fsI=")</f>
        <v>#VALUE!</v>
      </c>
      <c r="GN124" t="e">
        <f>AND('GA55 Entry'!Q392,"AAAAAG/9fsM=")</f>
        <v>#VALUE!</v>
      </c>
      <c r="GO124" t="e">
        <f>AND('GA55 Entry'!S392,"AAAAAG/9fsQ=")</f>
        <v>#VALUE!</v>
      </c>
      <c r="GP124" t="e">
        <f>AND('GA55 Entry'!#REF!,"AAAAAG/9fsU=")</f>
        <v>#REF!</v>
      </c>
      <c r="GQ124" t="e">
        <f>AND('GA55 Entry'!T392,"AAAAAG/9fsY=")</f>
        <v>#VALUE!</v>
      </c>
      <c r="GR124" t="e">
        <f>AND('GA55 Entry'!U392,"AAAAAG/9fsc=")</f>
        <v>#VALUE!</v>
      </c>
      <c r="GS124" t="e">
        <f>AND('GA55 Entry'!V392,"AAAAAG/9fsg=")</f>
        <v>#VALUE!</v>
      </c>
      <c r="GT124" t="e">
        <f>AND('GA55 Entry'!#REF!,"AAAAAG/9fsk=")</f>
        <v>#REF!</v>
      </c>
      <c r="GU124" t="e">
        <f>AND('GA55 Entry'!#REF!,"AAAAAG/9fso=")</f>
        <v>#REF!</v>
      </c>
      <c r="GV124" t="e">
        <f>AND('GA55 Entry'!X392,"AAAAAG/9fss=")</f>
        <v>#VALUE!</v>
      </c>
      <c r="GW124" t="e">
        <f>AND('GA55 Entry'!Y392,"AAAAAG/9fsw=")</f>
        <v>#VALUE!</v>
      </c>
      <c r="GX124" t="e">
        <f>AND('GA55 Entry'!#REF!,"AAAAAG/9fs0=")</f>
        <v>#REF!</v>
      </c>
      <c r="GY124" t="e">
        <f>AND('GA55 Entry'!#REF!,"AAAAAG/9fs4=")</f>
        <v>#REF!</v>
      </c>
      <c r="GZ124" t="e">
        <f>AND('GA55 Entry'!#REF!,"AAAAAG/9fs8=")</f>
        <v>#REF!</v>
      </c>
      <c r="HA124" t="e">
        <f>AND('GA55 Entry'!#REF!,"AAAAAG/9ftA=")</f>
        <v>#REF!</v>
      </c>
      <c r="HB124" t="e">
        <f>AND('GA55 Entry'!#REF!,"AAAAAG/9ftE=")</f>
        <v>#REF!</v>
      </c>
      <c r="HC124" t="e">
        <f>AND('GA55 Entry'!#REF!,"AAAAAG/9ftI=")</f>
        <v>#REF!</v>
      </c>
      <c r="HD124" t="e">
        <f>AND('GA55 Entry'!#REF!,"AAAAAG/9ftM=")</f>
        <v>#REF!</v>
      </c>
      <c r="HE124" t="e">
        <f>AND('GA55 Entry'!#REF!,"AAAAAG/9ftQ=")</f>
        <v>#REF!</v>
      </c>
      <c r="HF124" t="e">
        <f>AND('GA55 Entry'!#REF!,"AAAAAG/9ftU=")</f>
        <v>#REF!</v>
      </c>
      <c r="HG124" t="e">
        <f>AND('GA55 Entry'!Z392,"AAAAAG/9ftY=")</f>
        <v>#VALUE!</v>
      </c>
      <c r="HH124" t="e">
        <f>AND('GA55 Entry'!AA392,"AAAAAG/9ftc=")</f>
        <v>#VALUE!</v>
      </c>
      <c r="HI124" t="e">
        <f>AND('GA55 Entry'!#REF!,"AAAAAG/9ftg=")</f>
        <v>#REF!</v>
      </c>
      <c r="HJ124" t="e">
        <f>AND('GA55 Entry'!#REF!,"AAAAAG/9ftk=")</f>
        <v>#REF!</v>
      </c>
      <c r="HK124" t="e">
        <f>AND('GA55 Entry'!#REF!,"AAAAAG/9fto=")</f>
        <v>#REF!</v>
      </c>
      <c r="HL124" t="e">
        <f>AND('GA55 Entry'!AB392,"AAAAAG/9fts=")</f>
        <v>#VALUE!</v>
      </c>
      <c r="HM124" t="e">
        <f>AND('GA55 Entry'!AC392,"AAAAAG/9ftw=")</f>
        <v>#VALUE!</v>
      </c>
      <c r="HN124" t="e">
        <f>AND('GA55 Entry'!#REF!,"AAAAAG/9ft0=")</f>
        <v>#REF!</v>
      </c>
      <c r="HO124">
        <f>IF('GA55 Entry'!393:393,"AAAAAG/9ft4=",0)</f>
        <v>0</v>
      </c>
      <c r="HP124" t="e">
        <f>AND('GA55 Entry'!B393,"AAAAAG/9ft8=")</f>
        <v>#VALUE!</v>
      </c>
      <c r="HQ124" t="e">
        <f>AND('GA55 Entry'!#REF!,"AAAAAG/9fuA=")</f>
        <v>#REF!</v>
      </c>
      <c r="HR124" t="e">
        <f>AND('GA55 Entry'!C393,"AAAAAG/9fuE=")</f>
        <v>#VALUE!</v>
      </c>
      <c r="HS124" t="e">
        <f>AND('GA55 Entry'!#REF!,"AAAAAG/9fuI=")</f>
        <v>#REF!</v>
      </c>
      <c r="HT124" t="e">
        <f>AND('GA55 Entry'!#REF!,"AAAAAG/9fuM=")</f>
        <v>#REF!</v>
      </c>
      <c r="HU124" t="e">
        <f>AND('GA55 Entry'!#REF!,"AAAAAG/9fuQ=")</f>
        <v>#REF!</v>
      </c>
      <c r="HV124" t="e">
        <f>AND('GA55 Entry'!#REF!,"AAAAAG/9fuU=")</f>
        <v>#REF!</v>
      </c>
      <c r="HW124" t="e">
        <f>AND('GA55 Entry'!#REF!,"AAAAAG/9fuY=")</f>
        <v>#REF!</v>
      </c>
      <c r="HX124" t="e">
        <f>AND('GA55 Entry'!D393,"AAAAAG/9fuc=")</f>
        <v>#VALUE!</v>
      </c>
      <c r="HY124" t="e">
        <f>AND('GA55 Entry'!#REF!,"AAAAAG/9fug=")</f>
        <v>#REF!</v>
      </c>
      <c r="HZ124" t="e">
        <f>AND('GA55 Entry'!E393,"AAAAAG/9fuk=")</f>
        <v>#VALUE!</v>
      </c>
      <c r="IA124" t="e">
        <f>AND('GA55 Entry'!F393,"AAAAAG/9fuo=")</f>
        <v>#VALUE!</v>
      </c>
      <c r="IB124" t="e">
        <f>AND('GA55 Entry'!G393,"AAAAAG/9fus=")</f>
        <v>#VALUE!</v>
      </c>
      <c r="IC124" t="e">
        <f>AND('GA55 Entry'!H393,"AAAAAG/9fuw=")</f>
        <v>#VALUE!</v>
      </c>
      <c r="ID124" t="e">
        <f>AND('GA55 Entry'!I393,"AAAAAG/9fu0=")</f>
        <v>#VALUE!</v>
      </c>
      <c r="IE124" t="e">
        <f>AND('GA55 Entry'!J393,"AAAAAG/9fu4=")</f>
        <v>#VALUE!</v>
      </c>
      <c r="IF124" t="e">
        <f>AND('GA55 Entry'!#REF!,"AAAAAG/9fu8=")</f>
        <v>#REF!</v>
      </c>
      <c r="IG124" t="e">
        <f>AND('GA55 Entry'!K393,"AAAAAG/9fvA=")</f>
        <v>#VALUE!</v>
      </c>
      <c r="IH124" t="e">
        <f>AND('GA55 Entry'!L393,"AAAAAG/9fvE=")</f>
        <v>#VALUE!</v>
      </c>
      <c r="II124" t="e">
        <f>AND('GA55 Entry'!M393,"AAAAAG/9fvI=")</f>
        <v>#VALUE!</v>
      </c>
      <c r="IJ124" t="e">
        <f>AND('GA55 Entry'!N393,"AAAAAG/9fvM=")</f>
        <v>#VALUE!</v>
      </c>
      <c r="IK124" t="e">
        <f>AND('GA55 Entry'!O393,"AAAAAG/9fvQ=")</f>
        <v>#VALUE!</v>
      </c>
      <c r="IL124" t="e">
        <f>AND('GA55 Entry'!P393,"AAAAAG/9fvU=")</f>
        <v>#VALUE!</v>
      </c>
      <c r="IM124" t="e">
        <f>AND('GA55 Entry'!Q393,"AAAAAG/9fvY=")</f>
        <v>#VALUE!</v>
      </c>
      <c r="IN124" t="e">
        <f>AND('GA55 Entry'!S393,"AAAAAG/9fvc=")</f>
        <v>#VALUE!</v>
      </c>
      <c r="IO124" t="e">
        <f>AND('GA55 Entry'!#REF!,"AAAAAG/9fvg=")</f>
        <v>#REF!</v>
      </c>
      <c r="IP124" t="e">
        <f>AND('GA55 Entry'!T393,"AAAAAG/9fvk=")</f>
        <v>#VALUE!</v>
      </c>
      <c r="IQ124" t="e">
        <f>AND('GA55 Entry'!U393,"AAAAAG/9fvo=")</f>
        <v>#VALUE!</v>
      </c>
      <c r="IR124" t="e">
        <f>AND('GA55 Entry'!V393,"AAAAAG/9fvs=")</f>
        <v>#VALUE!</v>
      </c>
      <c r="IS124" t="e">
        <f>AND('GA55 Entry'!#REF!,"AAAAAG/9fvw=")</f>
        <v>#REF!</v>
      </c>
      <c r="IT124" t="e">
        <f>AND('GA55 Entry'!#REF!,"AAAAAG/9fv0=")</f>
        <v>#REF!</v>
      </c>
      <c r="IU124" t="e">
        <f>AND('GA55 Entry'!X393,"AAAAAG/9fv4=")</f>
        <v>#VALUE!</v>
      </c>
      <c r="IV124" t="e">
        <f>AND('GA55 Entry'!Y393,"AAAAAG/9fv8=")</f>
        <v>#VALUE!</v>
      </c>
    </row>
    <row r="125" spans="1:256">
      <c r="A125" t="e">
        <f>AND('GA55 Entry'!#REF!,"AAAAAG1v4wA=")</f>
        <v>#REF!</v>
      </c>
      <c r="B125" t="e">
        <f>AND('GA55 Entry'!#REF!,"AAAAAG1v4wE=")</f>
        <v>#REF!</v>
      </c>
      <c r="C125" t="e">
        <f>AND('GA55 Entry'!#REF!,"AAAAAG1v4wI=")</f>
        <v>#REF!</v>
      </c>
      <c r="D125" t="e">
        <f>AND('GA55 Entry'!#REF!,"AAAAAG1v4wM=")</f>
        <v>#REF!</v>
      </c>
      <c r="E125" t="e">
        <f>AND('GA55 Entry'!#REF!,"AAAAAG1v4wQ=")</f>
        <v>#REF!</v>
      </c>
      <c r="F125" t="e">
        <f>AND('GA55 Entry'!#REF!,"AAAAAG1v4wU=")</f>
        <v>#REF!</v>
      </c>
      <c r="G125" t="e">
        <f>AND('GA55 Entry'!#REF!,"AAAAAG1v4wY=")</f>
        <v>#REF!</v>
      </c>
      <c r="H125" t="e">
        <f>AND('GA55 Entry'!#REF!,"AAAAAG1v4wc=")</f>
        <v>#REF!</v>
      </c>
      <c r="I125" t="e">
        <f>AND('GA55 Entry'!#REF!,"AAAAAG1v4wg=")</f>
        <v>#REF!</v>
      </c>
      <c r="J125" t="e">
        <f>AND('GA55 Entry'!Z393,"AAAAAG1v4wk=")</f>
        <v>#VALUE!</v>
      </c>
      <c r="K125" t="e">
        <f>AND('GA55 Entry'!AA393,"AAAAAG1v4wo=")</f>
        <v>#VALUE!</v>
      </c>
      <c r="L125" t="e">
        <f>AND('GA55 Entry'!#REF!,"AAAAAG1v4ws=")</f>
        <v>#REF!</v>
      </c>
      <c r="M125" t="e">
        <f>AND('GA55 Entry'!#REF!,"AAAAAG1v4ww=")</f>
        <v>#REF!</v>
      </c>
      <c r="N125" t="e">
        <f>AND('GA55 Entry'!#REF!,"AAAAAG1v4w0=")</f>
        <v>#REF!</v>
      </c>
      <c r="O125" t="e">
        <f>AND('GA55 Entry'!AB393,"AAAAAG1v4w4=")</f>
        <v>#VALUE!</v>
      </c>
      <c r="P125" t="e">
        <f>AND('GA55 Entry'!AC393,"AAAAAG1v4w8=")</f>
        <v>#VALUE!</v>
      </c>
      <c r="Q125" t="e">
        <f>AND('GA55 Entry'!#REF!,"AAAAAG1v4xA=")</f>
        <v>#REF!</v>
      </c>
      <c r="R125">
        <f>IF('GA55 Entry'!394:394,"AAAAAG1v4xE=",0)</f>
        <v>0</v>
      </c>
      <c r="S125" t="e">
        <f>AND('GA55 Entry'!B394,"AAAAAG1v4xI=")</f>
        <v>#VALUE!</v>
      </c>
      <c r="T125" t="e">
        <f>AND('GA55 Entry'!#REF!,"AAAAAG1v4xM=")</f>
        <v>#REF!</v>
      </c>
      <c r="U125" t="e">
        <f>AND('GA55 Entry'!C394,"AAAAAG1v4xQ=")</f>
        <v>#VALUE!</v>
      </c>
      <c r="V125" t="e">
        <f>AND('GA55 Entry'!#REF!,"AAAAAG1v4xU=")</f>
        <v>#REF!</v>
      </c>
      <c r="W125" t="e">
        <f>AND('GA55 Entry'!#REF!,"AAAAAG1v4xY=")</f>
        <v>#REF!</v>
      </c>
      <c r="X125" t="e">
        <f>AND('GA55 Entry'!#REF!,"AAAAAG1v4xc=")</f>
        <v>#REF!</v>
      </c>
      <c r="Y125" t="e">
        <f>AND('GA55 Entry'!#REF!,"AAAAAG1v4xg=")</f>
        <v>#REF!</v>
      </c>
      <c r="Z125" t="e">
        <f>AND('GA55 Entry'!#REF!,"AAAAAG1v4xk=")</f>
        <v>#REF!</v>
      </c>
      <c r="AA125" t="e">
        <f>AND('GA55 Entry'!D394,"AAAAAG1v4xo=")</f>
        <v>#VALUE!</v>
      </c>
      <c r="AB125" t="e">
        <f>AND('GA55 Entry'!#REF!,"AAAAAG1v4xs=")</f>
        <v>#REF!</v>
      </c>
      <c r="AC125" t="e">
        <f>AND('GA55 Entry'!E394,"AAAAAG1v4xw=")</f>
        <v>#VALUE!</v>
      </c>
      <c r="AD125" t="e">
        <f>AND('GA55 Entry'!F394,"AAAAAG1v4x0=")</f>
        <v>#VALUE!</v>
      </c>
      <c r="AE125" t="e">
        <f>AND('GA55 Entry'!G394,"AAAAAG1v4x4=")</f>
        <v>#VALUE!</v>
      </c>
      <c r="AF125" t="e">
        <f>AND('GA55 Entry'!H394,"AAAAAG1v4x8=")</f>
        <v>#VALUE!</v>
      </c>
      <c r="AG125" t="e">
        <f>AND('GA55 Entry'!I394,"AAAAAG1v4yA=")</f>
        <v>#VALUE!</v>
      </c>
      <c r="AH125" t="e">
        <f>AND('GA55 Entry'!J394,"AAAAAG1v4yE=")</f>
        <v>#VALUE!</v>
      </c>
      <c r="AI125" t="e">
        <f>AND('GA55 Entry'!#REF!,"AAAAAG1v4yI=")</f>
        <v>#REF!</v>
      </c>
      <c r="AJ125" t="e">
        <f>AND('GA55 Entry'!K394,"AAAAAG1v4yM=")</f>
        <v>#VALUE!</v>
      </c>
      <c r="AK125" t="e">
        <f>AND('GA55 Entry'!L394,"AAAAAG1v4yQ=")</f>
        <v>#VALUE!</v>
      </c>
      <c r="AL125" t="e">
        <f>AND('GA55 Entry'!M394,"AAAAAG1v4yU=")</f>
        <v>#VALUE!</v>
      </c>
      <c r="AM125" t="e">
        <f>AND('GA55 Entry'!N394,"AAAAAG1v4yY=")</f>
        <v>#VALUE!</v>
      </c>
      <c r="AN125" t="e">
        <f>AND('GA55 Entry'!O394,"AAAAAG1v4yc=")</f>
        <v>#VALUE!</v>
      </c>
      <c r="AO125" t="e">
        <f>AND('GA55 Entry'!P394,"AAAAAG1v4yg=")</f>
        <v>#VALUE!</v>
      </c>
      <c r="AP125" t="e">
        <f>AND('GA55 Entry'!Q394,"AAAAAG1v4yk=")</f>
        <v>#VALUE!</v>
      </c>
      <c r="AQ125" t="e">
        <f>AND('GA55 Entry'!S394,"AAAAAG1v4yo=")</f>
        <v>#VALUE!</v>
      </c>
      <c r="AR125" t="e">
        <f>AND('GA55 Entry'!#REF!,"AAAAAG1v4ys=")</f>
        <v>#REF!</v>
      </c>
      <c r="AS125" t="e">
        <f>AND('GA55 Entry'!T394,"AAAAAG1v4yw=")</f>
        <v>#VALUE!</v>
      </c>
      <c r="AT125" t="e">
        <f>AND('GA55 Entry'!U394,"AAAAAG1v4y0=")</f>
        <v>#VALUE!</v>
      </c>
      <c r="AU125" t="e">
        <f>AND('GA55 Entry'!V394,"AAAAAG1v4y4=")</f>
        <v>#VALUE!</v>
      </c>
      <c r="AV125" t="e">
        <f>AND('GA55 Entry'!#REF!,"AAAAAG1v4y8=")</f>
        <v>#REF!</v>
      </c>
      <c r="AW125" t="e">
        <f>AND('GA55 Entry'!#REF!,"AAAAAG1v4zA=")</f>
        <v>#REF!</v>
      </c>
      <c r="AX125" t="e">
        <f>AND('GA55 Entry'!X394,"AAAAAG1v4zE=")</f>
        <v>#VALUE!</v>
      </c>
      <c r="AY125" t="e">
        <f>AND('GA55 Entry'!Y394,"AAAAAG1v4zI=")</f>
        <v>#VALUE!</v>
      </c>
      <c r="AZ125" t="e">
        <f>AND('GA55 Entry'!#REF!,"AAAAAG1v4zM=")</f>
        <v>#REF!</v>
      </c>
      <c r="BA125" t="e">
        <f>AND('GA55 Entry'!#REF!,"AAAAAG1v4zQ=")</f>
        <v>#REF!</v>
      </c>
      <c r="BB125" t="e">
        <f>AND('GA55 Entry'!#REF!,"AAAAAG1v4zU=")</f>
        <v>#REF!</v>
      </c>
      <c r="BC125" t="e">
        <f>AND('GA55 Entry'!#REF!,"AAAAAG1v4zY=")</f>
        <v>#REF!</v>
      </c>
      <c r="BD125" t="e">
        <f>AND('GA55 Entry'!#REF!,"AAAAAG1v4zc=")</f>
        <v>#REF!</v>
      </c>
      <c r="BE125" t="e">
        <f>AND('GA55 Entry'!#REF!,"AAAAAG1v4zg=")</f>
        <v>#REF!</v>
      </c>
      <c r="BF125" t="e">
        <f>AND('GA55 Entry'!#REF!,"AAAAAG1v4zk=")</f>
        <v>#REF!</v>
      </c>
      <c r="BG125" t="e">
        <f>AND('GA55 Entry'!#REF!,"AAAAAG1v4zo=")</f>
        <v>#REF!</v>
      </c>
      <c r="BH125" t="e">
        <f>AND('GA55 Entry'!#REF!,"AAAAAG1v4zs=")</f>
        <v>#REF!</v>
      </c>
      <c r="BI125" t="e">
        <f>AND('GA55 Entry'!Z394,"AAAAAG1v4zw=")</f>
        <v>#VALUE!</v>
      </c>
      <c r="BJ125" t="e">
        <f>AND('GA55 Entry'!AA394,"AAAAAG1v4z0=")</f>
        <v>#VALUE!</v>
      </c>
      <c r="BK125" t="e">
        <f>AND('GA55 Entry'!#REF!,"AAAAAG1v4z4=")</f>
        <v>#REF!</v>
      </c>
      <c r="BL125" t="e">
        <f>AND('GA55 Entry'!#REF!,"AAAAAG1v4z8=")</f>
        <v>#REF!</v>
      </c>
      <c r="BM125" t="e">
        <f>AND('GA55 Entry'!#REF!,"AAAAAG1v40A=")</f>
        <v>#REF!</v>
      </c>
      <c r="BN125" t="e">
        <f>AND('GA55 Entry'!AB394,"AAAAAG1v40E=")</f>
        <v>#VALUE!</v>
      </c>
      <c r="BO125" t="e">
        <f>AND('GA55 Entry'!AC394,"AAAAAG1v40I=")</f>
        <v>#VALUE!</v>
      </c>
      <c r="BP125" t="e">
        <f>AND('GA55 Entry'!#REF!,"AAAAAG1v40M=")</f>
        <v>#REF!</v>
      </c>
      <c r="BQ125">
        <f>IF('GA55 Entry'!395:395,"AAAAAG1v40Q=",0)</f>
        <v>0</v>
      </c>
      <c r="BR125" t="e">
        <f>AND('GA55 Entry'!B395,"AAAAAG1v40U=")</f>
        <v>#VALUE!</v>
      </c>
      <c r="BS125" t="e">
        <f>AND('GA55 Entry'!#REF!,"AAAAAG1v40Y=")</f>
        <v>#REF!</v>
      </c>
      <c r="BT125" t="e">
        <f>AND('GA55 Entry'!C395,"AAAAAG1v40c=")</f>
        <v>#VALUE!</v>
      </c>
      <c r="BU125" t="e">
        <f>AND('GA55 Entry'!#REF!,"AAAAAG1v40g=")</f>
        <v>#REF!</v>
      </c>
      <c r="BV125" t="e">
        <f>AND('GA55 Entry'!#REF!,"AAAAAG1v40k=")</f>
        <v>#REF!</v>
      </c>
      <c r="BW125" t="e">
        <f>AND('GA55 Entry'!#REF!,"AAAAAG1v40o=")</f>
        <v>#REF!</v>
      </c>
      <c r="BX125" t="e">
        <f>AND('GA55 Entry'!#REF!,"AAAAAG1v40s=")</f>
        <v>#REF!</v>
      </c>
      <c r="BY125" t="e">
        <f>AND('GA55 Entry'!#REF!,"AAAAAG1v40w=")</f>
        <v>#REF!</v>
      </c>
      <c r="BZ125" t="e">
        <f>AND('GA55 Entry'!D395,"AAAAAG1v400=")</f>
        <v>#VALUE!</v>
      </c>
      <c r="CA125" t="e">
        <f>AND('GA55 Entry'!#REF!,"AAAAAG1v404=")</f>
        <v>#REF!</v>
      </c>
      <c r="CB125" t="e">
        <f>AND('GA55 Entry'!E395,"AAAAAG1v408=")</f>
        <v>#VALUE!</v>
      </c>
      <c r="CC125" t="e">
        <f>AND('GA55 Entry'!F395,"AAAAAG1v41A=")</f>
        <v>#VALUE!</v>
      </c>
      <c r="CD125" t="e">
        <f>AND('GA55 Entry'!G395,"AAAAAG1v41E=")</f>
        <v>#VALUE!</v>
      </c>
      <c r="CE125" t="e">
        <f>AND('GA55 Entry'!H395,"AAAAAG1v41I=")</f>
        <v>#VALUE!</v>
      </c>
      <c r="CF125" t="e">
        <f>AND('GA55 Entry'!I395,"AAAAAG1v41M=")</f>
        <v>#VALUE!</v>
      </c>
      <c r="CG125" t="e">
        <f>AND('GA55 Entry'!J395,"AAAAAG1v41Q=")</f>
        <v>#VALUE!</v>
      </c>
      <c r="CH125" t="e">
        <f>AND('GA55 Entry'!#REF!,"AAAAAG1v41U=")</f>
        <v>#REF!</v>
      </c>
      <c r="CI125" t="e">
        <f>AND('GA55 Entry'!K395,"AAAAAG1v41Y=")</f>
        <v>#VALUE!</v>
      </c>
      <c r="CJ125" t="e">
        <f>AND('GA55 Entry'!L395,"AAAAAG1v41c=")</f>
        <v>#VALUE!</v>
      </c>
      <c r="CK125" t="e">
        <f>AND('GA55 Entry'!M395,"AAAAAG1v41g=")</f>
        <v>#VALUE!</v>
      </c>
      <c r="CL125" t="e">
        <f>AND('GA55 Entry'!N395,"AAAAAG1v41k=")</f>
        <v>#VALUE!</v>
      </c>
      <c r="CM125" t="e">
        <f>AND('GA55 Entry'!O395,"AAAAAG1v41o=")</f>
        <v>#VALUE!</v>
      </c>
      <c r="CN125" t="e">
        <f>AND('GA55 Entry'!P395,"AAAAAG1v41s=")</f>
        <v>#VALUE!</v>
      </c>
      <c r="CO125" t="e">
        <f>AND('GA55 Entry'!Q395,"AAAAAG1v41w=")</f>
        <v>#VALUE!</v>
      </c>
      <c r="CP125" t="e">
        <f>AND('GA55 Entry'!S395,"AAAAAG1v410=")</f>
        <v>#VALUE!</v>
      </c>
      <c r="CQ125" t="e">
        <f>AND('GA55 Entry'!#REF!,"AAAAAG1v414=")</f>
        <v>#REF!</v>
      </c>
      <c r="CR125" t="e">
        <f>AND('GA55 Entry'!T395,"AAAAAG1v418=")</f>
        <v>#VALUE!</v>
      </c>
      <c r="CS125" t="e">
        <f>AND('GA55 Entry'!U395,"AAAAAG1v42A=")</f>
        <v>#VALUE!</v>
      </c>
      <c r="CT125" t="e">
        <f>AND('GA55 Entry'!V395,"AAAAAG1v42E=")</f>
        <v>#VALUE!</v>
      </c>
      <c r="CU125" t="e">
        <f>AND('GA55 Entry'!#REF!,"AAAAAG1v42I=")</f>
        <v>#REF!</v>
      </c>
      <c r="CV125" t="e">
        <f>AND('GA55 Entry'!#REF!,"AAAAAG1v42M=")</f>
        <v>#REF!</v>
      </c>
      <c r="CW125" t="e">
        <f>AND('GA55 Entry'!X395,"AAAAAG1v42Q=")</f>
        <v>#VALUE!</v>
      </c>
      <c r="CX125" t="e">
        <f>AND('GA55 Entry'!Y395,"AAAAAG1v42U=")</f>
        <v>#VALUE!</v>
      </c>
      <c r="CY125" t="e">
        <f>AND('GA55 Entry'!#REF!,"AAAAAG1v42Y=")</f>
        <v>#REF!</v>
      </c>
      <c r="CZ125" t="e">
        <f>AND('GA55 Entry'!#REF!,"AAAAAG1v42c=")</f>
        <v>#REF!</v>
      </c>
      <c r="DA125" t="e">
        <f>AND('GA55 Entry'!#REF!,"AAAAAG1v42g=")</f>
        <v>#REF!</v>
      </c>
      <c r="DB125" t="e">
        <f>AND('GA55 Entry'!#REF!,"AAAAAG1v42k=")</f>
        <v>#REF!</v>
      </c>
      <c r="DC125" t="e">
        <f>AND('GA55 Entry'!#REF!,"AAAAAG1v42o=")</f>
        <v>#REF!</v>
      </c>
      <c r="DD125" t="e">
        <f>AND('GA55 Entry'!#REF!,"AAAAAG1v42s=")</f>
        <v>#REF!</v>
      </c>
      <c r="DE125" t="e">
        <f>AND('GA55 Entry'!#REF!,"AAAAAG1v42w=")</f>
        <v>#REF!</v>
      </c>
      <c r="DF125" t="e">
        <f>AND('GA55 Entry'!#REF!,"AAAAAG1v420=")</f>
        <v>#REF!</v>
      </c>
      <c r="DG125" t="e">
        <f>AND('GA55 Entry'!#REF!,"AAAAAG1v424=")</f>
        <v>#REF!</v>
      </c>
      <c r="DH125" t="e">
        <f>AND('GA55 Entry'!Z395,"AAAAAG1v428=")</f>
        <v>#VALUE!</v>
      </c>
      <c r="DI125" t="e">
        <f>AND('GA55 Entry'!AA395,"AAAAAG1v43A=")</f>
        <v>#VALUE!</v>
      </c>
      <c r="DJ125" t="e">
        <f>AND('GA55 Entry'!#REF!,"AAAAAG1v43E=")</f>
        <v>#REF!</v>
      </c>
      <c r="DK125" t="e">
        <f>AND('GA55 Entry'!#REF!,"AAAAAG1v43I=")</f>
        <v>#REF!</v>
      </c>
      <c r="DL125" t="e">
        <f>AND('GA55 Entry'!#REF!,"AAAAAG1v43M=")</f>
        <v>#REF!</v>
      </c>
      <c r="DM125" t="e">
        <f>AND('GA55 Entry'!AB395,"AAAAAG1v43Q=")</f>
        <v>#VALUE!</v>
      </c>
      <c r="DN125" t="e">
        <f>AND('GA55 Entry'!AC395,"AAAAAG1v43U=")</f>
        <v>#VALUE!</v>
      </c>
      <c r="DO125" t="e">
        <f>AND('GA55 Entry'!#REF!,"AAAAAG1v43Y=")</f>
        <v>#REF!</v>
      </c>
      <c r="DP125">
        <f>IF('GA55 Entry'!396:396,"AAAAAG1v43c=",0)</f>
        <v>0</v>
      </c>
      <c r="DQ125" t="e">
        <f>AND('GA55 Entry'!B396,"AAAAAG1v43g=")</f>
        <v>#VALUE!</v>
      </c>
      <c r="DR125" t="e">
        <f>AND('GA55 Entry'!#REF!,"AAAAAG1v43k=")</f>
        <v>#REF!</v>
      </c>
      <c r="DS125" t="e">
        <f>AND('GA55 Entry'!C396,"AAAAAG1v43o=")</f>
        <v>#VALUE!</v>
      </c>
      <c r="DT125" t="e">
        <f>AND('GA55 Entry'!#REF!,"AAAAAG1v43s=")</f>
        <v>#REF!</v>
      </c>
      <c r="DU125" t="e">
        <f>AND('GA55 Entry'!#REF!,"AAAAAG1v43w=")</f>
        <v>#REF!</v>
      </c>
      <c r="DV125" t="e">
        <f>AND('GA55 Entry'!#REF!,"AAAAAG1v430=")</f>
        <v>#REF!</v>
      </c>
      <c r="DW125" t="e">
        <f>AND('GA55 Entry'!#REF!,"AAAAAG1v434=")</f>
        <v>#REF!</v>
      </c>
      <c r="DX125" t="e">
        <f>AND('GA55 Entry'!#REF!,"AAAAAG1v438=")</f>
        <v>#REF!</v>
      </c>
      <c r="DY125" t="e">
        <f>AND('GA55 Entry'!D396,"AAAAAG1v44A=")</f>
        <v>#VALUE!</v>
      </c>
      <c r="DZ125" t="e">
        <f>AND('GA55 Entry'!#REF!,"AAAAAG1v44E=")</f>
        <v>#REF!</v>
      </c>
      <c r="EA125" t="e">
        <f>AND('GA55 Entry'!E396,"AAAAAG1v44I=")</f>
        <v>#VALUE!</v>
      </c>
      <c r="EB125" t="e">
        <f>AND('GA55 Entry'!F396,"AAAAAG1v44M=")</f>
        <v>#VALUE!</v>
      </c>
      <c r="EC125" t="e">
        <f>AND('GA55 Entry'!G396,"AAAAAG1v44Q=")</f>
        <v>#VALUE!</v>
      </c>
      <c r="ED125" t="e">
        <f>AND('GA55 Entry'!H396,"AAAAAG1v44U=")</f>
        <v>#VALUE!</v>
      </c>
      <c r="EE125" t="e">
        <f>AND('GA55 Entry'!I396,"AAAAAG1v44Y=")</f>
        <v>#VALUE!</v>
      </c>
      <c r="EF125" t="e">
        <f>AND('GA55 Entry'!J396,"AAAAAG1v44c=")</f>
        <v>#VALUE!</v>
      </c>
      <c r="EG125" t="e">
        <f>AND('GA55 Entry'!#REF!,"AAAAAG1v44g=")</f>
        <v>#REF!</v>
      </c>
      <c r="EH125" t="e">
        <f>AND('GA55 Entry'!K396,"AAAAAG1v44k=")</f>
        <v>#VALUE!</v>
      </c>
      <c r="EI125" t="e">
        <f>AND('GA55 Entry'!L396,"AAAAAG1v44o=")</f>
        <v>#VALUE!</v>
      </c>
      <c r="EJ125" t="e">
        <f>AND('GA55 Entry'!M396,"AAAAAG1v44s=")</f>
        <v>#VALUE!</v>
      </c>
      <c r="EK125" t="e">
        <f>AND('GA55 Entry'!N396,"AAAAAG1v44w=")</f>
        <v>#VALUE!</v>
      </c>
      <c r="EL125" t="e">
        <f>AND('GA55 Entry'!O396,"AAAAAG1v440=")</f>
        <v>#VALUE!</v>
      </c>
      <c r="EM125" t="e">
        <f>AND('GA55 Entry'!P396,"AAAAAG1v444=")</f>
        <v>#VALUE!</v>
      </c>
      <c r="EN125" t="e">
        <f>AND('GA55 Entry'!Q396,"AAAAAG1v448=")</f>
        <v>#VALUE!</v>
      </c>
      <c r="EO125" t="e">
        <f>AND('GA55 Entry'!S396,"AAAAAG1v45A=")</f>
        <v>#VALUE!</v>
      </c>
      <c r="EP125" t="e">
        <f>AND('GA55 Entry'!#REF!,"AAAAAG1v45E=")</f>
        <v>#REF!</v>
      </c>
      <c r="EQ125" t="e">
        <f>AND('GA55 Entry'!T396,"AAAAAG1v45I=")</f>
        <v>#VALUE!</v>
      </c>
      <c r="ER125" t="e">
        <f>AND('GA55 Entry'!U396,"AAAAAG1v45M=")</f>
        <v>#VALUE!</v>
      </c>
      <c r="ES125" t="e">
        <f>AND('GA55 Entry'!V396,"AAAAAG1v45Q=")</f>
        <v>#VALUE!</v>
      </c>
      <c r="ET125" t="e">
        <f>AND('GA55 Entry'!#REF!,"AAAAAG1v45U=")</f>
        <v>#REF!</v>
      </c>
      <c r="EU125" t="e">
        <f>AND('GA55 Entry'!#REF!,"AAAAAG1v45Y=")</f>
        <v>#REF!</v>
      </c>
      <c r="EV125" t="e">
        <f>AND('GA55 Entry'!X396,"AAAAAG1v45c=")</f>
        <v>#VALUE!</v>
      </c>
      <c r="EW125" t="e">
        <f>AND('GA55 Entry'!Y396,"AAAAAG1v45g=")</f>
        <v>#VALUE!</v>
      </c>
      <c r="EX125" t="e">
        <f>AND('GA55 Entry'!#REF!,"AAAAAG1v45k=")</f>
        <v>#REF!</v>
      </c>
      <c r="EY125" t="e">
        <f>AND('GA55 Entry'!#REF!,"AAAAAG1v45o=")</f>
        <v>#REF!</v>
      </c>
      <c r="EZ125" t="e">
        <f>AND('GA55 Entry'!#REF!,"AAAAAG1v45s=")</f>
        <v>#REF!</v>
      </c>
      <c r="FA125" t="e">
        <f>AND('GA55 Entry'!#REF!,"AAAAAG1v45w=")</f>
        <v>#REF!</v>
      </c>
      <c r="FB125" t="e">
        <f>AND('GA55 Entry'!#REF!,"AAAAAG1v450=")</f>
        <v>#REF!</v>
      </c>
      <c r="FC125" t="e">
        <f>AND('GA55 Entry'!#REF!,"AAAAAG1v454=")</f>
        <v>#REF!</v>
      </c>
      <c r="FD125" t="e">
        <f>AND('GA55 Entry'!#REF!,"AAAAAG1v458=")</f>
        <v>#REF!</v>
      </c>
      <c r="FE125" t="e">
        <f>AND('GA55 Entry'!#REF!,"AAAAAG1v46A=")</f>
        <v>#REF!</v>
      </c>
      <c r="FF125" t="e">
        <f>AND('GA55 Entry'!#REF!,"AAAAAG1v46E=")</f>
        <v>#REF!</v>
      </c>
      <c r="FG125" t="e">
        <f>AND('GA55 Entry'!Z396,"AAAAAG1v46I=")</f>
        <v>#VALUE!</v>
      </c>
      <c r="FH125" t="e">
        <f>AND('GA55 Entry'!AA396,"AAAAAG1v46M=")</f>
        <v>#VALUE!</v>
      </c>
      <c r="FI125" t="e">
        <f>AND('GA55 Entry'!#REF!,"AAAAAG1v46Q=")</f>
        <v>#REF!</v>
      </c>
      <c r="FJ125" t="e">
        <f>AND('GA55 Entry'!#REF!,"AAAAAG1v46U=")</f>
        <v>#REF!</v>
      </c>
      <c r="FK125" t="e">
        <f>AND('GA55 Entry'!#REF!,"AAAAAG1v46Y=")</f>
        <v>#REF!</v>
      </c>
      <c r="FL125" t="e">
        <f>AND('GA55 Entry'!AB396,"AAAAAG1v46c=")</f>
        <v>#VALUE!</v>
      </c>
      <c r="FM125" t="e">
        <f>AND('GA55 Entry'!AC396,"AAAAAG1v46g=")</f>
        <v>#VALUE!</v>
      </c>
      <c r="FN125" t="e">
        <f>AND('GA55 Entry'!#REF!,"AAAAAG1v46k=")</f>
        <v>#REF!</v>
      </c>
      <c r="FO125">
        <f>IF('GA55 Entry'!397:397,"AAAAAG1v46o=",0)</f>
        <v>0</v>
      </c>
      <c r="FP125" t="e">
        <f>AND('GA55 Entry'!B397,"AAAAAG1v46s=")</f>
        <v>#VALUE!</v>
      </c>
      <c r="FQ125" t="e">
        <f>AND('GA55 Entry'!#REF!,"AAAAAG1v46w=")</f>
        <v>#REF!</v>
      </c>
      <c r="FR125" t="e">
        <f>AND('GA55 Entry'!C397,"AAAAAG1v460=")</f>
        <v>#VALUE!</v>
      </c>
      <c r="FS125" t="e">
        <f>AND('GA55 Entry'!#REF!,"AAAAAG1v464=")</f>
        <v>#REF!</v>
      </c>
      <c r="FT125" t="e">
        <f>AND('GA55 Entry'!#REF!,"AAAAAG1v468=")</f>
        <v>#REF!</v>
      </c>
      <c r="FU125" t="e">
        <f>AND('GA55 Entry'!#REF!,"AAAAAG1v47A=")</f>
        <v>#REF!</v>
      </c>
      <c r="FV125" t="e">
        <f>AND('GA55 Entry'!#REF!,"AAAAAG1v47E=")</f>
        <v>#REF!</v>
      </c>
      <c r="FW125" t="e">
        <f>AND('GA55 Entry'!#REF!,"AAAAAG1v47I=")</f>
        <v>#REF!</v>
      </c>
      <c r="FX125" t="e">
        <f>AND('GA55 Entry'!D397,"AAAAAG1v47M=")</f>
        <v>#VALUE!</v>
      </c>
      <c r="FY125" t="e">
        <f>AND('GA55 Entry'!#REF!,"AAAAAG1v47Q=")</f>
        <v>#REF!</v>
      </c>
      <c r="FZ125" t="e">
        <f>AND('GA55 Entry'!E397,"AAAAAG1v47U=")</f>
        <v>#VALUE!</v>
      </c>
      <c r="GA125" t="e">
        <f>AND('GA55 Entry'!F397,"AAAAAG1v47Y=")</f>
        <v>#VALUE!</v>
      </c>
      <c r="GB125" t="e">
        <f>AND('GA55 Entry'!G397,"AAAAAG1v47c=")</f>
        <v>#VALUE!</v>
      </c>
      <c r="GC125" t="e">
        <f>AND('GA55 Entry'!H397,"AAAAAG1v47g=")</f>
        <v>#VALUE!</v>
      </c>
      <c r="GD125" t="e">
        <f>AND('GA55 Entry'!I397,"AAAAAG1v47k=")</f>
        <v>#VALUE!</v>
      </c>
      <c r="GE125" t="e">
        <f>AND('GA55 Entry'!J397,"AAAAAG1v47o=")</f>
        <v>#VALUE!</v>
      </c>
      <c r="GF125" t="e">
        <f>AND('GA55 Entry'!#REF!,"AAAAAG1v47s=")</f>
        <v>#REF!</v>
      </c>
      <c r="GG125" t="e">
        <f>AND('GA55 Entry'!K397,"AAAAAG1v47w=")</f>
        <v>#VALUE!</v>
      </c>
      <c r="GH125" t="e">
        <f>AND('GA55 Entry'!L397,"AAAAAG1v470=")</f>
        <v>#VALUE!</v>
      </c>
      <c r="GI125" t="e">
        <f>AND('GA55 Entry'!M397,"AAAAAG1v474=")</f>
        <v>#VALUE!</v>
      </c>
      <c r="GJ125" t="e">
        <f>AND('GA55 Entry'!N397,"AAAAAG1v478=")</f>
        <v>#VALUE!</v>
      </c>
      <c r="GK125" t="e">
        <f>AND('GA55 Entry'!O397,"AAAAAG1v48A=")</f>
        <v>#VALUE!</v>
      </c>
      <c r="GL125" t="e">
        <f>AND('GA55 Entry'!P397,"AAAAAG1v48E=")</f>
        <v>#VALUE!</v>
      </c>
      <c r="GM125" t="e">
        <f>AND('GA55 Entry'!Q397,"AAAAAG1v48I=")</f>
        <v>#VALUE!</v>
      </c>
      <c r="GN125" t="e">
        <f>AND('GA55 Entry'!S397,"AAAAAG1v48M=")</f>
        <v>#VALUE!</v>
      </c>
      <c r="GO125" t="e">
        <f>AND('GA55 Entry'!#REF!,"AAAAAG1v48Q=")</f>
        <v>#REF!</v>
      </c>
      <c r="GP125" t="e">
        <f>AND('GA55 Entry'!T397,"AAAAAG1v48U=")</f>
        <v>#VALUE!</v>
      </c>
      <c r="GQ125" t="e">
        <f>AND('GA55 Entry'!U397,"AAAAAG1v48Y=")</f>
        <v>#VALUE!</v>
      </c>
      <c r="GR125" t="e">
        <f>AND('GA55 Entry'!V397,"AAAAAG1v48c=")</f>
        <v>#VALUE!</v>
      </c>
      <c r="GS125" t="e">
        <f>AND('GA55 Entry'!#REF!,"AAAAAG1v48g=")</f>
        <v>#REF!</v>
      </c>
      <c r="GT125" t="e">
        <f>AND('GA55 Entry'!#REF!,"AAAAAG1v48k=")</f>
        <v>#REF!</v>
      </c>
      <c r="GU125" t="e">
        <f>AND('GA55 Entry'!X397,"AAAAAG1v48o=")</f>
        <v>#VALUE!</v>
      </c>
      <c r="GV125" t="e">
        <f>AND('GA55 Entry'!Y397,"AAAAAG1v48s=")</f>
        <v>#VALUE!</v>
      </c>
      <c r="GW125" t="e">
        <f>AND('GA55 Entry'!#REF!,"AAAAAG1v48w=")</f>
        <v>#REF!</v>
      </c>
      <c r="GX125" t="e">
        <f>AND('GA55 Entry'!#REF!,"AAAAAG1v480=")</f>
        <v>#REF!</v>
      </c>
      <c r="GY125" t="e">
        <f>AND('GA55 Entry'!#REF!,"AAAAAG1v484=")</f>
        <v>#REF!</v>
      </c>
      <c r="GZ125" t="e">
        <f>AND('GA55 Entry'!#REF!,"AAAAAG1v488=")</f>
        <v>#REF!</v>
      </c>
      <c r="HA125" t="e">
        <f>AND('GA55 Entry'!#REF!,"AAAAAG1v49A=")</f>
        <v>#REF!</v>
      </c>
      <c r="HB125" t="e">
        <f>AND('GA55 Entry'!#REF!,"AAAAAG1v49E=")</f>
        <v>#REF!</v>
      </c>
      <c r="HC125" t="e">
        <f>AND('GA55 Entry'!#REF!,"AAAAAG1v49I=")</f>
        <v>#REF!</v>
      </c>
      <c r="HD125" t="e">
        <f>AND('GA55 Entry'!#REF!,"AAAAAG1v49M=")</f>
        <v>#REF!</v>
      </c>
      <c r="HE125" t="e">
        <f>AND('GA55 Entry'!#REF!,"AAAAAG1v49Q=")</f>
        <v>#REF!</v>
      </c>
      <c r="HF125" t="e">
        <f>AND('GA55 Entry'!Z397,"AAAAAG1v49U=")</f>
        <v>#VALUE!</v>
      </c>
      <c r="HG125" t="e">
        <f>AND('GA55 Entry'!AA397,"AAAAAG1v49Y=")</f>
        <v>#VALUE!</v>
      </c>
      <c r="HH125" t="e">
        <f>AND('GA55 Entry'!#REF!,"AAAAAG1v49c=")</f>
        <v>#REF!</v>
      </c>
      <c r="HI125" t="e">
        <f>AND('GA55 Entry'!#REF!,"AAAAAG1v49g=")</f>
        <v>#REF!</v>
      </c>
      <c r="HJ125" t="e">
        <f>AND('GA55 Entry'!#REF!,"AAAAAG1v49k=")</f>
        <v>#REF!</v>
      </c>
      <c r="HK125" t="e">
        <f>AND('GA55 Entry'!AB397,"AAAAAG1v49o=")</f>
        <v>#VALUE!</v>
      </c>
      <c r="HL125" t="e">
        <f>AND('GA55 Entry'!AC397,"AAAAAG1v49s=")</f>
        <v>#VALUE!</v>
      </c>
      <c r="HM125" t="e">
        <f>AND('GA55 Entry'!#REF!,"AAAAAG1v49w=")</f>
        <v>#REF!</v>
      </c>
      <c r="HN125">
        <f>IF('GA55 Entry'!398:398,"AAAAAG1v490=",0)</f>
        <v>0</v>
      </c>
      <c r="HO125" t="e">
        <f>AND('GA55 Entry'!B398,"AAAAAG1v494=")</f>
        <v>#VALUE!</v>
      </c>
      <c r="HP125" t="e">
        <f>AND('GA55 Entry'!#REF!,"AAAAAG1v498=")</f>
        <v>#REF!</v>
      </c>
      <c r="HQ125" t="e">
        <f>AND('GA55 Entry'!C398,"AAAAAG1v4+A=")</f>
        <v>#VALUE!</v>
      </c>
      <c r="HR125" t="e">
        <f>AND('GA55 Entry'!#REF!,"AAAAAG1v4+E=")</f>
        <v>#REF!</v>
      </c>
      <c r="HS125" t="e">
        <f>AND('GA55 Entry'!#REF!,"AAAAAG1v4+I=")</f>
        <v>#REF!</v>
      </c>
      <c r="HT125" t="e">
        <f>AND('GA55 Entry'!#REF!,"AAAAAG1v4+M=")</f>
        <v>#REF!</v>
      </c>
      <c r="HU125" t="e">
        <f>AND('GA55 Entry'!#REF!,"AAAAAG1v4+Q=")</f>
        <v>#REF!</v>
      </c>
      <c r="HV125" t="e">
        <f>AND('GA55 Entry'!#REF!,"AAAAAG1v4+U=")</f>
        <v>#REF!</v>
      </c>
      <c r="HW125" t="e">
        <f>AND('GA55 Entry'!D398,"AAAAAG1v4+Y=")</f>
        <v>#VALUE!</v>
      </c>
      <c r="HX125" t="e">
        <f>AND('GA55 Entry'!#REF!,"AAAAAG1v4+c=")</f>
        <v>#REF!</v>
      </c>
      <c r="HY125" t="e">
        <f>AND('GA55 Entry'!E398,"AAAAAG1v4+g=")</f>
        <v>#VALUE!</v>
      </c>
      <c r="HZ125" t="e">
        <f>AND('GA55 Entry'!F398,"AAAAAG1v4+k=")</f>
        <v>#VALUE!</v>
      </c>
      <c r="IA125" t="e">
        <f>AND('GA55 Entry'!G398,"AAAAAG1v4+o=")</f>
        <v>#VALUE!</v>
      </c>
      <c r="IB125" t="e">
        <f>AND('GA55 Entry'!H398,"AAAAAG1v4+s=")</f>
        <v>#VALUE!</v>
      </c>
      <c r="IC125" t="e">
        <f>AND('GA55 Entry'!I398,"AAAAAG1v4+w=")</f>
        <v>#VALUE!</v>
      </c>
      <c r="ID125" t="e">
        <f>AND('GA55 Entry'!J398,"AAAAAG1v4+0=")</f>
        <v>#VALUE!</v>
      </c>
      <c r="IE125" t="e">
        <f>AND('GA55 Entry'!#REF!,"AAAAAG1v4+4=")</f>
        <v>#REF!</v>
      </c>
      <c r="IF125" t="e">
        <f>AND('GA55 Entry'!K398,"AAAAAG1v4+8=")</f>
        <v>#VALUE!</v>
      </c>
      <c r="IG125" t="e">
        <f>AND('GA55 Entry'!L398,"AAAAAG1v4/A=")</f>
        <v>#VALUE!</v>
      </c>
      <c r="IH125" t="e">
        <f>AND('GA55 Entry'!M398,"AAAAAG1v4/E=")</f>
        <v>#VALUE!</v>
      </c>
      <c r="II125" t="e">
        <f>AND('GA55 Entry'!N398,"AAAAAG1v4/I=")</f>
        <v>#VALUE!</v>
      </c>
      <c r="IJ125" t="e">
        <f>AND('GA55 Entry'!O398,"AAAAAG1v4/M=")</f>
        <v>#VALUE!</v>
      </c>
      <c r="IK125" t="e">
        <f>AND('GA55 Entry'!P398,"AAAAAG1v4/Q=")</f>
        <v>#VALUE!</v>
      </c>
      <c r="IL125" t="e">
        <f>AND('GA55 Entry'!Q398,"AAAAAG1v4/U=")</f>
        <v>#VALUE!</v>
      </c>
      <c r="IM125" t="e">
        <f>AND('GA55 Entry'!S398,"AAAAAG1v4/Y=")</f>
        <v>#VALUE!</v>
      </c>
      <c r="IN125" t="e">
        <f>AND('GA55 Entry'!#REF!,"AAAAAG1v4/c=")</f>
        <v>#REF!</v>
      </c>
      <c r="IO125" t="e">
        <f>AND('GA55 Entry'!T398,"AAAAAG1v4/g=")</f>
        <v>#VALUE!</v>
      </c>
      <c r="IP125" t="e">
        <f>AND('GA55 Entry'!U398,"AAAAAG1v4/k=")</f>
        <v>#VALUE!</v>
      </c>
      <c r="IQ125" t="e">
        <f>AND('GA55 Entry'!V398,"AAAAAG1v4/o=")</f>
        <v>#VALUE!</v>
      </c>
      <c r="IR125" t="e">
        <f>AND('GA55 Entry'!#REF!,"AAAAAG1v4/s=")</f>
        <v>#REF!</v>
      </c>
      <c r="IS125" t="e">
        <f>AND('GA55 Entry'!#REF!,"AAAAAG1v4/w=")</f>
        <v>#REF!</v>
      </c>
      <c r="IT125" t="e">
        <f>AND('GA55 Entry'!X398,"AAAAAG1v4/0=")</f>
        <v>#VALUE!</v>
      </c>
      <c r="IU125" t="e">
        <f>AND('GA55 Entry'!Y398,"AAAAAG1v4/4=")</f>
        <v>#VALUE!</v>
      </c>
      <c r="IV125" t="e">
        <f>AND('GA55 Entry'!#REF!,"AAAAAG1v4/8=")</f>
        <v>#REF!</v>
      </c>
    </row>
    <row r="126" spans="1:256">
      <c r="A126" t="e">
        <f>AND('GA55 Entry'!#REF!,"AAAAABX+/QA=")</f>
        <v>#REF!</v>
      </c>
      <c r="B126" t="e">
        <f>AND('GA55 Entry'!#REF!,"AAAAABX+/QE=")</f>
        <v>#REF!</v>
      </c>
      <c r="C126" t="e">
        <f>AND('GA55 Entry'!#REF!,"AAAAABX+/QI=")</f>
        <v>#REF!</v>
      </c>
      <c r="D126" t="e">
        <f>AND('GA55 Entry'!#REF!,"AAAAABX+/QM=")</f>
        <v>#REF!</v>
      </c>
      <c r="E126" t="e">
        <f>AND('GA55 Entry'!#REF!,"AAAAABX+/QQ=")</f>
        <v>#REF!</v>
      </c>
      <c r="F126" t="e">
        <f>AND('GA55 Entry'!#REF!,"AAAAABX+/QU=")</f>
        <v>#REF!</v>
      </c>
      <c r="G126" t="e">
        <f>AND('GA55 Entry'!#REF!,"AAAAABX+/QY=")</f>
        <v>#REF!</v>
      </c>
      <c r="H126" t="e">
        <f>AND('GA55 Entry'!#REF!,"AAAAABX+/Qc=")</f>
        <v>#REF!</v>
      </c>
      <c r="I126" t="e">
        <f>AND('GA55 Entry'!Z398,"AAAAABX+/Qg=")</f>
        <v>#VALUE!</v>
      </c>
      <c r="J126" t="e">
        <f>AND('GA55 Entry'!AA398,"AAAAABX+/Qk=")</f>
        <v>#VALUE!</v>
      </c>
      <c r="K126" t="e">
        <f>AND('GA55 Entry'!#REF!,"AAAAABX+/Qo=")</f>
        <v>#REF!</v>
      </c>
      <c r="L126" t="e">
        <f>AND('GA55 Entry'!#REF!,"AAAAABX+/Qs=")</f>
        <v>#REF!</v>
      </c>
      <c r="M126" t="e">
        <f>AND('GA55 Entry'!#REF!,"AAAAABX+/Qw=")</f>
        <v>#REF!</v>
      </c>
      <c r="N126" t="e">
        <f>AND('GA55 Entry'!AB398,"AAAAABX+/Q0=")</f>
        <v>#VALUE!</v>
      </c>
      <c r="O126" t="e">
        <f>AND('GA55 Entry'!AC398,"AAAAABX+/Q4=")</f>
        <v>#VALUE!</v>
      </c>
      <c r="P126" t="e">
        <f>AND('GA55 Entry'!#REF!,"AAAAABX+/Q8=")</f>
        <v>#REF!</v>
      </c>
      <c r="Q126">
        <f>IF('GA55 Entry'!399:399,"AAAAABX+/RA=",0)</f>
        <v>0</v>
      </c>
      <c r="R126" t="e">
        <f>AND('GA55 Entry'!B399,"AAAAABX+/RE=")</f>
        <v>#VALUE!</v>
      </c>
      <c r="S126" t="e">
        <f>AND('GA55 Entry'!#REF!,"AAAAABX+/RI=")</f>
        <v>#REF!</v>
      </c>
      <c r="T126" t="e">
        <f>AND('GA55 Entry'!C399,"AAAAABX+/RM=")</f>
        <v>#VALUE!</v>
      </c>
      <c r="U126" t="e">
        <f>AND('GA55 Entry'!#REF!,"AAAAABX+/RQ=")</f>
        <v>#REF!</v>
      </c>
      <c r="V126" t="e">
        <f>AND('GA55 Entry'!#REF!,"AAAAABX+/RU=")</f>
        <v>#REF!</v>
      </c>
      <c r="W126" t="e">
        <f>AND('GA55 Entry'!#REF!,"AAAAABX+/RY=")</f>
        <v>#REF!</v>
      </c>
      <c r="X126" t="e">
        <f>AND('GA55 Entry'!#REF!,"AAAAABX+/Rc=")</f>
        <v>#REF!</v>
      </c>
      <c r="Y126" t="e">
        <f>AND('GA55 Entry'!#REF!,"AAAAABX+/Rg=")</f>
        <v>#REF!</v>
      </c>
      <c r="Z126" t="e">
        <f>AND('GA55 Entry'!D399,"AAAAABX+/Rk=")</f>
        <v>#VALUE!</v>
      </c>
      <c r="AA126" t="e">
        <f>AND('GA55 Entry'!#REF!,"AAAAABX+/Ro=")</f>
        <v>#REF!</v>
      </c>
      <c r="AB126" t="e">
        <f>AND('GA55 Entry'!E399,"AAAAABX+/Rs=")</f>
        <v>#VALUE!</v>
      </c>
      <c r="AC126" t="e">
        <f>AND('GA55 Entry'!F399,"AAAAABX+/Rw=")</f>
        <v>#VALUE!</v>
      </c>
      <c r="AD126" t="e">
        <f>AND('GA55 Entry'!G399,"AAAAABX+/R0=")</f>
        <v>#VALUE!</v>
      </c>
      <c r="AE126" t="e">
        <f>AND('GA55 Entry'!H399,"AAAAABX+/R4=")</f>
        <v>#VALUE!</v>
      </c>
      <c r="AF126" t="e">
        <f>AND('GA55 Entry'!I399,"AAAAABX+/R8=")</f>
        <v>#VALUE!</v>
      </c>
      <c r="AG126" t="e">
        <f>AND('GA55 Entry'!J399,"AAAAABX+/SA=")</f>
        <v>#VALUE!</v>
      </c>
      <c r="AH126" t="e">
        <f>AND('GA55 Entry'!#REF!,"AAAAABX+/SE=")</f>
        <v>#REF!</v>
      </c>
      <c r="AI126" t="e">
        <f>AND('GA55 Entry'!K399,"AAAAABX+/SI=")</f>
        <v>#VALUE!</v>
      </c>
      <c r="AJ126" t="e">
        <f>AND('GA55 Entry'!L399,"AAAAABX+/SM=")</f>
        <v>#VALUE!</v>
      </c>
      <c r="AK126" t="e">
        <f>AND('GA55 Entry'!M399,"AAAAABX+/SQ=")</f>
        <v>#VALUE!</v>
      </c>
      <c r="AL126" t="e">
        <f>AND('GA55 Entry'!N399,"AAAAABX+/SU=")</f>
        <v>#VALUE!</v>
      </c>
      <c r="AM126" t="e">
        <f>AND('GA55 Entry'!O399,"AAAAABX+/SY=")</f>
        <v>#VALUE!</v>
      </c>
      <c r="AN126" t="e">
        <f>AND('GA55 Entry'!P399,"AAAAABX+/Sc=")</f>
        <v>#VALUE!</v>
      </c>
      <c r="AO126" t="e">
        <f>AND('GA55 Entry'!Q399,"AAAAABX+/Sg=")</f>
        <v>#VALUE!</v>
      </c>
      <c r="AP126" t="e">
        <f>AND('GA55 Entry'!S399,"AAAAABX+/Sk=")</f>
        <v>#VALUE!</v>
      </c>
      <c r="AQ126" t="e">
        <f>AND('GA55 Entry'!#REF!,"AAAAABX+/So=")</f>
        <v>#REF!</v>
      </c>
      <c r="AR126" t="e">
        <f>AND('GA55 Entry'!T399,"AAAAABX+/Ss=")</f>
        <v>#VALUE!</v>
      </c>
      <c r="AS126" t="e">
        <f>AND('GA55 Entry'!U399,"AAAAABX+/Sw=")</f>
        <v>#VALUE!</v>
      </c>
      <c r="AT126" t="e">
        <f>AND('GA55 Entry'!V399,"AAAAABX+/S0=")</f>
        <v>#VALUE!</v>
      </c>
      <c r="AU126" t="e">
        <f>AND('GA55 Entry'!#REF!,"AAAAABX+/S4=")</f>
        <v>#REF!</v>
      </c>
      <c r="AV126" t="e">
        <f>AND('GA55 Entry'!#REF!,"AAAAABX+/S8=")</f>
        <v>#REF!</v>
      </c>
      <c r="AW126" t="e">
        <f>AND('GA55 Entry'!X399,"AAAAABX+/TA=")</f>
        <v>#VALUE!</v>
      </c>
      <c r="AX126" t="e">
        <f>AND('GA55 Entry'!Y399,"AAAAABX+/TE=")</f>
        <v>#VALUE!</v>
      </c>
      <c r="AY126" t="e">
        <f>AND('GA55 Entry'!#REF!,"AAAAABX+/TI=")</f>
        <v>#REF!</v>
      </c>
      <c r="AZ126" t="e">
        <f>AND('GA55 Entry'!#REF!,"AAAAABX+/TM=")</f>
        <v>#REF!</v>
      </c>
      <c r="BA126" t="e">
        <f>AND('GA55 Entry'!#REF!,"AAAAABX+/TQ=")</f>
        <v>#REF!</v>
      </c>
      <c r="BB126" t="e">
        <f>AND('GA55 Entry'!#REF!,"AAAAABX+/TU=")</f>
        <v>#REF!</v>
      </c>
      <c r="BC126" t="e">
        <f>AND('GA55 Entry'!#REF!,"AAAAABX+/TY=")</f>
        <v>#REF!</v>
      </c>
      <c r="BD126" t="e">
        <f>AND('GA55 Entry'!#REF!,"AAAAABX+/Tc=")</f>
        <v>#REF!</v>
      </c>
      <c r="BE126" t="e">
        <f>AND('GA55 Entry'!#REF!,"AAAAABX+/Tg=")</f>
        <v>#REF!</v>
      </c>
      <c r="BF126" t="e">
        <f>AND('GA55 Entry'!#REF!,"AAAAABX+/Tk=")</f>
        <v>#REF!</v>
      </c>
      <c r="BG126" t="e">
        <f>AND('GA55 Entry'!#REF!,"AAAAABX+/To=")</f>
        <v>#REF!</v>
      </c>
      <c r="BH126" t="e">
        <f>AND('GA55 Entry'!Z399,"AAAAABX+/Ts=")</f>
        <v>#VALUE!</v>
      </c>
      <c r="BI126" t="e">
        <f>AND('GA55 Entry'!AA399,"AAAAABX+/Tw=")</f>
        <v>#VALUE!</v>
      </c>
      <c r="BJ126" t="e">
        <f>AND('GA55 Entry'!#REF!,"AAAAABX+/T0=")</f>
        <v>#REF!</v>
      </c>
      <c r="BK126" t="e">
        <f>AND('GA55 Entry'!#REF!,"AAAAABX+/T4=")</f>
        <v>#REF!</v>
      </c>
      <c r="BL126" t="e">
        <f>AND('GA55 Entry'!#REF!,"AAAAABX+/T8=")</f>
        <v>#REF!</v>
      </c>
      <c r="BM126" t="e">
        <f>AND('GA55 Entry'!AB399,"AAAAABX+/UA=")</f>
        <v>#VALUE!</v>
      </c>
      <c r="BN126" t="e">
        <f>AND('GA55 Entry'!AC399,"AAAAABX+/UE=")</f>
        <v>#VALUE!</v>
      </c>
      <c r="BO126" t="e">
        <f>AND('GA55 Entry'!#REF!,"AAAAABX+/UI=")</f>
        <v>#REF!</v>
      </c>
      <c r="BP126">
        <f>IF('GA55 Entry'!400:400,"AAAAABX+/UM=",0)</f>
        <v>0</v>
      </c>
      <c r="BQ126" t="e">
        <f>AND('GA55 Entry'!B400,"AAAAABX+/UQ=")</f>
        <v>#VALUE!</v>
      </c>
      <c r="BR126" t="e">
        <f>AND('GA55 Entry'!#REF!,"AAAAABX+/UU=")</f>
        <v>#REF!</v>
      </c>
      <c r="BS126" t="e">
        <f>AND('GA55 Entry'!C400,"AAAAABX+/UY=")</f>
        <v>#VALUE!</v>
      </c>
      <c r="BT126" t="e">
        <f>AND('GA55 Entry'!#REF!,"AAAAABX+/Uc=")</f>
        <v>#REF!</v>
      </c>
      <c r="BU126" t="e">
        <f>AND('GA55 Entry'!#REF!,"AAAAABX+/Ug=")</f>
        <v>#REF!</v>
      </c>
      <c r="BV126" t="e">
        <f>AND('GA55 Entry'!#REF!,"AAAAABX+/Uk=")</f>
        <v>#REF!</v>
      </c>
      <c r="BW126" t="e">
        <f>AND('GA55 Entry'!#REF!,"AAAAABX+/Uo=")</f>
        <v>#REF!</v>
      </c>
      <c r="BX126" t="e">
        <f>AND('GA55 Entry'!#REF!,"AAAAABX+/Us=")</f>
        <v>#REF!</v>
      </c>
      <c r="BY126" t="e">
        <f>AND('GA55 Entry'!D400,"AAAAABX+/Uw=")</f>
        <v>#VALUE!</v>
      </c>
      <c r="BZ126" t="e">
        <f>AND('GA55 Entry'!#REF!,"AAAAABX+/U0=")</f>
        <v>#REF!</v>
      </c>
      <c r="CA126" t="e">
        <f>AND('GA55 Entry'!E400,"AAAAABX+/U4=")</f>
        <v>#VALUE!</v>
      </c>
      <c r="CB126" t="e">
        <f>AND('GA55 Entry'!F400,"AAAAABX+/U8=")</f>
        <v>#VALUE!</v>
      </c>
      <c r="CC126" t="e">
        <f>AND('GA55 Entry'!G400,"AAAAABX+/VA=")</f>
        <v>#VALUE!</v>
      </c>
      <c r="CD126" t="e">
        <f>AND('GA55 Entry'!H400,"AAAAABX+/VE=")</f>
        <v>#VALUE!</v>
      </c>
      <c r="CE126" t="e">
        <f>AND('GA55 Entry'!I400,"AAAAABX+/VI=")</f>
        <v>#VALUE!</v>
      </c>
      <c r="CF126" t="e">
        <f>AND('GA55 Entry'!J400,"AAAAABX+/VM=")</f>
        <v>#VALUE!</v>
      </c>
      <c r="CG126" t="e">
        <f>AND('GA55 Entry'!#REF!,"AAAAABX+/VQ=")</f>
        <v>#REF!</v>
      </c>
      <c r="CH126" t="e">
        <f>AND('GA55 Entry'!K400,"AAAAABX+/VU=")</f>
        <v>#VALUE!</v>
      </c>
      <c r="CI126" t="e">
        <f>AND('GA55 Entry'!L400,"AAAAABX+/VY=")</f>
        <v>#VALUE!</v>
      </c>
      <c r="CJ126" t="e">
        <f>AND('GA55 Entry'!M400,"AAAAABX+/Vc=")</f>
        <v>#VALUE!</v>
      </c>
      <c r="CK126" t="e">
        <f>AND('GA55 Entry'!N400,"AAAAABX+/Vg=")</f>
        <v>#VALUE!</v>
      </c>
      <c r="CL126" t="e">
        <f>AND('GA55 Entry'!O400,"AAAAABX+/Vk=")</f>
        <v>#VALUE!</v>
      </c>
      <c r="CM126" t="e">
        <f>AND('GA55 Entry'!P400,"AAAAABX+/Vo=")</f>
        <v>#VALUE!</v>
      </c>
      <c r="CN126" t="e">
        <f>AND('GA55 Entry'!Q400,"AAAAABX+/Vs=")</f>
        <v>#VALUE!</v>
      </c>
      <c r="CO126" t="e">
        <f>AND('GA55 Entry'!S400,"AAAAABX+/Vw=")</f>
        <v>#VALUE!</v>
      </c>
      <c r="CP126" t="e">
        <f>AND('GA55 Entry'!#REF!,"AAAAABX+/V0=")</f>
        <v>#REF!</v>
      </c>
      <c r="CQ126" t="e">
        <f>AND('GA55 Entry'!T400,"AAAAABX+/V4=")</f>
        <v>#VALUE!</v>
      </c>
      <c r="CR126" t="e">
        <f>AND('GA55 Entry'!U400,"AAAAABX+/V8=")</f>
        <v>#VALUE!</v>
      </c>
      <c r="CS126" t="e">
        <f>AND('GA55 Entry'!V400,"AAAAABX+/WA=")</f>
        <v>#VALUE!</v>
      </c>
      <c r="CT126" t="e">
        <f>AND('GA55 Entry'!#REF!,"AAAAABX+/WE=")</f>
        <v>#REF!</v>
      </c>
      <c r="CU126" t="e">
        <f>AND('GA55 Entry'!#REF!,"AAAAABX+/WI=")</f>
        <v>#REF!</v>
      </c>
      <c r="CV126" t="e">
        <f>AND('GA55 Entry'!X400,"AAAAABX+/WM=")</f>
        <v>#VALUE!</v>
      </c>
      <c r="CW126" t="e">
        <f>AND('GA55 Entry'!Y400,"AAAAABX+/WQ=")</f>
        <v>#VALUE!</v>
      </c>
      <c r="CX126" t="e">
        <f>AND('GA55 Entry'!#REF!,"AAAAABX+/WU=")</f>
        <v>#REF!</v>
      </c>
      <c r="CY126" t="e">
        <f>AND('GA55 Entry'!#REF!,"AAAAABX+/WY=")</f>
        <v>#REF!</v>
      </c>
      <c r="CZ126" t="e">
        <f>AND('GA55 Entry'!#REF!,"AAAAABX+/Wc=")</f>
        <v>#REF!</v>
      </c>
      <c r="DA126" t="e">
        <f>AND('GA55 Entry'!#REF!,"AAAAABX+/Wg=")</f>
        <v>#REF!</v>
      </c>
      <c r="DB126" t="e">
        <f>AND('GA55 Entry'!#REF!,"AAAAABX+/Wk=")</f>
        <v>#REF!</v>
      </c>
      <c r="DC126" t="e">
        <f>AND('GA55 Entry'!#REF!,"AAAAABX+/Wo=")</f>
        <v>#REF!</v>
      </c>
      <c r="DD126" t="e">
        <f>AND('GA55 Entry'!#REF!,"AAAAABX+/Ws=")</f>
        <v>#REF!</v>
      </c>
      <c r="DE126" t="e">
        <f>AND('GA55 Entry'!#REF!,"AAAAABX+/Ww=")</f>
        <v>#REF!</v>
      </c>
      <c r="DF126" t="e">
        <f>AND('GA55 Entry'!#REF!,"AAAAABX+/W0=")</f>
        <v>#REF!</v>
      </c>
      <c r="DG126" t="e">
        <f>AND('GA55 Entry'!Z400,"AAAAABX+/W4=")</f>
        <v>#VALUE!</v>
      </c>
      <c r="DH126" t="e">
        <f>AND('GA55 Entry'!AA400,"AAAAABX+/W8=")</f>
        <v>#VALUE!</v>
      </c>
      <c r="DI126" t="e">
        <f>AND('GA55 Entry'!#REF!,"AAAAABX+/XA=")</f>
        <v>#REF!</v>
      </c>
      <c r="DJ126" t="e">
        <f>AND('GA55 Entry'!#REF!,"AAAAABX+/XE=")</f>
        <v>#REF!</v>
      </c>
      <c r="DK126" t="e">
        <f>AND('GA55 Entry'!#REF!,"AAAAABX+/XI=")</f>
        <v>#REF!</v>
      </c>
      <c r="DL126" t="e">
        <f>AND('GA55 Entry'!AB400,"AAAAABX+/XM=")</f>
        <v>#VALUE!</v>
      </c>
      <c r="DM126" t="e">
        <f>AND('GA55 Entry'!AC400,"AAAAABX+/XQ=")</f>
        <v>#VALUE!</v>
      </c>
      <c r="DN126" t="e">
        <f>AND('GA55 Entry'!#REF!,"AAAAABX+/XU=")</f>
        <v>#REF!</v>
      </c>
      <c r="DO126">
        <f>IF('GA55 Entry'!401:401,"AAAAABX+/XY=",0)</f>
        <v>0</v>
      </c>
      <c r="DP126" t="e">
        <f>AND('GA55 Entry'!B401,"AAAAABX+/Xc=")</f>
        <v>#VALUE!</v>
      </c>
      <c r="DQ126" t="e">
        <f>AND('GA55 Entry'!#REF!,"AAAAABX+/Xg=")</f>
        <v>#REF!</v>
      </c>
      <c r="DR126" t="e">
        <f>AND('GA55 Entry'!C401,"AAAAABX+/Xk=")</f>
        <v>#VALUE!</v>
      </c>
      <c r="DS126" t="e">
        <f>AND('GA55 Entry'!#REF!,"AAAAABX+/Xo=")</f>
        <v>#REF!</v>
      </c>
      <c r="DT126" t="e">
        <f>AND('GA55 Entry'!#REF!,"AAAAABX+/Xs=")</f>
        <v>#REF!</v>
      </c>
      <c r="DU126" t="e">
        <f>AND('GA55 Entry'!#REF!,"AAAAABX+/Xw=")</f>
        <v>#REF!</v>
      </c>
      <c r="DV126" t="e">
        <f>AND('GA55 Entry'!#REF!,"AAAAABX+/X0=")</f>
        <v>#REF!</v>
      </c>
      <c r="DW126" t="e">
        <f>AND('GA55 Entry'!#REF!,"AAAAABX+/X4=")</f>
        <v>#REF!</v>
      </c>
      <c r="DX126" t="e">
        <f>AND('GA55 Entry'!D401,"AAAAABX+/X8=")</f>
        <v>#VALUE!</v>
      </c>
      <c r="DY126" t="e">
        <f>AND('GA55 Entry'!#REF!,"AAAAABX+/YA=")</f>
        <v>#REF!</v>
      </c>
      <c r="DZ126" t="e">
        <f>AND('GA55 Entry'!E401,"AAAAABX+/YE=")</f>
        <v>#VALUE!</v>
      </c>
      <c r="EA126" t="e">
        <f>AND('GA55 Entry'!F401,"AAAAABX+/YI=")</f>
        <v>#VALUE!</v>
      </c>
      <c r="EB126" t="e">
        <f>AND('GA55 Entry'!G401,"AAAAABX+/YM=")</f>
        <v>#VALUE!</v>
      </c>
      <c r="EC126" t="e">
        <f>AND('GA55 Entry'!H401,"AAAAABX+/YQ=")</f>
        <v>#VALUE!</v>
      </c>
      <c r="ED126" t="e">
        <f>AND('GA55 Entry'!I401,"AAAAABX+/YU=")</f>
        <v>#VALUE!</v>
      </c>
      <c r="EE126" t="e">
        <f>AND('GA55 Entry'!J401,"AAAAABX+/YY=")</f>
        <v>#VALUE!</v>
      </c>
      <c r="EF126" t="e">
        <f>AND('GA55 Entry'!#REF!,"AAAAABX+/Yc=")</f>
        <v>#REF!</v>
      </c>
      <c r="EG126" t="e">
        <f>AND('GA55 Entry'!K401,"AAAAABX+/Yg=")</f>
        <v>#VALUE!</v>
      </c>
      <c r="EH126" t="e">
        <f>AND('GA55 Entry'!L401,"AAAAABX+/Yk=")</f>
        <v>#VALUE!</v>
      </c>
      <c r="EI126" t="e">
        <f>AND('GA55 Entry'!M401,"AAAAABX+/Yo=")</f>
        <v>#VALUE!</v>
      </c>
      <c r="EJ126" t="e">
        <f>AND('GA55 Entry'!N401,"AAAAABX+/Ys=")</f>
        <v>#VALUE!</v>
      </c>
      <c r="EK126" t="e">
        <f>AND('GA55 Entry'!O401,"AAAAABX+/Yw=")</f>
        <v>#VALUE!</v>
      </c>
      <c r="EL126" t="e">
        <f>AND('GA55 Entry'!P401,"AAAAABX+/Y0=")</f>
        <v>#VALUE!</v>
      </c>
      <c r="EM126" t="e">
        <f>AND('GA55 Entry'!Q401,"AAAAABX+/Y4=")</f>
        <v>#VALUE!</v>
      </c>
      <c r="EN126" t="e">
        <f>AND('GA55 Entry'!S401,"AAAAABX+/Y8=")</f>
        <v>#VALUE!</v>
      </c>
      <c r="EO126" t="e">
        <f>AND('GA55 Entry'!#REF!,"AAAAABX+/ZA=")</f>
        <v>#REF!</v>
      </c>
      <c r="EP126" t="e">
        <f>AND('GA55 Entry'!T401,"AAAAABX+/ZE=")</f>
        <v>#VALUE!</v>
      </c>
      <c r="EQ126" t="e">
        <f>AND('GA55 Entry'!U401,"AAAAABX+/ZI=")</f>
        <v>#VALUE!</v>
      </c>
      <c r="ER126" t="e">
        <f>AND('GA55 Entry'!V401,"AAAAABX+/ZM=")</f>
        <v>#VALUE!</v>
      </c>
      <c r="ES126" t="e">
        <f>AND('GA55 Entry'!#REF!,"AAAAABX+/ZQ=")</f>
        <v>#REF!</v>
      </c>
      <c r="ET126" t="e">
        <f>AND('GA55 Entry'!#REF!,"AAAAABX+/ZU=")</f>
        <v>#REF!</v>
      </c>
      <c r="EU126" t="e">
        <f>AND('GA55 Entry'!X401,"AAAAABX+/ZY=")</f>
        <v>#VALUE!</v>
      </c>
      <c r="EV126" t="e">
        <f>AND('GA55 Entry'!Y401,"AAAAABX+/Zc=")</f>
        <v>#VALUE!</v>
      </c>
      <c r="EW126" t="e">
        <f>AND('GA55 Entry'!#REF!,"AAAAABX+/Zg=")</f>
        <v>#REF!</v>
      </c>
      <c r="EX126" t="e">
        <f>AND('GA55 Entry'!#REF!,"AAAAABX+/Zk=")</f>
        <v>#REF!</v>
      </c>
      <c r="EY126" t="e">
        <f>AND('GA55 Entry'!#REF!,"AAAAABX+/Zo=")</f>
        <v>#REF!</v>
      </c>
      <c r="EZ126" t="e">
        <f>AND('GA55 Entry'!#REF!,"AAAAABX+/Zs=")</f>
        <v>#REF!</v>
      </c>
      <c r="FA126" t="e">
        <f>AND('GA55 Entry'!#REF!,"AAAAABX+/Zw=")</f>
        <v>#REF!</v>
      </c>
      <c r="FB126" t="e">
        <f>AND('GA55 Entry'!#REF!,"AAAAABX+/Z0=")</f>
        <v>#REF!</v>
      </c>
      <c r="FC126" t="e">
        <f>AND('GA55 Entry'!#REF!,"AAAAABX+/Z4=")</f>
        <v>#REF!</v>
      </c>
      <c r="FD126" t="e">
        <f>AND('GA55 Entry'!#REF!,"AAAAABX+/Z8=")</f>
        <v>#REF!</v>
      </c>
      <c r="FE126" t="e">
        <f>AND('GA55 Entry'!#REF!,"AAAAABX+/aA=")</f>
        <v>#REF!</v>
      </c>
      <c r="FF126" t="e">
        <f>AND('GA55 Entry'!Z401,"AAAAABX+/aE=")</f>
        <v>#VALUE!</v>
      </c>
      <c r="FG126" t="e">
        <f>AND('GA55 Entry'!AA401,"AAAAABX+/aI=")</f>
        <v>#VALUE!</v>
      </c>
      <c r="FH126" t="e">
        <f>AND('GA55 Entry'!#REF!,"AAAAABX+/aM=")</f>
        <v>#REF!</v>
      </c>
      <c r="FI126" t="e">
        <f>AND('GA55 Entry'!#REF!,"AAAAABX+/aQ=")</f>
        <v>#REF!</v>
      </c>
      <c r="FJ126" t="e">
        <f>AND('GA55 Entry'!#REF!,"AAAAABX+/aU=")</f>
        <v>#REF!</v>
      </c>
      <c r="FK126" t="e">
        <f>AND('GA55 Entry'!AB401,"AAAAABX+/aY=")</f>
        <v>#VALUE!</v>
      </c>
      <c r="FL126" t="e">
        <f>AND('GA55 Entry'!AC401,"AAAAABX+/ac=")</f>
        <v>#VALUE!</v>
      </c>
      <c r="FM126" t="e">
        <f>AND('GA55 Entry'!#REF!,"AAAAABX+/ag=")</f>
        <v>#REF!</v>
      </c>
      <c r="FN126">
        <f>IF('GA55 Entry'!402:402,"AAAAABX+/ak=",0)</f>
        <v>0</v>
      </c>
      <c r="FO126" t="e">
        <f>AND('GA55 Entry'!B402,"AAAAABX+/ao=")</f>
        <v>#VALUE!</v>
      </c>
      <c r="FP126" t="e">
        <f>AND('GA55 Entry'!#REF!,"AAAAABX+/as=")</f>
        <v>#REF!</v>
      </c>
      <c r="FQ126" t="e">
        <f>AND('GA55 Entry'!C402,"AAAAABX+/aw=")</f>
        <v>#VALUE!</v>
      </c>
      <c r="FR126" t="e">
        <f>AND('GA55 Entry'!#REF!,"AAAAABX+/a0=")</f>
        <v>#REF!</v>
      </c>
      <c r="FS126" t="e">
        <f>AND('GA55 Entry'!#REF!,"AAAAABX+/a4=")</f>
        <v>#REF!</v>
      </c>
      <c r="FT126" t="e">
        <f>AND('GA55 Entry'!#REF!,"AAAAABX+/a8=")</f>
        <v>#REF!</v>
      </c>
      <c r="FU126" t="e">
        <f>AND('GA55 Entry'!#REF!,"AAAAABX+/bA=")</f>
        <v>#REF!</v>
      </c>
      <c r="FV126" t="e">
        <f>AND('GA55 Entry'!#REF!,"AAAAABX+/bE=")</f>
        <v>#REF!</v>
      </c>
      <c r="FW126" t="e">
        <f>AND('GA55 Entry'!D402,"AAAAABX+/bI=")</f>
        <v>#VALUE!</v>
      </c>
      <c r="FX126" t="e">
        <f>AND('GA55 Entry'!#REF!,"AAAAABX+/bM=")</f>
        <v>#REF!</v>
      </c>
      <c r="FY126" t="e">
        <f>AND('GA55 Entry'!E402,"AAAAABX+/bQ=")</f>
        <v>#VALUE!</v>
      </c>
      <c r="FZ126" t="e">
        <f>AND('GA55 Entry'!F402,"AAAAABX+/bU=")</f>
        <v>#VALUE!</v>
      </c>
      <c r="GA126" t="e">
        <f>AND('GA55 Entry'!G402,"AAAAABX+/bY=")</f>
        <v>#VALUE!</v>
      </c>
      <c r="GB126" t="e">
        <f>AND('GA55 Entry'!H402,"AAAAABX+/bc=")</f>
        <v>#VALUE!</v>
      </c>
      <c r="GC126" t="e">
        <f>AND('GA55 Entry'!I402,"AAAAABX+/bg=")</f>
        <v>#VALUE!</v>
      </c>
      <c r="GD126" t="e">
        <f>AND('GA55 Entry'!J402,"AAAAABX+/bk=")</f>
        <v>#VALUE!</v>
      </c>
      <c r="GE126" t="e">
        <f>AND('GA55 Entry'!#REF!,"AAAAABX+/bo=")</f>
        <v>#REF!</v>
      </c>
      <c r="GF126" t="e">
        <f>AND('GA55 Entry'!K402,"AAAAABX+/bs=")</f>
        <v>#VALUE!</v>
      </c>
      <c r="GG126" t="e">
        <f>AND('GA55 Entry'!L402,"AAAAABX+/bw=")</f>
        <v>#VALUE!</v>
      </c>
      <c r="GH126" t="e">
        <f>AND('GA55 Entry'!M402,"AAAAABX+/b0=")</f>
        <v>#VALUE!</v>
      </c>
      <c r="GI126" t="e">
        <f>AND('GA55 Entry'!N402,"AAAAABX+/b4=")</f>
        <v>#VALUE!</v>
      </c>
      <c r="GJ126" t="e">
        <f>AND('GA55 Entry'!O402,"AAAAABX+/b8=")</f>
        <v>#VALUE!</v>
      </c>
      <c r="GK126" t="e">
        <f>AND('GA55 Entry'!P402,"AAAAABX+/cA=")</f>
        <v>#VALUE!</v>
      </c>
      <c r="GL126" t="e">
        <f>AND('GA55 Entry'!Q402,"AAAAABX+/cE=")</f>
        <v>#VALUE!</v>
      </c>
      <c r="GM126" t="e">
        <f>AND('GA55 Entry'!S402,"AAAAABX+/cI=")</f>
        <v>#VALUE!</v>
      </c>
      <c r="GN126" t="e">
        <f>AND('GA55 Entry'!#REF!,"AAAAABX+/cM=")</f>
        <v>#REF!</v>
      </c>
      <c r="GO126" t="e">
        <f>AND('GA55 Entry'!T402,"AAAAABX+/cQ=")</f>
        <v>#VALUE!</v>
      </c>
      <c r="GP126" t="e">
        <f>AND('GA55 Entry'!U402,"AAAAABX+/cU=")</f>
        <v>#VALUE!</v>
      </c>
      <c r="GQ126" t="e">
        <f>AND('GA55 Entry'!V402,"AAAAABX+/cY=")</f>
        <v>#VALUE!</v>
      </c>
      <c r="GR126" t="e">
        <f>AND('GA55 Entry'!#REF!,"AAAAABX+/cc=")</f>
        <v>#REF!</v>
      </c>
      <c r="GS126" t="e">
        <f>AND('GA55 Entry'!#REF!,"AAAAABX+/cg=")</f>
        <v>#REF!</v>
      </c>
      <c r="GT126" t="e">
        <f>AND('GA55 Entry'!X402,"AAAAABX+/ck=")</f>
        <v>#VALUE!</v>
      </c>
      <c r="GU126" t="e">
        <f>AND('GA55 Entry'!Y402,"AAAAABX+/co=")</f>
        <v>#VALUE!</v>
      </c>
      <c r="GV126" t="e">
        <f>AND('GA55 Entry'!#REF!,"AAAAABX+/cs=")</f>
        <v>#REF!</v>
      </c>
      <c r="GW126" t="e">
        <f>AND('GA55 Entry'!#REF!,"AAAAABX+/cw=")</f>
        <v>#REF!</v>
      </c>
      <c r="GX126" t="e">
        <f>AND('GA55 Entry'!#REF!,"AAAAABX+/c0=")</f>
        <v>#REF!</v>
      </c>
      <c r="GY126" t="e">
        <f>AND('GA55 Entry'!#REF!,"AAAAABX+/c4=")</f>
        <v>#REF!</v>
      </c>
      <c r="GZ126" t="e">
        <f>AND('GA55 Entry'!#REF!,"AAAAABX+/c8=")</f>
        <v>#REF!</v>
      </c>
      <c r="HA126" t="e">
        <f>AND('GA55 Entry'!#REF!,"AAAAABX+/dA=")</f>
        <v>#REF!</v>
      </c>
      <c r="HB126" t="e">
        <f>AND('GA55 Entry'!#REF!,"AAAAABX+/dE=")</f>
        <v>#REF!</v>
      </c>
      <c r="HC126" t="e">
        <f>AND('GA55 Entry'!#REF!,"AAAAABX+/dI=")</f>
        <v>#REF!</v>
      </c>
      <c r="HD126" t="e">
        <f>AND('GA55 Entry'!#REF!,"AAAAABX+/dM=")</f>
        <v>#REF!</v>
      </c>
      <c r="HE126" t="e">
        <f>AND('GA55 Entry'!Z402,"AAAAABX+/dQ=")</f>
        <v>#VALUE!</v>
      </c>
      <c r="HF126" t="e">
        <f>AND('GA55 Entry'!AA402,"AAAAABX+/dU=")</f>
        <v>#VALUE!</v>
      </c>
      <c r="HG126" t="e">
        <f>AND('GA55 Entry'!#REF!,"AAAAABX+/dY=")</f>
        <v>#REF!</v>
      </c>
      <c r="HH126" t="e">
        <f>AND('GA55 Entry'!#REF!,"AAAAABX+/dc=")</f>
        <v>#REF!</v>
      </c>
      <c r="HI126" t="e">
        <f>AND('GA55 Entry'!#REF!,"AAAAABX+/dg=")</f>
        <v>#REF!</v>
      </c>
      <c r="HJ126" t="e">
        <f>AND('GA55 Entry'!AB402,"AAAAABX+/dk=")</f>
        <v>#VALUE!</v>
      </c>
      <c r="HK126" t="e">
        <f>AND('GA55 Entry'!AC402,"AAAAABX+/do=")</f>
        <v>#VALUE!</v>
      </c>
      <c r="HL126" t="e">
        <f>AND('GA55 Entry'!#REF!,"AAAAABX+/ds=")</f>
        <v>#REF!</v>
      </c>
      <c r="HM126">
        <f>IF('GA55 Entry'!403:403,"AAAAABX+/dw=",0)</f>
        <v>0</v>
      </c>
      <c r="HN126" t="e">
        <f>AND('GA55 Entry'!B403,"AAAAABX+/d0=")</f>
        <v>#VALUE!</v>
      </c>
      <c r="HO126" t="e">
        <f>AND('GA55 Entry'!#REF!,"AAAAABX+/d4=")</f>
        <v>#REF!</v>
      </c>
      <c r="HP126" t="e">
        <f>AND('GA55 Entry'!C403,"AAAAABX+/d8=")</f>
        <v>#VALUE!</v>
      </c>
      <c r="HQ126" t="e">
        <f>AND('GA55 Entry'!#REF!,"AAAAABX+/eA=")</f>
        <v>#REF!</v>
      </c>
      <c r="HR126" t="e">
        <f>AND('GA55 Entry'!#REF!,"AAAAABX+/eE=")</f>
        <v>#REF!</v>
      </c>
      <c r="HS126" t="e">
        <f>AND('GA55 Entry'!#REF!,"AAAAABX+/eI=")</f>
        <v>#REF!</v>
      </c>
      <c r="HT126" t="e">
        <f>AND('GA55 Entry'!#REF!,"AAAAABX+/eM=")</f>
        <v>#REF!</v>
      </c>
      <c r="HU126" t="e">
        <f>AND('GA55 Entry'!#REF!,"AAAAABX+/eQ=")</f>
        <v>#REF!</v>
      </c>
      <c r="HV126" t="e">
        <f>AND('GA55 Entry'!D403,"AAAAABX+/eU=")</f>
        <v>#VALUE!</v>
      </c>
      <c r="HW126" t="e">
        <f>AND('GA55 Entry'!#REF!,"AAAAABX+/eY=")</f>
        <v>#REF!</v>
      </c>
      <c r="HX126" t="e">
        <f>AND('GA55 Entry'!E403,"AAAAABX+/ec=")</f>
        <v>#VALUE!</v>
      </c>
      <c r="HY126" t="e">
        <f>AND('GA55 Entry'!F403,"AAAAABX+/eg=")</f>
        <v>#VALUE!</v>
      </c>
      <c r="HZ126" t="e">
        <f>AND('GA55 Entry'!G403,"AAAAABX+/ek=")</f>
        <v>#VALUE!</v>
      </c>
      <c r="IA126" t="e">
        <f>AND('GA55 Entry'!H403,"AAAAABX+/eo=")</f>
        <v>#VALUE!</v>
      </c>
      <c r="IB126" t="e">
        <f>AND('GA55 Entry'!I403,"AAAAABX+/es=")</f>
        <v>#VALUE!</v>
      </c>
      <c r="IC126" t="e">
        <f>AND('GA55 Entry'!J403,"AAAAABX+/ew=")</f>
        <v>#VALUE!</v>
      </c>
      <c r="ID126" t="e">
        <f>AND('GA55 Entry'!#REF!,"AAAAABX+/e0=")</f>
        <v>#REF!</v>
      </c>
      <c r="IE126" t="e">
        <f>AND('GA55 Entry'!K403,"AAAAABX+/e4=")</f>
        <v>#VALUE!</v>
      </c>
      <c r="IF126" t="e">
        <f>AND('GA55 Entry'!L403,"AAAAABX+/e8=")</f>
        <v>#VALUE!</v>
      </c>
      <c r="IG126" t="e">
        <f>AND('GA55 Entry'!M403,"AAAAABX+/fA=")</f>
        <v>#VALUE!</v>
      </c>
      <c r="IH126" t="e">
        <f>AND('GA55 Entry'!N403,"AAAAABX+/fE=")</f>
        <v>#VALUE!</v>
      </c>
      <c r="II126" t="e">
        <f>AND('GA55 Entry'!O403,"AAAAABX+/fI=")</f>
        <v>#VALUE!</v>
      </c>
      <c r="IJ126" t="e">
        <f>AND('GA55 Entry'!P403,"AAAAABX+/fM=")</f>
        <v>#VALUE!</v>
      </c>
      <c r="IK126" t="e">
        <f>AND('GA55 Entry'!Q403,"AAAAABX+/fQ=")</f>
        <v>#VALUE!</v>
      </c>
      <c r="IL126" t="e">
        <f>AND('GA55 Entry'!S403,"AAAAABX+/fU=")</f>
        <v>#VALUE!</v>
      </c>
      <c r="IM126" t="e">
        <f>AND('GA55 Entry'!#REF!,"AAAAABX+/fY=")</f>
        <v>#REF!</v>
      </c>
      <c r="IN126" t="e">
        <f>AND('GA55 Entry'!T403,"AAAAABX+/fc=")</f>
        <v>#VALUE!</v>
      </c>
      <c r="IO126" t="e">
        <f>AND('GA55 Entry'!U403,"AAAAABX+/fg=")</f>
        <v>#VALUE!</v>
      </c>
      <c r="IP126" t="e">
        <f>AND('GA55 Entry'!V403,"AAAAABX+/fk=")</f>
        <v>#VALUE!</v>
      </c>
      <c r="IQ126" t="e">
        <f>AND('GA55 Entry'!#REF!,"AAAAABX+/fo=")</f>
        <v>#REF!</v>
      </c>
      <c r="IR126" t="e">
        <f>AND('GA55 Entry'!#REF!,"AAAAABX+/fs=")</f>
        <v>#REF!</v>
      </c>
      <c r="IS126" t="e">
        <f>AND('GA55 Entry'!X403,"AAAAABX+/fw=")</f>
        <v>#VALUE!</v>
      </c>
      <c r="IT126" t="e">
        <f>AND('GA55 Entry'!Y403,"AAAAABX+/f0=")</f>
        <v>#VALUE!</v>
      </c>
      <c r="IU126" t="e">
        <f>AND('GA55 Entry'!#REF!,"AAAAABX+/f4=")</f>
        <v>#REF!</v>
      </c>
      <c r="IV126" t="e">
        <f>AND('GA55 Entry'!#REF!,"AAAAABX+/f8=")</f>
        <v>#REF!</v>
      </c>
    </row>
    <row r="127" spans="1:256">
      <c r="A127" t="e">
        <f>AND('GA55 Entry'!#REF!,"AAAAAF/5ewA=")</f>
        <v>#REF!</v>
      </c>
      <c r="B127" t="e">
        <f>AND('GA55 Entry'!#REF!,"AAAAAF/5ewE=")</f>
        <v>#REF!</v>
      </c>
      <c r="C127" t="e">
        <f>AND('GA55 Entry'!#REF!,"AAAAAF/5ewI=")</f>
        <v>#REF!</v>
      </c>
      <c r="D127" t="e">
        <f>AND('GA55 Entry'!#REF!,"AAAAAF/5ewM=")</f>
        <v>#REF!</v>
      </c>
      <c r="E127" t="e">
        <f>AND('GA55 Entry'!#REF!,"AAAAAF/5ewQ=")</f>
        <v>#REF!</v>
      </c>
      <c r="F127" t="e">
        <f>AND('GA55 Entry'!#REF!,"AAAAAF/5ewU=")</f>
        <v>#REF!</v>
      </c>
      <c r="G127" t="e">
        <f>AND('GA55 Entry'!#REF!,"AAAAAF/5ewY=")</f>
        <v>#REF!</v>
      </c>
      <c r="H127" t="e">
        <f>AND('GA55 Entry'!Z403,"AAAAAF/5ewc=")</f>
        <v>#VALUE!</v>
      </c>
      <c r="I127" t="e">
        <f>AND('GA55 Entry'!AA403,"AAAAAF/5ewg=")</f>
        <v>#VALUE!</v>
      </c>
      <c r="J127" t="e">
        <f>AND('GA55 Entry'!#REF!,"AAAAAF/5ewk=")</f>
        <v>#REF!</v>
      </c>
      <c r="K127" t="e">
        <f>AND('GA55 Entry'!#REF!,"AAAAAF/5ewo=")</f>
        <v>#REF!</v>
      </c>
      <c r="L127" t="e">
        <f>AND('GA55 Entry'!#REF!,"AAAAAF/5ews=")</f>
        <v>#REF!</v>
      </c>
      <c r="M127" t="e">
        <f>AND('GA55 Entry'!AB403,"AAAAAF/5eww=")</f>
        <v>#VALUE!</v>
      </c>
      <c r="N127" t="e">
        <f>AND('GA55 Entry'!AC403,"AAAAAF/5ew0=")</f>
        <v>#VALUE!</v>
      </c>
      <c r="O127" t="e">
        <f>AND('GA55 Entry'!#REF!,"AAAAAF/5ew4=")</f>
        <v>#REF!</v>
      </c>
      <c r="P127">
        <f>IF('GA55 Entry'!404:404,"AAAAAF/5ew8=",0)</f>
        <v>0</v>
      </c>
      <c r="Q127" t="e">
        <f>AND('GA55 Entry'!B404,"AAAAAF/5exA=")</f>
        <v>#VALUE!</v>
      </c>
      <c r="R127" t="e">
        <f>AND('GA55 Entry'!#REF!,"AAAAAF/5exE=")</f>
        <v>#REF!</v>
      </c>
      <c r="S127" t="e">
        <f>AND('GA55 Entry'!C404,"AAAAAF/5exI=")</f>
        <v>#VALUE!</v>
      </c>
      <c r="T127" t="e">
        <f>AND('GA55 Entry'!#REF!,"AAAAAF/5exM=")</f>
        <v>#REF!</v>
      </c>
      <c r="U127" t="e">
        <f>AND('GA55 Entry'!#REF!,"AAAAAF/5exQ=")</f>
        <v>#REF!</v>
      </c>
      <c r="V127" t="e">
        <f>AND('GA55 Entry'!#REF!,"AAAAAF/5exU=")</f>
        <v>#REF!</v>
      </c>
      <c r="W127" t="e">
        <f>AND('GA55 Entry'!#REF!,"AAAAAF/5exY=")</f>
        <v>#REF!</v>
      </c>
      <c r="X127" t="e">
        <f>AND('GA55 Entry'!#REF!,"AAAAAF/5exc=")</f>
        <v>#REF!</v>
      </c>
      <c r="Y127" t="e">
        <f>AND('GA55 Entry'!D404,"AAAAAF/5exg=")</f>
        <v>#VALUE!</v>
      </c>
      <c r="Z127" t="e">
        <f>AND('GA55 Entry'!#REF!,"AAAAAF/5exk=")</f>
        <v>#REF!</v>
      </c>
      <c r="AA127" t="e">
        <f>AND('GA55 Entry'!E404,"AAAAAF/5exo=")</f>
        <v>#VALUE!</v>
      </c>
      <c r="AB127" t="e">
        <f>AND('GA55 Entry'!F404,"AAAAAF/5exs=")</f>
        <v>#VALUE!</v>
      </c>
      <c r="AC127" t="e">
        <f>AND('GA55 Entry'!G404,"AAAAAF/5exw=")</f>
        <v>#VALUE!</v>
      </c>
      <c r="AD127" t="e">
        <f>AND('GA55 Entry'!H404,"AAAAAF/5ex0=")</f>
        <v>#VALUE!</v>
      </c>
      <c r="AE127" t="e">
        <f>AND('GA55 Entry'!I404,"AAAAAF/5ex4=")</f>
        <v>#VALUE!</v>
      </c>
      <c r="AF127" t="e">
        <f>AND('GA55 Entry'!J404,"AAAAAF/5ex8=")</f>
        <v>#VALUE!</v>
      </c>
      <c r="AG127" t="e">
        <f>AND('GA55 Entry'!#REF!,"AAAAAF/5eyA=")</f>
        <v>#REF!</v>
      </c>
      <c r="AH127" t="e">
        <f>AND('GA55 Entry'!K404,"AAAAAF/5eyE=")</f>
        <v>#VALUE!</v>
      </c>
      <c r="AI127" t="e">
        <f>AND('GA55 Entry'!L404,"AAAAAF/5eyI=")</f>
        <v>#VALUE!</v>
      </c>
      <c r="AJ127" t="e">
        <f>AND('GA55 Entry'!M404,"AAAAAF/5eyM=")</f>
        <v>#VALUE!</v>
      </c>
      <c r="AK127" t="e">
        <f>AND('GA55 Entry'!N404,"AAAAAF/5eyQ=")</f>
        <v>#VALUE!</v>
      </c>
      <c r="AL127" t="e">
        <f>AND('GA55 Entry'!O404,"AAAAAF/5eyU=")</f>
        <v>#VALUE!</v>
      </c>
      <c r="AM127" t="e">
        <f>AND('GA55 Entry'!P404,"AAAAAF/5eyY=")</f>
        <v>#VALUE!</v>
      </c>
      <c r="AN127" t="e">
        <f>AND('GA55 Entry'!Q404,"AAAAAF/5eyc=")</f>
        <v>#VALUE!</v>
      </c>
      <c r="AO127" t="e">
        <f>AND('GA55 Entry'!S404,"AAAAAF/5eyg=")</f>
        <v>#VALUE!</v>
      </c>
      <c r="AP127" t="e">
        <f>AND('GA55 Entry'!#REF!,"AAAAAF/5eyk=")</f>
        <v>#REF!</v>
      </c>
      <c r="AQ127" t="e">
        <f>AND('GA55 Entry'!T404,"AAAAAF/5eyo=")</f>
        <v>#VALUE!</v>
      </c>
      <c r="AR127" t="e">
        <f>AND('GA55 Entry'!U404,"AAAAAF/5eys=")</f>
        <v>#VALUE!</v>
      </c>
      <c r="AS127" t="e">
        <f>AND('GA55 Entry'!V404,"AAAAAF/5eyw=")</f>
        <v>#VALUE!</v>
      </c>
      <c r="AT127" t="e">
        <f>AND('GA55 Entry'!#REF!,"AAAAAF/5ey0=")</f>
        <v>#REF!</v>
      </c>
      <c r="AU127" t="e">
        <f>AND('GA55 Entry'!#REF!,"AAAAAF/5ey4=")</f>
        <v>#REF!</v>
      </c>
      <c r="AV127" t="e">
        <f>AND('GA55 Entry'!X404,"AAAAAF/5ey8=")</f>
        <v>#VALUE!</v>
      </c>
      <c r="AW127" t="e">
        <f>AND('GA55 Entry'!Y404,"AAAAAF/5ezA=")</f>
        <v>#VALUE!</v>
      </c>
      <c r="AX127" t="e">
        <f>AND('GA55 Entry'!#REF!,"AAAAAF/5ezE=")</f>
        <v>#REF!</v>
      </c>
      <c r="AY127" t="e">
        <f>AND('GA55 Entry'!#REF!,"AAAAAF/5ezI=")</f>
        <v>#REF!</v>
      </c>
      <c r="AZ127" t="e">
        <f>AND('GA55 Entry'!#REF!,"AAAAAF/5ezM=")</f>
        <v>#REF!</v>
      </c>
      <c r="BA127" t="e">
        <f>AND('GA55 Entry'!#REF!,"AAAAAF/5ezQ=")</f>
        <v>#REF!</v>
      </c>
      <c r="BB127" t="e">
        <f>AND('GA55 Entry'!#REF!,"AAAAAF/5ezU=")</f>
        <v>#REF!</v>
      </c>
      <c r="BC127" t="e">
        <f>AND('GA55 Entry'!#REF!,"AAAAAF/5ezY=")</f>
        <v>#REF!</v>
      </c>
      <c r="BD127" t="e">
        <f>AND('GA55 Entry'!#REF!,"AAAAAF/5ezc=")</f>
        <v>#REF!</v>
      </c>
      <c r="BE127" t="e">
        <f>AND('GA55 Entry'!#REF!,"AAAAAF/5ezg=")</f>
        <v>#REF!</v>
      </c>
      <c r="BF127" t="e">
        <f>AND('GA55 Entry'!#REF!,"AAAAAF/5ezk=")</f>
        <v>#REF!</v>
      </c>
      <c r="BG127" t="e">
        <f>AND('GA55 Entry'!Z404,"AAAAAF/5ezo=")</f>
        <v>#VALUE!</v>
      </c>
      <c r="BH127" t="e">
        <f>AND('GA55 Entry'!AA404,"AAAAAF/5ezs=")</f>
        <v>#VALUE!</v>
      </c>
      <c r="BI127" t="e">
        <f>AND('GA55 Entry'!#REF!,"AAAAAF/5ezw=")</f>
        <v>#REF!</v>
      </c>
      <c r="BJ127" t="e">
        <f>AND('GA55 Entry'!#REF!,"AAAAAF/5ez0=")</f>
        <v>#REF!</v>
      </c>
      <c r="BK127" t="e">
        <f>AND('GA55 Entry'!#REF!,"AAAAAF/5ez4=")</f>
        <v>#REF!</v>
      </c>
      <c r="BL127" t="e">
        <f>AND('GA55 Entry'!AB404,"AAAAAF/5ez8=")</f>
        <v>#VALUE!</v>
      </c>
      <c r="BM127" t="e">
        <f>AND('GA55 Entry'!AC404,"AAAAAF/5e0A=")</f>
        <v>#VALUE!</v>
      </c>
      <c r="BN127" t="e">
        <f>AND('GA55 Entry'!#REF!,"AAAAAF/5e0E=")</f>
        <v>#REF!</v>
      </c>
      <c r="BO127">
        <f>IF('GA55 Entry'!405:405,"AAAAAF/5e0I=",0)</f>
        <v>0</v>
      </c>
      <c r="BP127" t="e">
        <f>AND('GA55 Entry'!B405,"AAAAAF/5e0M=")</f>
        <v>#VALUE!</v>
      </c>
      <c r="BQ127" t="e">
        <f>AND('GA55 Entry'!#REF!,"AAAAAF/5e0Q=")</f>
        <v>#REF!</v>
      </c>
      <c r="BR127" t="e">
        <f>AND('GA55 Entry'!C405,"AAAAAF/5e0U=")</f>
        <v>#VALUE!</v>
      </c>
      <c r="BS127" t="e">
        <f>AND('GA55 Entry'!#REF!,"AAAAAF/5e0Y=")</f>
        <v>#REF!</v>
      </c>
      <c r="BT127" t="e">
        <f>AND('GA55 Entry'!#REF!,"AAAAAF/5e0c=")</f>
        <v>#REF!</v>
      </c>
      <c r="BU127" t="e">
        <f>AND('GA55 Entry'!#REF!,"AAAAAF/5e0g=")</f>
        <v>#REF!</v>
      </c>
      <c r="BV127" t="e">
        <f>AND('GA55 Entry'!#REF!,"AAAAAF/5e0k=")</f>
        <v>#REF!</v>
      </c>
      <c r="BW127" t="e">
        <f>AND('GA55 Entry'!#REF!,"AAAAAF/5e0o=")</f>
        <v>#REF!</v>
      </c>
      <c r="BX127" t="e">
        <f>AND('GA55 Entry'!D405,"AAAAAF/5e0s=")</f>
        <v>#VALUE!</v>
      </c>
      <c r="BY127" t="e">
        <f>AND('GA55 Entry'!#REF!,"AAAAAF/5e0w=")</f>
        <v>#REF!</v>
      </c>
      <c r="BZ127" t="e">
        <f>AND('GA55 Entry'!E405,"AAAAAF/5e00=")</f>
        <v>#VALUE!</v>
      </c>
      <c r="CA127" t="e">
        <f>AND('GA55 Entry'!F405,"AAAAAF/5e04=")</f>
        <v>#VALUE!</v>
      </c>
      <c r="CB127" t="e">
        <f>AND('GA55 Entry'!G405,"AAAAAF/5e08=")</f>
        <v>#VALUE!</v>
      </c>
      <c r="CC127" t="e">
        <f>AND('GA55 Entry'!H405,"AAAAAF/5e1A=")</f>
        <v>#VALUE!</v>
      </c>
      <c r="CD127" t="e">
        <f>AND('GA55 Entry'!I405,"AAAAAF/5e1E=")</f>
        <v>#VALUE!</v>
      </c>
      <c r="CE127" t="e">
        <f>AND('GA55 Entry'!J405,"AAAAAF/5e1I=")</f>
        <v>#VALUE!</v>
      </c>
      <c r="CF127" t="e">
        <f>AND('GA55 Entry'!#REF!,"AAAAAF/5e1M=")</f>
        <v>#REF!</v>
      </c>
      <c r="CG127" t="e">
        <f>AND('GA55 Entry'!K405,"AAAAAF/5e1Q=")</f>
        <v>#VALUE!</v>
      </c>
      <c r="CH127" t="e">
        <f>AND('GA55 Entry'!L405,"AAAAAF/5e1U=")</f>
        <v>#VALUE!</v>
      </c>
      <c r="CI127" t="e">
        <f>AND('GA55 Entry'!M405,"AAAAAF/5e1Y=")</f>
        <v>#VALUE!</v>
      </c>
      <c r="CJ127" t="e">
        <f>AND('GA55 Entry'!N405,"AAAAAF/5e1c=")</f>
        <v>#VALUE!</v>
      </c>
      <c r="CK127" t="e">
        <f>AND('GA55 Entry'!O405,"AAAAAF/5e1g=")</f>
        <v>#VALUE!</v>
      </c>
      <c r="CL127" t="e">
        <f>AND('GA55 Entry'!P405,"AAAAAF/5e1k=")</f>
        <v>#VALUE!</v>
      </c>
      <c r="CM127" t="e">
        <f>AND('GA55 Entry'!Q405,"AAAAAF/5e1o=")</f>
        <v>#VALUE!</v>
      </c>
      <c r="CN127" t="e">
        <f>AND('GA55 Entry'!S405,"AAAAAF/5e1s=")</f>
        <v>#VALUE!</v>
      </c>
      <c r="CO127" t="e">
        <f>AND('GA55 Entry'!#REF!,"AAAAAF/5e1w=")</f>
        <v>#REF!</v>
      </c>
      <c r="CP127" t="e">
        <f>AND('GA55 Entry'!T405,"AAAAAF/5e10=")</f>
        <v>#VALUE!</v>
      </c>
      <c r="CQ127" t="e">
        <f>AND('GA55 Entry'!U405,"AAAAAF/5e14=")</f>
        <v>#VALUE!</v>
      </c>
      <c r="CR127" t="e">
        <f>AND('GA55 Entry'!V405,"AAAAAF/5e18=")</f>
        <v>#VALUE!</v>
      </c>
      <c r="CS127" t="e">
        <f>AND('GA55 Entry'!#REF!,"AAAAAF/5e2A=")</f>
        <v>#REF!</v>
      </c>
      <c r="CT127" t="e">
        <f>AND('GA55 Entry'!#REF!,"AAAAAF/5e2E=")</f>
        <v>#REF!</v>
      </c>
      <c r="CU127" t="e">
        <f>AND('GA55 Entry'!X405,"AAAAAF/5e2I=")</f>
        <v>#VALUE!</v>
      </c>
      <c r="CV127" t="e">
        <f>AND('GA55 Entry'!Y405,"AAAAAF/5e2M=")</f>
        <v>#VALUE!</v>
      </c>
      <c r="CW127" t="e">
        <f>AND('GA55 Entry'!#REF!,"AAAAAF/5e2Q=")</f>
        <v>#REF!</v>
      </c>
      <c r="CX127" t="e">
        <f>AND('GA55 Entry'!#REF!,"AAAAAF/5e2U=")</f>
        <v>#REF!</v>
      </c>
      <c r="CY127" t="e">
        <f>AND('GA55 Entry'!#REF!,"AAAAAF/5e2Y=")</f>
        <v>#REF!</v>
      </c>
      <c r="CZ127" t="e">
        <f>AND('GA55 Entry'!#REF!,"AAAAAF/5e2c=")</f>
        <v>#REF!</v>
      </c>
      <c r="DA127" t="e">
        <f>AND('GA55 Entry'!#REF!,"AAAAAF/5e2g=")</f>
        <v>#REF!</v>
      </c>
      <c r="DB127" t="e">
        <f>AND('GA55 Entry'!#REF!,"AAAAAF/5e2k=")</f>
        <v>#REF!</v>
      </c>
      <c r="DC127" t="e">
        <f>AND('GA55 Entry'!#REF!,"AAAAAF/5e2o=")</f>
        <v>#REF!</v>
      </c>
      <c r="DD127" t="e">
        <f>AND('GA55 Entry'!#REF!,"AAAAAF/5e2s=")</f>
        <v>#REF!</v>
      </c>
      <c r="DE127" t="e">
        <f>AND('GA55 Entry'!#REF!,"AAAAAF/5e2w=")</f>
        <v>#REF!</v>
      </c>
      <c r="DF127" t="e">
        <f>AND('GA55 Entry'!Z405,"AAAAAF/5e20=")</f>
        <v>#VALUE!</v>
      </c>
      <c r="DG127" t="e">
        <f>AND('GA55 Entry'!AA405,"AAAAAF/5e24=")</f>
        <v>#VALUE!</v>
      </c>
      <c r="DH127" t="e">
        <f>AND('GA55 Entry'!#REF!,"AAAAAF/5e28=")</f>
        <v>#REF!</v>
      </c>
      <c r="DI127" t="e">
        <f>AND('GA55 Entry'!#REF!,"AAAAAF/5e3A=")</f>
        <v>#REF!</v>
      </c>
      <c r="DJ127" t="e">
        <f>AND('GA55 Entry'!#REF!,"AAAAAF/5e3E=")</f>
        <v>#REF!</v>
      </c>
      <c r="DK127" t="e">
        <f>AND('GA55 Entry'!AB405,"AAAAAF/5e3I=")</f>
        <v>#VALUE!</v>
      </c>
      <c r="DL127" t="e">
        <f>AND('GA55 Entry'!AC405,"AAAAAF/5e3M=")</f>
        <v>#VALUE!</v>
      </c>
      <c r="DM127" t="e">
        <f>AND('GA55 Entry'!#REF!,"AAAAAF/5e3Q=")</f>
        <v>#REF!</v>
      </c>
      <c r="DN127">
        <f>IF('GA55 Entry'!406:406,"AAAAAF/5e3U=",0)</f>
        <v>0</v>
      </c>
      <c r="DO127" t="e">
        <f>AND('GA55 Entry'!B406,"AAAAAF/5e3Y=")</f>
        <v>#VALUE!</v>
      </c>
      <c r="DP127" t="e">
        <f>AND('GA55 Entry'!#REF!,"AAAAAF/5e3c=")</f>
        <v>#REF!</v>
      </c>
      <c r="DQ127" t="e">
        <f>AND('GA55 Entry'!C406,"AAAAAF/5e3g=")</f>
        <v>#VALUE!</v>
      </c>
      <c r="DR127" t="e">
        <f>AND('GA55 Entry'!#REF!,"AAAAAF/5e3k=")</f>
        <v>#REF!</v>
      </c>
      <c r="DS127" t="e">
        <f>AND('GA55 Entry'!#REF!,"AAAAAF/5e3o=")</f>
        <v>#REF!</v>
      </c>
      <c r="DT127" t="e">
        <f>AND('GA55 Entry'!#REF!,"AAAAAF/5e3s=")</f>
        <v>#REF!</v>
      </c>
      <c r="DU127" t="e">
        <f>AND('GA55 Entry'!#REF!,"AAAAAF/5e3w=")</f>
        <v>#REF!</v>
      </c>
      <c r="DV127" t="e">
        <f>AND('GA55 Entry'!#REF!,"AAAAAF/5e30=")</f>
        <v>#REF!</v>
      </c>
      <c r="DW127" t="e">
        <f>AND('GA55 Entry'!D406,"AAAAAF/5e34=")</f>
        <v>#VALUE!</v>
      </c>
      <c r="DX127" t="e">
        <f>AND('GA55 Entry'!#REF!,"AAAAAF/5e38=")</f>
        <v>#REF!</v>
      </c>
      <c r="DY127" t="e">
        <f>AND('GA55 Entry'!E406,"AAAAAF/5e4A=")</f>
        <v>#VALUE!</v>
      </c>
      <c r="DZ127" t="e">
        <f>AND('GA55 Entry'!F406,"AAAAAF/5e4E=")</f>
        <v>#VALUE!</v>
      </c>
      <c r="EA127" t="e">
        <f>AND('GA55 Entry'!G406,"AAAAAF/5e4I=")</f>
        <v>#VALUE!</v>
      </c>
      <c r="EB127" t="e">
        <f>AND('GA55 Entry'!H406,"AAAAAF/5e4M=")</f>
        <v>#VALUE!</v>
      </c>
      <c r="EC127" t="e">
        <f>AND('GA55 Entry'!I406,"AAAAAF/5e4Q=")</f>
        <v>#VALUE!</v>
      </c>
      <c r="ED127" t="e">
        <f>AND('GA55 Entry'!J406,"AAAAAF/5e4U=")</f>
        <v>#VALUE!</v>
      </c>
      <c r="EE127" t="e">
        <f>AND('GA55 Entry'!#REF!,"AAAAAF/5e4Y=")</f>
        <v>#REF!</v>
      </c>
      <c r="EF127" t="e">
        <f>AND('GA55 Entry'!K406,"AAAAAF/5e4c=")</f>
        <v>#VALUE!</v>
      </c>
      <c r="EG127" t="e">
        <f>AND('GA55 Entry'!L406,"AAAAAF/5e4g=")</f>
        <v>#VALUE!</v>
      </c>
      <c r="EH127" t="e">
        <f>AND('GA55 Entry'!M406,"AAAAAF/5e4k=")</f>
        <v>#VALUE!</v>
      </c>
      <c r="EI127" t="e">
        <f>AND('GA55 Entry'!N406,"AAAAAF/5e4o=")</f>
        <v>#VALUE!</v>
      </c>
      <c r="EJ127" t="e">
        <f>AND('GA55 Entry'!O406,"AAAAAF/5e4s=")</f>
        <v>#VALUE!</v>
      </c>
      <c r="EK127" t="e">
        <f>AND('GA55 Entry'!P406,"AAAAAF/5e4w=")</f>
        <v>#VALUE!</v>
      </c>
      <c r="EL127" t="e">
        <f>AND('GA55 Entry'!Q406,"AAAAAF/5e40=")</f>
        <v>#VALUE!</v>
      </c>
      <c r="EM127" t="e">
        <f>AND('GA55 Entry'!S406,"AAAAAF/5e44=")</f>
        <v>#VALUE!</v>
      </c>
      <c r="EN127" t="e">
        <f>AND('GA55 Entry'!#REF!,"AAAAAF/5e48=")</f>
        <v>#REF!</v>
      </c>
      <c r="EO127" t="e">
        <f>AND('GA55 Entry'!T406,"AAAAAF/5e5A=")</f>
        <v>#VALUE!</v>
      </c>
      <c r="EP127" t="e">
        <f>AND('GA55 Entry'!U406,"AAAAAF/5e5E=")</f>
        <v>#VALUE!</v>
      </c>
      <c r="EQ127" t="e">
        <f>AND('GA55 Entry'!V406,"AAAAAF/5e5I=")</f>
        <v>#VALUE!</v>
      </c>
      <c r="ER127" t="e">
        <f>AND('GA55 Entry'!#REF!,"AAAAAF/5e5M=")</f>
        <v>#REF!</v>
      </c>
      <c r="ES127" t="e">
        <f>AND('GA55 Entry'!#REF!,"AAAAAF/5e5Q=")</f>
        <v>#REF!</v>
      </c>
      <c r="ET127" t="e">
        <f>AND('GA55 Entry'!X406,"AAAAAF/5e5U=")</f>
        <v>#VALUE!</v>
      </c>
      <c r="EU127" t="e">
        <f>AND('GA55 Entry'!Y406,"AAAAAF/5e5Y=")</f>
        <v>#VALUE!</v>
      </c>
      <c r="EV127" t="e">
        <f>AND('GA55 Entry'!#REF!,"AAAAAF/5e5c=")</f>
        <v>#REF!</v>
      </c>
      <c r="EW127" t="e">
        <f>AND('GA55 Entry'!#REF!,"AAAAAF/5e5g=")</f>
        <v>#REF!</v>
      </c>
      <c r="EX127" t="e">
        <f>AND('GA55 Entry'!#REF!,"AAAAAF/5e5k=")</f>
        <v>#REF!</v>
      </c>
      <c r="EY127" t="e">
        <f>AND('GA55 Entry'!#REF!,"AAAAAF/5e5o=")</f>
        <v>#REF!</v>
      </c>
      <c r="EZ127" t="e">
        <f>AND('GA55 Entry'!#REF!,"AAAAAF/5e5s=")</f>
        <v>#REF!</v>
      </c>
      <c r="FA127" t="e">
        <f>AND('GA55 Entry'!#REF!,"AAAAAF/5e5w=")</f>
        <v>#REF!</v>
      </c>
      <c r="FB127" t="e">
        <f>AND('GA55 Entry'!#REF!,"AAAAAF/5e50=")</f>
        <v>#REF!</v>
      </c>
      <c r="FC127" t="e">
        <f>AND('GA55 Entry'!#REF!,"AAAAAF/5e54=")</f>
        <v>#REF!</v>
      </c>
      <c r="FD127" t="e">
        <f>AND('GA55 Entry'!#REF!,"AAAAAF/5e58=")</f>
        <v>#REF!</v>
      </c>
      <c r="FE127" t="e">
        <f>AND('GA55 Entry'!Z406,"AAAAAF/5e6A=")</f>
        <v>#VALUE!</v>
      </c>
      <c r="FF127" t="e">
        <f>AND('GA55 Entry'!AA406,"AAAAAF/5e6E=")</f>
        <v>#VALUE!</v>
      </c>
      <c r="FG127" t="e">
        <f>AND('GA55 Entry'!#REF!,"AAAAAF/5e6I=")</f>
        <v>#REF!</v>
      </c>
      <c r="FH127" t="e">
        <f>AND('GA55 Entry'!#REF!,"AAAAAF/5e6M=")</f>
        <v>#REF!</v>
      </c>
      <c r="FI127" t="e">
        <f>AND('GA55 Entry'!#REF!,"AAAAAF/5e6Q=")</f>
        <v>#REF!</v>
      </c>
      <c r="FJ127" t="e">
        <f>AND('GA55 Entry'!AB406,"AAAAAF/5e6U=")</f>
        <v>#VALUE!</v>
      </c>
      <c r="FK127" t="e">
        <f>AND('GA55 Entry'!AC406,"AAAAAF/5e6Y=")</f>
        <v>#VALUE!</v>
      </c>
      <c r="FL127" t="e">
        <f>AND('GA55 Entry'!#REF!,"AAAAAF/5e6c=")</f>
        <v>#REF!</v>
      </c>
      <c r="FM127">
        <f>IF('GA55 Entry'!407:407,"AAAAAF/5e6g=",0)</f>
        <v>0</v>
      </c>
      <c r="FN127" t="e">
        <f>AND('GA55 Entry'!B407,"AAAAAF/5e6k=")</f>
        <v>#VALUE!</v>
      </c>
      <c r="FO127" t="e">
        <f>AND('GA55 Entry'!#REF!,"AAAAAF/5e6o=")</f>
        <v>#REF!</v>
      </c>
      <c r="FP127" t="e">
        <f>AND('GA55 Entry'!C407,"AAAAAF/5e6s=")</f>
        <v>#VALUE!</v>
      </c>
      <c r="FQ127" t="e">
        <f>AND('GA55 Entry'!#REF!,"AAAAAF/5e6w=")</f>
        <v>#REF!</v>
      </c>
      <c r="FR127" t="e">
        <f>AND('GA55 Entry'!#REF!,"AAAAAF/5e60=")</f>
        <v>#REF!</v>
      </c>
      <c r="FS127" t="e">
        <f>AND('GA55 Entry'!#REF!,"AAAAAF/5e64=")</f>
        <v>#REF!</v>
      </c>
      <c r="FT127" t="e">
        <f>AND('GA55 Entry'!#REF!,"AAAAAF/5e68=")</f>
        <v>#REF!</v>
      </c>
      <c r="FU127" t="e">
        <f>AND('GA55 Entry'!#REF!,"AAAAAF/5e7A=")</f>
        <v>#REF!</v>
      </c>
      <c r="FV127" t="e">
        <f>AND('GA55 Entry'!D407,"AAAAAF/5e7E=")</f>
        <v>#VALUE!</v>
      </c>
      <c r="FW127" t="e">
        <f>AND('GA55 Entry'!#REF!,"AAAAAF/5e7I=")</f>
        <v>#REF!</v>
      </c>
      <c r="FX127" t="e">
        <f>AND('GA55 Entry'!E407,"AAAAAF/5e7M=")</f>
        <v>#VALUE!</v>
      </c>
      <c r="FY127" t="e">
        <f>AND('GA55 Entry'!F407,"AAAAAF/5e7Q=")</f>
        <v>#VALUE!</v>
      </c>
      <c r="FZ127" t="e">
        <f>AND('GA55 Entry'!G407,"AAAAAF/5e7U=")</f>
        <v>#VALUE!</v>
      </c>
      <c r="GA127" t="e">
        <f>AND('GA55 Entry'!H407,"AAAAAF/5e7Y=")</f>
        <v>#VALUE!</v>
      </c>
      <c r="GB127" t="e">
        <f>AND('GA55 Entry'!I407,"AAAAAF/5e7c=")</f>
        <v>#VALUE!</v>
      </c>
      <c r="GC127" t="e">
        <f>AND('GA55 Entry'!J407,"AAAAAF/5e7g=")</f>
        <v>#VALUE!</v>
      </c>
      <c r="GD127" t="e">
        <f>AND('GA55 Entry'!#REF!,"AAAAAF/5e7k=")</f>
        <v>#REF!</v>
      </c>
      <c r="GE127" t="e">
        <f>AND('GA55 Entry'!K407,"AAAAAF/5e7o=")</f>
        <v>#VALUE!</v>
      </c>
      <c r="GF127" t="e">
        <f>AND('GA55 Entry'!L407,"AAAAAF/5e7s=")</f>
        <v>#VALUE!</v>
      </c>
      <c r="GG127" t="e">
        <f>AND('GA55 Entry'!M407,"AAAAAF/5e7w=")</f>
        <v>#VALUE!</v>
      </c>
      <c r="GH127" t="e">
        <f>AND('GA55 Entry'!N407,"AAAAAF/5e70=")</f>
        <v>#VALUE!</v>
      </c>
      <c r="GI127" t="e">
        <f>AND('GA55 Entry'!O407,"AAAAAF/5e74=")</f>
        <v>#VALUE!</v>
      </c>
      <c r="GJ127" t="e">
        <f>AND('GA55 Entry'!P407,"AAAAAF/5e78=")</f>
        <v>#VALUE!</v>
      </c>
      <c r="GK127" t="e">
        <f>AND('GA55 Entry'!Q407,"AAAAAF/5e8A=")</f>
        <v>#VALUE!</v>
      </c>
      <c r="GL127" t="e">
        <f>AND('GA55 Entry'!S407,"AAAAAF/5e8E=")</f>
        <v>#VALUE!</v>
      </c>
      <c r="GM127" t="e">
        <f>AND('GA55 Entry'!#REF!,"AAAAAF/5e8I=")</f>
        <v>#REF!</v>
      </c>
      <c r="GN127" t="e">
        <f>AND('GA55 Entry'!T407,"AAAAAF/5e8M=")</f>
        <v>#VALUE!</v>
      </c>
      <c r="GO127" t="e">
        <f>AND('GA55 Entry'!U407,"AAAAAF/5e8Q=")</f>
        <v>#VALUE!</v>
      </c>
      <c r="GP127" t="e">
        <f>AND('GA55 Entry'!V407,"AAAAAF/5e8U=")</f>
        <v>#VALUE!</v>
      </c>
      <c r="GQ127" t="e">
        <f>AND('GA55 Entry'!#REF!,"AAAAAF/5e8Y=")</f>
        <v>#REF!</v>
      </c>
      <c r="GR127" t="e">
        <f>AND('GA55 Entry'!#REF!,"AAAAAF/5e8c=")</f>
        <v>#REF!</v>
      </c>
      <c r="GS127" t="e">
        <f>AND('GA55 Entry'!X407,"AAAAAF/5e8g=")</f>
        <v>#VALUE!</v>
      </c>
      <c r="GT127" t="e">
        <f>AND('GA55 Entry'!Y407,"AAAAAF/5e8k=")</f>
        <v>#VALUE!</v>
      </c>
      <c r="GU127" t="e">
        <f>AND('GA55 Entry'!#REF!,"AAAAAF/5e8o=")</f>
        <v>#REF!</v>
      </c>
      <c r="GV127" t="e">
        <f>AND('GA55 Entry'!#REF!,"AAAAAF/5e8s=")</f>
        <v>#REF!</v>
      </c>
      <c r="GW127" t="e">
        <f>AND('GA55 Entry'!#REF!,"AAAAAF/5e8w=")</f>
        <v>#REF!</v>
      </c>
      <c r="GX127" t="e">
        <f>AND('GA55 Entry'!#REF!,"AAAAAF/5e80=")</f>
        <v>#REF!</v>
      </c>
      <c r="GY127" t="e">
        <f>AND('GA55 Entry'!#REF!,"AAAAAF/5e84=")</f>
        <v>#REF!</v>
      </c>
      <c r="GZ127" t="e">
        <f>AND('GA55 Entry'!#REF!,"AAAAAF/5e88=")</f>
        <v>#REF!</v>
      </c>
      <c r="HA127" t="e">
        <f>AND('GA55 Entry'!#REF!,"AAAAAF/5e9A=")</f>
        <v>#REF!</v>
      </c>
      <c r="HB127" t="e">
        <f>AND('GA55 Entry'!#REF!,"AAAAAF/5e9E=")</f>
        <v>#REF!</v>
      </c>
      <c r="HC127" t="e">
        <f>AND('GA55 Entry'!#REF!,"AAAAAF/5e9I=")</f>
        <v>#REF!</v>
      </c>
      <c r="HD127" t="e">
        <f>AND('GA55 Entry'!Z407,"AAAAAF/5e9M=")</f>
        <v>#VALUE!</v>
      </c>
      <c r="HE127" t="e">
        <f>AND('GA55 Entry'!AA407,"AAAAAF/5e9Q=")</f>
        <v>#VALUE!</v>
      </c>
      <c r="HF127" t="e">
        <f>AND('GA55 Entry'!#REF!,"AAAAAF/5e9U=")</f>
        <v>#REF!</v>
      </c>
      <c r="HG127" t="e">
        <f>AND('GA55 Entry'!#REF!,"AAAAAF/5e9Y=")</f>
        <v>#REF!</v>
      </c>
      <c r="HH127" t="e">
        <f>AND('GA55 Entry'!#REF!,"AAAAAF/5e9c=")</f>
        <v>#REF!</v>
      </c>
      <c r="HI127" t="e">
        <f>AND('GA55 Entry'!AB407,"AAAAAF/5e9g=")</f>
        <v>#VALUE!</v>
      </c>
      <c r="HJ127" t="e">
        <f>AND('GA55 Entry'!AC407,"AAAAAF/5e9k=")</f>
        <v>#VALUE!</v>
      </c>
      <c r="HK127" t="e">
        <f>AND('GA55 Entry'!#REF!,"AAAAAF/5e9o=")</f>
        <v>#REF!</v>
      </c>
      <c r="HL127">
        <f>IF('GA55 Entry'!408:408,"AAAAAF/5e9s=",0)</f>
        <v>0</v>
      </c>
      <c r="HM127" t="e">
        <f>AND('GA55 Entry'!B408,"AAAAAF/5e9w=")</f>
        <v>#VALUE!</v>
      </c>
      <c r="HN127" t="e">
        <f>AND('GA55 Entry'!#REF!,"AAAAAF/5e90=")</f>
        <v>#REF!</v>
      </c>
      <c r="HO127" t="e">
        <f>AND('GA55 Entry'!C408,"AAAAAF/5e94=")</f>
        <v>#VALUE!</v>
      </c>
      <c r="HP127" t="e">
        <f>AND('GA55 Entry'!#REF!,"AAAAAF/5e98=")</f>
        <v>#REF!</v>
      </c>
      <c r="HQ127" t="e">
        <f>AND('GA55 Entry'!#REF!,"AAAAAF/5e+A=")</f>
        <v>#REF!</v>
      </c>
      <c r="HR127" t="e">
        <f>AND('GA55 Entry'!#REF!,"AAAAAF/5e+E=")</f>
        <v>#REF!</v>
      </c>
      <c r="HS127" t="e">
        <f>AND('GA55 Entry'!#REF!,"AAAAAF/5e+I=")</f>
        <v>#REF!</v>
      </c>
      <c r="HT127" t="e">
        <f>AND('GA55 Entry'!#REF!,"AAAAAF/5e+M=")</f>
        <v>#REF!</v>
      </c>
      <c r="HU127" t="e">
        <f>AND('GA55 Entry'!D408,"AAAAAF/5e+Q=")</f>
        <v>#VALUE!</v>
      </c>
      <c r="HV127" t="e">
        <f>AND('GA55 Entry'!#REF!,"AAAAAF/5e+U=")</f>
        <v>#REF!</v>
      </c>
      <c r="HW127" t="e">
        <f>AND('GA55 Entry'!E408,"AAAAAF/5e+Y=")</f>
        <v>#VALUE!</v>
      </c>
      <c r="HX127" t="e">
        <f>AND('GA55 Entry'!F408,"AAAAAF/5e+c=")</f>
        <v>#VALUE!</v>
      </c>
      <c r="HY127" t="e">
        <f>AND('GA55 Entry'!G408,"AAAAAF/5e+g=")</f>
        <v>#VALUE!</v>
      </c>
      <c r="HZ127" t="e">
        <f>AND('GA55 Entry'!H408,"AAAAAF/5e+k=")</f>
        <v>#VALUE!</v>
      </c>
      <c r="IA127" t="e">
        <f>AND('GA55 Entry'!I408,"AAAAAF/5e+o=")</f>
        <v>#VALUE!</v>
      </c>
      <c r="IB127" t="e">
        <f>AND('GA55 Entry'!J408,"AAAAAF/5e+s=")</f>
        <v>#VALUE!</v>
      </c>
      <c r="IC127" t="e">
        <f>AND('GA55 Entry'!#REF!,"AAAAAF/5e+w=")</f>
        <v>#REF!</v>
      </c>
      <c r="ID127" t="e">
        <f>AND('GA55 Entry'!K408,"AAAAAF/5e+0=")</f>
        <v>#VALUE!</v>
      </c>
      <c r="IE127" t="e">
        <f>AND('GA55 Entry'!L408,"AAAAAF/5e+4=")</f>
        <v>#VALUE!</v>
      </c>
      <c r="IF127" t="e">
        <f>AND('GA55 Entry'!M408,"AAAAAF/5e+8=")</f>
        <v>#VALUE!</v>
      </c>
      <c r="IG127" t="e">
        <f>AND('GA55 Entry'!N408,"AAAAAF/5e/A=")</f>
        <v>#VALUE!</v>
      </c>
      <c r="IH127" t="e">
        <f>AND('GA55 Entry'!O408,"AAAAAF/5e/E=")</f>
        <v>#VALUE!</v>
      </c>
      <c r="II127" t="e">
        <f>AND('GA55 Entry'!P408,"AAAAAF/5e/I=")</f>
        <v>#VALUE!</v>
      </c>
      <c r="IJ127" t="e">
        <f>AND('GA55 Entry'!Q408,"AAAAAF/5e/M=")</f>
        <v>#VALUE!</v>
      </c>
      <c r="IK127" t="e">
        <f>AND('GA55 Entry'!S408,"AAAAAF/5e/Q=")</f>
        <v>#VALUE!</v>
      </c>
      <c r="IL127" t="e">
        <f>AND('GA55 Entry'!#REF!,"AAAAAF/5e/U=")</f>
        <v>#REF!</v>
      </c>
      <c r="IM127" t="e">
        <f>AND('GA55 Entry'!T408,"AAAAAF/5e/Y=")</f>
        <v>#VALUE!</v>
      </c>
      <c r="IN127" t="e">
        <f>AND('GA55 Entry'!U408,"AAAAAF/5e/c=")</f>
        <v>#VALUE!</v>
      </c>
      <c r="IO127" t="e">
        <f>AND('GA55 Entry'!V408,"AAAAAF/5e/g=")</f>
        <v>#VALUE!</v>
      </c>
      <c r="IP127" t="e">
        <f>AND('GA55 Entry'!#REF!,"AAAAAF/5e/k=")</f>
        <v>#REF!</v>
      </c>
      <c r="IQ127" t="e">
        <f>AND('GA55 Entry'!#REF!,"AAAAAF/5e/o=")</f>
        <v>#REF!</v>
      </c>
      <c r="IR127" t="e">
        <f>AND('GA55 Entry'!X408,"AAAAAF/5e/s=")</f>
        <v>#VALUE!</v>
      </c>
      <c r="IS127" t="e">
        <f>AND('GA55 Entry'!Y408,"AAAAAF/5e/w=")</f>
        <v>#VALUE!</v>
      </c>
      <c r="IT127" t="e">
        <f>AND('GA55 Entry'!#REF!,"AAAAAF/5e/0=")</f>
        <v>#REF!</v>
      </c>
      <c r="IU127" t="e">
        <f>AND('GA55 Entry'!#REF!,"AAAAAF/5e/4=")</f>
        <v>#REF!</v>
      </c>
      <c r="IV127" t="e">
        <f>AND('GA55 Entry'!#REF!,"AAAAAF/5e/8=")</f>
        <v>#REF!</v>
      </c>
    </row>
    <row r="128" spans="1:256">
      <c r="A128" t="e">
        <f>AND('GA55 Entry'!#REF!,"AAAAAHf03QA=")</f>
        <v>#REF!</v>
      </c>
      <c r="B128" t="e">
        <f>AND('GA55 Entry'!#REF!,"AAAAAHf03QE=")</f>
        <v>#REF!</v>
      </c>
      <c r="C128" t="e">
        <f>AND('GA55 Entry'!#REF!,"AAAAAHf03QI=")</f>
        <v>#REF!</v>
      </c>
      <c r="D128" t="e">
        <f>AND('GA55 Entry'!#REF!,"AAAAAHf03QM=")</f>
        <v>#REF!</v>
      </c>
      <c r="E128" t="e">
        <f>AND('GA55 Entry'!#REF!,"AAAAAHf03QQ=")</f>
        <v>#REF!</v>
      </c>
      <c r="F128" t="e">
        <f>AND('GA55 Entry'!#REF!,"AAAAAHf03QU=")</f>
        <v>#REF!</v>
      </c>
      <c r="G128" t="e">
        <f>AND('GA55 Entry'!Z408,"AAAAAHf03QY=")</f>
        <v>#VALUE!</v>
      </c>
      <c r="H128" t="e">
        <f>AND('GA55 Entry'!AA408,"AAAAAHf03Qc=")</f>
        <v>#VALUE!</v>
      </c>
      <c r="I128" t="e">
        <f>AND('GA55 Entry'!#REF!,"AAAAAHf03Qg=")</f>
        <v>#REF!</v>
      </c>
      <c r="J128" t="e">
        <f>AND('GA55 Entry'!#REF!,"AAAAAHf03Qk=")</f>
        <v>#REF!</v>
      </c>
      <c r="K128" t="e">
        <f>AND('GA55 Entry'!#REF!,"AAAAAHf03Qo=")</f>
        <v>#REF!</v>
      </c>
      <c r="L128" t="e">
        <f>AND('GA55 Entry'!AB408,"AAAAAHf03Qs=")</f>
        <v>#VALUE!</v>
      </c>
      <c r="M128" t="e">
        <f>AND('GA55 Entry'!AC408,"AAAAAHf03Qw=")</f>
        <v>#VALUE!</v>
      </c>
      <c r="N128" t="e">
        <f>AND('GA55 Entry'!#REF!,"AAAAAHf03Q0=")</f>
        <v>#REF!</v>
      </c>
      <c r="O128">
        <f>IF('GA55 Entry'!409:409,"AAAAAHf03Q4=",0)</f>
        <v>0</v>
      </c>
      <c r="P128" t="e">
        <f>AND('GA55 Entry'!B409,"AAAAAHf03Q8=")</f>
        <v>#VALUE!</v>
      </c>
      <c r="Q128" t="e">
        <f>AND('GA55 Entry'!#REF!,"AAAAAHf03RA=")</f>
        <v>#REF!</v>
      </c>
      <c r="R128" t="e">
        <f>AND('GA55 Entry'!C409,"AAAAAHf03RE=")</f>
        <v>#VALUE!</v>
      </c>
      <c r="S128" t="e">
        <f>AND('GA55 Entry'!#REF!,"AAAAAHf03RI=")</f>
        <v>#REF!</v>
      </c>
      <c r="T128" t="e">
        <f>AND('GA55 Entry'!#REF!,"AAAAAHf03RM=")</f>
        <v>#REF!</v>
      </c>
      <c r="U128" t="e">
        <f>AND('GA55 Entry'!#REF!,"AAAAAHf03RQ=")</f>
        <v>#REF!</v>
      </c>
      <c r="V128" t="e">
        <f>AND('GA55 Entry'!#REF!,"AAAAAHf03RU=")</f>
        <v>#REF!</v>
      </c>
      <c r="W128" t="e">
        <f>AND('GA55 Entry'!#REF!,"AAAAAHf03RY=")</f>
        <v>#REF!</v>
      </c>
      <c r="X128" t="e">
        <f>AND('GA55 Entry'!D409,"AAAAAHf03Rc=")</f>
        <v>#VALUE!</v>
      </c>
      <c r="Y128" t="e">
        <f>AND('GA55 Entry'!#REF!,"AAAAAHf03Rg=")</f>
        <v>#REF!</v>
      </c>
      <c r="Z128" t="e">
        <f>AND('GA55 Entry'!E409,"AAAAAHf03Rk=")</f>
        <v>#VALUE!</v>
      </c>
      <c r="AA128" t="e">
        <f>AND('GA55 Entry'!F409,"AAAAAHf03Ro=")</f>
        <v>#VALUE!</v>
      </c>
      <c r="AB128" t="e">
        <f>AND('GA55 Entry'!G409,"AAAAAHf03Rs=")</f>
        <v>#VALUE!</v>
      </c>
      <c r="AC128" t="e">
        <f>AND('GA55 Entry'!H409,"AAAAAHf03Rw=")</f>
        <v>#VALUE!</v>
      </c>
      <c r="AD128" t="e">
        <f>AND('GA55 Entry'!I409,"AAAAAHf03R0=")</f>
        <v>#VALUE!</v>
      </c>
      <c r="AE128" t="e">
        <f>AND('GA55 Entry'!J409,"AAAAAHf03R4=")</f>
        <v>#VALUE!</v>
      </c>
      <c r="AF128" t="e">
        <f>AND('GA55 Entry'!#REF!,"AAAAAHf03R8=")</f>
        <v>#REF!</v>
      </c>
      <c r="AG128" t="e">
        <f>AND('GA55 Entry'!K409,"AAAAAHf03SA=")</f>
        <v>#VALUE!</v>
      </c>
      <c r="AH128" t="e">
        <f>AND('GA55 Entry'!L409,"AAAAAHf03SE=")</f>
        <v>#VALUE!</v>
      </c>
      <c r="AI128" t="e">
        <f>AND('GA55 Entry'!M409,"AAAAAHf03SI=")</f>
        <v>#VALUE!</v>
      </c>
      <c r="AJ128" t="e">
        <f>AND('GA55 Entry'!N409,"AAAAAHf03SM=")</f>
        <v>#VALUE!</v>
      </c>
      <c r="AK128" t="e">
        <f>AND('GA55 Entry'!O409,"AAAAAHf03SQ=")</f>
        <v>#VALUE!</v>
      </c>
      <c r="AL128" t="e">
        <f>AND('GA55 Entry'!P409,"AAAAAHf03SU=")</f>
        <v>#VALUE!</v>
      </c>
      <c r="AM128" t="e">
        <f>AND('GA55 Entry'!Q409,"AAAAAHf03SY=")</f>
        <v>#VALUE!</v>
      </c>
      <c r="AN128" t="e">
        <f>AND('GA55 Entry'!S409,"AAAAAHf03Sc=")</f>
        <v>#VALUE!</v>
      </c>
      <c r="AO128" t="e">
        <f>AND('GA55 Entry'!#REF!,"AAAAAHf03Sg=")</f>
        <v>#REF!</v>
      </c>
      <c r="AP128" t="e">
        <f>AND('GA55 Entry'!T409,"AAAAAHf03Sk=")</f>
        <v>#VALUE!</v>
      </c>
      <c r="AQ128" t="e">
        <f>AND('GA55 Entry'!U409,"AAAAAHf03So=")</f>
        <v>#VALUE!</v>
      </c>
      <c r="AR128" t="e">
        <f>AND('GA55 Entry'!V409,"AAAAAHf03Ss=")</f>
        <v>#VALUE!</v>
      </c>
      <c r="AS128" t="e">
        <f>AND('GA55 Entry'!#REF!,"AAAAAHf03Sw=")</f>
        <v>#REF!</v>
      </c>
      <c r="AT128" t="e">
        <f>AND('GA55 Entry'!#REF!,"AAAAAHf03S0=")</f>
        <v>#REF!</v>
      </c>
      <c r="AU128" t="e">
        <f>AND('GA55 Entry'!X409,"AAAAAHf03S4=")</f>
        <v>#VALUE!</v>
      </c>
      <c r="AV128" t="e">
        <f>AND('GA55 Entry'!Y409,"AAAAAHf03S8=")</f>
        <v>#VALUE!</v>
      </c>
      <c r="AW128" t="e">
        <f>AND('GA55 Entry'!#REF!,"AAAAAHf03TA=")</f>
        <v>#REF!</v>
      </c>
      <c r="AX128" t="e">
        <f>AND('GA55 Entry'!#REF!,"AAAAAHf03TE=")</f>
        <v>#REF!</v>
      </c>
      <c r="AY128" t="e">
        <f>AND('GA55 Entry'!#REF!,"AAAAAHf03TI=")</f>
        <v>#REF!</v>
      </c>
      <c r="AZ128" t="e">
        <f>AND('GA55 Entry'!#REF!,"AAAAAHf03TM=")</f>
        <v>#REF!</v>
      </c>
      <c r="BA128" t="e">
        <f>AND('GA55 Entry'!#REF!,"AAAAAHf03TQ=")</f>
        <v>#REF!</v>
      </c>
      <c r="BB128" t="e">
        <f>AND('GA55 Entry'!#REF!,"AAAAAHf03TU=")</f>
        <v>#REF!</v>
      </c>
      <c r="BC128" t="e">
        <f>AND('GA55 Entry'!#REF!,"AAAAAHf03TY=")</f>
        <v>#REF!</v>
      </c>
      <c r="BD128" t="e">
        <f>AND('GA55 Entry'!#REF!,"AAAAAHf03Tc=")</f>
        <v>#REF!</v>
      </c>
      <c r="BE128" t="e">
        <f>AND('GA55 Entry'!#REF!,"AAAAAHf03Tg=")</f>
        <v>#REF!</v>
      </c>
      <c r="BF128" t="e">
        <f>AND('GA55 Entry'!Z409,"AAAAAHf03Tk=")</f>
        <v>#VALUE!</v>
      </c>
      <c r="BG128" t="e">
        <f>AND('GA55 Entry'!AA409,"AAAAAHf03To=")</f>
        <v>#VALUE!</v>
      </c>
      <c r="BH128" t="e">
        <f>AND('GA55 Entry'!#REF!,"AAAAAHf03Ts=")</f>
        <v>#REF!</v>
      </c>
      <c r="BI128" t="e">
        <f>AND('GA55 Entry'!#REF!,"AAAAAHf03Tw=")</f>
        <v>#REF!</v>
      </c>
      <c r="BJ128" t="e">
        <f>AND('GA55 Entry'!#REF!,"AAAAAHf03T0=")</f>
        <v>#REF!</v>
      </c>
      <c r="BK128" t="e">
        <f>AND('GA55 Entry'!AB409,"AAAAAHf03T4=")</f>
        <v>#VALUE!</v>
      </c>
      <c r="BL128" t="e">
        <f>AND('GA55 Entry'!AC409,"AAAAAHf03T8=")</f>
        <v>#VALUE!</v>
      </c>
      <c r="BM128" t="e">
        <f>AND('GA55 Entry'!#REF!,"AAAAAHf03UA=")</f>
        <v>#REF!</v>
      </c>
      <c r="BN128">
        <f>IF('GA55 Entry'!410:410,"AAAAAHf03UE=",0)</f>
        <v>0</v>
      </c>
      <c r="BO128" t="e">
        <f>AND('GA55 Entry'!B410,"AAAAAHf03UI=")</f>
        <v>#VALUE!</v>
      </c>
      <c r="BP128" t="e">
        <f>AND('GA55 Entry'!#REF!,"AAAAAHf03UM=")</f>
        <v>#REF!</v>
      </c>
      <c r="BQ128" t="e">
        <f>AND('GA55 Entry'!C410,"AAAAAHf03UQ=")</f>
        <v>#VALUE!</v>
      </c>
      <c r="BR128" t="e">
        <f>AND('GA55 Entry'!#REF!,"AAAAAHf03UU=")</f>
        <v>#REF!</v>
      </c>
      <c r="BS128" t="e">
        <f>AND('GA55 Entry'!#REF!,"AAAAAHf03UY=")</f>
        <v>#REF!</v>
      </c>
      <c r="BT128" t="e">
        <f>AND('GA55 Entry'!#REF!,"AAAAAHf03Uc=")</f>
        <v>#REF!</v>
      </c>
      <c r="BU128" t="e">
        <f>AND('GA55 Entry'!#REF!,"AAAAAHf03Ug=")</f>
        <v>#REF!</v>
      </c>
      <c r="BV128" t="e">
        <f>AND('GA55 Entry'!#REF!,"AAAAAHf03Uk=")</f>
        <v>#REF!</v>
      </c>
      <c r="BW128" t="e">
        <f>AND('GA55 Entry'!D410,"AAAAAHf03Uo=")</f>
        <v>#VALUE!</v>
      </c>
      <c r="BX128" t="e">
        <f>AND('GA55 Entry'!#REF!,"AAAAAHf03Us=")</f>
        <v>#REF!</v>
      </c>
      <c r="BY128" t="e">
        <f>AND('GA55 Entry'!E410,"AAAAAHf03Uw=")</f>
        <v>#VALUE!</v>
      </c>
      <c r="BZ128" t="e">
        <f>AND('GA55 Entry'!F410,"AAAAAHf03U0=")</f>
        <v>#VALUE!</v>
      </c>
      <c r="CA128" t="e">
        <f>AND('GA55 Entry'!G410,"AAAAAHf03U4=")</f>
        <v>#VALUE!</v>
      </c>
      <c r="CB128" t="e">
        <f>AND('GA55 Entry'!H410,"AAAAAHf03U8=")</f>
        <v>#VALUE!</v>
      </c>
      <c r="CC128" t="e">
        <f>AND('GA55 Entry'!I410,"AAAAAHf03VA=")</f>
        <v>#VALUE!</v>
      </c>
      <c r="CD128" t="e">
        <f>AND('GA55 Entry'!J410,"AAAAAHf03VE=")</f>
        <v>#VALUE!</v>
      </c>
      <c r="CE128" t="e">
        <f>AND('GA55 Entry'!#REF!,"AAAAAHf03VI=")</f>
        <v>#REF!</v>
      </c>
      <c r="CF128" t="e">
        <f>AND('GA55 Entry'!K410,"AAAAAHf03VM=")</f>
        <v>#VALUE!</v>
      </c>
      <c r="CG128" t="e">
        <f>AND('GA55 Entry'!L410,"AAAAAHf03VQ=")</f>
        <v>#VALUE!</v>
      </c>
      <c r="CH128" t="e">
        <f>AND('GA55 Entry'!M410,"AAAAAHf03VU=")</f>
        <v>#VALUE!</v>
      </c>
      <c r="CI128" t="e">
        <f>AND('GA55 Entry'!N410,"AAAAAHf03VY=")</f>
        <v>#VALUE!</v>
      </c>
      <c r="CJ128" t="e">
        <f>AND('GA55 Entry'!O410,"AAAAAHf03Vc=")</f>
        <v>#VALUE!</v>
      </c>
      <c r="CK128" t="e">
        <f>AND('GA55 Entry'!P410,"AAAAAHf03Vg=")</f>
        <v>#VALUE!</v>
      </c>
      <c r="CL128" t="e">
        <f>AND('GA55 Entry'!Q410,"AAAAAHf03Vk=")</f>
        <v>#VALUE!</v>
      </c>
      <c r="CM128" t="e">
        <f>AND('GA55 Entry'!S410,"AAAAAHf03Vo=")</f>
        <v>#VALUE!</v>
      </c>
      <c r="CN128" t="e">
        <f>AND('GA55 Entry'!#REF!,"AAAAAHf03Vs=")</f>
        <v>#REF!</v>
      </c>
      <c r="CO128" t="e">
        <f>AND('GA55 Entry'!T410,"AAAAAHf03Vw=")</f>
        <v>#VALUE!</v>
      </c>
      <c r="CP128" t="e">
        <f>AND('GA55 Entry'!U410,"AAAAAHf03V0=")</f>
        <v>#VALUE!</v>
      </c>
      <c r="CQ128" t="e">
        <f>AND('GA55 Entry'!V410,"AAAAAHf03V4=")</f>
        <v>#VALUE!</v>
      </c>
      <c r="CR128" t="e">
        <f>AND('GA55 Entry'!#REF!,"AAAAAHf03V8=")</f>
        <v>#REF!</v>
      </c>
      <c r="CS128" t="e">
        <f>AND('GA55 Entry'!#REF!,"AAAAAHf03WA=")</f>
        <v>#REF!</v>
      </c>
      <c r="CT128" t="e">
        <f>AND('GA55 Entry'!X410,"AAAAAHf03WE=")</f>
        <v>#VALUE!</v>
      </c>
      <c r="CU128" t="e">
        <f>AND('GA55 Entry'!Y410,"AAAAAHf03WI=")</f>
        <v>#VALUE!</v>
      </c>
      <c r="CV128" t="e">
        <f>AND('GA55 Entry'!#REF!,"AAAAAHf03WM=")</f>
        <v>#REF!</v>
      </c>
      <c r="CW128" t="e">
        <f>AND('GA55 Entry'!#REF!,"AAAAAHf03WQ=")</f>
        <v>#REF!</v>
      </c>
      <c r="CX128" t="e">
        <f>AND('GA55 Entry'!#REF!,"AAAAAHf03WU=")</f>
        <v>#REF!</v>
      </c>
      <c r="CY128" t="e">
        <f>AND('GA55 Entry'!#REF!,"AAAAAHf03WY=")</f>
        <v>#REF!</v>
      </c>
      <c r="CZ128" t="e">
        <f>AND('GA55 Entry'!#REF!,"AAAAAHf03Wc=")</f>
        <v>#REF!</v>
      </c>
      <c r="DA128" t="e">
        <f>AND('GA55 Entry'!#REF!,"AAAAAHf03Wg=")</f>
        <v>#REF!</v>
      </c>
      <c r="DB128" t="e">
        <f>AND('GA55 Entry'!#REF!,"AAAAAHf03Wk=")</f>
        <v>#REF!</v>
      </c>
      <c r="DC128" t="e">
        <f>AND('GA55 Entry'!#REF!,"AAAAAHf03Wo=")</f>
        <v>#REF!</v>
      </c>
      <c r="DD128" t="e">
        <f>AND('GA55 Entry'!#REF!,"AAAAAHf03Ws=")</f>
        <v>#REF!</v>
      </c>
      <c r="DE128" t="e">
        <f>AND('GA55 Entry'!Z410,"AAAAAHf03Ww=")</f>
        <v>#VALUE!</v>
      </c>
      <c r="DF128" t="e">
        <f>AND('GA55 Entry'!AA410,"AAAAAHf03W0=")</f>
        <v>#VALUE!</v>
      </c>
      <c r="DG128" t="e">
        <f>AND('GA55 Entry'!#REF!,"AAAAAHf03W4=")</f>
        <v>#REF!</v>
      </c>
      <c r="DH128" t="e">
        <f>AND('GA55 Entry'!#REF!,"AAAAAHf03W8=")</f>
        <v>#REF!</v>
      </c>
      <c r="DI128" t="e">
        <f>AND('GA55 Entry'!#REF!,"AAAAAHf03XA=")</f>
        <v>#REF!</v>
      </c>
      <c r="DJ128" t="e">
        <f>AND('GA55 Entry'!AB410,"AAAAAHf03XE=")</f>
        <v>#VALUE!</v>
      </c>
      <c r="DK128" t="e">
        <f>AND('GA55 Entry'!AC410,"AAAAAHf03XI=")</f>
        <v>#VALUE!</v>
      </c>
      <c r="DL128" t="e">
        <f>AND('GA55 Entry'!#REF!,"AAAAAHf03XM=")</f>
        <v>#REF!</v>
      </c>
      <c r="DM128">
        <f>IF('GA55 Entry'!411:411,"AAAAAHf03XQ=",0)</f>
        <v>0</v>
      </c>
      <c r="DN128" t="e">
        <f>AND('GA55 Entry'!B411,"AAAAAHf03XU=")</f>
        <v>#VALUE!</v>
      </c>
      <c r="DO128" t="e">
        <f>AND('GA55 Entry'!#REF!,"AAAAAHf03XY=")</f>
        <v>#REF!</v>
      </c>
      <c r="DP128" t="e">
        <f>AND('GA55 Entry'!C411,"AAAAAHf03Xc=")</f>
        <v>#VALUE!</v>
      </c>
      <c r="DQ128" t="e">
        <f>AND('GA55 Entry'!#REF!,"AAAAAHf03Xg=")</f>
        <v>#REF!</v>
      </c>
      <c r="DR128" t="e">
        <f>AND('GA55 Entry'!#REF!,"AAAAAHf03Xk=")</f>
        <v>#REF!</v>
      </c>
      <c r="DS128" t="e">
        <f>AND('GA55 Entry'!#REF!,"AAAAAHf03Xo=")</f>
        <v>#REF!</v>
      </c>
      <c r="DT128" t="e">
        <f>AND('GA55 Entry'!#REF!,"AAAAAHf03Xs=")</f>
        <v>#REF!</v>
      </c>
      <c r="DU128" t="e">
        <f>AND('GA55 Entry'!#REF!,"AAAAAHf03Xw=")</f>
        <v>#REF!</v>
      </c>
      <c r="DV128" t="e">
        <f>AND('GA55 Entry'!D411,"AAAAAHf03X0=")</f>
        <v>#VALUE!</v>
      </c>
      <c r="DW128" t="e">
        <f>AND('GA55 Entry'!#REF!,"AAAAAHf03X4=")</f>
        <v>#REF!</v>
      </c>
      <c r="DX128" t="e">
        <f>AND('GA55 Entry'!E411,"AAAAAHf03X8=")</f>
        <v>#VALUE!</v>
      </c>
      <c r="DY128" t="e">
        <f>AND('GA55 Entry'!F411,"AAAAAHf03YA=")</f>
        <v>#VALUE!</v>
      </c>
      <c r="DZ128" t="e">
        <f>AND('GA55 Entry'!G411,"AAAAAHf03YE=")</f>
        <v>#VALUE!</v>
      </c>
      <c r="EA128" t="e">
        <f>AND('GA55 Entry'!H411,"AAAAAHf03YI=")</f>
        <v>#VALUE!</v>
      </c>
      <c r="EB128" t="e">
        <f>AND('GA55 Entry'!I411,"AAAAAHf03YM=")</f>
        <v>#VALUE!</v>
      </c>
      <c r="EC128" t="e">
        <f>AND('GA55 Entry'!J411,"AAAAAHf03YQ=")</f>
        <v>#VALUE!</v>
      </c>
      <c r="ED128" t="e">
        <f>AND('GA55 Entry'!#REF!,"AAAAAHf03YU=")</f>
        <v>#REF!</v>
      </c>
      <c r="EE128" t="e">
        <f>AND('GA55 Entry'!K411,"AAAAAHf03YY=")</f>
        <v>#VALUE!</v>
      </c>
      <c r="EF128" t="e">
        <f>AND('GA55 Entry'!L411,"AAAAAHf03Yc=")</f>
        <v>#VALUE!</v>
      </c>
      <c r="EG128" t="e">
        <f>AND('GA55 Entry'!M411,"AAAAAHf03Yg=")</f>
        <v>#VALUE!</v>
      </c>
      <c r="EH128" t="e">
        <f>AND('GA55 Entry'!N411,"AAAAAHf03Yk=")</f>
        <v>#VALUE!</v>
      </c>
      <c r="EI128" t="e">
        <f>AND('GA55 Entry'!O411,"AAAAAHf03Yo=")</f>
        <v>#VALUE!</v>
      </c>
      <c r="EJ128" t="e">
        <f>AND('GA55 Entry'!P411,"AAAAAHf03Ys=")</f>
        <v>#VALUE!</v>
      </c>
      <c r="EK128" t="e">
        <f>AND('GA55 Entry'!Q411,"AAAAAHf03Yw=")</f>
        <v>#VALUE!</v>
      </c>
      <c r="EL128" t="e">
        <f>AND('GA55 Entry'!S411,"AAAAAHf03Y0=")</f>
        <v>#VALUE!</v>
      </c>
      <c r="EM128" t="e">
        <f>AND('GA55 Entry'!#REF!,"AAAAAHf03Y4=")</f>
        <v>#REF!</v>
      </c>
      <c r="EN128" t="e">
        <f>AND('GA55 Entry'!T411,"AAAAAHf03Y8=")</f>
        <v>#VALUE!</v>
      </c>
      <c r="EO128" t="e">
        <f>AND('GA55 Entry'!U411,"AAAAAHf03ZA=")</f>
        <v>#VALUE!</v>
      </c>
      <c r="EP128" t="e">
        <f>AND('GA55 Entry'!V411,"AAAAAHf03ZE=")</f>
        <v>#VALUE!</v>
      </c>
      <c r="EQ128" t="e">
        <f>AND('GA55 Entry'!#REF!,"AAAAAHf03ZI=")</f>
        <v>#REF!</v>
      </c>
      <c r="ER128" t="e">
        <f>AND('GA55 Entry'!#REF!,"AAAAAHf03ZM=")</f>
        <v>#REF!</v>
      </c>
      <c r="ES128" t="e">
        <f>AND('GA55 Entry'!X411,"AAAAAHf03ZQ=")</f>
        <v>#VALUE!</v>
      </c>
      <c r="ET128" t="e">
        <f>AND('GA55 Entry'!Y411,"AAAAAHf03ZU=")</f>
        <v>#VALUE!</v>
      </c>
      <c r="EU128" t="e">
        <f>AND('GA55 Entry'!#REF!,"AAAAAHf03ZY=")</f>
        <v>#REF!</v>
      </c>
      <c r="EV128" t="e">
        <f>AND('GA55 Entry'!#REF!,"AAAAAHf03Zc=")</f>
        <v>#REF!</v>
      </c>
      <c r="EW128" t="e">
        <f>AND('GA55 Entry'!#REF!,"AAAAAHf03Zg=")</f>
        <v>#REF!</v>
      </c>
      <c r="EX128" t="e">
        <f>AND('GA55 Entry'!#REF!,"AAAAAHf03Zk=")</f>
        <v>#REF!</v>
      </c>
      <c r="EY128" t="e">
        <f>AND('GA55 Entry'!#REF!,"AAAAAHf03Zo=")</f>
        <v>#REF!</v>
      </c>
      <c r="EZ128" t="e">
        <f>AND('GA55 Entry'!#REF!,"AAAAAHf03Zs=")</f>
        <v>#REF!</v>
      </c>
      <c r="FA128" t="e">
        <f>AND('GA55 Entry'!#REF!,"AAAAAHf03Zw=")</f>
        <v>#REF!</v>
      </c>
      <c r="FB128" t="e">
        <f>AND('GA55 Entry'!#REF!,"AAAAAHf03Z0=")</f>
        <v>#REF!</v>
      </c>
      <c r="FC128" t="e">
        <f>AND('GA55 Entry'!#REF!,"AAAAAHf03Z4=")</f>
        <v>#REF!</v>
      </c>
      <c r="FD128" t="e">
        <f>AND('GA55 Entry'!Z411,"AAAAAHf03Z8=")</f>
        <v>#VALUE!</v>
      </c>
      <c r="FE128" t="e">
        <f>AND('GA55 Entry'!AA411,"AAAAAHf03aA=")</f>
        <v>#VALUE!</v>
      </c>
      <c r="FF128" t="e">
        <f>AND('GA55 Entry'!#REF!,"AAAAAHf03aE=")</f>
        <v>#REF!</v>
      </c>
      <c r="FG128" t="e">
        <f>AND('GA55 Entry'!#REF!,"AAAAAHf03aI=")</f>
        <v>#REF!</v>
      </c>
      <c r="FH128" t="e">
        <f>AND('GA55 Entry'!#REF!,"AAAAAHf03aM=")</f>
        <v>#REF!</v>
      </c>
      <c r="FI128" t="e">
        <f>AND('GA55 Entry'!AB411,"AAAAAHf03aQ=")</f>
        <v>#VALUE!</v>
      </c>
      <c r="FJ128" t="e">
        <f>AND('GA55 Entry'!AC411,"AAAAAHf03aU=")</f>
        <v>#VALUE!</v>
      </c>
      <c r="FK128" t="e">
        <f>AND('GA55 Entry'!#REF!,"AAAAAHf03aY=")</f>
        <v>#REF!</v>
      </c>
      <c r="FL128">
        <f>IF('GA55 Entry'!412:412,"AAAAAHf03ac=",0)</f>
        <v>0</v>
      </c>
      <c r="FM128" t="e">
        <f>AND('GA55 Entry'!B412,"AAAAAHf03ag=")</f>
        <v>#VALUE!</v>
      </c>
      <c r="FN128" t="e">
        <f>AND('GA55 Entry'!#REF!,"AAAAAHf03ak=")</f>
        <v>#REF!</v>
      </c>
      <c r="FO128" t="e">
        <f>AND('GA55 Entry'!C412,"AAAAAHf03ao=")</f>
        <v>#VALUE!</v>
      </c>
      <c r="FP128" t="e">
        <f>AND('GA55 Entry'!#REF!,"AAAAAHf03as=")</f>
        <v>#REF!</v>
      </c>
      <c r="FQ128" t="e">
        <f>AND('GA55 Entry'!#REF!,"AAAAAHf03aw=")</f>
        <v>#REF!</v>
      </c>
      <c r="FR128" t="e">
        <f>AND('GA55 Entry'!#REF!,"AAAAAHf03a0=")</f>
        <v>#REF!</v>
      </c>
      <c r="FS128" t="e">
        <f>AND('GA55 Entry'!#REF!,"AAAAAHf03a4=")</f>
        <v>#REF!</v>
      </c>
      <c r="FT128" t="e">
        <f>AND('GA55 Entry'!#REF!,"AAAAAHf03a8=")</f>
        <v>#REF!</v>
      </c>
      <c r="FU128" t="e">
        <f>AND('GA55 Entry'!D412,"AAAAAHf03bA=")</f>
        <v>#VALUE!</v>
      </c>
      <c r="FV128" t="e">
        <f>AND('GA55 Entry'!#REF!,"AAAAAHf03bE=")</f>
        <v>#REF!</v>
      </c>
      <c r="FW128" t="e">
        <f>AND('GA55 Entry'!E412,"AAAAAHf03bI=")</f>
        <v>#VALUE!</v>
      </c>
      <c r="FX128" t="e">
        <f>AND('GA55 Entry'!F412,"AAAAAHf03bM=")</f>
        <v>#VALUE!</v>
      </c>
      <c r="FY128" t="e">
        <f>AND('GA55 Entry'!G412,"AAAAAHf03bQ=")</f>
        <v>#VALUE!</v>
      </c>
      <c r="FZ128" t="e">
        <f>AND('GA55 Entry'!H412,"AAAAAHf03bU=")</f>
        <v>#VALUE!</v>
      </c>
      <c r="GA128" t="e">
        <f>AND('GA55 Entry'!I412,"AAAAAHf03bY=")</f>
        <v>#VALUE!</v>
      </c>
      <c r="GB128" t="e">
        <f>AND('GA55 Entry'!J412,"AAAAAHf03bc=")</f>
        <v>#VALUE!</v>
      </c>
      <c r="GC128" t="e">
        <f>AND('GA55 Entry'!#REF!,"AAAAAHf03bg=")</f>
        <v>#REF!</v>
      </c>
      <c r="GD128" t="e">
        <f>AND('GA55 Entry'!K412,"AAAAAHf03bk=")</f>
        <v>#VALUE!</v>
      </c>
      <c r="GE128" t="e">
        <f>AND('GA55 Entry'!L412,"AAAAAHf03bo=")</f>
        <v>#VALUE!</v>
      </c>
      <c r="GF128" t="e">
        <f>AND('GA55 Entry'!M412,"AAAAAHf03bs=")</f>
        <v>#VALUE!</v>
      </c>
      <c r="GG128" t="e">
        <f>AND('GA55 Entry'!N412,"AAAAAHf03bw=")</f>
        <v>#VALUE!</v>
      </c>
      <c r="GH128" t="e">
        <f>AND('GA55 Entry'!O412,"AAAAAHf03b0=")</f>
        <v>#VALUE!</v>
      </c>
      <c r="GI128" t="e">
        <f>AND('GA55 Entry'!P412,"AAAAAHf03b4=")</f>
        <v>#VALUE!</v>
      </c>
      <c r="GJ128" t="e">
        <f>AND('GA55 Entry'!Q412,"AAAAAHf03b8=")</f>
        <v>#VALUE!</v>
      </c>
      <c r="GK128" t="e">
        <f>AND('GA55 Entry'!S412,"AAAAAHf03cA=")</f>
        <v>#VALUE!</v>
      </c>
      <c r="GL128" t="e">
        <f>AND('GA55 Entry'!#REF!,"AAAAAHf03cE=")</f>
        <v>#REF!</v>
      </c>
      <c r="GM128" t="e">
        <f>AND('GA55 Entry'!T412,"AAAAAHf03cI=")</f>
        <v>#VALUE!</v>
      </c>
      <c r="GN128" t="e">
        <f>AND('GA55 Entry'!U412,"AAAAAHf03cM=")</f>
        <v>#VALUE!</v>
      </c>
      <c r="GO128" t="e">
        <f>AND('GA55 Entry'!V412,"AAAAAHf03cQ=")</f>
        <v>#VALUE!</v>
      </c>
      <c r="GP128" t="e">
        <f>AND('GA55 Entry'!#REF!,"AAAAAHf03cU=")</f>
        <v>#REF!</v>
      </c>
      <c r="GQ128" t="e">
        <f>AND('GA55 Entry'!#REF!,"AAAAAHf03cY=")</f>
        <v>#REF!</v>
      </c>
      <c r="GR128" t="e">
        <f>AND('GA55 Entry'!X412,"AAAAAHf03cc=")</f>
        <v>#VALUE!</v>
      </c>
      <c r="GS128" t="e">
        <f>AND('GA55 Entry'!Y412,"AAAAAHf03cg=")</f>
        <v>#VALUE!</v>
      </c>
      <c r="GT128" t="e">
        <f>AND('GA55 Entry'!#REF!,"AAAAAHf03ck=")</f>
        <v>#REF!</v>
      </c>
      <c r="GU128" t="e">
        <f>AND('GA55 Entry'!#REF!,"AAAAAHf03co=")</f>
        <v>#REF!</v>
      </c>
      <c r="GV128" t="e">
        <f>AND('GA55 Entry'!#REF!,"AAAAAHf03cs=")</f>
        <v>#REF!</v>
      </c>
      <c r="GW128" t="e">
        <f>AND('GA55 Entry'!#REF!,"AAAAAHf03cw=")</f>
        <v>#REF!</v>
      </c>
      <c r="GX128" t="e">
        <f>AND('GA55 Entry'!#REF!,"AAAAAHf03c0=")</f>
        <v>#REF!</v>
      </c>
      <c r="GY128" t="e">
        <f>AND('GA55 Entry'!#REF!,"AAAAAHf03c4=")</f>
        <v>#REF!</v>
      </c>
      <c r="GZ128" t="e">
        <f>AND('GA55 Entry'!#REF!,"AAAAAHf03c8=")</f>
        <v>#REF!</v>
      </c>
      <c r="HA128" t="e">
        <f>AND('GA55 Entry'!#REF!,"AAAAAHf03dA=")</f>
        <v>#REF!</v>
      </c>
      <c r="HB128" t="e">
        <f>AND('GA55 Entry'!#REF!,"AAAAAHf03dE=")</f>
        <v>#REF!</v>
      </c>
      <c r="HC128" t="e">
        <f>AND('GA55 Entry'!Z412,"AAAAAHf03dI=")</f>
        <v>#VALUE!</v>
      </c>
      <c r="HD128" t="e">
        <f>AND('GA55 Entry'!AA412,"AAAAAHf03dM=")</f>
        <v>#VALUE!</v>
      </c>
      <c r="HE128" t="e">
        <f>AND('GA55 Entry'!#REF!,"AAAAAHf03dQ=")</f>
        <v>#REF!</v>
      </c>
      <c r="HF128" t="e">
        <f>AND('GA55 Entry'!#REF!,"AAAAAHf03dU=")</f>
        <v>#REF!</v>
      </c>
      <c r="HG128" t="e">
        <f>AND('GA55 Entry'!#REF!,"AAAAAHf03dY=")</f>
        <v>#REF!</v>
      </c>
      <c r="HH128" t="e">
        <f>AND('GA55 Entry'!AB412,"AAAAAHf03dc=")</f>
        <v>#VALUE!</v>
      </c>
      <c r="HI128" t="e">
        <f>AND('GA55 Entry'!AC412,"AAAAAHf03dg=")</f>
        <v>#VALUE!</v>
      </c>
      <c r="HJ128" t="e">
        <f>AND('GA55 Entry'!#REF!,"AAAAAHf03dk=")</f>
        <v>#REF!</v>
      </c>
      <c r="HK128">
        <f>IF('GA55 Entry'!413:413,"AAAAAHf03do=",0)</f>
        <v>0</v>
      </c>
      <c r="HL128" t="e">
        <f>AND('GA55 Entry'!B413,"AAAAAHf03ds=")</f>
        <v>#VALUE!</v>
      </c>
      <c r="HM128" t="e">
        <f>AND('GA55 Entry'!#REF!,"AAAAAHf03dw=")</f>
        <v>#REF!</v>
      </c>
      <c r="HN128" t="e">
        <f>AND('GA55 Entry'!C413,"AAAAAHf03d0=")</f>
        <v>#VALUE!</v>
      </c>
      <c r="HO128" t="e">
        <f>AND('GA55 Entry'!#REF!,"AAAAAHf03d4=")</f>
        <v>#REF!</v>
      </c>
      <c r="HP128" t="e">
        <f>AND('GA55 Entry'!#REF!,"AAAAAHf03d8=")</f>
        <v>#REF!</v>
      </c>
      <c r="HQ128" t="e">
        <f>AND('GA55 Entry'!#REF!,"AAAAAHf03eA=")</f>
        <v>#REF!</v>
      </c>
      <c r="HR128" t="e">
        <f>AND('GA55 Entry'!#REF!,"AAAAAHf03eE=")</f>
        <v>#REF!</v>
      </c>
      <c r="HS128" t="e">
        <f>AND('GA55 Entry'!#REF!,"AAAAAHf03eI=")</f>
        <v>#REF!</v>
      </c>
      <c r="HT128" t="e">
        <f>AND('GA55 Entry'!D413,"AAAAAHf03eM=")</f>
        <v>#VALUE!</v>
      </c>
      <c r="HU128" t="e">
        <f>AND('GA55 Entry'!#REF!,"AAAAAHf03eQ=")</f>
        <v>#REF!</v>
      </c>
      <c r="HV128" t="e">
        <f>AND('GA55 Entry'!E413,"AAAAAHf03eU=")</f>
        <v>#VALUE!</v>
      </c>
      <c r="HW128" t="e">
        <f>AND('GA55 Entry'!F413,"AAAAAHf03eY=")</f>
        <v>#VALUE!</v>
      </c>
      <c r="HX128" t="e">
        <f>AND('GA55 Entry'!G413,"AAAAAHf03ec=")</f>
        <v>#VALUE!</v>
      </c>
      <c r="HY128" t="e">
        <f>AND('GA55 Entry'!H413,"AAAAAHf03eg=")</f>
        <v>#VALUE!</v>
      </c>
      <c r="HZ128" t="e">
        <f>AND('GA55 Entry'!I413,"AAAAAHf03ek=")</f>
        <v>#VALUE!</v>
      </c>
      <c r="IA128" t="e">
        <f>AND('GA55 Entry'!J413,"AAAAAHf03eo=")</f>
        <v>#VALUE!</v>
      </c>
      <c r="IB128" t="e">
        <f>AND('GA55 Entry'!#REF!,"AAAAAHf03es=")</f>
        <v>#REF!</v>
      </c>
      <c r="IC128" t="e">
        <f>AND('GA55 Entry'!K413,"AAAAAHf03ew=")</f>
        <v>#VALUE!</v>
      </c>
      <c r="ID128" t="e">
        <f>AND('GA55 Entry'!L413,"AAAAAHf03e0=")</f>
        <v>#VALUE!</v>
      </c>
      <c r="IE128" t="e">
        <f>AND('GA55 Entry'!M413,"AAAAAHf03e4=")</f>
        <v>#VALUE!</v>
      </c>
      <c r="IF128" t="e">
        <f>AND('GA55 Entry'!N413,"AAAAAHf03e8=")</f>
        <v>#VALUE!</v>
      </c>
      <c r="IG128" t="e">
        <f>AND('GA55 Entry'!O413,"AAAAAHf03fA=")</f>
        <v>#VALUE!</v>
      </c>
      <c r="IH128" t="e">
        <f>AND('GA55 Entry'!P413,"AAAAAHf03fE=")</f>
        <v>#VALUE!</v>
      </c>
      <c r="II128" t="e">
        <f>AND('GA55 Entry'!Q413,"AAAAAHf03fI=")</f>
        <v>#VALUE!</v>
      </c>
      <c r="IJ128" t="e">
        <f>AND('GA55 Entry'!S413,"AAAAAHf03fM=")</f>
        <v>#VALUE!</v>
      </c>
      <c r="IK128" t="e">
        <f>AND('GA55 Entry'!#REF!,"AAAAAHf03fQ=")</f>
        <v>#REF!</v>
      </c>
      <c r="IL128" t="e">
        <f>AND('GA55 Entry'!T413,"AAAAAHf03fU=")</f>
        <v>#VALUE!</v>
      </c>
      <c r="IM128" t="e">
        <f>AND('GA55 Entry'!U413,"AAAAAHf03fY=")</f>
        <v>#VALUE!</v>
      </c>
      <c r="IN128" t="e">
        <f>AND('GA55 Entry'!V413,"AAAAAHf03fc=")</f>
        <v>#VALUE!</v>
      </c>
      <c r="IO128" t="e">
        <f>AND('GA55 Entry'!#REF!,"AAAAAHf03fg=")</f>
        <v>#REF!</v>
      </c>
      <c r="IP128" t="e">
        <f>AND('GA55 Entry'!#REF!,"AAAAAHf03fk=")</f>
        <v>#REF!</v>
      </c>
      <c r="IQ128" t="e">
        <f>AND('GA55 Entry'!X413,"AAAAAHf03fo=")</f>
        <v>#VALUE!</v>
      </c>
      <c r="IR128" t="e">
        <f>AND('GA55 Entry'!Y413,"AAAAAHf03fs=")</f>
        <v>#VALUE!</v>
      </c>
      <c r="IS128" t="e">
        <f>AND('GA55 Entry'!#REF!,"AAAAAHf03fw=")</f>
        <v>#REF!</v>
      </c>
      <c r="IT128" t="e">
        <f>AND('GA55 Entry'!#REF!,"AAAAAHf03f0=")</f>
        <v>#REF!</v>
      </c>
      <c r="IU128" t="e">
        <f>AND('GA55 Entry'!#REF!,"AAAAAHf03f4=")</f>
        <v>#REF!</v>
      </c>
      <c r="IV128" t="e">
        <f>AND('GA55 Entry'!#REF!,"AAAAAHf03f8=")</f>
        <v>#REF!</v>
      </c>
    </row>
    <row r="129" spans="1:256">
      <c r="A129" t="e">
        <f>AND('GA55 Entry'!#REF!,"AAAAAH/5qAA=")</f>
        <v>#REF!</v>
      </c>
      <c r="B129" t="e">
        <f>AND('GA55 Entry'!#REF!,"AAAAAH/5qAE=")</f>
        <v>#REF!</v>
      </c>
      <c r="C129" t="e">
        <f>AND('GA55 Entry'!#REF!,"AAAAAH/5qAI=")</f>
        <v>#REF!</v>
      </c>
      <c r="D129" t="e">
        <f>AND('GA55 Entry'!#REF!,"AAAAAH/5qAM=")</f>
        <v>#REF!</v>
      </c>
      <c r="E129" t="e">
        <f>AND('GA55 Entry'!#REF!,"AAAAAH/5qAQ=")</f>
        <v>#REF!</v>
      </c>
      <c r="F129" t="e">
        <f>AND('GA55 Entry'!Z413,"AAAAAH/5qAU=")</f>
        <v>#VALUE!</v>
      </c>
      <c r="G129" t="e">
        <f>AND('GA55 Entry'!AA413,"AAAAAH/5qAY=")</f>
        <v>#VALUE!</v>
      </c>
      <c r="H129" t="e">
        <f>AND('GA55 Entry'!#REF!,"AAAAAH/5qAc=")</f>
        <v>#REF!</v>
      </c>
      <c r="I129" t="e">
        <f>AND('GA55 Entry'!#REF!,"AAAAAH/5qAg=")</f>
        <v>#REF!</v>
      </c>
      <c r="J129" t="e">
        <f>AND('GA55 Entry'!#REF!,"AAAAAH/5qAk=")</f>
        <v>#REF!</v>
      </c>
      <c r="K129" t="e">
        <f>AND('GA55 Entry'!AB413,"AAAAAH/5qAo=")</f>
        <v>#VALUE!</v>
      </c>
      <c r="L129" t="e">
        <f>AND('GA55 Entry'!AC413,"AAAAAH/5qAs=")</f>
        <v>#VALUE!</v>
      </c>
      <c r="M129" t="e">
        <f>AND('GA55 Entry'!#REF!,"AAAAAH/5qAw=")</f>
        <v>#REF!</v>
      </c>
      <c r="N129">
        <f>IF('GA55 Entry'!414:414,"AAAAAH/5qA0=",0)</f>
        <v>0</v>
      </c>
      <c r="O129" t="e">
        <f>AND('GA55 Entry'!B414,"AAAAAH/5qA4=")</f>
        <v>#VALUE!</v>
      </c>
      <c r="P129" t="e">
        <f>AND('GA55 Entry'!#REF!,"AAAAAH/5qA8=")</f>
        <v>#REF!</v>
      </c>
      <c r="Q129" t="e">
        <f>AND('GA55 Entry'!C414,"AAAAAH/5qBA=")</f>
        <v>#VALUE!</v>
      </c>
      <c r="R129" t="e">
        <f>AND('GA55 Entry'!#REF!,"AAAAAH/5qBE=")</f>
        <v>#REF!</v>
      </c>
      <c r="S129" t="e">
        <f>AND('GA55 Entry'!#REF!,"AAAAAH/5qBI=")</f>
        <v>#REF!</v>
      </c>
      <c r="T129" t="e">
        <f>AND('GA55 Entry'!#REF!,"AAAAAH/5qBM=")</f>
        <v>#REF!</v>
      </c>
      <c r="U129" t="e">
        <f>AND('GA55 Entry'!#REF!,"AAAAAH/5qBQ=")</f>
        <v>#REF!</v>
      </c>
      <c r="V129" t="e">
        <f>AND('GA55 Entry'!#REF!,"AAAAAH/5qBU=")</f>
        <v>#REF!</v>
      </c>
      <c r="W129" t="e">
        <f>AND('GA55 Entry'!D414,"AAAAAH/5qBY=")</f>
        <v>#VALUE!</v>
      </c>
      <c r="X129" t="e">
        <f>AND('GA55 Entry'!#REF!,"AAAAAH/5qBc=")</f>
        <v>#REF!</v>
      </c>
      <c r="Y129" t="e">
        <f>AND('GA55 Entry'!E414,"AAAAAH/5qBg=")</f>
        <v>#VALUE!</v>
      </c>
      <c r="Z129" t="e">
        <f>AND('GA55 Entry'!F414,"AAAAAH/5qBk=")</f>
        <v>#VALUE!</v>
      </c>
      <c r="AA129" t="e">
        <f>AND('GA55 Entry'!G414,"AAAAAH/5qBo=")</f>
        <v>#VALUE!</v>
      </c>
      <c r="AB129" t="e">
        <f>AND('GA55 Entry'!H414,"AAAAAH/5qBs=")</f>
        <v>#VALUE!</v>
      </c>
      <c r="AC129" t="e">
        <f>AND('GA55 Entry'!I414,"AAAAAH/5qBw=")</f>
        <v>#VALUE!</v>
      </c>
      <c r="AD129" t="e">
        <f>AND('GA55 Entry'!J414,"AAAAAH/5qB0=")</f>
        <v>#VALUE!</v>
      </c>
      <c r="AE129" t="e">
        <f>AND('GA55 Entry'!#REF!,"AAAAAH/5qB4=")</f>
        <v>#REF!</v>
      </c>
      <c r="AF129" t="e">
        <f>AND('GA55 Entry'!K414,"AAAAAH/5qB8=")</f>
        <v>#VALUE!</v>
      </c>
      <c r="AG129" t="e">
        <f>AND('GA55 Entry'!L414,"AAAAAH/5qCA=")</f>
        <v>#VALUE!</v>
      </c>
      <c r="AH129" t="e">
        <f>AND('GA55 Entry'!M414,"AAAAAH/5qCE=")</f>
        <v>#VALUE!</v>
      </c>
      <c r="AI129" t="e">
        <f>AND('GA55 Entry'!N414,"AAAAAH/5qCI=")</f>
        <v>#VALUE!</v>
      </c>
      <c r="AJ129" t="e">
        <f>AND('GA55 Entry'!O414,"AAAAAH/5qCM=")</f>
        <v>#VALUE!</v>
      </c>
      <c r="AK129" t="e">
        <f>AND('GA55 Entry'!P414,"AAAAAH/5qCQ=")</f>
        <v>#VALUE!</v>
      </c>
      <c r="AL129" t="e">
        <f>AND('GA55 Entry'!Q414,"AAAAAH/5qCU=")</f>
        <v>#VALUE!</v>
      </c>
      <c r="AM129" t="e">
        <f>AND('GA55 Entry'!S414,"AAAAAH/5qCY=")</f>
        <v>#VALUE!</v>
      </c>
      <c r="AN129" t="e">
        <f>AND('GA55 Entry'!#REF!,"AAAAAH/5qCc=")</f>
        <v>#REF!</v>
      </c>
      <c r="AO129" t="e">
        <f>AND('GA55 Entry'!T414,"AAAAAH/5qCg=")</f>
        <v>#VALUE!</v>
      </c>
      <c r="AP129" t="e">
        <f>AND('GA55 Entry'!U414,"AAAAAH/5qCk=")</f>
        <v>#VALUE!</v>
      </c>
      <c r="AQ129" t="e">
        <f>AND('GA55 Entry'!V414,"AAAAAH/5qCo=")</f>
        <v>#VALUE!</v>
      </c>
      <c r="AR129" t="e">
        <f>AND('GA55 Entry'!#REF!,"AAAAAH/5qCs=")</f>
        <v>#REF!</v>
      </c>
      <c r="AS129" t="e">
        <f>AND('GA55 Entry'!#REF!,"AAAAAH/5qCw=")</f>
        <v>#REF!</v>
      </c>
      <c r="AT129" t="e">
        <f>AND('GA55 Entry'!X414,"AAAAAH/5qC0=")</f>
        <v>#VALUE!</v>
      </c>
      <c r="AU129" t="e">
        <f>AND('GA55 Entry'!Y414,"AAAAAH/5qC4=")</f>
        <v>#VALUE!</v>
      </c>
      <c r="AV129" t="e">
        <f>AND('GA55 Entry'!#REF!,"AAAAAH/5qC8=")</f>
        <v>#REF!</v>
      </c>
      <c r="AW129" t="e">
        <f>AND('GA55 Entry'!#REF!,"AAAAAH/5qDA=")</f>
        <v>#REF!</v>
      </c>
      <c r="AX129" t="e">
        <f>AND('GA55 Entry'!#REF!,"AAAAAH/5qDE=")</f>
        <v>#REF!</v>
      </c>
      <c r="AY129" t="e">
        <f>AND('GA55 Entry'!#REF!,"AAAAAH/5qDI=")</f>
        <v>#REF!</v>
      </c>
      <c r="AZ129" t="e">
        <f>AND('GA55 Entry'!#REF!,"AAAAAH/5qDM=")</f>
        <v>#REF!</v>
      </c>
      <c r="BA129" t="e">
        <f>AND('GA55 Entry'!#REF!,"AAAAAH/5qDQ=")</f>
        <v>#REF!</v>
      </c>
      <c r="BB129" t="e">
        <f>AND('GA55 Entry'!#REF!,"AAAAAH/5qDU=")</f>
        <v>#REF!</v>
      </c>
      <c r="BC129" t="e">
        <f>AND('GA55 Entry'!#REF!,"AAAAAH/5qDY=")</f>
        <v>#REF!</v>
      </c>
      <c r="BD129" t="e">
        <f>AND('GA55 Entry'!#REF!,"AAAAAH/5qDc=")</f>
        <v>#REF!</v>
      </c>
      <c r="BE129" t="e">
        <f>AND('GA55 Entry'!Z414,"AAAAAH/5qDg=")</f>
        <v>#VALUE!</v>
      </c>
      <c r="BF129" t="e">
        <f>AND('GA55 Entry'!AA414,"AAAAAH/5qDk=")</f>
        <v>#VALUE!</v>
      </c>
      <c r="BG129" t="e">
        <f>AND('GA55 Entry'!#REF!,"AAAAAH/5qDo=")</f>
        <v>#REF!</v>
      </c>
      <c r="BH129" t="e">
        <f>AND('GA55 Entry'!#REF!,"AAAAAH/5qDs=")</f>
        <v>#REF!</v>
      </c>
      <c r="BI129" t="e">
        <f>AND('GA55 Entry'!#REF!,"AAAAAH/5qDw=")</f>
        <v>#REF!</v>
      </c>
      <c r="BJ129" t="e">
        <f>AND('GA55 Entry'!AB414,"AAAAAH/5qD0=")</f>
        <v>#VALUE!</v>
      </c>
      <c r="BK129" t="e">
        <f>AND('GA55 Entry'!AC414,"AAAAAH/5qD4=")</f>
        <v>#VALUE!</v>
      </c>
      <c r="BL129" t="e">
        <f>AND('GA55 Entry'!#REF!,"AAAAAH/5qD8=")</f>
        <v>#REF!</v>
      </c>
      <c r="BM129">
        <f>IF('GA55 Entry'!415:415,"AAAAAH/5qEA=",0)</f>
        <v>0</v>
      </c>
      <c r="BN129" t="e">
        <f>AND('GA55 Entry'!B415,"AAAAAH/5qEE=")</f>
        <v>#VALUE!</v>
      </c>
      <c r="BO129" t="e">
        <f>AND('GA55 Entry'!#REF!,"AAAAAH/5qEI=")</f>
        <v>#REF!</v>
      </c>
      <c r="BP129" t="e">
        <f>AND('GA55 Entry'!C415,"AAAAAH/5qEM=")</f>
        <v>#VALUE!</v>
      </c>
      <c r="BQ129" t="e">
        <f>AND('GA55 Entry'!#REF!,"AAAAAH/5qEQ=")</f>
        <v>#REF!</v>
      </c>
      <c r="BR129" t="e">
        <f>AND('GA55 Entry'!#REF!,"AAAAAH/5qEU=")</f>
        <v>#REF!</v>
      </c>
      <c r="BS129" t="e">
        <f>AND('GA55 Entry'!#REF!,"AAAAAH/5qEY=")</f>
        <v>#REF!</v>
      </c>
      <c r="BT129" t="e">
        <f>AND('GA55 Entry'!#REF!,"AAAAAH/5qEc=")</f>
        <v>#REF!</v>
      </c>
      <c r="BU129" t="e">
        <f>AND('GA55 Entry'!#REF!,"AAAAAH/5qEg=")</f>
        <v>#REF!</v>
      </c>
      <c r="BV129" t="e">
        <f>AND('GA55 Entry'!D415,"AAAAAH/5qEk=")</f>
        <v>#VALUE!</v>
      </c>
      <c r="BW129" t="e">
        <f>AND('GA55 Entry'!#REF!,"AAAAAH/5qEo=")</f>
        <v>#REF!</v>
      </c>
      <c r="BX129" t="e">
        <f>AND('GA55 Entry'!E415,"AAAAAH/5qEs=")</f>
        <v>#VALUE!</v>
      </c>
      <c r="BY129" t="e">
        <f>AND('GA55 Entry'!F415,"AAAAAH/5qEw=")</f>
        <v>#VALUE!</v>
      </c>
      <c r="BZ129" t="e">
        <f>AND('GA55 Entry'!G415,"AAAAAH/5qE0=")</f>
        <v>#VALUE!</v>
      </c>
      <c r="CA129" t="e">
        <f>AND('GA55 Entry'!H415,"AAAAAH/5qE4=")</f>
        <v>#VALUE!</v>
      </c>
      <c r="CB129" t="e">
        <f>AND('GA55 Entry'!I415,"AAAAAH/5qE8=")</f>
        <v>#VALUE!</v>
      </c>
      <c r="CC129" t="e">
        <f>AND('GA55 Entry'!J415,"AAAAAH/5qFA=")</f>
        <v>#VALUE!</v>
      </c>
      <c r="CD129" t="e">
        <f>AND('GA55 Entry'!#REF!,"AAAAAH/5qFE=")</f>
        <v>#REF!</v>
      </c>
      <c r="CE129" t="e">
        <f>AND('GA55 Entry'!K415,"AAAAAH/5qFI=")</f>
        <v>#VALUE!</v>
      </c>
      <c r="CF129" t="e">
        <f>AND('GA55 Entry'!L415,"AAAAAH/5qFM=")</f>
        <v>#VALUE!</v>
      </c>
      <c r="CG129" t="e">
        <f>AND('GA55 Entry'!M415,"AAAAAH/5qFQ=")</f>
        <v>#VALUE!</v>
      </c>
      <c r="CH129" t="e">
        <f>AND('GA55 Entry'!N415,"AAAAAH/5qFU=")</f>
        <v>#VALUE!</v>
      </c>
      <c r="CI129" t="e">
        <f>AND('GA55 Entry'!O415,"AAAAAH/5qFY=")</f>
        <v>#VALUE!</v>
      </c>
      <c r="CJ129" t="e">
        <f>AND('GA55 Entry'!P415,"AAAAAH/5qFc=")</f>
        <v>#VALUE!</v>
      </c>
      <c r="CK129" t="e">
        <f>AND('GA55 Entry'!Q415,"AAAAAH/5qFg=")</f>
        <v>#VALUE!</v>
      </c>
      <c r="CL129" t="e">
        <f>AND('GA55 Entry'!S415,"AAAAAH/5qFk=")</f>
        <v>#VALUE!</v>
      </c>
      <c r="CM129" t="e">
        <f>AND('GA55 Entry'!#REF!,"AAAAAH/5qFo=")</f>
        <v>#REF!</v>
      </c>
      <c r="CN129" t="e">
        <f>AND('GA55 Entry'!T415,"AAAAAH/5qFs=")</f>
        <v>#VALUE!</v>
      </c>
      <c r="CO129" t="e">
        <f>AND('GA55 Entry'!U415,"AAAAAH/5qFw=")</f>
        <v>#VALUE!</v>
      </c>
      <c r="CP129" t="e">
        <f>AND('GA55 Entry'!V415,"AAAAAH/5qF0=")</f>
        <v>#VALUE!</v>
      </c>
      <c r="CQ129" t="e">
        <f>AND('GA55 Entry'!#REF!,"AAAAAH/5qF4=")</f>
        <v>#REF!</v>
      </c>
      <c r="CR129" t="e">
        <f>AND('GA55 Entry'!#REF!,"AAAAAH/5qF8=")</f>
        <v>#REF!</v>
      </c>
      <c r="CS129" t="e">
        <f>AND('GA55 Entry'!X415,"AAAAAH/5qGA=")</f>
        <v>#VALUE!</v>
      </c>
      <c r="CT129" t="e">
        <f>AND('GA55 Entry'!Y415,"AAAAAH/5qGE=")</f>
        <v>#VALUE!</v>
      </c>
      <c r="CU129" t="e">
        <f>AND('GA55 Entry'!#REF!,"AAAAAH/5qGI=")</f>
        <v>#REF!</v>
      </c>
      <c r="CV129" t="e">
        <f>AND('GA55 Entry'!#REF!,"AAAAAH/5qGM=")</f>
        <v>#REF!</v>
      </c>
      <c r="CW129" t="e">
        <f>AND('GA55 Entry'!#REF!,"AAAAAH/5qGQ=")</f>
        <v>#REF!</v>
      </c>
      <c r="CX129" t="e">
        <f>AND('GA55 Entry'!#REF!,"AAAAAH/5qGU=")</f>
        <v>#REF!</v>
      </c>
      <c r="CY129" t="e">
        <f>AND('GA55 Entry'!#REF!,"AAAAAH/5qGY=")</f>
        <v>#REF!</v>
      </c>
      <c r="CZ129" t="e">
        <f>AND('GA55 Entry'!#REF!,"AAAAAH/5qGc=")</f>
        <v>#REF!</v>
      </c>
      <c r="DA129" t="e">
        <f>AND('GA55 Entry'!#REF!,"AAAAAH/5qGg=")</f>
        <v>#REF!</v>
      </c>
      <c r="DB129" t="e">
        <f>AND('GA55 Entry'!#REF!,"AAAAAH/5qGk=")</f>
        <v>#REF!</v>
      </c>
      <c r="DC129" t="e">
        <f>AND('GA55 Entry'!#REF!,"AAAAAH/5qGo=")</f>
        <v>#REF!</v>
      </c>
      <c r="DD129" t="e">
        <f>AND('GA55 Entry'!Z415,"AAAAAH/5qGs=")</f>
        <v>#VALUE!</v>
      </c>
      <c r="DE129" t="e">
        <f>AND('GA55 Entry'!AA415,"AAAAAH/5qGw=")</f>
        <v>#VALUE!</v>
      </c>
      <c r="DF129" t="e">
        <f>AND('GA55 Entry'!#REF!,"AAAAAH/5qG0=")</f>
        <v>#REF!</v>
      </c>
      <c r="DG129" t="e">
        <f>AND('GA55 Entry'!#REF!,"AAAAAH/5qG4=")</f>
        <v>#REF!</v>
      </c>
      <c r="DH129" t="e">
        <f>AND('GA55 Entry'!#REF!,"AAAAAH/5qG8=")</f>
        <v>#REF!</v>
      </c>
      <c r="DI129" t="e">
        <f>AND('GA55 Entry'!AB415,"AAAAAH/5qHA=")</f>
        <v>#VALUE!</v>
      </c>
      <c r="DJ129" t="e">
        <f>AND('GA55 Entry'!AC415,"AAAAAH/5qHE=")</f>
        <v>#VALUE!</v>
      </c>
      <c r="DK129" t="e">
        <f>AND('GA55 Entry'!#REF!,"AAAAAH/5qHI=")</f>
        <v>#REF!</v>
      </c>
      <c r="DL129">
        <f>IF('GA55 Entry'!416:416,"AAAAAH/5qHM=",0)</f>
        <v>0</v>
      </c>
      <c r="DM129" t="e">
        <f>AND('GA55 Entry'!B416,"AAAAAH/5qHQ=")</f>
        <v>#VALUE!</v>
      </c>
      <c r="DN129" t="e">
        <f>AND('GA55 Entry'!#REF!,"AAAAAH/5qHU=")</f>
        <v>#REF!</v>
      </c>
      <c r="DO129" t="e">
        <f>AND('GA55 Entry'!C416,"AAAAAH/5qHY=")</f>
        <v>#VALUE!</v>
      </c>
      <c r="DP129" t="e">
        <f>AND('GA55 Entry'!#REF!,"AAAAAH/5qHc=")</f>
        <v>#REF!</v>
      </c>
      <c r="DQ129" t="e">
        <f>AND('GA55 Entry'!#REF!,"AAAAAH/5qHg=")</f>
        <v>#REF!</v>
      </c>
      <c r="DR129" t="e">
        <f>AND('GA55 Entry'!#REF!,"AAAAAH/5qHk=")</f>
        <v>#REF!</v>
      </c>
      <c r="DS129" t="e">
        <f>AND('GA55 Entry'!#REF!,"AAAAAH/5qHo=")</f>
        <v>#REF!</v>
      </c>
      <c r="DT129" t="e">
        <f>AND('GA55 Entry'!#REF!,"AAAAAH/5qHs=")</f>
        <v>#REF!</v>
      </c>
      <c r="DU129" t="e">
        <f>AND('GA55 Entry'!D416,"AAAAAH/5qHw=")</f>
        <v>#VALUE!</v>
      </c>
      <c r="DV129" t="e">
        <f>AND('GA55 Entry'!#REF!,"AAAAAH/5qH0=")</f>
        <v>#REF!</v>
      </c>
      <c r="DW129" t="e">
        <f>AND('GA55 Entry'!E416,"AAAAAH/5qH4=")</f>
        <v>#VALUE!</v>
      </c>
      <c r="DX129" t="e">
        <f>AND('GA55 Entry'!F416,"AAAAAH/5qH8=")</f>
        <v>#VALUE!</v>
      </c>
      <c r="DY129" t="e">
        <f>AND('GA55 Entry'!G416,"AAAAAH/5qIA=")</f>
        <v>#VALUE!</v>
      </c>
      <c r="DZ129" t="e">
        <f>AND('GA55 Entry'!H416,"AAAAAH/5qIE=")</f>
        <v>#VALUE!</v>
      </c>
      <c r="EA129" t="e">
        <f>AND('GA55 Entry'!I416,"AAAAAH/5qII=")</f>
        <v>#VALUE!</v>
      </c>
      <c r="EB129" t="e">
        <f>AND('GA55 Entry'!J416,"AAAAAH/5qIM=")</f>
        <v>#VALUE!</v>
      </c>
      <c r="EC129" t="e">
        <f>AND('GA55 Entry'!#REF!,"AAAAAH/5qIQ=")</f>
        <v>#REF!</v>
      </c>
      <c r="ED129" t="e">
        <f>AND('GA55 Entry'!K416,"AAAAAH/5qIU=")</f>
        <v>#VALUE!</v>
      </c>
      <c r="EE129" t="e">
        <f>AND('GA55 Entry'!L416,"AAAAAH/5qIY=")</f>
        <v>#VALUE!</v>
      </c>
      <c r="EF129" t="e">
        <f>AND('GA55 Entry'!M416,"AAAAAH/5qIc=")</f>
        <v>#VALUE!</v>
      </c>
      <c r="EG129" t="e">
        <f>AND('GA55 Entry'!N416,"AAAAAH/5qIg=")</f>
        <v>#VALUE!</v>
      </c>
      <c r="EH129" t="e">
        <f>AND('GA55 Entry'!O416,"AAAAAH/5qIk=")</f>
        <v>#VALUE!</v>
      </c>
      <c r="EI129" t="e">
        <f>AND('GA55 Entry'!P416,"AAAAAH/5qIo=")</f>
        <v>#VALUE!</v>
      </c>
      <c r="EJ129" t="e">
        <f>AND('GA55 Entry'!Q416,"AAAAAH/5qIs=")</f>
        <v>#VALUE!</v>
      </c>
      <c r="EK129" t="e">
        <f>AND('GA55 Entry'!S416,"AAAAAH/5qIw=")</f>
        <v>#VALUE!</v>
      </c>
      <c r="EL129" t="e">
        <f>AND('GA55 Entry'!#REF!,"AAAAAH/5qI0=")</f>
        <v>#REF!</v>
      </c>
      <c r="EM129" t="e">
        <f>AND('GA55 Entry'!T416,"AAAAAH/5qI4=")</f>
        <v>#VALUE!</v>
      </c>
      <c r="EN129" t="e">
        <f>AND('GA55 Entry'!U416,"AAAAAH/5qI8=")</f>
        <v>#VALUE!</v>
      </c>
      <c r="EO129" t="e">
        <f>AND('GA55 Entry'!V416,"AAAAAH/5qJA=")</f>
        <v>#VALUE!</v>
      </c>
      <c r="EP129" t="e">
        <f>AND('GA55 Entry'!#REF!,"AAAAAH/5qJE=")</f>
        <v>#REF!</v>
      </c>
      <c r="EQ129" t="e">
        <f>AND('GA55 Entry'!#REF!,"AAAAAH/5qJI=")</f>
        <v>#REF!</v>
      </c>
      <c r="ER129" t="e">
        <f>AND('GA55 Entry'!X416,"AAAAAH/5qJM=")</f>
        <v>#VALUE!</v>
      </c>
      <c r="ES129" t="e">
        <f>AND('GA55 Entry'!Y416,"AAAAAH/5qJQ=")</f>
        <v>#VALUE!</v>
      </c>
      <c r="ET129" t="e">
        <f>AND('GA55 Entry'!#REF!,"AAAAAH/5qJU=")</f>
        <v>#REF!</v>
      </c>
      <c r="EU129" t="e">
        <f>AND('GA55 Entry'!#REF!,"AAAAAH/5qJY=")</f>
        <v>#REF!</v>
      </c>
      <c r="EV129" t="e">
        <f>AND('GA55 Entry'!#REF!,"AAAAAH/5qJc=")</f>
        <v>#REF!</v>
      </c>
      <c r="EW129" t="e">
        <f>AND('GA55 Entry'!#REF!,"AAAAAH/5qJg=")</f>
        <v>#REF!</v>
      </c>
      <c r="EX129" t="e">
        <f>AND('GA55 Entry'!#REF!,"AAAAAH/5qJk=")</f>
        <v>#REF!</v>
      </c>
      <c r="EY129" t="e">
        <f>AND('GA55 Entry'!#REF!,"AAAAAH/5qJo=")</f>
        <v>#REF!</v>
      </c>
      <c r="EZ129" t="e">
        <f>AND('GA55 Entry'!#REF!,"AAAAAH/5qJs=")</f>
        <v>#REF!</v>
      </c>
      <c r="FA129" t="e">
        <f>AND('GA55 Entry'!#REF!,"AAAAAH/5qJw=")</f>
        <v>#REF!</v>
      </c>
      <c r="FB129" t="e">
        <f>AND('GA55 Entry'!#REF!,"AAAAAH/5qJ0=")</f>
        <v>#REF!</v>
      </c>
      <c r="FC129" t="e">
        <f>AND('GA55 Entry'!Z416,"AAAAAH/5qJ4=")</f>
        <v>#VALUE!</v>
      </c>
      <c r="FD129" t="e">
        <f>AND('GA55 Entry'!AA416,"AAAAAH/5qJ8=")</f>
        <v>#VALUE!</v>
      </c>
      <c r="FE129" t="e">
        <f>AND('GA55 Entry'!#REF!,"AAAAAH/5qKA=")</f>
        <v>#REF!</v>
      </c>
      <c r="FF129" t="e">
        <f>AND('GA55 Entry'!#REF!,"AAAAAH/5qKE=")</f>
        <v>#REF!</v>
      </c>
      <c r="FG129" t="e">
        <f>AND('GA55 Entry'!#REF!,"AAAAAH/5qKI=")</f>
        <v>#REF!</v>
      </c>
      <c r="FH129" t="e">
        <f>AND('GA55 Entry'!AB416,"AAAAAH/5qKM=")</f>
        <v>#VALUE!</v>
      </c>
      <c r="FI129" t="e">
        <f>AND('GA55 Entry'!AC416,"AAAAAH/5qKQ=")</f>
        <v>#VALUE!</v>
      </c>
      <c r="FJ129" t="e">
        <f>AND('GA55 Entry'!#REF!,"AAAAAH/5qKU=")</f>
        <v>#REF!</v>
      </c>
      <c r="FK129">
        <f>IF('GA55 Entry'!417:417,"AAAAAH/5qKY=",0)</f>
        <v>0</v>
      </c>
      <c r="FL129" t="e">
        <f>AND('GA55 Entry'!B417,"AAAAAH/5qKc=")</f>
        <v>#VALUE!</v>
      </c>
      <c r="FM129" t="e">
        <f>AND('GA55 Entry'!#REF!,"AAAAAH/5qKg=")</f>
        <v>#REF!</v>
      </c>
      <c r="FN129" t="e">
        <f>AND('GA55 Entry'!C417,"AAAAAH/5qKk=")</f>
        <v>#VALUE!</v>
      </c>
      <c r="FO129" t="e">
        <f>AND('GA55 Entry'!#REF!,"AAAAAH/5qKo=")</f>
        <v>#REF!</v>
      </c>
      <c r="FP129" t="e">
        <f>AND('GA55 Entry'!#REF!,"AAAAAH/5qKs=")</f>
        <v>#REF!</v>
      </c>
      <c r="FQ129" t="e">
        <f>AND('GA55 Entry'!#REF!,"AAAAAH/5qKw=")</f>
        <v>#REF!</v>
      </c>
      <c r="FR129" t="e">
        <f>AND('GA55 Entry'!#REF!,"AAAAAH/5qK0=")</f>
        <v>#REF!</v>
      </c>
      <c r="FS129" t="e">
        <f>AND('GA55 Entry'!#REF!,"AAAAAH/5qK4=")</f>
        <v>#REF!</v>
      </c>
      <c r="FT129" t="e">
        <f>AND('GA55 Entry'!D417,"AAAAAH/5qK8=")</f>
        <v>#VALUE!</v>
      </c>
      <c r="FU129" t="e">
        <f>AND('GA55 Entry'!#REF!,"AAAAAH/5qLA=")</f>
        <v>#REF!</v>
      </c>
      <c r="FV129" t="e">
        <f>AND('GA55 Entry'!E417,"AAAAAH/5qLE=")</f>
        <v>#VALUE!</v>
      </c>
      <c r="FW129" t="e">
        <f>AND('GA55 Entry'!F417,"AAAAAH/5qLI=")</f>
        <v>#VALUE!</v>
      </c>
      <c r="FX129" t="e">
        <f>AND('GA55 Entry'!G417,"AAAAAH/5qLM=")</f>
        <v>#VALUE!</v>
      </c>
      <c r="FY129" t="e">
        <f>AND('GA55 Entry'!H417,"AAAAAH/5qLQ=")</f>
        <v>#VALUE!</v>
      </c>
      <c r="FZ129" t="e">
        <f>AND('GA55 Entry'!I417,"AAAAAH/5qLU=")</f>
        <v>#VALUE!</v>
      </c>
      <c r="GA129" t="e">
        <f>AND('GA55 Entry'!J417,"AAAAAH/5qLY=")</f>
        <v>#VALUE!</v>
      </c>
      <c r="GB129" t="e">
        <f>AND('GA55 Entry'!#REF!,"AAAAAH/5qLc=")</f>
        <v>#REF!</v>
      </c>
      <c r="GC129" t="e">
        <f>AND('GA55 Entry'!K417,"AAAAAH/5qLg=")</f>
        <v>#VALUE!</v>
      </c>
      <c r="GD129" t="e">
        <f>AND('GA55 Entry'!L417,"AAAAAH/5qLk=")</f>
        <v>#VALUE!</v>
      </c>
      <c r="GE129" t="e">
        <f>AND('GA55 Entry'!M417,"AAAAAH/5qLo=")</f>
        <v>#VALUE!</v>
      </c>
      <c r="GF129" t="e">
        <f>AND('GA55 Entry'!N417,"AAAAAH/5qLs=")</f>
        <v>#VALUE!</v>
      </c>
      <c r="GG129" t="e">
        <f>AND('GA55 Entry'!O417,"AAAAAH/5qLw=")</f>
        <v>#VALUE!</v>
      </c>
      <c r="GH129" t="e">
        <f>AND('GA55 Entry'!P417,"AAAAAH/5qL0=")</f>
        <v>#VALUE!</v>
      </c>
      <c r="GI129" t="e">
        <f>AND('GA55 Entry'!Q417,"AAAAAH/5qL4=")</f>
        <v>#VALUE!</v>
      </c>
      <c r="GJ129" t="e">
        <f>AND('GA55 Entry'!S417,"AAAAAH/5qL8=")</f>
        <v>#VALUE!</v>
      </c>
      <c r="GK129" t="e">
        <f>AND('GA55 Entry'!#REF!,"AAAAAH/5qMA=")</f>
        <v>#REF!</v>
      </c>
      <c r="GL129" t="e">
        <f>AND('GA55 Entry'!T417,"AAAAAH/5qME=")</f>
        <v>#VALUE!</v>
      </c>
      <c r="GM129" t="e">
        <f>AND('GA55 Entry'!U417,"AAAAAH/5qMI=")</f>
        <v>#VALUE!</v>
      </c>
      <c r="GN129" t="e">
        <f>AND('GA55 Entry'!V417,"AAAAAH/5qMM=")</f>
        <v>#VALUE!</v>
      </c>
      <c r="GO129" t="e">
        <f>AND('GA55 Entry'!#REF!,"AAAAAH/5qMQ=")</f>
        <v>#REF!</v>
      </c>
      <c r="GP129" t="e">
        <f>AND('GA55 Entry'!#REF!,"AAAAAH/5qMU=")</f>
        <v>#REF!</v>
      </c>
      <c r="GQ129" t="e">
        <f>AND('GA55 Entry'!X417,"AAAAAH/5qMY=")</f>
        <v>#VALUE!</v>
      </c>
      <c r="GR129" t="e">
        <f>AND('GA55 Entry'!Y417,"AAAAAH/5qMc=")</f>
        <v>#VALUE!</v>
      </c>
      <c r="GS129" t="e">
        <f>AND('GA55 Entry'!#REF!,"AAAAAH/5qMg=")</f>
        <v>#REF!</v>
      </c>
      <c r="GT129" t="e">
        <f>AND('GA55 Entry'!#REF!,"AAAAAH/5qMk=")</f>
        <v>#REF!</v>
      </c>
      <c r="GU129" t="e">
        <f>AND('GA55 Entry'!#REF!,"AAAAAH/5qMo=")</f>
        <v>#REF!</v>
      </c>
      <c r="GV129" t="e">
        <f>AND('GA55 Entry'!#REF!,"AAAAAH/5qMs=")</f>
        <v>#REF!</v>
      </c>
      <c r="GW129" t="e">
        <f>AND('GA55 Entry'!#REF!,"AAAAAH/5qMw=")</f>
        <v>#REF!</v>
      </c>
      <c r="GX129" t="e">
        <f>AND('GA55 Entry'!#REF!,"AAAAAH/5qM0=")</f>
        <v>#REF!</v>
      </c>
      <c r="GY129" t="e">
        <f>AND('GA55 Entry'!#REF!,"AAAAAH/5qM4=")</f>
        <v>#REF!</v>
      </c>
      <c r="GZ129" t="e">
        <f>AND('GA55 Entry'!#REF!,"AAAAAH/5qM8=")</f>
        <v>#REF!</v>
      </c>
      <c r="HA129" t="e">
        <f>AND('GA55 Entry'!#REF!,"AAAAAH/5qNA=")</f>
        <v>#REF!</v>
      </c>
      <c r="HB129" t="e">
        <f>AND('GA55 Entry'!Z417,"AAAAAH/5qNE=")</f>
        <v>#VALUE!</v>
      </c>
      <c r="HC129" t="e">
        <f>AND('GA55 Entry'!AA417,"AAAAAH/5qNI=")</f>
        <v>#VALUE!</v>
      </c>
      <c r="HD129" t="e">
        <f>AND('GA55 Entry'!#REF!,"AAAAAH/5qNM=")</f>
        <v>#REF!</v>
      </c>
      <c r="HE129" t="e">
        <f>AND('GA55 Entry'!#REF!,"AAAAAH/5qNQ=")</f>
        <v>#REF!</v>
      </c>
      <c r="HF129" t="e">
        <f>AND('GA55 Entry'!#REF!,"AAAAAH/5qNU=")</f>
        <v>#REF!</v>
      </c>
      <c r="HG129" t="e">
        <f>AND('GA55 Entry'!AB417,"AAAAAH/5qNY=")</f>
        <v>#VALUE!</v>
      </c>
      <c r="HH129" t="e">
        <f>AND('GA55 Entry'!AC417,"AAAAAH/5qNc=")</f>
        <v>#VALUE!</v>
      </c>
      <c r="HI129" t="e">
        <f>AND('GA55 Entry'!#REF!,"AAAAAH/5qNg=")</f>
        <v>#REF!</v>
      </c>
      <c r="HJ129">
        <f>IF('GA55 Entry'!418:418,"AAAAAH/5qNk=",0)</f>
        <v>0</v>
      </c>
      <c r="HK129" t="e">
        <f>AND('GA55 Entry'!B418,"AAAAAH/5qNo=")</f>
        <v>#VALUE!</v>
      </c>
      <c r="HL129" t="e">
        <f>AND('GA55 Entry'!#REF!,"AAAAAH/5qNs=")</f>
        <v>#REF!</v>
      </c>
      <c r="HM129" t="e">
        <f>AND('GA55 Entry'!C418,"AAAAAH/5qNw=")</f>
        <v>#VALUE!</v>
      </c>
      <c r="HN129" t="e">
        <f>AND('GA55 Entry'!#REF!,"AAAAAH/5qN0=")</f>
        <v>#REF!</v>
      </c>
      <c r="HO129" t="e">
        <f>AND('GA55 Entry'!#REF!,"AAAAAH/5qN4=")</f>
        <v>#REF!</v>
      </c>
      <c r="HP129" t="e">
        <f>AND('GA55 Entry'!#REF!,"AAAAAH/5qN8=")</f>
        <v>#REF!</v>
      </c>
      <c r="HQ129" t="e">
        <f>AND('GA55 Entry'!#REF!,"AAAAAH/5qOA=")</f>
        <v>#REF!</v>
      </c>
      <c r="HR129" t="e">
        <f>AND('GA55 Entry'!#REF!,"AAAAAH/5qOE=")</f>
        <v>#REF!</v>
      </c>
      <c r="HS129" t="e">
        <f>AND('GA55 Entry'!D418,"AAAAAH/5qOI=")</f>
        <v>#VALUE!</v>
      </c>
      <c r="HT129" t="e">
        <f>AND('GA55 Entry'!#REF!,"AAAAAH/5qOM=")</f>
        <v>#REF!</v>
      </c>
      <c r="HU129" t="e">
        <f>AND('GA55 Entry'!E418,"AAAAAH/5qOQ=")</f>
        <v>#VALUE!</v>
      </c>
      <c r="HV129" t="e">
        <f>AND('GA55 Entry'!F418,"AAAAAH/5qOU=")</f>
        <v>#VALUE!</v>
      </c>
      <c r="HW129" t="e">
        <f>AND('GA55 Entry'!G418,"AAAAAH/5qOY=")</f>
        <v>#VALUE!</v>
      </c>
      <c r="HX129" t="e">
        <f>AND('GA55 Entry'!H418,"AAAAAH/5qOc=")</f>
        <v>#VALUE!</v>
      </c>
      <c r="HY129" t="e">
        <f>AND('GA55 Entry'!I418,"AAAAAH/5qOg=")</f>
        <v>#VALUE!</v>
      </c>
      <c r="HZ129" t="e">
        <f>AND('GA55 Entry'!J418,"AAAAAH/5qOk=")</f>
        <v>#VALUE!</v>
      </c>
      <c r="IA129" t="e">
        <f>AND('GA55 Entry'!#REF!,"AAAAAH/5qOo=")</f>
        <v>#REF!</v>
      </c>
      <c r="IB129" t="e">
        <f>AND('GA55 Entry'!K418,"AAAAAH/5qOs=")</f>
        <v>#VALUE!</v>
      </c>
      <c r="IC129" t="e">
        <f>AND('GA55 Entry'!L418,"AAAAAH/5qOw=")</f>
        <v>#VALUE!</v>
      </c>
      <c r="ID129" t="e">
        <f>AND('GA55 Entry'!M418,"AAAAAH/5qO0=")</f>
        <v>#VALUE!</v>
      </c>
      <c r="IE129" t="e">
        <f>AND('GA55 Entry'!N418,"AAAAAH/5qO4=")</f>
        <v>#VALUE!</v>
      </c>
      <c r="IF129" t="e">
        <f>AND('GA55 Entry'!O418,"AAAAAH/5qO8=")</f>
        <v>#VALUE!</v>
      </c>
      <c r="IG129" t="e">
        <f>AND('GA55 Entry'!P418,"AAAAAH/5qPA=")</f>
        <v>#VALUE!</v>
      </c>
      <c r="IH129" t="e">
        <f>AND('GA55 Entry'!Q418,"AAAAAH/5qPE=")</f>
        <v>#VALUE!</v>
      </c>
      <c r="II129" t="e">
        <f>AND('GA55 Entry'!S418,"AAAAAH/5qPI=")</f>
        <v>#VALUE!</v>
      </c>
      <c r="IJ129" t="e">
        <f>AND('GA55 Entry'!#REF!,"AAAAAH/5qPM=")</f>
        <v>#REF!</v>
      </c>
      <c r="IK129" t="e">
        <f>AND('GA55 Entry'!T418,"AAAAAH/5qPQ=")</f>
        <v>#VALUE!</v>
      </c>
      <c r="IL129" t="e">
        <f>AND('GA55 Entry'!U418,"AAAAAH/5qPU=")</f>
        <v>#VALUE!</v>
      </c>
      <c r="IM129" t="e">
        <f>AND('GA55 Entry'!V418,"AAAAAH/5qPY=")</f>
        <v>#VALUE!</v>
      </c>
      <c r="IN129" t="e">
        <f>AND('GA55 Entry'!#REF!,"AAAAAH/5qPc=")</f>
        <v>#REF!</v>
      </c>
      <c r="IO129" t="e">
        <f>AND('GA55 Entry'!#REF!,"AAAAAH/5qPg=")</f>
        <v>#REF!</v>
      </c>
      <c r="IP129" t="e">
        <f>AND('GA55 Entry'!X418,"AAAAAH/5qPk=")</f>
        <v>#VALUE!</v>
      </c>
      <c r="IQ129" t="e">
        <f>AND('GA55 Entry'!Y418,"AAAAAH/5qPo=")</f>
        <v>#VALUE!</v>
      </c>
      <c r="IR129" t="e">
        <f>AND('GA55 Entry'!#REF!,"AAAAAH/5qPs=")</f>
        <v>#REF!</v>
      </c>
      <c r="IS129" t="e">
        <f>AND('GA55 Entry'!#REF!,"AAAAAH/5qPw=")</f>
        <v>#REF!</v>
      </c>
      <c r="IT129" t="e">
        <f>AND('GA55 Entry'!#REF!,"AAAAAH/5qP0=")</f>
        <v>#REF!</v>
      </c>
      <c r="IU129" t="e">
        <f>AND('GA55 Entry'!#REF!,"AAAAAH/5qP4=")</f>
        <v>#REF!</v>
      </c>
      <c r="IV129" t="e">
        <f>AND('GA55 Entry'!#REF!,"AAAAAH/5qP8=")</f>
        <v>#REF!</v>
      </c>
    </row>
    <row r="130" spans="1:256">
      <c r="A130" t="e">
        <f>AND('GA55 Entry'!#REF!,"AAAAAHJr/gA=")</f>
        <v>#REF!</v>
      </c>
      <c r="B130" t="e">
        <f>AND('GA55 Entry'!#REF!,"AAAAAHJr/gE=")</f>
        <v>#REF!</v>
      </c>
      <c r="C130" t="e">
        <f>AND('GA55 Entry'!#REF!,"AAAAAHJr/gI=")</f>
        <v>#REF!</v>
      </c>
      <c r="D130" t="e">
        <f>AND('GA55 Entry'!#REF!,"AAAAAHJr/gM=")</f>
        <v>#REF!</v>
      </c>
      <c r="E130" t="e">
        <f>AND('GA55 Entry'!Z418,"AAAAAHJr/gQ=")</f>
        <v>#VALUE!</v>
      </c>
      <c r="F130" t="e">
        <f>AND('GA55 Entry'!AA418,"AAAAAHJr/gU=")</f>
        <v>#VALUE!</v>
      </c>
      <c r="G130" t="e">
        <f>AND('GA55 Entry'!#REF!,"AAAAAHJr/gY=")</f>
        <v>#REF!</v>
      </c>
      <c r="H130" t="e">
        <f>AND('GA55 Entry'!#REF!,"AAAAAHJr/gc=")</f>
        <v>#REF!</v>
      </c>
      <c r="I130" t="e">
        <f>AND('GA55 Entry'!#REF!,"AAAAAHJr/gg=")</f>
        <v>#REF!</v>
      </c>
      <c r="J130" t="e">
        <f>AND('GA55 Entry'!AB418,"AAAAAHJr/gk=")</f>
        <v>#VALUE!</v>
      </c>
      <c r="K130" t="e">
        <f>AND('GA55 Entry'!AC418,"AAAAAHJr/go=")</f>
        <v>#VALUE!</v>
      </c>
      <c r="L130" t="e">
        <f>AND('GA55 Entry'!#REF!,"AAAAAHJr/gs=")</f>
        <v>#REF!</v>
      </c>
      <c r="M130">
        <f>IF('GA55 Entry'!419:419,"AAAAAHJr/gw=",0)</f>
        <v>0</v>
      </c>
      <c r="N130" t="e">
        <f>AND('GA55 Entry'!B419,"AAAAAHJr/g0=")</f>
        <v>#VALUE!</v>
      </c>
      <c r="O130" t="e">
        <f>AND('GA55 Entry'!#REF!,"AAAAAHJr/g4=")</f>
        <v>#REF!</v>
      </c>
      <c r="P130" t="e">
        <f>AND('GA55 Entry'!C419,"AAAAAHJr/g8=")</f>
        <v>#VALUE!</v>
      </c>
      <c r="Q130" t="e">
        <f>AND('GA55 Entry'!#REF!,"AAAAAHJr/hA=")</f>
        <v>#REF!</v>
      </c>
      <c r="R130" t="e">
        <f>AND('GA55 Entry'!#REF!,"AAAAAHJr/hE=")</f>
        <v>#REF!</v>
      </c>
      <c r="S130" t="e">
        <f>AND('GA55 Entry'!#REF!,"AAAAAHJr/hI=")</f>
        <v>#REF!</v>
      </c>
      <c r="T130" t="e">
        <f>AND('GA55 Entry'!#REF!,"AAAAAHJr/hM=")</f>
        <v>#REF!</v>
      </c>
      <c r="U130" t="e">
        <f>AND('GA55 Entry'!#REF!,"AAAAAHJr/hQ=")</f>
        <v>#REF!</v>
      </c>
      <c r="V130" t="e">
        <f>AND('GA55 Entry'!D419,"AAAAAHJr/hU=")</f>
        <v>#VALUE!</v>
      </c>
      <c r="W130" t="e">
        <f>AND('GA55 Entry'!#REF!,"AAAAAHJr/hY=")</f>
        <v>#REF!</v>
      </c>
      <c r="X130" t="e">
        <f>AND('GA55 Entry'!E419,"AAAAAHJr/hc=")</f>
        <v>#VALUE!</v>
      </c>
      <c r="Y130" t="e">
        <f>AND('GA55 Entry'!F419,"AAAAAHJr/hg=")</f>
        <v>#VALUE!</v>
      </c>
      <c r="Z130" t="e">
        <f>AND('GA55 Entry'!G419,"AAAAAHJr/hk=")</f>
        <v>#VALUE!</v>
      </c>
      <c r="AA130" t="e">
        <f>AND('GA55 Entry'!H419,"AAAAAHJr/ho=")</f>
        <v>#VALUE!</v>
      </c>
      <c r="AB130" t="e">
        <f>AND('GA55 Entry'!I419,"AAAAAHJr/hs=")</f>
        <v>#VALUE!</v>
      </c>
      <c r="AC130" t="e">
        <f>AND('GA55 Entry'!J419,"AAAAAHJr/hw=")</f>
        <v>#VALUE!</v>
      </c>
      <c r="AD130" t="e">
        <f>AND('GA55 Entry'!#REF!,"AAAAAHJr/h0=")</f>
        <v>#REF!</v>
      </c>
      <c r="AE130" t="e">
        <f>AND('GA55 Entry'!K419,"AAAAAHJr/h4=")</f>
        <v>#VALUE!</v>
      </c>
      <c r="AF130" t="e">
        <f>AND('GA55 Entry'!L419,"AAAAAHJr/h8=")</f>
        <v>#VALUE!</v>
      </c>
      <c r="AG130" t="e">
        <f>AND('GA55 Entry'!M419,"AAAAAHJr/iA=")</f>
        <v>#VALUE!</v>
      </c>
      <c r="AH130" t="e">
        <f>AND('GA55 Entry'!N419,"AAAAAHJr/iE=")</f>
        <v>#VALUE!</v>
      </c>
      <c r="AI130" t="e">
        <f>AND('GA55 Entry'!O419,"AAAAAHJr/iI=")</f>
        <v>#VALUE!</v>
      </c>
      <c r="AJ130" t="e">
        <f>AND('GA55 Entry'!P419,"AAAAAHJr/iM=")</f>
        <v>#VALUE!</v>
      </c>
      <c r="AK130" t="e">
        <f>AND('GA55 Entry'!Q419,"AAAAAHJr/iQ=")</f>
        <v>#VALUE!</v>
      </c>
      <c r="AL130" t="e">
        <f>AND('GA55 Entry'!S419,"AAAAAHJr/iU=")</f>
        <v>#VALUE!</v>
      </c>
      <c r="AM130" t="e">
        <f>AND('GA55 Entry'!#REF!,"AAAAAHJr/iY=")</f>
        <v>#REF!</v>
      </c>
      <c r="AN130" t="e">
        <f>AND('GA55 Entry'!T419,"AAAAAHJr/ic=")</f>
        <v>#VALUE!</v>
      </c>
      <c r="AO130" t="e">
        <f>AND('GA55 Entry'!U419,"AAAAAHJr/ig=")</f>
        <v>#VALUE!</v>
      </c>
      <c r="AP130" t="e">
        <f>AND('GA55 Entry'!V419,"AAAAAHJr/ik=")</f>
        <v>#VALUE!</v>
      </c>
      <c r="AQ130" t="e">
        <f>AND('GA55 Entry'!#REF!,"AAAAAHJr/io=")</f>
        <v>#REF!</v>
      </c>
      <c r="AR130" t="e">
        <f>AND('GA55 Entry'!#REF!,"AAAAAHJr/is=")</f>
        <v>#REF!</v>
      </c>
      <c r="AS130" t="e">
        <f>AND('GA55 Entry'!X419,"AAAAAHJr/iw=")</f>
        <v>#VALUE!</v>
      </c>
      <c r="AT130" t="e">
        <f>AND('GA55 Entry'!Y419,"AAAAAHJr/i0=")</f>
        <v>#VALUE!</v>
      </c>
      <c r="AU130" t="e">
        <f>AND('GA55 Entry'!#REF!,"AAAAAHJr/i4=")</f>
        <v>#REF!</v>
      </c>
      <c r="AV130" t="e">
        <f>AND('GA55 Entry'!#REF!,"AAAAAHJr/i8=")</f>
        <v>#REF!</v>
      </c>
      <c r="AW130" t="e">
        <f>AND('GA55 Entry'!#REF!,"AAAAAHJr/jA=")</f>
        <v>#REF!</v>
      </c>
      <c r="AX130" t="e">
        <f>AND('GA55 Entry'!#REF!,"AAAAAHJr/jE=")</f>
        <v>#REF!</v>
      </c>
      <c r="AY130" t="e">
        <f>AND('GA55 Entry'!#REF!,"AAAAAHJr/jI=")</f>
        <v>#REF!</v>
      </c>
      <c r="AZ130" t="e">
        <f>AND('GA55 Entry'!#REF!,"AAAAAHJr/jM=")</f>
        <v>#REF!</v>
      </c>
      <c r="BA130" t="e">
        <f>AND('GA55 Entry'!#REF!,"AAAAAHJr/jQ=")</f>
        <v>#REF!</v>
      </c>
      <c r="BB130" t="e">
        <f>AND('GA55 Entry'!#REF!,"AAAAAHJr/jU=")</f>
        <v>#REF!</v>
      </c>
      <c r="BC130" t="e">
        <f>AND('GA55 Entry'!#REF!,"AAAAAHJr/jY=")</f>
        <v>#REF!</v>
      </c>
      <c r="BD130" t="e">
        <f>AND('GA55 Entry'!Z419,"AAAAAHJr/jc=")</f>
        <v>#VALUE!</v>
      </c>
      <c r="BE130" t="e">
        <f>AND('GA55 Entry'!AA419,"AAAAAHJr/jg=")</f>
        <v>#VALUE!</v>
      </c>
      <c r="BF130" t="e">
        <f>AND('GA55 Entry'!#REF!,"AAAAAHJr/jk=")</f>
        <v>#REF!</v>
      </c>
      <c r="BG130" t="e">
        <f>AND('GA55 Entry'!#REF!,"AAAAAHJr/jo=")</f>
        <v>#REF!</v>
      </c>
      <c r="BH130" t="e">
        <f>AND('GA55 Entry'!#REF!,"AAAAAHJr/js=")</f>
        <v>#REF!</v>
      </c>
      <c r="BI130" t="e">
        <f>AND('GA55 Entry'!AB419,"AAAAAHJr/jw=")</f>
        <v>#VALUE!</v>
      </c>
      <c r="BJ130" t="e">
        <f>AND('GA55 Entry'!AC419,"AAAAAHJr/j0=")</f>
        <v>#VALUE!</v>
      </c>
      <c r="BK130" t="e">
        <f>AND('GA55 Entry'!#REF!,"AAAAAHJr/j4=")</f>
        <v>#REF!</v>
      </c>
      <c r="BL130">
        <f>IF('GA55 Entry'!420:420,"AAAAAHJr/j8=",0)</f>
        <v>0</v>
      </c>
      <c r="BM130" t="e">
        <f>AND('GA55 Entry'!B420,"AAAAAHJr/kA=")</f>
        <v>#VALUE!</v>
      </c>
      <c r="BN130" t="e">
        <f>AND('GA55 Entry'!#REF!,"AAAAAHJr/kE=")</f>
        <v>#REF!</v>
      </c>
      <c r="BO130" t="e">
        <f>AND('GA55 Entry'!C420,"AAAAAHJr/kI=")</f>
        <v>#VALUE!</v>
      </c>
      <c r="BP130" t="e">
        <f>AND('GA55 Entry'!#REF!,"AAAAAHJr/kM=")</f>
        <v>#REF!</v>
      </c>
      <c r="BQ130" t="e">
        <f>AND('GA55 Entry'!#REF!,"AAAAAHJr/kQ=")</f>
        <v>#REF!</v>
      </c>
      <c r="BR130" t="e">
        <f>AND('GA55 Entry'!#REF!,"AAAAAHJr/kU=")</f>
        <v>#REF!</v>
      </c>
      <c r="BS130" t="e">
        <f>AND('GA55 Entry'!#REF!,"AAAAAHJr/kY=")</f>
        <v>#REF!</v>
      </c>
      <c r="BT130" t="e">
        <f>AND('GA55 Entry'!#REF!,"AAAAAHJr/kc=")</f>
        <v>#REF!</v>
      </c>
      <c r="BU130" t="e">
        <f>AND('GA55 Entry'!D420,"AAAAAHJr/kg=")</f>
        <v>#VALUE!</v>
      </c>
      <c r="BV130" t="e">
        <f>AND('GA55 Entry'!#REF!,"AAAAAHJr/kk=")</f>
        <v>#REF!</v>
      </c>
      <c r="BW130" t="e">
        <f>AND('GA55 Entry'!E420,"AAAAAHJr/ko=")</f>
        <v>#VALUE!</v>
      </c>
      <c r="BX130" t="e">
        <f>AND('GA55 Entry'!F420,"AAAAAHJr/ks=")</f>
        <v>#VALUE!</v>
      </c>
      <c r="BY130" t="e">
        <f>AND('GA55 Entry'!G420,"AAAAAHJr/kw=")</f>
        <v>#VALUE!</v>
      </c>
      <c r="BZ130" t="e">
        <f>AND('GA55 Entry'!H420,"AAAAAHJr/k0=")</f>
        <v>#VALUE!</v>
      </c>
      <c r="CA130" t="e">
        <f>AND('GA55 Entry'!I420,"AAAAAHJr/k4=")</f>
        <v>#VALUE!</v>
      </c>
      <c r="CB130" t="e">
        <f>AND('GA55 Entry'!J420,"AAAAAHJr/k8=")</f>
        <v>#VALUE!</v>
      </c>
      <c r="CC130" t="e">
        <f>AND('GA55 Entry'!#REF!,"AAAAAHJr/lA=")</f>
        <v>#REF!</v>
      </c>
      <c r="CD130" t="e">
        <f>AND('GA55 Entry'!K420,"AAAAAHJr/lE=")</f>
        <v>#VALUE!</v>
      </c>
      <c r="CE130" t="e">
        <f>AND('GA55 Entry'!L420,"AAAAAHJr/lI=")</f>
        <v>#VALUE!</v>
      </c>
      <c r="CF130" t="e">
        <f>AND('GA55 Entry'!M420,"AAAAAHJr/lM=")</f>
        <v>#VALUE!</v>
      </c>
      <c r="CG130" t="e">
        <f>AND('GA55 Entry'!N420,"AAAAAHJr/lQ=")</f>
        <v>#VALUE!</v>
      </c>
      <c r="CH130" t="e">
        <f>AND('GA55 Entry'!O420,"AAAAAHJr/lU=")</f>
        <v>#VALUE!</v>
      </c>
      <c r="CI130" t="e">
        <f>AND('GA55 Entry'!P420,"AAAAAHJr/lY=")</f>
        <v>#VALUE!</v>
      </c>
      <c r="CJ130" t="e">
        <f>AND('GA55 Entry'!Q420,"AAAAAHJr/lc=")</f>
        <v>#VALUE!</v>
      </c>
      <c r="CK130" t="e">
        <f>AND('GA55 Entry'!S420,"AAAAAHJr/lg=")</f>
        <v>#VALUE!</v>
      </c>
      <c r="CL130" t="e">
        <f>AND('GA55 Entry'!#REF!,"AAAAAHJr/lk=")</f>
        <v>#REF!</v>
      </c>
      <c r="CM130" t="e">
        <f>AND('GA55 Entry'!T420,"AAAAAHJr/lo=")</f>
        <v>#VALUE!</v>
      </c>
      <c r="CN130" t="e">
        <f>AND('GA55 Entry'!U420,"AAAAAHJr/ls=")</f>
        <v>#VALUE!</v>
      </c>
      <c r="CO130" t="e">
        <f>AND('GA55 Entry'!V420,"AAAAAHJr/lw=")</f>
        <v>#VALUE!</v>
      </c>
      <c r="CP130" t="e">
        <f>AND('GA55 Entry'!#REF!,"AAAAAHJr/l0=")</f>
        <v>#REF!</v>
      </c>
      <c r="CQ130" t="e">
        <f>AND('GA55 Entry'!#REF!,"AAAAAHJr/l4=")</f>
        <v>#REF!</v>
      </c>
      <c r="CR130" t="e">
        <f>AND('GA55 Entry'!X420,"AAAAAHJr/l8=")</f>
        <v>#VALUE!</v>
      </c>
      <c r="CS130" t="e">
        <f>AND('GA55 Entry'!Y420,"AAAAAHJr/mA=")</f>
        <v>#VALUE!</v>
      </c>
      <c r="CT130" t="e">
        <f>AND('GA55 Entry'!#REF!,"AAAAAHJr/mE=")</f>
        <v>#REF!</v>
      </c>
      <c r="CU130" t="e">
        <f>AND('GA55 Entry'!#REF!,"AAAAAHJr/mI=")</f>
        <v>#REF!</v>
      </c>
      <c r="CV130" t="e">
        <f>AND('GA55 Entry'!#REF!,"AAAAAHJr/mM=")</f>
        <v>#REF!</v>
      </c>
      <c r="CW130" t="e">
        <f>AND('GA55 Entry'!#REF!,"AAAAAHJr/mQ=")</f>
        <v>#REF!</v>
      </c>
      <c r="CX130" t="e">
        <f>AND('GA55 Entry'!#REF!,"AAAAAHJr/mU=")</f>
        <v>#REF!</v>
      </c>
      <c r="CY130" t="e">
        <f>AND('GA55 Entry'!#REF!,"AAAAAHJr/mY=")</f>
        <v>#REF!</v>
      </c>
      <c r="CZ130" t="e">
        <f>AND('GA55 Entry'!#REF!,"AAAAAHJr/mc=")</f>
        <v>#REF!</v>
      </c>
      <c r="DA130" t="e">
        <f>AND('GA55 Entry'!#REF!,"AAAAAHJr/mg=")</f>
        <v>#REF!</v>
      </c>
      <c r="DB130" t="e">
        <f>AND('GA55 Entry'!#REF!,"AAAAAHJr/mk=")</f>
        <v>#REF!</v>
      </c>
      <c r="DC130" t="e">
        <f>AND('GA55 Entry'!Z420,"AAAAAHJr/mo=")</f>
        <v>#VALUE!</v>
      </c>
      <c r="DD130" t="e">
        <f>AND('GA55 Entry'!AA420,"AAAAAHJr/ms=")</f>
        <v>#VALUE!</v>
      </c>
      <c r="DE130" t="e">
        <f>AND('GA55 Entry'!#REF!,"AAAAAHJr/mw=")</f>
        <v>#REF!</v>
      </c>
      <c r="DF130" t="e">
        <f>AND('GA55 Entry'!#REF!,"AAAAAHJr/m0=")</f>
        <v>#REF!</v>
      </c>
      <c r="DG130" t="e">
        <f>AND('GA55 Entry'!#REF!,"AAAAAHJr/m4=")</f>
        <v>#REF!</v>
      </c>
      <c r="DH130" t="e">
        <f>AND('GA55 Entry'!AB420,"AAAAAHJr/m8=")</f>
        <v>#VALUE!</v>
      </c>
      <c r="DI130" t="e">
        <f>AND('GA55 Entry'!AC420,"AAAAAHJr/nA=")</f>
        <v>#VALUE!</v>
      </c>
      <c r="DJ130" t="e">
        <f>AND('GA55 Entry'!#REF!,"AAAAAHJr/nE=")</f>
        <v>#REF!</v>
      </c>
      <c r="DK130">
        <f>IF('GA55 Entry'!421:421,"AAAAAHJr/nI=",0)</f>
        <v>0</v>
      </c>
      <c r="DL130" t="e">
        <f>AND('GA55 Entry'!B421,"AAAAAHJr/nM=")</f>
        <v>#VALUE!</v>
      </c>
      <c r="DM130" t="e">
        <f>AND('GA55 Entry'!#REF!,"AAAAAHJr/nQ=")</f>
        <v>#REF!</v>
      </c>
      <c r="DN130" t="e">
        <f>AND('GA55 Entry'!C421,"AAAAAHJr/nU=")</f>
        <v>#VALUE!</v>
      </c>
      <c r="DO130" t="e">
        <f>AND('GA55 Entry'!#REF!,"AAAAAHJr/nY=")</f>
        <v>#REF!</v>
      </c>
      <c r="DP130" t="e">
        <f>AND('GA55 Entry'!#REF!,"AAAAAHJr/nc=")</f>
        <v>#REF!</v>
      </c>
      <c r="DQ130" t="e">
        <f>AND('GA55 Entry'!#REF!,"AAAAAHJr/ng=")</f>
        <v>#REF!</v>
      </c>
      <c r="DR130" t="e">
        <f>AND('GA55 Entry'!#REF!,"AAAAAHJr/nk=")</f>
        <v>#REF!</v>
      </c>
      <c r="DS130" t="e">
        <f>AND('GA55 Entry'!#REF!,"AAAAAHJr/no=")</f>
        <v>#REF!</v>
      </c>
      <c r="DT130" t="e">
        <f>AND('GA55 Entry'!D421,"AAAAAHJr/ns=")</f>
        <v>#VALUE!</v>
      </c>
      <c r="DU130" t="e">
        <f>AND('GA55 Entry'!#REF!,"AAAAAHJr/nw=")</f>
        <v>#REF!</v>
      </c>
      <c r="DV130" t="e">
        <f>AND('GA55 Entry'!E421,"AAAAAHJr/n0=")</f>
        <v>#VALUE!</v>
      </c>
      <c r="DW130" t="e">
        <f>AND('GA55 Entry'!F421,"AAAAAHJr/n4=")</f>
        <v>#VALUE!</v>
      </c>
      <c r="DX130" t="e">
        <f>AND('GA55 Entry'!G421,"AAAAAHJr/n8=")</f>
        <v>#VALUE!</v>
      </c>
      <c r="DY130" t="e">
        <f>AND('GA55 Entry'!H421,"AAAAAHJr/oA=")</f>
        <v>#VALUE!</v>
      </c>
      <c r="DZ130" t="e">
        <f>AND('GA55 Entry'!I421,"AAAAAHJr/oE=")</f>
        <v>#VALUE!</v>
      </c>
      <c r="EA130" t="e">
        <f>AND('GA55 Entry'!J421,"AAAAAHJr/oI=")</f>
        <v>#VALUE!</v>
      </c>
      <c r="EB130" t="e">
        <f>AND('GA55 Entry'!#REF!,"AAAAAHJr/oM=")</f>
        <v>#REF!</v>
      </c>
      <c r="EC130" t="e">
        <f>AND('GA55 Entry'!K421,"AAAAAHJr/oQ=")</f>
        <v>#VALUE!</v>
      </c>
      <c r="ED130" t="e">
        <f>AND('GA55 Entry'!L421,"AAAAAHJr/oU=")</f>
        <v>#VALUE!</v>
      </c>
      <c r="EE130" t="e">
        <f>AND('GA55 Entry'!M421,"AAAAAHJr/oY=")</f>
        <v>#VALUE!</v>
      </c>
      <c r="EF130" t="e">
        <f>AND('GA55 Entry'!N421,"AAAAAHJr/oc=")</f>
        <v>#VALUE!</v>
      </c>
      <c r="EG130" t="e">
        <f>AND('GA55 Entry'!O421,"AAAAAHJr/og=")</f>
        <v>#VALUE!</v>
      </c>
      <c r="EH130" t="e">
        <f>AND('GA55 Entry'!P421,"AAAAAHJr/ok=")</f>
        <v>#VALUE!</v>
      </c>
      <c r="EI130" t="e">
        <f>AND('GA55 Entry'!Q421,"AAAAAHJr/oo=")</f>
        <v>#VALUE!</v>
      </c>
      <c r="EJ130" t="e">
        <f>AND('GA55 Entry'!S421,"AAAAAHJr/os=")</f>
        <v>#VALUE!</v>
      </c>
      <c r="EK130" t="e">
        <f>AND('GA55 Entry'!#REF!,"AAAAAHJr/ow=")</f>
        <v>#REF!</v>
      </c>
      <c r="EL130" t="e">
        <f>AND('GA55 Entry'!T421,"AAAAAHJr/o0=")</f>
        <v>#VALUE!</v>
      </c>
      <c r="EM130" t="e">
        <f>AND('GA55 Entry'!U421,"AAAAAHJr/o4=")</f>
        <v>#VALUE!</v>
      </c>
      <c r="EN130" t="e">
        <f>AND('GA55 Entry'!V421,"AAAAAHJr/o8=")</f>
        <v>#VALUE!</v>
      </c>
      <c r="EO130" t="e">
        <f>AND('GA55 Entry'!#REF!,"AAAAAHJr/pA=")</f>
        <v>#REF!</v>
      </c>
      <c r="EP130" t="e">
        <f>AND('GA55 Entry'!#REF!,"AAAAAHJr/pE=")</f>
        <v>#REF!</v>
      </c>
      <c r="EQ130" t="e">
        <f>AND('GA55 Entry'!X421,"AAAAAHJr/pI=")</f>
        <v>#VALUE!</v>
      </c>
      <c r="ER130" t="e">
        <f>AND('GA55 Entry'!Y421,"AAAAAHJr/pM=")</f>
        <v>#VALUE!</v>
      </c>
      <c r="ES130" t="e">
        <f>AND('GA55 Entry'!#REF!,"AAAAAHJr/pQ=")</f>
        <v>#REF!</v>
      </c>
      <c r="ET130" t="e">
        <f>AND('GA55 Entry'!#REF!,"AAAAAHJr/pU=")</f>
        <v>#REF!</v>
      </c>
      <c r="EU130" t="e">
        <f>AND('GA55 Entry'!#REF!,"AAAAAHJr/pY=")</f>
        <v>#REF!</v>
      </c>
      <c r="EV130" t="e">
        <f>AND('GA55 Entry'!#REF!,"AAAAAHJr/pc=")</f>
        <v>#REF!</v>
      </c>
      <c r="EW130" t="e">
        <f>AND('GA55 Entry'!#REF!,"AAAAAHJr/pg=")</f>
        <v>#REF!</v>
      </c>
      <c r="EX130" t="e">
        <f>AND('GA55 Entry'!#REF!,"AAAAAHJr/pk=")</f>
        <v>#REF!</v>
      </c>
      <c r="EY130" t="e">
        <f>AND('GA55 Entry'!#REF!,"AAAAAHJr/po=")</f>
        <v>#REF!</v>
      </c>
      <c r="EZ130" t="e">
        <f>AND('GA55 Entry'!#REF!,"AAAAAHJr/ps=")</f>
        <v>#REF!</v>
      </c>
      <c r="FA130" t="e">
        <f>AND('GA55 Entry'!#REF!,"AAAAAHJr/pw=")</f>
        <v>#REF!</v>
      </c>
      <c r="FB130" t="e">
        <f>AND('GA55 Entry'!Z421,"AAAAAHJr/p0=")</f>
        <v>#VALUE!</v>
      </c>
      <c r="FC130" t="e">
        <f>AND('GA55 Entry'!AA421,"AAAAAHJr/p4=")</f>
        <v>#VALUE!</v>
      </c>
      <c r="FD130" t="e">
        <f>AND('GA55 Entry'!#REF!,"AAAAAHJr/p8=")</f>
        <v>#REF!</v>
      </c>
      <c r="FE130" t="e">
        <f>AND('GA55 Entry'!#REF!,"AAAAAHJr/qA=")</f>
        <v>#REF!</v>
      </c>
      <c r="FF130" t="e">
        <f>AND('GA55 Entry'!#REF!,"AAAAAHJr/qE=")</f>
        <v>#REF!</v>
      </c>
      <c r="FG130" t="e">
        <f>AND('GA55 Entry'!AB421,"AAAAAHJr/qI=")</f>
        <v>#VALUE!</v>
      </c>
      <c r="FH130" t="e">
        <f>AND('GA55 Entry'!AC421,"AAAAAHJr/qM=")</f>
        <v>#VALUE!</v>
      </c>
      <c r="FI130" t="e">
        <f>AND('GA55 Entry'!#REF!,"AAAAAHJr/qQ=")</f>
        <v>#REF!</v>
      </c>
      <c r="FJ130">
        <f>IF('GA55 Entry'!422:422,"AAAAAHJr/qU=",0)</f>
        <v>0</v>
      </c>
      <c r="FK130" t="e">
        <f>AND('GA55 Entry'!B422,"AAAAAHJr/qY=")</f>
        <v>#VALUE!</v>
      </c>
      <c r="FL130" t="e">
        <f>AND('GA55 Entry'!#REF!,"AAAAAHJr/qc=")</f>
        <v>#REF!</v>
      </c>
      <c r="FM130" t="e">
        <f>AND('GA55 Entry'!C422,"AAAAAHJr/qg=")</f>
        <v>#VALUE!</v>
      </c>
      <c r="FN130" t="e">
        <f>AND('GA55 Entry'!#REF!,"AAAAAHJr/qk=")</f>
        <v>#REF!</v>
      </c>
      <c r="FO130" t="e">
        <f>AND('GA55 Entry'!#REF!,"AAAAAHJr/qo=")</f>
        <v>#REF!</v>
      </c>
      <c r="FP130" t="e">
        <f>AND('GA55 Entry'!#REF!,"AAAAAHJr/qs=")</f>
        <v>#REF!</v>
      </c>
      <c r="FQ130" t="e">
        <f>AND('GA55 Entry'!#REF!,"AAAAAHJr/qw=")</f>
        <v>#REF!</v>
      </c>
      <c r="FR130" t="e">
        <f>AND('GA55 Entry'!#REF!,"AAAAAHJr/q0=")</f>
        <v>#REF!</v>
      </c>
      <c r="FS130" t="e">
        <f>AND('GA55 Entry'!D422,"AAAAAHJr/q4=")</f>
        <v>#VALUE!</v>
      </c>
      <c r="FT130" t="e">
        <f>AND('GA55 Entry'!#REF!,"AAAAAHJr/q8=")</f>
        <v>#REF!</v>
      </c>
      <c r="FU130" t="e">
        <f>AND('GA55 Entry'!E422,"AAAAAHJr/rA=")</f>
        <v>#VALUE!</v>
      </c>
      <c r="FV130" t="e">
        <f>AND('GA55 Entry'!F422,"AAAAAHJr/rE=")</f>
        <v>#VALUE!</v>
      </c>
      <c r="FW130" t="e">
        <f>AND('GA55 Entry'!G422,"AAAAAHJr/rI=")</f>
        <v>#VALUE!</v>
      </c>
      <c r="FX130" t="e">
        <f>AND('GA55 Entry'!H422,"AAAAAHJr/rM=")</f>
        <v>#VALUE!</v>
      </c>
      <c r="FY130" t="e">
        <f>AND('GA55 Entry'!I422,"AAAAAHJr/rQ=")</f>
        <v>#VALUE!</v>
      </c>
      <c r="FZ130" t="e">
        <f>AND('GA55 Entry'!J422,"AAAAAHJr/rU=")</f>
        <v>#VALUE!</v>
      </c>
      <c r="GA130" t="e">
        <f>AND('GA55 Entry'!#REF!,"AAAAAHJr/rY=")</f>
        <v>#REF!</v>
      </c>
      <c r="GB130" t="e">
        <f>AND('GA55 Entry'!K422,"AAAAAHJr/rc=")</f>
        <v>#VALUE!</v>
      </c>
      <c r="GC130" t="e">
        <f>AND('GA55 Entry'!L422,"AAAAAHJr/rg=")</f>
        <v>#VALUE!</v>
      </c>
      <c r="GD130" t="e">
        <f>AND('GA55 Entry'!M422,"AAAAAHJr/rk=")</f>
        <v>#VALUE!</v>
      </c>
      <c r="GE130" t="e">
        <f>AND('GA55 Entry'!N422,"AAAAAHJr/ro=")</f>
        <v>#VALUE!</v>
      </c>
      <c r="GF130" t="e">
        <f>AND('GA55 Entry'!O422,"AAAAAHJr/rs=")</f>
        <v>#VALUE!</v>
      </c>
      <c r="GG130" t="e">
        <f>AND('GA55 Entry'!P422,"AAAAAHJr/rw=")</f>
        <v>#VALUE!</v>
      </c>
      <c r="GH130" t="e">
        <f>AND('GA55 Entry'!Q422,"AAAAAHJr/r0=")</f>
        <v>#VALUE!</v>
      </c>
      <c r="GI130" t="e">
        <f>AND('GA55 Entry'!S422,"AAAAAHJr/r4=")</f>
        <v>#VALUE!</v>
      </c>
      <c r="GJ130" t="e">
        <f>AND('GA55 Entry'!#REF!,"AAAAAHJr/r8=")</f>
        <v>#REF!</v>
      </c>
      <c r="GK130" t="e">
        <f>AND('GA55 Entry'!T422,"AAAAAHJr/sA=")</f>
        <v>#VALUE!</v>
      </c>
      <c r="GL130" t="e">
        <f>AND('GA55 Entry'!U422,"AAAAAHJr/sE=")</f>
        <v>#VALUE!</v>
      </c>
      <c r="GM130" t="e">
        <f>AND('GA55 Entry'!V422,"AAAAAHJr/sI=")</f>
        <v>#VALUE!</v>
      </c>
      <c r="GN130" t="e">
        <f>AND('GA55 Entry'!#REF!,"AAAAAHJr/sM=")</f>
        <v>#REF!</v>
      </c>
      <c r="GO130" t="e">
        <f>AND('GA55 Entry'!#REF!,"AAAAAHJr/sQ=")</f>
        <v>#REF!</v>
      </c>
      <c r="GP130" t="e">
        <f>AND('GA55 Entry'!X422,"AAAAAHJr/sU=")</f>
        <v>#VALUE!</v>
      </c>
      <c r="GQ130" t="e">
        <f>AND('GA55 Entry'!Y422,"AAAAAHJr/sY=")</f>
        <v>#VALUE!</v>
      </c>
      <c r="GR130" t="e">
        <f>AND('GA55 Entry'!#REF!,"AAAAAHJr/sc=")</f>
        <v>#REF!</v>
      </c>
      <c r="GS130" t="e">
        <f>AND('GA55 Entry'!#REF!,"AAAAAHJr/sg=")</f>
        <v>#REF!</v>
      </c>
      <c r="GT130" t="e">
        <f>AND('GA55 Entry'!#REF!,"AAAAAHJr/sk=")</f>
        <v>#REF!</v>
      </c>
      <c r="GU130" t="e">
        <f>AND('GA55 Entry'!#REF!,"AAAAAHJr/so=")</f>
        <v>#REF!</v>
      </c>
      <c r="GV130" t="e">
        <f>AND('GA55 Entry'!#REF!,"AAAAAHJr/ss=")</f>
        <v>#REF!</v>
      </c>
      <c r="GW130" t="e">
        <f>AND('GA55 Entry'!#REF!,"AAAAAHJr/sw=")</f>
        <v>#REF!</v>
      </c>
      <c r="GX130" t="e">
        <f>AND('GA55 Entry'!#REF!,"AAAAAHJr/s0=")</f>
        <v>#REF!</v>
      </c>
      <c r="GY130" t="e">
        <f>AND('GA55 Entry'!#REF!,"AAAAAHJr/s4=")</f>
        <v>#REF!</v>
      </c>
      <c r="GZ130" t="e">
        <f>AND('GA55 Entry'!#REF!,"AAAAAHJr/s8=")</f>
        <v>#REF!</v>
      </c>
      <c r="HA130" t="e">
        <f>AND('GA55 Entry'!Z422,"AAAAAHJr/tA=")</f>
        <v>#VALUE!</v>
      </c>
      <c r="HB130" t="e">
        <f>AND('GA55 Entry'!AA422,"AAAAAHJr/tE=")</f>
        <v>#VALUE!</v>
      </c>
      <c r="HC130" t="e">
        <f>AND('GA55 Entry'!#REF!,"AAAAAHJr/tI=")</f>
        <v>#REF!</v>
      </c>
      <c r="HD130" t="e">
        <f>AND('GA55 Entry'!#REF!,"AAAAAHJr/tM=")</f>
        <v>#REF!</v>
      </c>
      <c r="HE130" t="e">
        <f>AND('GA55 Entry'!#REF!,"AAAAAHJr/tQ=")</f>
        <v>#REF!</v>
      </c>
      <c r="HF130" t="e">
        <f>AND('GA55 Entry'!AB422,"AAAAAHJr/tU=")</f>
        <v>#VALUE!</v>
      </c>
      <c r="HG130" t="e">
        <f>AND('GA55 Entry'!AC422,"AAAAAHJr/tY=")</f>
        <v>#VALUE!</v>
      </c>
      <c r="HH130" t="e">
        <f>AND('GA55 Entry'!#REF!,"AAAAAHJr/tc=")</f>
        <v>#REF!</v>
      </c>
      <c r="HI130">
        <f>IF('GA55 Entry'!423:423,"AAAAAHJr/tg=",0)</f>
        <v>0</v>
      </c>
      <c r="HJ130" t="e">
        <f>AND('GA55 Entry'!B423,"AAAAAHJr/tk=")</f>
        <v>#VALUE!</v>
      </c>
      <c r="HK130" t="e">
        <f>AND('GA55 Entry'!#REF!,"AAAAAHJr/to=")</f>
        <v>#REF!</v>
      </c>
      <c r="HL130" t="e">
        <f>AND('GA55 Entry'!C423,"AAAAAHJr/ts=")</f>
        <v>#VALUE!</v>
      </c>
      <c r="HM130" t="e">
        <f>AND('GA55 Entry'!#REF!,"AAAAAHJr/tw=")</f>
        <v>#REF!</v>
      </c>
      <c r="HN130" t="e">
        <f>AND('GA55 Entry'!#REF!,"AAAAAHJr/t0=")</f>
        <v>#REF!</v>
      </c>
      <c r="HO130" t="e">
        <f>AND('GA55 Entry'!#REF!,"AAAAAHJr/t4=")</f>
        <v>#REF!</v>
      </c>
      <c r="HP130" t="e">
        <f>AND('GA55 Entry'!#REF!,"AAAAAHJr/t8=")</f>
        <v>#REF!</v>
      </c>
      <c r="HQ130" t="e">
        <f>AND('GA55 Entry'!#REF!,"AAAAAHJr/uA=")</f>
        <v>#REF!</v>
      </c>
      <c r="HR130" t="e">
        <f>AND('GA55 Entry'!D423,"AAAAAHJr/uE=")</f>
        <v>#VALUE!</v>
      </c>
      <c r="HS130" t="e">
        <f>AND('GA55 Entry'!#REF!,"AAAAAHJr/uI=")</f>
        <v>#REF!</v>
      </c>
      <c r="HT130" t="e">
        <f>AND('GA55 Entry'!E423,"AAAAAHJr/uM=")</f>
        <v>#VALUE!</v>
      </c>
      <c r="HU130" t="e">
        <f>AND('GA55 Entry'!F423,"AAAAAHJr/uQ=")</f>
        <v>#VALUE!</v>
      </c>
      <c r="HV130" t="e">
        <f>AND('GA55 Entry'!G423,"AAAAAHJr/uU=")</f>
        <v>#VALUE!</v>
      </c>
      <c r="HW130" t="e">
        <f>AND('GA55 Entry'!H423,"AAAAAHJr/uY=")</f>
        <v>#VALUE!</v>
      </c>
      <c r="HX130" t="e">
        <f>AND('GA55 Entry'!I423,"AAAAAHJr/uc=")</f>
        <v>#VALUE!</v>
      </c>
      <c r="HY130" t="e">
        <f>AND('GA55 Entry'!J423,"AAAAAHJr/ug=")</f>
        <v>#VALUE!</v>
      </c>
      <c r="HZ130" t="e">
        <f>AND('GA55 Entry'!#REF!,"AAAAAHJr/uk=")</f>
        <v>#REF!</v>
      </c>
      <c r="IA130" t="e">
        <f>AND('GA55 Entry'!K423,"AAAAAHJr/uo=")</f>
        <v>#VALUE!</v>
      </c>
      <c r="IB130" t="e">
        <f>AND('GA55 Entry'!L423,"AAAAAHJr/us=")</f>
        <v>#VALUE!</v>
      </c>
      <c r="IC130" t="e">
        <f>AND('GA55 Entry'!M423,"AAAAAHJr/uw=")</f>
        <v>#VALUE!</v>
      </c>
      <c r="ID130" t="e">
        <f>AND('GA55 Entry'!N423,"AAAAAHJr/u0=")</f>
        <v>#VALUE!</v>
      </c>
      <c r="IE130" t="e">
        <f>AND('GA55 Entry'!O423,"AAAAAHJr/u4=")</f>
        <v>#VALUE!</v>
      </c>
      <c r="IF130" t="e">
        <f>AND('GA55 Entry'!P423,"AAAAAHJr/u8=")</f>
        <v>#VALUE!</v>
      </c>
      <c r="IG130" t="e">
        <f>AND('GA55 Entry'!Q423,"AAAAAHJr/vA=")</f>
        <v>#VALUE!</v>
      </c>
      <c r="IH130" t="e">
        <f>AND('GA55 Entry'!S423,"AAAAAHJr/vE=")</f>
        <v>#VALUE!</v>
      </c>
      <c r="II130" t="e">
        <f>AND('GA55 Entry'!#REF!,"AAAAAHJr/vI=")</f>
        <v>#REF!</v>
      </c>
      <c r="IJ130" t="e">
        <f>AND('GA55 Entry'!T423,"AAAAAHJr/vM=")</f>
        <v>#VALUE!</v>
      </c>
      <c r="IK130" t="e">
        <f>AND('GA55 Entry'!U423,"AAAAAHJr/vQ=")</f>
        <v>#VALUE!</v>
      </c>
      <c r="IL130" t="e">
        <f>AND('GA55 Entry'!V423,"AAAAAHJr/vU=")</f>
        <v>#VALUE!</v>
      </c>
      <c r="IM130" t="e">
        <f>AND('GA55 Entry'!#REF!,"AAAAAHJr/vY=")</f>
        <v>#REF!</v>
      </c>
      <c r="IN130" t="e">
        <f>AND('GA55 Entry'!#REF!,"AAAAAHJr/vc=")</f>
        <v>#REF!</v>
      </c>
      <c r="IO130" t="e">
        <f>AND('GA55 Entry'!X423,"AAAAAHJr/vg=")</f>
        <v>#VALUE!</v>
      </c>
      <c r="IP130" t="e">
        <f>AND('GA55 Entry'!Y423,"AAAAAHJr/vk=")</f>
        <v>#VALUE!</v>
      </c>
      <c r="IQ130" t="e">
        <f>AND('GA55 Entry'!#REF!,"AAAAAHJr/vo=")</f>
        <v>#REF!</v>
      </c>
      <c r="IR130" t="e">
        <f>AND('GA55 Entry'!#REF!,"AAAAAHJr/vs=")</f>
        <v>#REF!</v>
      </c>
      <c r="IS130" t="e">
        <f>AND('GA55 Entry'!#REF!,"AAAAAHJr/vw=")</f>
        <v>#REF!</v>
      </c>
      <c r="IT130" t="e">
        <f>AND('GA55 Entry'!#REF!,"AAAAAHJr/v0=")</f>
        <v>#REF!</v>
      </c>
      <c r="IU130" t="e">
        <f>AND('GA55 Entry'!#REF!,"AAAAAHJr/v4=")</f>
        <v>#REF!</v>
      </c>
      <c r="IV130" t="e">
        <f>AND('GA55 Entry'!#REF!,"AAAAAHJr/v8=")</f>
        <v>#REF!</v>
      </c>
    </row>
    <row r="131" spans="1:256">
      <c r="A131" t="e">
        <f>AND('GA55 Entry'!#REF!,"AAAAAFjvvAA=")</f>
        <v>#REF!</v>
      </c>
      <c r="B131" t="e">
        <f>AND('GA55 Entry'!#REF!,"AAAAAFjvvAE=")</f>
        <v>#REF!</v>
      </c>
      <c r="C131" t="e">
        <f>AND('GA55 Entry'!#REF!,"AAAAAFjvvAI=")</f>
        <v>#REF!</v>
      </c>
      <c r="D131" t="e">
        <f>AND('GA55 Entry'!Z423,"AAAAAFjvvAM=")</f>
        <v>#VALUE!</v>
      </c>
      <c r="E131" t="e">
        <f>AND('GA55 Entry'!AA423,"AAAAAFjvvAQ=")</f>
        <v>#VALUE!</v>
      </c>
      <c r="F131" t="e">
        <f>AND('GA55 Entry'!#REF!,"AAAAAFjvvAU=")</f>
        <v>#REF!</v>
      </c>
      <c r="G131" t="e">
        <f>AND('GA55 Entry'!#REF!,"AAAAAFjvvAY=")</f>
        <v>#REF!</v>
      </c>
      <c r="H131" t="e">
        <f>AND('GA55 Entry'!#REF!,"AAAAAFjvvAc=")</f>
        <v>#REF!</v>
      </c>
      <c r="I131" t="e">
        <f>AND('GA55 Entry'!AB423,"AAAAAFjvvAg=")</f>
        <v>#VALUE!</v>
      </c>
      <c r="J131" t="e">
        <f>AND('GA55 Entry'!AC423,"AAAAAFjvvAk=")</f>
        <v>#VALUE!</v>
      </c>
      <c r="K131" t="e">
        <f>AND('GA55 Entry'!#REF!,"AAAAAFjvvAo=")</f>
        <v>#REF!</v>
      </c>
      <c r="L131">
        <f>IF('GA55 Entry'!424:424,"AAAAAFjvvAs=",0)</f>
        <v>0</v>
      </c>
      <c r="M131" t="e">
        <f>AND('GA55 Entry'!B424,"AAAAAFjvvAw=")</f>
        <v>#VALUE!</v>
      </c>
      <c r="N131" t="e">
        <f>AND('GA55 Entry'!#REF!,"AAAAAFjvvA0=")</f>
        <v>#REF!</v>
      </c>
      <c r="O131" t="e">
        <f>AND('GA55 Entry'!C424,"AAAAAFjvvA4=")</f>
        <v>#VALUE!</v>
      </c>
      <c r="P131" t="e">
        <f>AND('GA55 Entry'!#REF!,"AAAAAFjvvA8=")</f>
        <v>#REF!</v>
      </c>
      <c r="Q131" t="e">
        <f>AND('GA55 Entry'!#REF!,"AAAAAFjvvBA=")</f>
        <v>#REF!</v>
      </c>
      <c r="R131" t="e">
        <f>AND('GA55 Entry'!#REF!,"AAAAAFjvvBE=")</f>
        <v>#REF!</v>
      </c>
      <c r="S131" t="e">
        <f>AND('GA55 Entry'!#REF!,"AAAAAFjvvBI=")</f>
        <v>#REF!</v>
      </c>
      <c r="T131" t="e">
        <f>AND('GA55 Entry'!#REF!,"AAAAAFjvvBM=")</f>
        <v>#REF!</v>
      </c>
      <c r="U131" t="e">
        <f>AND('GA55 Entry'!D424,"AAAAAFjvvBQ=")</f>
        <v>#VALUE!</v>
      </c>
      <c r="V131" t="e">
        <f>AND('GA55 Entry'!#REF!,"AAAAAFjvvBU=")</f>
        <v>#REF!</v>
      </c>
      <c r="W131" t="e">
        <f>AND('GA55 Entry'!E424,"AAAAAFjvvBY=")</f>
        <v>#VALUE!</v>
      </c>
      <c r="X131" t="e">
        <f>AND('GA55 Entry'!F424,"AAAAAFjvvBc=")</f>
        <v>#VALUE!</v>
      </c>
      <c r="Y131" t="e">
        <f>AND('GA55 Entry'!G424,"AAAAAFjvvBg=")</f>
        <v>#VALUE!</v>
      </c>
      <c r="Z131" t="e">
        <f>AND('GA55 Entry'!H424,"AAAAAFjvvBk=")</f>
        <v>#VALUE!</v>
      </c>
      <c r="AA131" t="e">
        <f>AND('GA55 Entry'!I424,"AAAAAFjvvBo=")</f>
        <v>#VALUE!</v>
      </c>
      <c r="AB131" t="e">
        <f>AND('GA55 Entry'!J424,"AAAAAFjvvBs=")</f>
        <v>#VALUE!</v>
      </c>
      <c r="AC131" t="e">
        <f>AND('GA55 Entry'!#REF!,"AAAAAFjvvBw=")</f>
        <v>#REF!</v>
      </c>
      <c r="AD131" t="e">
        <f>AND('GA55 Entry'!K424,"AAAAAFjvvB0=")</f>
        <v>#VALUE!</v>
      </c>
      <c r="AE131" t="e">
        <f>AND('GA55 Entry'!L424,"AAAAAFjvvB4=")</f>
        <v>#VALUE!</v>
      </c>
      <c r="AF131" t="e">
        <f>AND('GA55 Entry'!M424,"AAAAAFjvvB8=")</f>
        <v>#VALUE!</v>
      </c>
      <c r="AG131" t="e">
        <f>AND('GA55 Entry'!N424,"AAAAAFjvvCA=")</f>
        <v>#VALUE!</v>
      </c>
      <c r="AH131" t="e">
        <f>AND('GA55 Entry'!O424,"AAAAAFjvvCE=")</f>
        <v>#VALUE!</v>
      </c>
      <c r="AI131" t="e">
        <f>AND('GA55 Entry'!P424,"AAAAAFjvvCI=")</f>
        <v>#VALUE!</v>
      </c>
      <c r="AJ131" t="e">
        <f>AND('GA55 Entry'!Q424,"AAAAAFjvvCM=")</f>
        <v>#VALUE!</v>
      </c>
      <c r="AK131" t="e">
        <f>AND('GA55 Entry'!S424,"AAAAAFjvvCQ=")</f>
        <v>#VALUE!</v>
      </c>
      <c r="AL131" t="e">
        <f>AND('GA55 Entry'!#REF!,"AAAAAFjvvCU=")</f>
        <v>#REF!</v>
      </c>
      <c r="AM131" t="e">
        <f>AND('GA55 Entry'!T424,"AAAAAFjvvCY=")</f>
        <v>#VALUE!</v>
      </c>
      <c r="AN131" t="e">
        <f>AND('GA55 Entry'!U424,"AAAAAFjvvCc=")</f>
        <v>#VALUE!</v>
      </c>
      <c r="AO131" t="e">
        <f>AND('GA55 Entry'!V424,"AAAAAFjvvCg=")</f>
        <v>#VALUE!</v>
      </c>
      <c r="AP131" t="e">
        <f>AND('GA55 Entry'!#REF!,"AAAAAFjvvCk=")</f>
        <v>#REF!</v>
      </c>
      <c r="AQ131" t="e">
        <f>AND('GA55 Entry'!#REF!,"AAAAAFjvvCo=")</f>
        <v>#REF!</v>
      </c>
      <c r="AR131" t="e">
        <f>AND('GA55 Entry'!X424,"AAAAAFjvvCs=")</f>
        <v>#VALUE!</v>
      </c>
      <c r="AS131" t="e">
        <f>AND('GA55 Entry'!Y424,"AAAAAFjvvCw=")</f>
        <v>#VALUE!</v>
      </c>
      <c r="AT131" t="e">
        <f>AND('GA55 Entry'!#REF!,"AAAAAFjvvC0=")</f>
        <v>#REF!</v>
      </c>
      <c r="AU131" t="e">
        <f>AND('GA55 Entry'!#REF!,"AAAAAFjvvC4=")</f>
        <v>#REF!</v>
      </c>
      <c r="AV131" t="e">
        <f>AND('GA55 Entry'!#REF!,"AAAAAFjvvC8=")</f>
        <v>#REF!</v>
      </c>
      <c r="AW131" t="e">
        <f>AND('GA55 Entry'!#REF!,"AAAAAFjvvDA=")</f>
        <v>#REF!</v>
      </c>
      <c r="AX131" t="e">
        <f>AND('GA55 Entry'!#REF!,"AAAAAFjvvDE=")</f>
        <v>#REF!</v>
      </c>
      <c r="AY131" t="e">
        <f>AND('GA55 Entry'!#REF!,"AAAAAFjvvDI=")</f>
        <v>#REF!</v>
      </c>
      <c r="AZ131" t="e">
        <f>AND('GA55 Entry'!#REF!,"AAAAAFjvvDM=")</f>
        <v>#REF!</v>
      </c>
      <c r="BA131" t="e">
        <f>AND('GA55 Entry'!#REF!,"AAAAAFjvvDQ=")</f>
        <v>#REF!</v>
      </c>
      <c r="BB131" t="e">
        <f>AND('GA55 Entry'!#REF!,"AAAAAFjvvDU=")</f>
        <v>#REF!</v>
      </c>
      <c r="BC131" t="e">
        <f>AND('GA55 Entry'!Z424,"AAAAAFjvvDY=")</f>
        <v>#VALUE!</v>
      </c>
      <c r="BD131" t="e">
        <f>AND('GA55 Entry'!AA424,"AAAAAFjvvDc=")</f>
        <v>#VALUE!</v>
      </c>
      <c r="BE131" t="e">
        <f>AND('GA55 Entry'!#REF!,"AAAAAFjvvDg=")</f>
        <v>#REF!</v>
      </c>
      <c r="BF131" t="e">
        <f>AND('GA55 Entry'!#REF!,"AAAAAFjvvDk=")</f>
        <v>#REF!</v>
      </c>
      <c r="BG131" t="e">
        <f>AND('GA55 Entry'!#REF!,"AAAAAFjvvDo=")</f>
        <v>#REF!</v>
      </c>
      <c r="BH131" t="e">
        <f>AND('GA55 Entry'!AB424,"AAAAAFjvvDs=")</f>
        <v>#VALUE!</v>
      </c>
      <c r="BI131" t="e">
        <f>AND('GA55 Entry'!AC424,"AAAAAFjvvDw=")</f>
        <v>#VALUE!</v>
      </c>
      <c r="BJ131" t="e">
        <f>AND('GA55 Entry'!#REF!,"AAAAAFjvvD0=")</f>
        <v>#REF!</v>
      </c>
      <c r="BK131">
        <f>IF('GA55 Entry'!425:425,"AAAAAFjvvD4=",0)</f>
        <v>0</v>
      </c>
      <c r="BL131" t="e">
        <f>AND('GA55 Entry'!B425,"AAAAAFjvvD8=")</f>
        <v>#VALUE!</v>
      </c>
      <c r="BM131" t="e">
        <f>AND('GA55 Entry'!#REF!,"AAAAAFjvvEA=")</f>
        <v>#REF!</v>
      </c>
      <c r="BN131" t="e">
        <f>AND('GA55 Entry'!C425,"AAAAAFjvvEE=")</f>
        <v>#VALUE!</v>
      </c>
      <c r="BO131" t="e">
        <f>AND('GA55 Entry'!#REF!,"AAAAAFjvvEI=")</f>
        <v>#REF!</v>
      </c>
      <c r="BP131" t="e">
        <f>AND('GA55 Entry'!#REF!,"AAAAAFjvvEM=")</f>
        <v>#REF!</v>
      </c>
      <c r="BQ131" t="e">
        <f>AND('GA55 Entry'!#REF!,"AAAAAFjvvEQ=")</f>
        <v>#REF!</v>
      </c>
      <c r="BR131" t="e">
        <f>AND('GA55 Entry'!#REF!,"AAAAAFjvvEU=")</f>
        <v>#REF!</v>
      </c>
      <c r="BS131" t="e">
        <f>AND('GA55 Entry'!#REF!,"AAAAAFjvvEY=")</f>
        <v>#REF!</v>
      </c>
      <c r="BT131" t="e">
        <f>AND('GA55 Entry'!D425,"AAAAAFjvvEc=")</f>
        <v>#VALUE!</v>
      </c>
      <c r="BU131" t="e">
        <f>AND('GA55 Entry'!#REF!,"AAAAAFjvvEg=")</f>
        <v>#REF!</v>
      </c>
      <c r="BV131" t="e">
        <f>AND('GA55 Entry'!E425,"AAAAAFjvvEk=")</f>
        <v>#VALUE!</v>
      </c>
      <c r="BW131" t="e">
        <f>AND('GA55 Entry'!F425,"AAAAAFjvvEo=")</f>
        <v>#VALUE!</v>
      </c>
      <c r="BX131" t="e">
        <f>AND('GA55 Entry'!G425,"AAAAAFjvvEs=")</f>
        <v>#VALUE!</v>
      </c>
      <c r="BY131" t="e">
        <f>AND('GA55 Entry'!H425,"AAAAAFjvvEw=")</f>
        <v>#VALUE!</v>
      </c>
      <c r="BZ131" t="e">
        <f>AND('GA55 Entry'!I425,"AAAAAFjvvE0=")</f>
        <v>#VALUE!</v>
      </c>
      <c r="CA131" t="e">
        <f>AND('GA55 Entry'!J425,"AAAAAFjvvE4=")</f>
        <v>#VALUE!</v>
      </c>
      <c r="CB131" t="e">
        <f>AND('GA55 Entry'!#REF!,"AAAAAFjvvE8=")</f>
        <v>#REF!</v>
      </c>
      <c r="CC131" t="e">
        <f>AND('GA55 Entry'!K425,"AAAAAFjvvFA=")</f>
        <v>#VALUE!</v>
      </c>
      <c r="CD131" t="e">
        <f>AND('GA55 Entry'!L425,"AAAAAFjvvFE=")</f>
        <v>#VALUE!</v>
      </c>
      <c r="CE131" t="e">
        <f>AND('GA55 Entry'!M425,"AAAAAFjvvFI=")</f>
        <v>#VALUE!</v>
      </c>
      <c r="CF131" t="e">
        <f>AND('GA55 Entry'!N425,"AAAAAFjvvFM=")</f>
        <v>#VALUE!</v>
      </c>
      <c r="CG131" t="e">
        <f>AND('GA55 Entry'!O425,"AAAAAFjvvFQ=")</f>
        <v>#VALUE!</v>
      </c>
      <c r="CH131" t="e">
        <f>AND('GA55 Entry'!P425,"AAAAAFjvvFU=")</f>
        <v>#VALUE!</v>
      </c>
      <c r="CI131" t="e">
        <f>AND('GA55 Entry'!Q425,"AAAAAFjvvFY=")</f>
        <v>#VALUE!</v>
      </c>
      <c r="CJ131" t="e">
        <f>AND('GA55 Entry'!S425,"AAAAAFjvvFc=")</f>
        <v>#VALUE!</v>
      </c>
      <c r="CK131" t="e">
        <f>AND('GA55 Entry'!#REF!,"AAAAAFjvvFg=")</f>
        <v>#REF!</v>
      </c>
      <c r="CL131" t="e">
        <f>AND('GA55 Entry'!T425,"AAAAAFjvvFk=")</f>
        <v>#VALUE!</v>
      </c>
      <c r="CM131" t="e">
        <f>AND('GA55 Entry'!U425,"AAAAAFjvvFo=")</f>
        <v>#VALUE!</v>
      </c>
      <c r="CN131" t="e">
        <f>AND('GA55 Entry'!V425,"AAAAAFjvvFs=")</f>
        <v>#VALUE!</v>
      </c>
      <c r="CO131" t="e">
        <f>AND('GA55 Entry'!#REF!,"AAAAAFjvvFw=")</f>
        <v>#REF!</v>
      </c>
      <c r="CP131" t="e">
        <f>AND('GA55 Entry'!#REF!,"AAAAAFjvvF0=")</f>
        <v>#REF!</v>
      </c>
      <c r="CQ131" t="e">
        <f>AND('GA55 Entry'!X425,"AAAAAFjvvF4=")</f>
        <v>#VALUE!</v>
      </c>
      <c r="CR131" t="e">
        <f>AND('GA55 Entry'!Y425,"AAAAAFjvvF8=")</f>
        <v>#VALUE!</v>
      </c>
      <c r="CS131" t="e">
        <f>AND('GA55 Entry'!#REF!,"AAAAAFjvvGA=")</f>
        <v>#REF!</v>
      </c>
      <c r="CT131" t="e">
        <f>AND('GA55 Entry'!#REF!,"AAAAAFjvvGE=")</f>
        <v>#REF!</v>
      </c>
      <c r="CU131" t="e">
        <f>AND('GA55 Entry'!#REF!,"AAAAAFjvvGI=")</f>
        <v>#REF!</v>
      </c>
      <c r="CV131" t="e">
        <f>AND('GA55 Entry'!#REF!,"AAAAAFjvvGM=")</f>
        <v>#REF!</v>
      </c>
      <c r="CW131" t="e">
        <f>AND('GA55 Entry'!#REF!,"AAAAAFjvvGQ=")</f>
        <v>#REF!</v>
      </c>
      <c r="CX131" t="e">
        <f>AND('GA55 Entry'!#REF!,"AAAAAFjvvGU=")</f>
        <v>#REF!</v>
      </c>
      <c r="CY131" t="e">
        <f>AND('GA55 Entry'!#REF!,"AAAAAFjvvGY=")</f>
        <v>#REF!</v>
      </c>
      <c r="CZ131" t="e">
        <f>AND('GA55 Entry'!#REF!,"AAAAAFjvvGc=")</f>
        <v>#REF!</v>
      </c>
      <c r="DA131" t="e">
        <f>AND('GA55 Entry'!#REF!,"AAAAAFjvvGg=")</f>
        <v>#REF!</v>
      </c>
      <c r="DB131" t="e">
        <f>AND('GA55 Entry'!Z425,"AAAAAFjvvGk=")</f>
        <v>#VALUE!</v>
      </c>
      <c r="DC131" t="e">
        <f>AND('GA55 Entry'!AA425,"AAAAAFjvvGo=")</f>
        <v>#VALUE!</v>
      </c>
      <c r="DD131" t="e">
        <f>AND('GA55 Entry'!#REF!,"AAAAAFjvvGs=")</f>
        <v>#REF!</v>
      </c>
      <c r="DE131" t="e">
        <f>AND('GA55 Entry'!#REF!,"AAAAAFjvvGw=")</f>
        <v>#REF!</v>
      </c>
      <c r="DF131" t="e">
        <f>AND('GA55 Entry'!#REF!,"AAAAAFjvvG0=")</f>
        <v>#REF!</v>
      </c>
      <c r="DG131" t="e">
        <f>AND('GA55 Entry'!AB425,"AAAAAFjvvG4=")</f>
        <v>#VALUE!</v>
      </c>
      <c r="DH131" t="e">
        <f>AND('GA55 Entry'!AC425,"AAAAAFjvvG8=")</f>
        <v>#VALUE!</v>
      </c>
      <c r="DI131" t="e">
        <f>AND('GA55 Entry'!#REF!,"AAAAAFjvvHA=")</f>
        <v>#REF!</v>
      </c>
      <c r="DJ131">
        <f>IF('GA55 Entry'!426:426,"AAAAAFjvvHE=",0)</f>
        <v>0</v>
      </c>
      <c r="DK131" t="e">
        <f>AND('GA55 Entry'!B426,"AAAAAFjvvHI=")</f>
        <v>#VALUE!</v>
      </c>
      <c r="DL131" t="e">
        <f>AND('GA55 Entry'!#REF!,"AAAAAFjvvHM=")</f>
        <v>#REF!</v>
      </c>
      <c r="DM131" t="e">
        <f>AND('GA55 Entry'!C426,"AAAAAFjvvHQ=")</f>
        <v>#VALUE!</v>
      </c>
      <c r="DN131" t="e">
        <f>AND('GA55 Entry'!#REF!,"AAAAAFjvvHU=")</f>
        <v>#REF!</v>
      </c>
      <c r="DO131" t="e">
        <f>AND('GA55 Entry'!#REF!,"AAAAAFjvvHY=")</f>
        <v>#REF!</v>
      </c>
      <c r="DP131" t="e">
        <f>AND('GA55 Entry'!#REF!,"AAAAAFjvvHc=")</f>
        <v>#REF!</v>
      </c>
      <c r="DQ131" t="e">
        <f>AND('GA55 Entry'!#REF!,"AAAAAFjvvHg=")</f>
        <v>#REF!</v>
      </c>
      <c r="DR131" t="e">
        <f>AND('GA55 Entry'!#REF!,"AAAAAFjvvHk=")</f>
        <v>#REF!</v>
      </c>
      <c r="DS131" t="e">
        <f>AND('GA55 Entry'!D426,"AAAAAFjvvHo=")</f>
        <v>#VALUE!</v>
      </c>
      <c r="DT131" t="e">
        <f>AND('GA55 Entry'!#REF!,"AAAAAFjvvHs=")</f>
        <v>#REF!</v>
      </c>
      <c r="DU131" t="e">
        <f>AND('GA55 Entry'!E426,"AAAAAFjvvHw=")</f>
        <v>#VALUE!</v>
      </c>
      <c r="DV131" t="e">
        <f>AND('GA55 Entry'!F426,"AAAAAFjvvH0=")</f>
        <v>#VALUE!</v>
      </c>
      <c r="DW131" t="e">
        <f>AND('GA55 Entry'!G426,"AAAAAFjvvH4=")</f>
        <v>#VALUE!</v>
      </c>
      <c r="DX131" t="e">
        <f>AND('GA55 Entry'!H426,"AAAAAFjvvH8=")</f>
        <v>#VALUE!</v>
      </c>
      <c r="DY131" t="e">
        <f>AND('GA55 Entry'!I426,"AAAAAFjvvIA=")</f>
        <v>#VALUE!</v>
      </c>
      <c r="DZ131" t="e">
        <f>AND('GA55 Entry'!J426,"AAAAAFjvvIE=")</f>
        <v>#VALUE!</v>
      </c>
      <c r="EA131" t="e">
        <f>AND('GA55 Entry'!#REF!,"AAAAAFjvvII=")</f>
        <v>#REF!</v>
      </c>
      <c r="EB131" t="e">
        <f>AND('GA55 Entry'!K426,"AAAAAFjvvIM=")</f>
        <v>#VALUE!</v>
      </c>
      <c r="EC131" t="e">
        <f>AND('GA55 Entry'!L426,"AAAAAFjvvIQ=")</f>
        <v>#VALUE!</v>
      </c>
      <c r="ED131" t="e">
        <f>AND('GA55 Entry'!M426,"AAAAAFjvvIU=")</f>
        <v>#VALUE!</v>
      </c>
      <c r="EE131" t="e">
        <f>AND('GA55 Entry'!N426,"AAAAAFjvvIY=")</f>
        <v>#VALUE!</v>
      </c>
      <c r="EF131" t="e">
        <f>AND('GA55 Entry'!O426,"AAAAAFjvvIc=")</f>
        <v>#VALUE!</v>
      </c>
      <c r="EG131" t="e">
        <f>AND('GA55 Entry'!P426,"AAAAAFjvvIg=")</f>
        <v>#VALUE!</v>
      </c>
      <c r="EH131" t="e">
        <f>AND('GA55 Entry'!Q426,"AAAAAFjvvIk=")</f>
        <v>#VALUE!</v>
      </c>
      <c r="EI131" t="e">
        <f>AND('GA55 Entry'!S426,"AAAAAFjvvIo=")</f>
        <v>#VALUE!</v>
      </c>
      <c r="EJ131" t="e">
        <f>AND('GA55 Entry'!#REF!,"AAAAAFjvvIs=")</f>
        <v>#REF!</v>
      </c>
      <c r="EK131" t="e">
        <f>AND('GA55 Entry'!T426,"AAAAAFjvvIw=")</f>
        <v>#VALUE!</v>
      </c>
      <c r="EL131" t="e">
        <f>AND('GA55 Entry'!U426,"AAAAAFjvvI0=")</f>
        <v>#VALUE!</v>
      </c>
      <c r="EM131" t="e">
        <f>AND('GA55 Entry'!V426,"AAAAAFjvvI4=")</f>
        <v>#VALUE!</v>
      </c>
      <c r="EN131" t="e">
        <f>AND('GA55 Entry'!#REF!,"AAAAAFjvvI8=")</f>
        <v>#REF!</v>
      </c>
      <c r="EO131" t="e">
        <f>AND('GA55 Entry'!#REF!,"AAAAAFjvvJA=")</f>
        <v>#REF!</v>
      </c>
      <c r="EP131" t="e">
        <f>AND('GA55 Entry'!X426,"AAAAAFjvvJE=")</f>
        <v>#VALUE!</v>
      </c>
      <c r="EQ131" t="e">
        <f>AND('GA55 Entry'!Y426,"AAAAAFjvvJI=")</f>
        <v>#VALUE!</v>
      </c>
      <c r="ER131" t="e">
        <f>AND('GA55 Entry'!#REF!,"AAAAAFjvvJM=")</f>
        <v>#REF!</v>
      </c>
      <c r="ES131" t="e">
        <f>AND('GA55 Entry'!#REF!,"AAAAAFjvvJQ=")</f>
        <v>#REF!</v>
      </c>
      <c r="ET131" t="e">
        <f>AND('GA55 Entry'!#REF!,"AAAAAFjvvJU=")</f>
        <v>#REF!</v>
      </c>
      <c r="EU131" t="e">
        <f>AND('GA55 Entry'!#REF!,"AAAAAFjvvJY=")</f>
        <v>#REF!</v>
      </c>
      <c r="EV131" t="e">
        <f>AND('GA55 Entry'!#REF!,"AAAAAFjvvJc=")</f>
        <v>#REF!</v>
      </c>
      <c r="EW131" t="e">
        <f>AND('GA55 Entry'!#REF!,"AAAAAFjvvJg=")</f>
        <v>#REF!</v>
      </c>
      <c r="EX131" t="e">
        <f>AND('GA55 Entry'!#REF!,"AAAAAFjvvJk=")</f>
        <v>#REF!</v>
      </c>
      <c r="EY131" t="e">
        <f>AND('GA55 Entry'!#REF!,"AAAAAFjvvJo=")</f>
        <v>#REF!</v>
      </c>
      <c r="EZ131" t="e">
        <f>AND('GA55 Entry'!#REF!,"AAAAAFjvvJs=")</f>
        <v>#REF!</v>
      </c>
      <c r="FA131" t="e">
        <f>AND('GA55 Entry'!Z426,"AAAAAFjvvJw=")</f>
        <v>#VALUE!</v>
      </c>
      <c r="FB131" t="e">
        <f>AND('GA55 Entry'!AA426,"AAAAAFjvvJ0=")</f>
        <v>#VALUE!</v>
      </c>
      <c r="FC131" t="e">
        <f>AND('GA55 Entry'!#REF!,"AAAAAFjvvJ4=")</f>
        <v>#REF!</v>
      </c>
      <c r="FD131" t="e">
        <f>AND('GA55 Entry'!#REF!,"AAAAAFjvvJ8=")</f>
        <v>#REF!</v>
      </c>
      <c r="FE131" t="e">
        <f>AND('GA55 Entry'!#REF!,"AAAAAFjvvKA=")</f>
        <v>#REF!</v>
      </c>
      <c r="FF131" t="e">
        <f>AND('GA55 Entry'!AB426,"AAAAAFjvvKE=")</f>
        <v>#VALUE!</v>
      </c>
      <c r="FG131" t="e">
        <f>AND('GA55 Entry'!AC426,"AAAAAFjvvKI=")</f>
        <v>#VALUE!</v>
      </c>
      <c r="FH131" t="e">
        <f>AND('GA55 Entry'!#REF!,"AAAAAFjvvKM=")</f>
        <v>#REF!</v>
      </c>
      <c r="FI131">
        <f>IF('GA55 Entry'!427:427,"AAAAAFjvvKQ=",0)</f>
        <v>0</v>
      </c>
      <c r="FJ131" t="e">
        <f>AND('GA55 Entry'!B427,"AAAAAFjvvKU=")</f>
        <v>#VALUE!</v>
      </c>
      <c r="FK131" t="e">
        <f>AND('GA55 Entry'!#REF!,"AAAAAFjvvKY=")</f>
        <v>#REF!</v>
      </c>
      <c r="FL131" t="e">
        <f>AND('GA55 Entry'!C427,"AAAAAFjvvKc=")</f>
        <v>#VALUE!</v>
      </c>
      <c r="FM131" t="e">
        <f>AND('GA55 Entry'!#REF!,"AAAAAFjvvKg=")</f>
        <v>#REF!</v>
      </c>
      <c r="FN131" t="e">
        <f>AND('GA55 Entry'!#REF!,"AAAAAFjvvKk=")</f>
        <v>#REF!</v>
      </c>
      <c r="FO131" t="e">
        <f>AND('GA55 Entry'!#REF!,"AAAAAFjvvKo=")</f>
        <v>#REF!</v>
      </c>
      <c r="FP131" t="e">
        <f>AND('GA55 Entry'!#REF!,"AAAAAFjvvKs=")</f>
        <v>#REF!</v>
      </c>
      <c r="FQ131" t="e">
        <f>AND('GA55 Entry'!#REF!,"AAAAAFjvvKw=")</f>
        <v>#REF!</v>
      </c>
      <c r="FR131" t="e">
        <f>AND('GA55 Entry'!D427,"AAAAAFjvvK0=")</f>
        <v>#VALUE!</v>
      </c>
      <c r="FS131" t="e">
        <f>AND('GA55 Entry'!#REF!,"AAAAAFjvvK4=")</f>
        <v>#REF!</v>
      </c>
      <c r="FT131" t="e">
        <f>AND('GA55 Entry'!E427,"AAAAAFjvvK8=")</f>
        <v>#VALUE!</v>
      </c>
      <c r="FU131" t="e">
        <f>AND('GA55 Entry'!F427,"AAAAAFjvvLA=")</f>
        <v>#VALUE!</v>
      </c>
      <c r="FV131" t="e">
        <f>AND('GA55 Entry'!G427,"AAAAAFjvvLE=")</f>
        <v>#VALUE!</v>
      </c>
      <c r="FW131" t="e">
        <f>AND('GA55 Entry'!H427,"AAAAAFjvvLI=")</f>
        <v>#VALUE!</v>
      </c>
      <c r="FX131" t="e">
        <f>AND('GA55 Entry'!I427,"AAAAAFjvvLM=")</f>
        <v>#VALUE!</v>
      </c>
      <c r="FY131" t="e">
        <f>AND('GA55 Entry'!J427,"AAAAAFjvvLQ=")</f>
        <v>#VALUE!</v>
      </c>
      <c r="FZ131" t="e">
        <f>AND('GA55 Entry'!#REF!,"AAAAAFjvvLU=")</f>
        <v>#REF!</v>
      </c>
      <c r="GA131" t="e">
        <f>AND('GA55 Entry'!K427,"AAAAAFjvvLY=")</f>
        <v>#VALUE!</v>
      </c>
      <c r="GB131" t="e">
        <f>AND('GA55 Entry'!L427,"AAAAAFjvvLc=")</f>
        <v>#VALUE!</v>
      </c>
      <c r="GC131" t="e">
        <f>AND('GA55 Entry'!M427,"AAAAAFjvvLg=")</f>
        <v>#VALUE!</v>
      </c>
      <c r="GD131" t="e">
        <f>AND('GA55 Entry'!N427,"AAAAAFjvvLk=")</f>
        <v>#VALUE!</v>
      </c>
      <c r="GE131" t="e">
        <f>AND('GA55 Entry'!O427,"AAAAAFjvvLo=")</f>
        <v>#VALUE!</v>
      </c>
      <c r="GF131" t="e">
        <f>AND('GA55 Entry'!P427,"AAAAAFjvvLs=")</f>
        <v>#VALUE!</v>
      </c>
      <c r="GG131" t="e">
        <f>AND('GA55 Entry'!Q427,"AAAAAFjvvLw=")</f>
        <v>#VALUE!</v>
      </c>
      <c r="GH131" t="e">
        <f>AND('GA55 Entry'!S427,"AAAAAFjvvL0=")</f>
        <v>#VALUE!</v>
      </c>
      <c r="GI131" t="e">
        <f>AND('GA55 Entry'!#REF!,"AAAAAFjvvL4=")</f>
        <v>#REF!</v>
      </c>
      <c r="GJ131" t="e">
        <f>AND('GA55 Entry'!T427,"AAAAAFjvvL8=")</f>
        <v>#VALUE!</v>
      </c>
      <c r="GK131" t="e">
        <f>AND('GA55 Entry'!U427,"AAAAAFjvvMA=")</f>
        <v>#VALUE!</v>
      </c>
      <c r="GL131" t="e">
        <f>AND('GA55 Entry'!V427,"AAAAAFjvvME=")</f>
        <v>#VALUE!</v>
      </c>
      <c r="GM131" t="e">
        <f>AND('GA55 Entry'!#REF!,"AAAAAFjvvMI=")</f>
        <v>#REF!</v>
      </c>
      <c r="GN131" t="e">
        <f>AND('GA55 Entry'!#REF!,"AAAAAFjvvMM=")</f>
        <v>#REF!</v>
      </c>
      <c r="GO131" t="e">
        <f>AND('GA55 Entry'!X427,"AAAAAFjvvMQ=")</f>
        <v>#VALUE!</v>
      </c>
      <c r="GP131" t="e">
        <f>AND('GA55 Entry'!Y427,"AAAAAFjvvMU=")</f>
        <v>#VALUE!</v>
      </c>
      <c r="GQ131" t="e">
        <f>AND('GA55 Entry'!#REF!,"AAAAAFjvvMY=")</f>
        <v>#REF!</v>
      </c>
      <c r="GR131" t="e">
        <f>AND('GA55 Entry'!#REF!,"AAAAAFjvvMc=")</f>
        <v>#REF!</v>
      </c>
      <c r="GS131" t="e">
        <f>AND('GA55 Entry'!#REF!,"AAAAAFjvvMg=")</f>
        <v>#REF!</v>
      </c>
      <c r="GT131" t="e">
        <f>AND('GA55 Entry'!#REF!,"AAAAAFjvvMk=")</f>
        <v>#REF!</v>
      </c>
      <c r="GU131" t="e">
        <f>AND('GA55 Entry'!#REF!,"AAAAAFjvvMo=")</f>
        <v>#REF!</v>
      </c>
      <c r="GV131" t="e">
        <f>AND('GA55 Entry'!#REF!,"AAAAAFjvvMs=")</f>
        <v>#REF!</v>
      </c>
      <c r="GW131" t="e">
        <f>AND('GA55 Entry'!#REF!,"AAAAAFjvvMw=")</f>
        <v>#REF!</v>
      </c>
      <c r="GX131" t="e">
        <f>AND('GA55 Entry'!#REF!,"AAAAAFjvvM0=")</f>
        <v>#REF!</v>
      </c>
      <c r="GY131" t="e">
        <f>AND('GA55 Entry'!#REF!,"AAAAAFjvvM4=")</f>
        <v>#REF!</v>
      </c>
      <c r="GZ131" t="e">
        <f>AND('GA55 Entry'!Z427,"AAAAAFjvvM8=")</f>
        <v>#VALUE!</v>
      </c>
      <c r="HA131" t="e">
        <f>AND('GA55 Entry'!AA427,"AAAAAFjvvNA=")</f>
        <v>#VALUE!</v>
      </c>
      <c r="HB131" t="e">
        <f>AND('GA55 Entry'!#REF!,"AAAAAFjvvNE=")</f>
        <v>#REF!</v>
      </c>
      <c r="HC131" t="e">
        <f>AND('GA55 Entry'!#REF!,"AAAAAFjvvNI=")</f>
        <v>#REF!</v>
      </c>
      <c r="HD131" t="e">
        <f>AND('GA55 Entry'!#REF!,"AAAAAFjvvNM=")</f>
        <v>#REF!</v>
      </c>
      <c r="HE131" t="e">
        <f>AND('GA55 Entry'!AB427,"AAAAAFjvvNQ=")</f>
        <v>#VALUE!</v>
      </c>
      <c r="HF131" t="e">
        <f>AND('GA55 Entry'!AC427,"AAAAAFjvvNU=")</f>
        <v>#VALUE!</v>
      </c>
      <c r="HG131" t="e">
        <f>AND('GA55 Entry'!#REF!,"AAAAAFjvvNY=")</f>
        <v>#REF!</v>
      </c>
      <c r="HH131">
        <f>IF('GA55 Entry'!428:428,"AAAAAFjvvNc=",0)</f>
        <v>0</v>
      </c>
      <c r="HI131" t="e">
        <f>AND('GA55 Entry'!B428,"AAAAAFjvvNg=")</f>
        <v>#VALUE!</v>
      </c>
      <c r="HJ131" t="e">
        <f>AND('GA55 Entry'!#REF!,"AAAAAFjvvNk=")</f>
        <v>#REF!</v>
      </c>
      <c r="HK131" t="e">
        <f>AND('GA55 Entry'!C428,"AAAAAFjvvNo=")</f>
        <v>#VALUE!</v>
      </c>
      <c r="HL131" t="e">
        <f>AND('GA55 Entry'!#REF!,"AAAAAFjvvNs=")</f>
        <v>#REF!</v>
      </c>
      <c r="HM131" t="e">
        <f>AND('GA55 Entry'!#REF!,"AAAAAFjvvNw=")</f>
        <v>#REF!</v>
      </c>
      <c r="HN131" t="e">
        <f>AND('GA55 Entry'!#REF!,"AAAAAFjvvN0=")</f>
        <v>#REF!</v>
      </c>
      <c r="HO131" t="e">
        <f>AND('GA55 Entry'!#REF!,"AAAAAFjvvN4=")</f>
        <v>#REF!</v>
      </c>
      <c r="HP131" t="e">
        <f>AND('GA55 Entry'!#REF!,"AAAAAFjvvN8=")</f>
        <v>#REF!</v>
      </c>
      <c r="HQ131" t="e">
        <f>AND('GA55 Entry'!D428,"AAAAAFjvvOA=")</f>
        <v>#VALUE!</v>
      </c>
      <c r="HR131" t="e">
        <f>AND('GA55 Entry'!#REF!,"AAAAAFjvvOE=")</f>
        <v>#REF!</v>
      </c>
      <c r="HS131" t="e">
        <f>AND('GA55 Entry'!E428,"AAAAAFjvvOI=")</f>
        <v>#VALUE!</v>
      </c>
      <c r="HT131" t="e">
        <f>AND('GA55 Entry'!F428,"AAAAAFjvvOM=")</f>
        <v>#VALUE!</v>
      </c>
      <c r="HU131" t="e">
        <f>AND('GA55 Entry'!G428,"AAAAAFjvvOQ=")</f>
        <v>#VALUE!</v>
      </c>
      <c r="HV131" t="e">
        <f>AND('GA55 Entry'!H428,"AAAAAFjvvOU=")</f>
        <v>#VALUE!</v>
      </c>
      <c r="HW131" t="e">
        <f>AND('GA55 Entry'!I428,"AAAAAFjvvOY=")</f>
        <v>#VALUE!</v>
      </c>
      <c r="HX131" t="e">
        <f>AND('GA55 Entry'!J428,"AAAAAFjvvOc=")</f>
        <v>#VALUE!</v>
      </c>
      <c r="HY131" t="e">
        <f>AND('GA55 Entry'!#REF!,"AAAAAFjvvOg=")</f>
        <v>#REF!</v>
      </c>
      <c r="HZ131" t="e">
        <f>AND('GA55 Entry'!K428,"AAAAAFjvvOk=")</f>
        <v>#VALUE!</v>
      </c>
      <c r="IA131" t="e">
        <f>AND('GA55 Entry'!L428,"AAAAAFjvvOo=")</f>
        <v>#VALUE!</v>
      </c>
      <c r="IB131" t="e">
        <f>AND('GA55 Entry'!M428,"AAAAAFjvvOs=")</f>
        <v>#VALUE!</v>
      </c>
      <c r="IC131" t="e">
        <f>AND('GA55 Entry'!N428,"AAAAAFjvvOw=")</f>
        <v>#VALUE!</v>
      </c>
      <c r="ID131" t="e">
        <f>AND('GA55 Entry'!O428,"AAAAAFjvvO0=")</f>
        <v>#VALUE!</v>
      </c>
      <c r="IE131" t="e">
        <f>AND('GA55 Entry'!P428,"AAAAAFjvvO4=")</f>
        <v>#VALUE!</v>
      </c>
      <c r="IF131" t="e">
        <f>AND('GA55 Entry'!Q428,"AAAAAFjvvO8=")</f>
        <v>#VALUE!</v>
      </c>
      <c r="IG131" t="e">
        <f>AND('GA55 Entry'!S428,"AAAAAFjvvPA=")</f>
        <v>#VALUE!</v>
      </c>
      <c r="IH131" t="e">
        <f>AND('GA55 Entry'!#REF!,"AAAAAFjvvPE=")</f>
        <v>#REF!</v>
      </c>
      <c r="II131" t="e">
        <f>AND('GA55 Entry'!T428,"AAAAAFjvvPI=")</f>
        <v>#VALUE!</v>
      </c>
      <c r="IJ131" t="e">
        <f>AND('GA55 Entry'!U428,"AAAAAFjvvPM=")</f>
        <v>#VALUE!</v>
      </c>
      <c r="IK131" t="e">
        <f>AND('GA55 Entry'!V428,"AAAAAFjvvPQ=")</f>
        <v>#VALUE!</v>
      </c>
      <c r="IL131" t="e">
        <f>AND('GA55 Entry'!#REF!,"AAAAAFjvvPU=")</f>
        <v>#REF!</v>
      </c>
      <c r="IM131" t="e">
        <f>AND('GA55 Entry'!#REF!,"AAAAAFjvvPY=")</f>
        <v>#REF!</v>
      </c>
      <c r="IN131" t="e">
        <f>AND('GA55 Entry'!X428,"AAAAAFjvvPc=")</f>
        <v>#VALUE!</v>
      </c>
      <c r="IO131" t="e">
        <f>AND('GA55 Entry'!Y428,"AAAAAFjvvPg=")</f>
        <v>#VALUE!</v>
      </c>
      <c r="IP131" t="e">
        <f>AND('GA55 Entry'!#REF!,"AAAAAFjvvPk=")</f>
        <v>#REF!</v>
      </c>
      <c r="IQ131" t="e">
        <f>AND('GA55 Entry'!#REF!,"AAAAAFjvvPo=")</f>
        <v>#REF!</v>
      </c>
      <c r="IR131" t="e">
        <f>AND('GA55 Entry'!#REF!,"AAAAAFjvvPs=")</f>
        <v>#REF!</v>
      </c>
      <c r="IS131" t="e">
        <f>AND('GA55 Entry'!#REF!,"AAAAAFjvvPw=")</f>
        <v>#REF!</v>
      </c>
      <c r="IT131" t="e">
        <f>AND('GA55 Entry'!#REF!,"AAAAAFjvvP0=")</f>
        <v>#REF!</v>
      </c>
      <c r="IU131" t="e">
        <f>AND('GA55 Entry'!#REF!,"AAAAAFjvvP4=")</f>
        <v>#REF!</v>
      </c>
      <c r="IV131" t="e">
        <f>AND('GA55 Entry'!#REF!,"AAAAAFjvvP8=")</f>
        <v>#REF!</v>
      </c>
    </row>
    <row r="132" spans="1:256">
      <c r="A132" t="e">
        <f>AND('GA55 Entry'!#REF!,"AAAAAF87/wA=")</f>
        <v>#REF!</v>
      </c>
      <c r="B132" t="e">
        <f>AND('GA55 Entry'!#REF!,"AAAAAF87/wE=")</f>
        <v>#REF!</v>
      </c>
      <c r="C132" t="e">
        <f>AND('GA55 Entry'!Z428,"AAAAAF87/wI=")</f>
        <v>#VALUE!</v>
      </c>
      <c r="D132" t="e">
        <f>AND('GA55 Entry'!AA428,"AAAAAF87/wM=")</f>
        <v>#VALUE!</v>
      </c>
      <c r="E132" t="e">
        <f>AND('GA55 Entry'!#REF!,"AAAAAF87/wQ=")</f>
        <v>#REF!</v>
      </c>
      <c r="F132" t="e">
        <f>AND('GA55 Entry'!#REF!,"AAAAAF87/wU=")</f>
        <v>#REF!</v>
      </c>
      <c r="G132" t="e">
        <f>AND('GA55 Entry'!#REF!,"AAAAAF87/wY=")</f>
        <v>#REF!</v>
      </c>
      <c r="H132" t="e">
        <f>AND('GA55 Entry'!AB428,"AAAAAF87/wc=")</f>
        <v>#VALUE!</v>
      </c>
      <c r="I132" t="e">
        <f>AND('GA55 Entry'!AC428,"AAAAAF87/wg=")</f>
        <v>#VALUE!</v>
      </c>
      <c r="J132" t="e">
        <f>AND('GA55 Entry'!#REF!,"AAAAAF87/wk=")</f>
        <v>#REF!</v>
      </c>
      <c r="K132">
        <f>IF('GA55 Entry'!429:429,"AAAAAF87/wo=",0)</f>
        <v>0</v>
      </c>
      <c r="L132" t="e">
        <f>AND('GA55 Entry'!B429,"AAAAAF87/ws=")</f>
        <v>#VALUE!</v>
      </c>
      <c r="M132" t="e">
        <f>AND('GA55 Entry'!#REF!,"AAAAAF87/ww=")</f>
        <v>#REF!</v>
      </c>
      <c r="N132" t="e">
        <f>AND('GA55 Entry'!C429,"AAAAAF87/w0=")</f>
        <v>#VALUE!</v>
      </c>
      <c r="O132" t="e">
        <f>AND('GA55 Entry'!#REF!,"AAAAAF87/w4=")</f>
        <v>#REF!</v>
      </c>
      <c r="P132" t="e">
        <f>AND('GA55 Entry'!#REF!,"AAAAAF87/w8=")</f>
        <v>#REF!</v>
      </c>
      <c r="Q132" t="e">
        <f>AND('GA55 Entry'!#REF!,"AAAAAF87/xA=")</f>
        <v>#REF!</v>
      </c>
      <c r="R132" t="e">
        <f>AND('GA55 Entry'!#REF!,"AAAAAF87/xE=")</f>
        <v>#REF!</v>
      </c>
      <c r="S132" t="e">
        <f>AND('GA55 Entry'!#REF!,"AAAAAF87/xI=")</f>
        <v>#REF!</v>
      </c>
      <c r="T132" t="e">
        <f>AND('GA55 Entry'!D429,"AAAAAF87/xM=")</f>
        <v>#VALUE!</v>
      </c>
      <c r="U132" t="e">
        <f>AND('GA55 Entry'!#REF!,"AAAAAF87/xQ=")</f>
        <v>#REF!</v>
      </c>
      <c r="V132" t="e">
        <f>AND('GA55 Entry'!E429,"AAAAAF87/xU=")</f>
        <v>#VALUE!</v>
      </c>
      <c r="W132" t="e">
        <f>AND('GA55 Entry'!F429,"AAAAAF87/xY=")</f>
        <v>#VALUE!</v>
      </c>
      <c r="X132" t="e">
        <f>AND('GA55 Entry'!G429,"AAAAAF87/xc=")</f>
        <v>#VALUE!</v>
      </c>
      <c r="Y132" t="e">
        <f>AND('GA55 Entry'!H429,"AAAAAF87/xg=")</f>
        <v>#VALUE!</v>
      </c>
      <c r="Z132" t="e">
        <f>AND('GA55 Entry'!I429,"AAAAAF87/xk=")</f>
        <v>#VALUE!</v>
      </c>
      <c r="AA132" t="e">
        <f>AND('GA55 Entry'!J429,"AAAAAF87/xo=")</f>
        <v>#VALUE!</v>
      </c>
      <c r="AB132" t="e">
        <f>AND('GA55 Entry'!#REF!,"AAAAAF87/xs=")</f>
        <v>#REF!</v>
      </c>
      <c r="AC132" t="e">
        <f>AND('GA55 Entry'!K429,"AAAAAF87/xw=")</f>
        <v>#VALUE!</v>
      </c>
      <c r="AD132" t="e">
        <f>AND('GA55 Entry'!L429,"AAAAAF87/x0=")</f>
        <v>#VALUE!</v>
      </c>
      <c r="AE132" t="e">
        <f>AND('GA55 Entry'!M429,"AAAAAF87/x4=")</f>
        <v>#VALUE!</v>
      </c>
      <c r="AF132" t="e">
        <f>AND('GA55 Entry'!N429,"AAAAAF87/x8=")</f>
        <v>#VALUE!</v>
      </c>
      <c r="AG132" t="e">
        <f>AND('GA55 Entry'!O429,"AAAAAF87/yA=")</f>
        <v>#VALUE!</v>
      </c>
      <c r="AH132" t="e">
        <f>AND('GA55 Entry'!P429,"AAAAAF87/yE=")</f>
        <v>#VALUE!</v>
      </c>
      <c r="AI132" t="e">
        <f>AND('GA55 Entry'!Q429,"AAAAAF87/yI=")</f>
        <v>#VALUE!</v>
      </c>
      <c r="AJ132" t="e">
        <f>AND('GA55 Entry'!S429,"AAAAAF87/yM=")</f>
        <v>#VALUE!</v>
      </c>
      <c r="AK132" t="e">
        <f>AND('GA55 Entry'!#REF!,"AAAAAF87/yQ=")</f>
        <v>#REF!</v>
      </c>
      <c r="AL132" t="e">
        <f>AND('GA55 Entry'!T429,"AAAAAF87/yU=")</f>
        <v>#VALUE!</v>
      </c>
      <c r="AM132" t="e">
        <f>AND('GA55 Entry'!U429,"AAAAAF87/yY=")</f>
        <v>#VALUE!</v>
      </c>
      <c r="AN132" t="e">
        <f>AND('GA55 Entry'!V429,"AAAAAF87/yc=")</f>
        <v>#VALUE!</v>
      </c>
      <c r="AO132" t="e">
        <f>AND('GA55 Entry'!#REF!,"AAAAAF87/yg=")</f>
        <v>#REF!</v>
      </c>
      <c r="AP132" t="e">
        <f>AND('GA55 Entry'!#REF!,"AAAAAF87/yk=")</f>
        <v>#REF!</v>
      </c>
      <c r="AQ132" t="e">
        <f>AND('GA55 Entry'!X429,"AAAAAF87/yo=")</f>
        <v>#VALUE!</v>
      </c>
      <c r="AR132" t="e">
        <f>AND('GA55 Entry'!Y429,"AAAAAF87/ys=")</f>
        <v>#VALUE!</v>
      </c>
      <c r="AS132" t="e">
        <f>AND('GA55 Entry'!#REF!,"AAAAAF87/yw=")</f>
        <v>#REF!</v>
      </c>
      <c r="AT132" t="e">
        <f>AND('GA55 Entry'!#REF!,"AAAAAF87/y0=")</f>
        <v>#REF!</v>
      </c>
      <c r="AU132" t="e">
        <f>AND('GA55 Entry'!#REF!,"AAAAAF87/y4=")</f>
        <v>#REF!</v>
      </c>
      <c r="AV132" t="e">
        <f>AND('GA55 Entry'!#REF!,"AAAAAF87/y8=")</f>
        <v>#REF!</v>
      </c>
      <c r="AW132" t="e">
        <f>AND('GA55 Entry'!#REF!,"AAAAAF87/zA=")</f>
        <v>#REF!</v>
      </c>
      <c r="AX132" t="e">
        <f>AND('GA55 Entry'!#REF!,"AAAAAF87/zE=")</f>
        <v>#REF!</v>
      </c>
      <c r="AY132" t="e">
        <f>AND('GA55 Entry'!#REF!,"AAAAAF87/zI=")</f>
        <v>#REF!</v>
      </c>
      <c r="AZ132" t="e">
        <f>AND('GA55 Entry'!#REF!,"AAAAAF87/zM=")</f>
        <v>#REF!</v>
      </c>
      <c r="BA132" t="e">
        <f>AND('GA55 Entry'!#REF!,"AAAAAF87/zQ=")</f>
        <v>#REF!</v>
      </c>
      <c r="BB132" t="e">
        <f>AND('GA55 Entry'!Z429,"AAAAAF87/zU=")</f>
        <v>#VALUE!</v>
      </c>
      <c r="BC132" t="e">
        <f>AND('GA55 Entry'!AA429,"AAAAAF87/zY=")</f>
        <v>#VALUE!</v>
      </c>
      <c r="BD132" t="e">
        <f>AND('GA55 Entry'!#REF!,"AAAAAF87/zc=")</f>
        <v>#REF!</v>
      </c>
      <c r="BE132" t="e">
        <f>AND('GA55 Entry'!#REF!,"AAAAAF87/zg=")</f>
        <v>#REF!</v>
      </c>
      <c r="BF132" t="e">
        <f>AND('GA55 Entry'!#REF!,"AAAAAF87/zk=")</f>
        <v>#REF!</v>
      </c>
      <c r="BG132" t="e">
        <f>AND('GA55 Entry'!AB429,"AAAAAF87/zo=")</f>
        <v>#VALUE!</v>
      </c>
      <c r="BH132" t="e">
        <f>AND('GA55 Entry'!AC429,"AAAAAF87/zs=")</f>
        <v>#VALUE!</v>
      </c>
      <c r="BI132" t="e">
        <f>AND('GA55 Entry'!#REF!,"AAAAAF87/zw=")</f>
        <v>#REF!</v>
      </c>
      <c r="BJ132">
        <f>IF('GA55 Entry'!430:430,"AAAAAF87/z0=",0)</f>
        <v>0</v>
      </c>
      <c r="BK132" t="e">
        <f>AND('GA55 Entry'!B430,"AAAAAF87/z4=")</f>
        <v>#VALUE!</v>
      </c>
      <c r="BL132" t="e">
        <f>AND('GA55 Entry'!#REF!,"AAAAAF87/z8=")</f>
        <v>#REF!</v>
      </c>
      <c r="BM132" t="e">
        <f>AND('GA55 Entry'!C430,"AAAAAF87/0A=")</f>
        <v>#VALUE!</v>
      </c>
      <c r="BN132" t="e">
        <f>AND('GA55 Entry'!#REF!,"AAAAAF87/0E=")</f>
        <v>#REF!</v>
      </c>
      <c r="BO132" t="e">
        <f>AND('GA55 Entry'!#REF!,"AAAAAF87/0I=")</f>
        <v>#REF!</v>
      </c>
      <c r="BP132" t="e">
        <f>AND('GA55 Entry'!#REF!,"AAAAAF87/0M=")</f>
        <v>#REF!</v>
      </c>
      <c r="BQ132" t="e">
        <f>AND('GA55 Entry'!#REF!,"AAAAAF87/0Q=")</f>
        <v>#REF!</v>
      </c>
      <c r="BR132" t="e">
        <f>AND('GA55 Entry'!#REF!,"AAAAAF87/0U=")</f>
        <v>#REF!</v>
      </c>
      <c r="BS132" t="e">
        <f>AND('GA55 Entry'!D430,"AAAAAF87/0Y=")</f>
        <v>#VALUE!</v>
      </c>
      <c r="BT132" t="e">
        <f>AND('GA55 Entry'!#REF!,"AAAAAF87/0c=")</f>
        <v>#REF!</v>
      </c>
      <c r="BU132" t="e">
        <f>AND('GA55 Entry'!E430,"AAAAAF87/0g=")</f>
        <v>#VALUE!</v>
      </c>
      <c r="BV132" t="e">
        <f>AND('GA55 Entry'!F430,"AAAAAF87/0k=")</f>
        <v>#VALUE!</v>
      </c>
      <c r="BW132" t="e">
        <f>AND('GA55 Entry'!G430,"AAAAAF87/0o=")</f>
        <v>#VALUE!</v>
      </c>
      <c r="BX132" t="e">
        <f>AND('GA55 Entry'!H430,"AAAAAF87/0s=")</f>
        <v>#VALUE!</v>
      </c>
      <c r="BY132" t="e">
        <f>AND('GA55 Entry'!I430,"AAAAAF87/0w=")</f>
        <v>#VALUE!</v>
      </c>
      <c r="BZ132" t="e">
        <f>AND('GA55 Entry'!J430,"AAAAAF87/00=")</f>
        <v>#VALUE!</v>
      </c>
      <c r="CA132" t="e">
        <f>AND('GA55 Entry'!#REF!,"AAAAAF87/04=")</f>
        <v>#REF!</v>
      </c>
      <c r="CB132" t="e">
        <f>AND('GA55 Entry'!K430,"AAAAAF87/08=")</f>
        <v>#VALUE!</v>
      </c>
      <c r="CC132" t="e">
        <f>AND('GA55 Entry'!L430,"AAAAAF87/1A=")</f>
        <v>#VALUE!</v>
      </c>
      <c r="CD132" t="e">
        <f>AND('GA55 Entry'!M430,"AAAAAF87/1E=")</f>
        <v>#VALUE!</v>
      </c>
      <c r="CE132" t="e">
        <f>AND('GA55 Entry'!N430,"AAAAAF87/1I=")</f>
        <v>#VALUE!</v>
      </c>
      <c r="CF132" t="e">
        <f>AND('GA55 Entry'!O430,"AAAAAF87/1M=")</f>
        <v>#VALUE!</v>
      </c>
      <c r="CG132" t="e">
        <f>AND('GA55 Entry'!P430,"AAAAAF87/1Q=")</f>
        <v>#VALUE!</v>
      </c>
      <c r="CH132" t="e">
        <f>AND('GA55 Entry'!Q430,"AAAAAF87/1U=")</f>
        <v>#VALUE!</v>
      </c>
      <c r="CI132" t="e">
        <f>AND('GA55 Entry'!S430,"AAAAAF87/1Y=")</f>
        <v>#VALUE!</v>
      </c>
      <c r="CJ132" t="e">
        <f>AND('GA55 Entry'!#REF!,"AAAAAF87/1c=")</f>
        <v>#REF!</v>
      </c>
      <c r="CK132" t="e">
        <f>AND('GA55 Entry'!T430,"AAAAAF87/1g=")</f>
        <v>#VALUE!</v>
      </c>
      <c r="CL132" t="e">
        <f>AND('GA55 Entry'!U430,"AAAAAF87/1k=")</f>
        <v>#VALUE!</v>
      </c>
      <c r="CM132" t="e">
        <f>AND('GA55 Entry'!V430,"AAAAAF87/1o=")</f>
        <v>#VALUE!</v>
      </c>
      <c r="CN132" t="e">
        <f>AND('GA55 Entry'!#REF!,"AAAAAF87/1s=")</f>
        <v>#REF!</v>
      </c>
      <c r="CO132" t="e">
        <f>AND('GA55 Entry'!#REF!,"AAAAAF87/1w=")</f>
        <v>#REF!</v>
      </c>
      <c r="CP132" t="e">
        <f>AND('GA55 Entry'!X430,"AAAAAF87/10=")</f>
        <v>#VALUE!</v>
      </c>
      <c r="CQ132" t="e">
        <f>AND('GA55 Entry'!Y430,"AAAAAF87/14=")</f>
        <v>#VALUE!</v>
      </c>
      <c r="CR132" t="e">
        <f>AND('GA55 Entry'!#REF!,"AAAAAF87/18=")</f>
        <v>#REF!</v>
      </c>
      <c r="CS132" t="e">
        <f>AND('GA55 Entry'!#REF!,"AAAAAF87/2A=")</f>
        <v>#REF!</v>
      </c>
      <c r="CT132" t="e">
        <f>AND('GA55 Entry'!#REF!,"AAAAAF87/2E=")</f>
        <v>#REF!</v>
      </c>
      <c r="CU132" t="e">
        <f>AND('GA55 Entry'!#REF!,"AAAAAF87/2I=")</f>
        <v>#REF!</v>
      </c>
      <c r="CV132" t="e">
        <f>AND('GA55 Entry'!#REF!,"AAAAAF87/2M=")</f>
        <v>#REF!</v>
      </c>
      <c r="CW132" t="e">
        <f>AND('GA55 Entry'!#REF!,"AAAAAF87/2Q=")</f>
        <v>#REF!</v>
      </c>
      <c r="CX132" t="e">
        <f>AND('GA55 Entry'!#REF!,"AAAAAF87/2U=")</f>
        <v>#REF!</v>
      </c>
      <c r="CY132" t="e">
        <f>AND('GA55 Entry'!#REF!,"AAAAAF87/2Y=")</f>
        <v>#REF!</v>
      </c>
      <c r="CZ132" t="e">
        <f>AND('GA55 Entry'!#REF!,"AAAAAF87/2c=")</f>
        <v>#REF!</v>
      </c>
      <c r="DA132" t="e">
        <f>AND('GA55 Entry'!Z430,"AAAAAF87/2g=")</f>
        <v>#VALUE!</v>
      </c>
      <c r="DB132" t="e">
        <f>AND('GA55 Entry'!AA430,"AAAAAF87/2k=")</f>
        <v>#VALUE!</v>
      </c>
      <c r="DC132" t="e">
        <f>AND('GA55 Entry'!#REF!,"AAAAAF87/2o=")</f>
        <v>#REF!</v>
      </c>
      <c r="DD132" t="e">
        <f>AND('GA55 Entry'!#REF!,"AAAAAF87/2s=")</f>
        <v>#REF!</v>
      </c>
      <c r="DE132" t="e">
        <f>AND('GA55 Entry'!#REF!,"AAAAAF87/2w=")</f>
        <v>#REF!</v>
      </c>
      <c r="DF132" t="e">
        <f>AND('GA55 Entry'!AB430,"AAAAAF87/20=")</f>
        <v>#VALUE!</v>
      </c>
      <c r="DG132" t="e">
        <f>AND('GA55 Entry'!AC430,"AAAAAF87/24=")</f>
        <v>#VALUE!</v>
      </c>
      <c r="DH132" t="e">
        <f>AND('GA55 Entry'!#REF!,"AAAAAF87/28=")</f>
        <v>#REF!</v>
      </c>
      <c r="DI132">
        <f>IF('GA55 Entry'!431:431,"AAAAAF87/3A=",0)</f>
        <v>0</v>
      </c>
      <c r="DJ132" t="e">
        <f>AND('GA55 Entry'!B431,"AAAAAF87/3E=")</f>
        <v>#VALUE!</v>
      </c>
      <c r="DK132" t="e">
        <f>AND('GA55 Entry'!#REF!,"AAAAAF87/3I=")</f>
        <v>#REF!</v>
      </c>
      <c r="DL132" t="e">
        <f>AND('GA55 Entry'!C431,"AAAAAF87/3M=")</f>
        <v>#VALUE!</v>
      </c>
      <c r="DM132" t="e">
        <f>AND('GA55 Entry'!#REF!,"AAAAAF87/3Q=")</f>
        <v>#REF!</v>
      </c>
      <c r="DN132" t="e">
        <f>AND('GA55 Entry'!#REF!,"AAAAAF87/3U=")</f>
        <v>#REF!</v>
      </c>
      <c r="DO132" t="e">
        <f>AND('GA55 Entry'!#REF!,"AAAAAF87/3Y=")</f>
        <v>#REF!</v>
      </c>
      <c r="DP132" t="e">
        <f>AND('GA55 Entry'!#REF!,"AAAAAF87/3c=")</f>
        <v>#REF!</v>
      </c>
      <c r="DQ132" t="e">
        <f>AND('GA55 Entry'!#REF!,"AAAAAF87/3g=")</f>
        <v>#REF!</v>
      </c>
      <c r="DR132" t="e">
        <f>AND('GA55 Entry'!D431,"AAAAAF87/3k=")</f>
        <v>#VALUE!</v>
      </c>
      <c r="DS132" t="e">
        <f>AND('GA55 Entry'!#REF!,"AAAAAF87/3o=")</f>
        <v>#REF!</v>
      </c>
      <c r="DT132" t="e">
        <f>AND('GA55 Entry'!E431,"AAAAAF87/3s=")</f>
        <v>#VALUE!</v>
      </c>
      <c r="DU132" t="e">
        <f>AND('GA55 Entry'!F431,"AAAAAF87/3w=")</f>
        <v>#VALUE!</v>
      </c>
      <c r="DV132" t="e">
        <f>AND('GA55 Entry'!G431,"AAAAAF87/30=")</f>
        <v>#VALUE!</v>
      </c>
      <c r="DW132" t="e">
        <f>AND('GA55 Entry'!H431,"AAAAAF87/34=")</f>
        <v>#VALUE!</v>
      </c>
      <c r="DX132" t="e">
        <f>AND('GA55 Entry'!I431,"AAAAAF87/38=")</f>
        <v>#VALUE!</v>
      </c>
      <c r="DY132" t="e">
        <f>AND('GA55 Entry'!J431,"AAAAAF87/4A=")</f>
        <v>#VALUE!</v>
      </c>
      <c r="DZ132" t="e">
        <f>AND('GA55 Entry'!#REF!,"AAAAAF87/4E=")</f>
        <v>#REF!</v>
      </c>
      <c r="EA132" t="e">
        <f>AND('GA55 Entry'!K431,"AAAAAF87/4I=")</f>
        <v>#VALUE!</v>
      </c>
      <c r="EB132" t="e">
        <f>AND('GA55 Entry'!L431,"AAAAAF87/4M=")</f>
        <v>#VALUE!</v>
      </c>
      <c r="EC132" t="e">
        <f>AND('GA55 Entry'!M431,"AAAAAF87/4Q=")</f>
        <v>#VALUE!</v>
      </c>
      <c r="ED132" t="e">
        <f>AND('GA55 Entry'!N431,"AAAAAF87/4U=")</f>
        <v>#VALUE!</v>
      </c>
      <c r="EE132" t="e">
        <f>AND('GA55 Entry'!O431,"AAAAAF87/4Y=")</f>
        <v>#VALUE!</v>
      </c>
      <c r="EF132" t="e">
        <f>AND('GA55 Entry'!P431,"AAAAAF87/4c=")</f>
        <v>#VALUE!</v>
      </c>
      <c r="EG132" t="e">
        <f>AND('GA55 Entry'!Q431,"AAAAAF87/4g=")</f>
        <v>#VALUE!</v>
      </c>
      <c r="EH132" t="e">
        <f>AND('GA55 Entry'!S431,"AAAAAF87/4k=")</f>
        <v>#VALUE!</v>
      </c>
      <c r="EI132" t="e">
        <f>AND('GA55 Entry'!#REF!,"AAAAAF87/4o=")</f>
        <v>#REF!</v>
      </c>
      <c r="EJ132" t="e">
        <f>AND('GA55 Entry'!T431,"AAAAAF87/4s=")</f>
        <v>#VALUE!</v>
      </c>
      <c r="EK132" t="e">
        <f>AND('GA55 Entry'!U431,"AAAAAF87/4w=")</f>
        <v>#VALUE!</v>
      </c>
      <c r="EL132" t="e">
        <f>AND('GA55 Entry'!V431,"AAAAAF87/40=")</f>
        <v>#VALUE!</v>
      </c>
      <c r="EM132" t="e">
        <f>AND('GA55 Entry'!#REF!,"AAAAAF87/44=")</f>
        <v>#REF!</v>
      </c>
      <c r="EN132" t="e">
        <f>AND('GA55 Entry'!#REF!,"AAAAAF87/48=")</f>
        <v>#REF!</v>
      </c>
      <c r="EO132" t="e">
        <f>AND('GA55 Entry'!X431,"AAAAAF87/5A=")</f>
        <v>#VALUE!</v>
      </c>
      <c r="EP132" t="e">
        <f>AND('GA55 Entry'!Y431,"AAAAAF87/5E=")</f>
        <v>#VALUE!</v>
      </c>
      <c r="EQ132" t="e">
        <f>AND('GA55 Entry'!#REF!,"AAAAAF87/5I=")</f>
        <v>#REF!</v>
      </c>
      <c r="ER132" t="e">
        <f>AND('GA55 Entry'!#REF!,"AAAAAF87/5M=")</f>
        <v>#REF!</v>
      </c>
      <c r="ES132" t="e">
        <f>AND('GA55 Entry'!#REF!,"AAAAAF87/5Q=")</f>
        <v>#REF!</v>
      </c>
      <c r="ET132" t="e">
        <f>AND('GA55 Entry'!#REF!,"AAAAAF87/5U=")</f>
        <v>#REF!</v>
      </c>
      <c r="EU132" t="e">
        <f>AND('GA55 Entry'!#REF!,"AAAAAF87/5Y=")</f>
        <v>#REF!</v>
      </c>
      <c r="EV132" t="e">
        <f>AND('GA55 Entry'!#REF!,"AAAAAF87/5c=")</f>
        <v>#REF!</v>
      </c>
      <c r="EW132" t="e">
        <f>AND('GA55 Entry'!#REF!,"AAAAAF87/5g=")</f>
        <v>#REF!</v>
      </c>
      <c r="EX132" t="e">
        <f>AND('GA55 Entry'!#REF!,"AAAAAF87/5k=")</f>
        <v>#REF!</v>
      </c>
      <c r="EY132" t="e">
        <f>AND('GA55 Entry'!#REF!,"AAAAAF87/5o=")</f>
        <v>#REF!</v>
      </c>
      <c r="EZ132" t="e">
        <f>AND('GA55 Entry'!Z431,"AAAAAF87/5s=")</f>
        <v>#VALUE!</v>
      </c>
      <c r="FA132" t="e">
        <f>AND('GA55 Entry'!AA431,"AAAAAF87/5w=")</f>
        <v>#VALUE!</v>
      </c>
      <c r="FB132" t="e">
        <f>AND('GA55 Entry'!#REF!,"AAAAAF87/50=")</f>
        <v>#REF!</v>
      </c>
      <c r="FC132" t="e">
        <f>AND('GA55 Entry'!#REF!,"AAAAAF87/54=")</f>
        <v>#REF!</v>
      </c>
      <c r="FD132" t="e">
        <f>AND('GA55 Entry'!#REF!,"AAAAAF87/58=")</f>
        <v>#REF!</v>
      </c>
      <c r="FE132" t="e">
        <f>AND('GA55 Entry'!AB431,"AAAAAF87/6A=")</f>
        <v>#VALUE!</v>
      </c>
      <c r="FF132" t="e">
        <f>AND('GA55 Entry'!AC431,"AAAAAF87/6E=")</f>
        <v>#VALUE!</v>
      </c>
      <c r="FG132" t="e">
        <f>AND('GA55 Entry'!#REF!,"AAAAAF87/6I=")</f>
        <v>#REF!</v>
      </c>
      <c r="FH132">
        <f>IF('GA55 Entry'!432:432,"AAAAAF87/6M=",0)</f>
        <v>0</v>
      </c>
      <c r="FI132" t="e">
        <f>AND('GA55 Entry'!B432,"AAAAAF87/6Q=")</f>
        <v>#VALUE!</v>
      </c>
      <c r="FJ132" t="e">
        <f>AND('GA55 Entry'!#REF!,"AAAAAF87/6U=")</f>
        <v>#REF!</v>
      </c>
      <c r="FK132" t="e">
        <f>AND('GA55 Entry'!C432,"AAAAAF87/6Y=")</f>
        <v>#VALUE!</v>
      </c>
      <c r="FL132" t="e">
        <f>AND('GA55 Entry'!#REF!,"AAAAAF87/6c=")</f>
        <v>#REF!</v>
      </c>
      <c r="FM132" t="e">
        <f>AND('GA55 Entry'!#REF!,"AAAAAF87/6g=")</f>
        <v>#REF!</v>
      </c>
      <c r="FN132" t="e">
        <f>AND('GA55 Entry'!#REF!,"AAAAAF87/6k=")</f>
        <v>#REF!</v>
      </c>
      <c r="FO132" t="e">
        <f>AND('GA55 Entry'!#REF!,"AAAAAF87/6o=")</f>
        <v>#REF!</v>
      </c>
      <c r="FP132" t="e">
        <f>AND('GA55 Entry'!#REF!,"AAAAAF87/6s=")</f>
        <v>#REF!</v>
      </c>
      <c r="FQ132" t="e">
        <f>AND('GA55 Entry'!D432,"AAAAAF87/6w=")</f>
        <v>#VALUE!</v>
      </c>
      <c r="FR132" t="e">
        <f>AND('GA55 Entry'!#REF!,"AAAAAF87/60=")</f>
        <v>#REF!</v>
      </c>
      <c r="FS132" t="e">
        <f>AND('GA55 Entry'!E432,"AAAAAF87/64=")</f>
        <v>#VALUE!</v>
      </c>
      <c r="FT132" t="e">
        <f>AND('GA55 Entry'!F432,"AAAAAF87/68=")</f>
        <v>#VALUE!</v>
      </c>
      <c r="FU132" t="e">
        <f>AND('GA55 Entry'!G432,"AAAAAF87/7A=")</f>
        <v>#VALUE!</v>
      </c>
      <c r="FV132" t="e">
        <f>AND('GA55 Entry'!H432,"AAAAAF87/7E=")</f>
        <v>#VALUE!</v>
      </c>
      <c r="FW132" t="e">
        <f>AND('GA55 Entry'!I432,"AAAAAF87/7I=")</f>
        <v>#VALUE!</v>
      </c>
      <c r="FX132" t="e">
        <f>AND('GA55 Entry'!J432,"AAAAAF87/7M=")</f>
        <v>#VALUE!</v>
      </c>
      <c r="FY132" t="e">
        <f>AND('GA55 Entry'!#REF!,"AAAAAF87/7Q=")</f>
        <v>#REF!</v>
      </c>
      <c r="FZ132" t="e">
        <f>AND('GA55 Entry'!K432,"AAAAAF87/7U=")</f>
        <v>#VALUE!</v>
      </c>
      <c r="GA132" t="e">
        <f>AND('GA55 Entry'!L432,"AAAAAF87/7Y=")</f>
        <v>#VALUE!</v>
      </c>
      <c r="GB132" t="e">
        <f>AND('GA55 Entry'!M432,"AAAAAF87/7c=")</f>
        <v>#VALUE!</v>
      </c>
      <c r="GC132" t="e">
        <f>AND('GA55 Entry'!N432,"AAAAAF87/7g=")</f>
        <v>#VALUE!</v>
      </c>
      <c r="GD132" t="e">
        <f>AND('GA55 Entry'!O432,"AAAAAF87/7k=")</f>
        <v>#VALUE!</v>
      </c>
      <c r="GE132" t="e">
        <f>AND('GA55 Entry'!P432,"AAAAAF87/7o=")</f>
        <v>#VALUE!</v>
      </c>
      <c r="GF132" t="e">
        <f>AND('GA55 Entry'!Q432,"AAAAAF87/7s=")</f>
        <v>#VALUE!</v>
      </c>
      <c r="GG132" t="e">
        <f>AND('GA55 Entry'!S432,"AAAAAF87/7w=")</f>
        <v>#VALUE!</v>
      </c>
      <c r="GH132" t="e">
        <f>AND('GA55 Entry'!#REF!,"AAAAAF87/70=")</f>
        <v>#REF!</v>
      </c>
      <c r="GI132" t="e">
        <f>AND('GA55 Entry'!T432,"AAAAAF87/74=")</f>
        <v>#VALUE!</v>
      </c>
      <c r="GJ132" t="e">
        <f>AND('GA55 Entry'!U432,"AAAAAF87/78=")</f>
        <v>#VALUE!</v>
      </c>
      <c r="GK132" t="e">
        <f>AND('GA55 Entry'!V432,"AAAAAF87/8A=")</f>
        <v>#VALUE!</v>
      </c>
      <c r="GL132" t="e">
        <f>AND('GA55 Entry'!#REF!,"AAAAAF87/8E=")</f>
        <v>#REF!</v>
      </c>
      <c r="GM132" t="e">
        <f>AND('GA55 Entry'!#REF!,"AAAAAF87/8I=")</f>
        <v>#REF!</v>
      </c>
      <c r="GN132" t="e">
        <f>AND('GA55 Entry'!X432,"AAAAAF87/8M=")</f>
        <v>#VALUE!</v>
      </c>
      <c r="GO132" t="e">
        <f>AND('GA55 Entry'!Y432,"AAAAAF87/8Q=")</f>
        <v>#VALUE!</v>
      </c>
      <c r="GP132" t="e">
        <f>AND('GA55 Entry'!#REF!,"AAAAAF87/8U=")</f>
        <v>#REF!</v>
      </c>
      <c r="GQ132" t="e">
        <f>AND('GA55 Entry'!#REF!,"AAAAAF87/8Y=")</f>
        <v>#REF!</v>
      </c>
      <c r="GR132" t="e">
        <f>AND('GA55 Entry'!#REF!,"AAAAAF87/8c=")</f>
        <v>#REF!</v>
      </c>
      <c r="GS132" t="e">
        <f>AND('GA55 Entry'!#REF!,"AAAAAF87/8g=")</f>
        <v>#REF!</v>
      </c>
      <c r="GT132" t="e">
        <f>AND('GA55 Entry'!#REF!,"AAAAAF87/8k=")</f>
        <v>#REF!</v>
      </c>
      <c r="GU132" t="e">
        <f>AND('GA55 Entry'!#REF!,"AAAAAF87/8o=")</f>
        <v>#REF!</v>
      </c>
      <c r="GV132" t="e">
        <f>AND('GA55 Entry'!#REF!,"AAAAAF87/8s=")</f>
        <v>#REF!</v>
      </c>
      <c r="GW132" t="e">
        <f>AND('GA55 Entry'!#REF!,"AAAAAF87/8w=")</f>
        <v>#REF!</v>
      </c>
      <c r="GX132" t="e">
        <f>AND('GA55 Entry'!#REF!,"AAAAAF87/80=")</f>
        <v>#REF!</v>
      </c>
      <c r="GY132" t="e">
        <f>AND('GA55 Entry'!Z432,"AAAAAF87/84=")</f>
        <v>#VALUE!</v>
      </c>
      <c r="GZ132" t="e">
        <f>AND('GA55 Entry'!AA432,"AAAAAF87/88=")</f>
        <v>#VALUE!</v>
      </c>
      <c r="HA132" t="e">
        <f>AND('GA55 Entry'!#REF!,"AAAAAF87/9A=")</f>
        <v>#REF!</v>
      </c>
      <c r="HB132" t="e">
        <f>AND('GA55 Entry'!#REF!,"AAAAAF87/9E=")</f>
        <v>#REF!</v>
      </c>
      <c r="HC132" t="e">
        <f>AND('GA55 Entry'!#REF!,"AAAAAF87/9I=")</f>
        <v>#REF!</v>
      </c>
      <c r="HD132" t="e">
        <f>AND('GA55 Entry'!AB432,"AAAAAF87/9M=")</f>
        <v>#VALUE!</v>
      </c>
      <c r="HE132" t="e">
        <f>AND('GA55 Entry'!AC432,"AAAAAF87/9Q=")</f>
        <v>#VALUE!</v>
      </c>
      <c r="HF132" t="e">
        <f>AND('GA55 Entry'!#REF!,"AAAAAF87/9U=")</f>
        <v>#REF!</v>
      </c>
      <c r="HG132">
        <f>IF('GA55 Entry'!433:433,"AAAAAF87/9Y=",0)</f>
        <v>0</v>
      </c>
      <c r="HH132" t="e">
        <f>AND('GA55 Entry'!B433,"AAAAAF87/9c=")</f>
        <v>#VALUE!</v>
      </c>
      <c r="HI132" t="e">
        <f>AND('GA55 Entry'!#REF!,"AAAAAF87/9g=")</f>
        <v>#REF!</v>
      </c>
      <c r="HJ132" t="e">
        <f>AND('GA55 Entry'!C433,"AAAAAF87/9k=")</f>
        <v>#VALUE!</v>
      </c>
      <c r="HK132" t="e">
        <f>AND('GA55 Entry'!#REF!,"AAAAAF87/9o=")</f>
        <v>#REF!</v>
      </c>
      <c r="HL132" t="e">
        <f>AND('GA55 Entry'!#REF!,"AAAAAF87/9s=")</f>
        <v>#REF!</v>
      </c>
      <c r="HM132" t="e">
        <f>AND('GA55 Entry'!#REF!,"AAAAAF87/9w=")</f>
        <v>#REF!</v>
      </c>
      <c r="HN132" t="e">
        <f>AND('GA55 Entry'!#REF!,"AAAAAF87/90=")</f>
        <v>#REF!</v>
      </c>
      <c r="HO132" t="e">
        <f>AND('GA55 Entry'!#REF!,"AAAAAF87/94=")</f>
        <v>#REF!</v>
      </c>
      <c r="HP132" t="e">
        <f>AND('GA55 Entry'!D433,"AAAAAF87/98=")</f>
        <v>#VALUE!</v>
      </c>
      <c r="HQ132" t="e">
        <f>AND('GA55 Entry'!#REF!,"AAAAAF87/+A=")</f>
        <v>#REF!</v>
      </c>
      <c r="HR132" t="e">
        <f>AND('GA55 Entry'!E433,"AAAAAF87/+E=")</f>
        <v>#VALUE!</v>
      </c>
      <c r="HS132" t="e">
        <f>AND('GA55 Entry'!F433,"AAAAAF87/+I=")</f>
        <v>#VALUE!</v>
      </c>
      <c r="HT132" t="e">
        <f>AND('GA55 Entry'!G433,"AAAAAF87/+M=")</f>
        <v>#VALUE!</v>
      </c>
      <c r="HU132" t="e">
        <f>AND('GA55 Entry'!H433,"AAAAAF87/+Q=")</f>
        <v>#VALUE!</v>
      </c>
      <c r="HV132" t="e">
        <f>AND('GA55 Entry'!I433,"AAAAAF87/+U=")</f>
        <v>#VALUE!</v>
      </c>
      <c r="HW132" t="e">
        <f>AND('GA55 Entry'!J433,"AAAAAF87/+Y=")</f>
        <v>#VALUE!</v>
      </c>
      <c r="HX132" t="e">
        <f>AND('GA55 Entry'!#REF!,"AAAAAF87/+c=")</f>
        <v>#REF!</v>
      </c>
      <c r="HY132" t="e">
        <f>AND('GA55 Entry'!K433,"AAAAAF87/+g=")</f>
        <v>#VALUE!</v>
      </c>
      <c r="HZ132" t="e">
        <f>AND('GA55 Entry'!L433,"AAAAAF87/+k=")</f>
        <v>#VALUE!</v>
      </c>
      <c r="IA132" t="e">
        <f>AND('GA55 Entry'!M433,"AAAAAF87/+o=")</f>
        <v>#VALUE!</v>
      </c>
      <c r="IB132" t="e">
        <f>AND('GA55 Entry'!N433,"AAAAAF87/+s=")</f>
        <v>#VALUE!</v>
      </c>
      <c r="IC132" t="e">
        <f>AND('GA55 Entry'!O433,"AAAAAF87/+w=")</f>
        <v>#VALUE!</v>
      </c>
      <c r="ID132" t="e">
        <f>AND('GA55 Entry'!P433,"AAAAAF87/+0=")</f>
        <v>#VALUE!</v>
      </c>
      <c r="IE132" t="e">
        <f>AND('GA55 Entry'!Q433,"AAAAAF87/+4=")</f>
        <v>#VALUE!</v>
      </c>
      <c r="IF132" t="e">
        <f>AND('GA55 Entry'!S433,"AAAAAF87/+8=")</f>
        <v>#VALUE!</v>
      </c>
      <c r="IG132" t="e">
        <f>AND('GA55 Entry'!#REF!,"AAAAAF87//A=")</f>
        <v>#REF!</v>
      </c>
      <c r="IH132" t="e">
        <f>AND('GA55 Entry'!T433,"AAAAAF87//E=")</f>
        <v>#VALUE!</v>
      </c>
      <c r="II132" t="e">
        <f>AND('GA55 Entry'!U433,"AAAAAF87//I=")</f>
        <v>#VALUE!</v>
      </c>
      <c r="IJ132" t="e">
        <f>AND('GA55 Entry'!V433,"AAAAAF87//M=")</f>
        <v>#VALUE!</v>
      </c>
      <c r="IK132" t="e">
        <f>AND('GA55 Entry'!#REF!,"AAAAAF87//Q=")</f>
        <v>#REF!</v>
      </c>
      <c r="IL132" t="e">
        <f>AND('GA55 Entry'!#REF!,"AAAAAF87//U=")</f>
        <v>#REF!</v>
      </c>
      <c r="IM132" t="e">
        <f>AND('GA55 Entry'!X433,"AAAAAF87//Y=")</f>
        <v>#VALUE!</v>
      </c>
      <c r="IN132" t="e">
        <f>AND('GA55 Entry'!Y433,"AAAAAF87//c=")</f>
        <v>#VALUE!</v>
      </c>
      <c r="IO132" t="e">
        <f>AND('GA55 Entry'!#REF!,"AAAAAF87//g=")</f>
        <v>#REF!</v>
      </c>
      <c r="IP132" t="e">
        <f>AND('GA55 Entry'!#REF!,"AAAAAF87//k=")</f>
        <v>#REF!</v>
      </c>
      <c r="IQ132" t="e">
        <f>AND('GA55 Entry'!#REF!,"AAAAAF87//o=")</f>
        <v>#REF!</v>
      </c>
      <c r="IR132" t="e">
        <f>AND('GA55 Entry'!#REF!,"AAAAAF87//s=")</f>
        <v>#REF!</v>
      </c>
      <c r="IS132" t="e">
        <f>AND('GA55 Entry'!#REF!,"AAAAAF87//w=")</f>
        <v>#REF!</v>
      </c>
      <c r="IT132" t="e">
        <f>AND('GA55 Entry'!#REF!,"AAAAAF87//0=")</f>
        <v>#REF!</v>
      </c>
      <c r="IU132" t="e">
        <f>AND('GA55 Entry'!#REF!,"AAAAAF87//4=")</f>
        <v>#REF!</v>
      </c>
      <c r="IV132" t="e">
        <f>AND('GA55 Entry'!#REF!,"AAAAAF87//8=")</f>
        <v>#REF!</v>
      </c>
    </row>
    <row r="133" spans="1:256">
      <c r="A133" t="e">
        <f>AND('GA55 Entry'!#REF!,"AAAAAH/+3AA=")</f>
        <v>#REF!</v>
      </c>
      <c r="B133" t="e">
        <f>AND('GA55 Entry'!Z433,"AAAAAH/+3AE=")</f>
        <v>#VALUE!</v>
      </c>
      <c r="C133" t="e">
        <f>AND('GA55 Entry'!AA433,"AAAAAH/+3AI=")</f>
        <v>#VALUE!</v>
      </c>
      <c r="D133" t="e">
        <f>AND('GA55 Entry'!#REF!,"AAAAAH/+3AM=")</f>
        <v>#REF!</v>
      </c>
      <c r="E133" t="e">
        <f>AND('GA55 Entry'!#REF!,"AAAAAH/+3AQ=")</f>
        <v>#REF!</v>
      </c>
      <c r="F133" t="e">
        <f>AND('GA55 Entry'!#REF!,"AAAAAH/+3AU=")</f>
        <v>#REF!</v>
      </c>
      <c r="G133" t="e">
        <f>AND('GA55 Entry'!AB433,"AAAAAH/+3AY=")</f>
        <v>#VALUE!</v>
      </c>
      <c r="H133" t="e">
        <f>AND('GA55 Entry'!AC433,"AAAAAH/+3Ac=")</f>
        <v>#VALUE!</v>
      </c>
      <c r="I133" t="e">
        <f>AND('GA55 Entry'!#REF!,"AAAAAH/+3Ag=")</f>
        <v>#REF!</v>
      </c>
      <c r="J133">
        <f>IF('GA55 Entry'!434:434,"AAAAAH/+3Ak=",0)</f>
        <v>0</v>
      </c>
      <c r="K133" t="e">
        <f>AND('GA55 Entry'!B434,"AAAAAH/+3Ao=")</f>
        <v>#VALUE!</v>
      </c>
      <c r="L133" t="e">
        <f>AND('GA55 Entry'!#REF!,"AAAAAH/+3As=")</f>
        <v>#REF!</v>
      </c>
      <c r="M133" t="e">
        <f>AND('GA55 Entry'!C434,"AAAAAH/+3Aw=")</f>
        <v>#VALUE!</v>
      </c>
      <c r="N133" t="e">
        <f>AND('GA55 Entry'!#REF!,"AAAAAH/+3A0=")</f>
        <v>#REF!</v>
      </c>
      <c r="O133" t="e">
        <f>AND('GA55 Entry'!#REF!,"AAAAAH/+3A4=")</f>
        <v>#REF!</v>
      </c>
      <c r="P133" t="e">
        <f>AND('GA55 Entry'!#REF!,"AAAAAH/+3A8=")</f>
        <v>#REF!</v>
      </c>
      <c r="Q133" t="e">
        <f>AND('GA55 Entry'!#REF!,"AAAAAH/+3BA=")</f>
        <v>#REF!</v>
      </c>
      <c r="R133" t="e">
        <f>AND('GA55 Entry'!#REF!,"AAAAAH/+3BE=")</f>
        <v>#REF!</v>
      </c>
      <c r="S133" t="e">
        <f>AND('GA55 Entry'!D434,"AAAAAH/+3BI=")</f>
        <v>#VALUE!</v>
      </c>
      <c r="T133" t="e">
        <f>AND('GA55 Entry'!#REF!,"AAAAAH/+3BM=")</f>
        <v>#REF!</v>
      </c>
      <c r="U133" t="e">
        <f>AND('GA55 Entry'!E434,"AAAAAH/+3BQ=")</f>
        <v>#VALUE!</v>
      </c>
      <c r="V133" t="e">
        <f>AND('GA55 Entry'!F434,"AAAAAH/+3BU=")</f>
        <v>#VALUE!</v>
      </c>
      <c r="W133" t="e">
        <f>AND('GA55 Entry'!G434,"AAAAAH/+3BY=")</f>
        <v>#VALUE!</v>
      </c>
      <c r="X133" t="e">
        <f>AND('GA55 Entry'!H434,"AAAAAH/+3Bc=")</f>
        <v>#VALUE!</v>
      </c>
      <c r="Y133" t="e">
        <f>AND('GA55 Entry'!I434,"AAAAAH/+3Bg=")</f>
        <v>#VALUE!</v>
      </c>
      <c r="Z133" t="e">
        <f>AND('GA55 Entry'!J434,"AAAAAH/+3Bk=")</f>
        <v>#VALUE!</v>
      </c>
      <c r="AA133" t="e">
        <f>AND('GA55 Entry'!#REF!,"AAAAAH/+3Bo=")</f>
        <v>#REF!</v>
      </c>
      <c r="AB133" t="e">
        <f>AND('GA55 Entry'!K434,"AAAAAH/+3Bs=")</f>
        <v>#VALUE!</v>
      </c>
      <c r="AC133" t="e">
        <f>AND('GA55 Entry'!L434,"AAAAAH/+3Bw=")</f>
        <v>#VALUE!</v>
      </c>
      <c r="AD133" t="e">
        <f>AND('GA55 Entry'!M434,"AAAAAH/+3B0=")</f>
        <v>#VALUE!</v>
      </c>
      <c r="AE133" t="e">
        <f>AND('GA55 Entry'!N434,"AAAAAH/+3B4=")</f>
        <v>#VALUE!</v>
      </c>
      <c r="AF133" t="e">
        <f>AND('GA55 Entry'!O434,"AAAAAH/+3B8=")</f>
        <v>#VALUE!</v>
      </c>
      <c r="AG133" t="e">
        <f>AND('GA55 Entry'!P434,"AAAAAH/+3CA=")</f>
        <v>#VALUE!</v>
      </c>
      <c r="AH133" t="e">
        <f>AND('GA55 Entry'!Q434,"AAAAAH/+3CE=")</f>
        <v>#VALUE!</v>
      </c>
      <c r="AI133" t="e">
        <f>AND('GA55 Entry'!S434,"AAAAAH/+3CI=")</f>
        <v>#VALUE!</v>
      </c>
      <c r="AJ133" t="e">
        <f>AND('GA55 Entry'!#REF!,"AAAAAH/+3CM=")</f>
        <v>#REF!</v>
      </c>
      <c r="AK133" t="e">
        <f>AND('GA55 Entry'!T434,"AAAAAH/+3CQ=")</f>
        <v>#VALUE!</v>
      </c>
      <c r="AL133" t="e">
        <f>AND('GA55 Entry'!U434,"AAAAAH/+3CU=")</f>
        <v>#VALUE!</v>
      </c>
      <c r="AM133" t="e">
        <f>AND('GA55 Entry'!V434,"AAAAAH/+3CY=")</f>
        <v>#VALUE!</v>
      </c>
      <c r="AN133" t="e">
        <f>AND('GA55 Entry'!#REF!,"AAAAAH/+3Cc=")</f>
        <v>#REF!</v>
      </c>
      <c r="AO133" t="e">
        <f>AND('GA55 Entry'!#REF!,"AAAAAH/+3Cg=")</f>
        <v>#REF!</v>
      </c>
      <c r="AP133" t="e">
        <f>AND('GA55 Entry'!X434,"AAAAAH/+3Ck=")</f>
        <v>#VALUE!</v>
      </c>
      <c r="AQ133" t="e">
        <f>AND('GA55 Entry'!Y434,"AAAAAH/+3Co=")</f>
        <v>#VALUE!</v>
      </c>
      <c r="AR133" t="e">
        <f>AND('GA55 Entry'!#REF!,"AAAAAH/+3Cs=")</f>
        <v>#REF!</v>
      </c>
      <c r="AS133" t="e">
        <f>AND('GA55 Entry'!#REF!,"AAAAAH/+3Cw=")</f>
        <v>#REF!</v>
      </c>
      <c r="AT133" t="e">
        <f>AND('GA55 Entry'!#REF!,"AAAAAH/+3C0=")</f>
        <v>#REF!</v>
      </c>
      <c r="AU133" t="e">
        <f>AND('GA55 Entry'!#REF!,"AAAAAH/+3C4=")</f>
        <v>#REF!</v>
      </c>
      <c r="AV133" t="e">
        <f>AND('GA55 Entry'!#REF!,"AAAAAH/+3C8=")</f>
        <v>#REF!</v>
      </c>
      <c r="AW133" t="e">
        <f>AND('GA55 Entry'!#REF!,"AAAAAH/+3DA=")</f>
        <v>#REF!</v>
      </c>
      <c r="AX133" t="e">
        <f>AND('GA55 Entry'!#REF!,"AAAAAH/+3DE=")</f>
        <v>#REF!</v>
      </c>
      <c r="AY133" t="e">
        <f>AND('GA55 Entry'!#REF!,"AAAAAH/+3DI=")</f>
        <v>#REF!</v>
      </c>
      <c r="AZ133" t="e">
        <f>AND('GA55 Entry'!#REF!,"AAAAAH/+3DM=")</f>
        <v>#REF!</v>
      </c>
      <c r="BA133" t="e">
        <f>AND('GA55 Entry'!Z434,"AAAAAH/+3DQ=")</f>
        <v>#VALUE!</v>
      </c>
      <c r="BB133" t="e">
        <f>AND('GA55 Entry'!AA434,"AAAAAH/+3DU=")</f>
        <v>#VALUE!</v>
      </c>
      <c r="BC133" t="e">
        <f>AND('GA55 Entry'!#REF!,"AAAAAH/+3DY=")</f>
        <v>#REF!</v>
      </c>
      <c r="BD133" t="e">
        <f>AND('GA55 Entry'!#REF!,"AAAAAH/+3Dc=")</f>
        <v>#REF!</v>
      </c>
      <c r="BE133" t="e">
        <f>AND('GA55 Entry'!#REF!,"AAAAAH/+3Dg=")</f>
        <v>#REF!</v>
      </c>
      <c r="BF133" t="e">
        <f>AND('GA55 Entry'!AB434,"AAAAAH/+3Dk=")</f>
        <v>#VALUE!</v>
      </c>
      <c r="BG133" t="e">
        <f>AND('GA55 Entry'!AC434,"AAAAAH/+3Do=")</f>
        <v>#VALUE!</v>
      </c>
      <c r="BH133" t="e">
        <f>AND('GA55 Entry'!#REF!,"AAAAAH/+3Ds=")</f>
        <v>#REF!</v>
      </c>
      <c r="BI133">
        <f>IF('GA55 Entry'!435:435,"AAAAAH/+3Dw=",0)</f>
        <v>0</v>
      </c>
      <c r="BJ133" t="e">
        <f>AND('GA55 Entry'!B435,"AAAAAH/+3D0=")</f>
        <v>#VALUE!</v>
      </c>
      <c r="BK133" t="e">
        <f>AND('GA55 Entry'!#REF!,"AAAAAH/+3D4=")</f>
        <v>#REF!</v>
      </c>
      <c r="BL133" t="e">
        <f>AND('GA55 Entry'!C435,"AAAAAH/+3D8=")</f>
        <v>#VALUE!</v>
      </c>
      <c r="BM133" t="e">
        <f>AND('GA55 Entry'!#REF!,"AAAAAH/+3EA=")</f>
        <v>#REF!</v>
      </c>
      <c r="BN133" t="e">
        <f>AND('GA55 Entry'!#REF!,"AAAAAH/+3EE=")</f>
        <v>#REF!</v>
      </c>
      <c r="BO133" t="e">
        <f>AND('GA55 Entry'!#REF!,"AAAAAH/+3EI=")</f>
        <v>#REF!</v>
      </c>
      <c r="BP133" t="e">
        <f>AND('GA55 Entry'!#REF!,"AAAAAH/+3EM=")</f>
        <v>#REF!</v>
      </c>
      <c r="BQ133" t="e">
        <f>AND('GA55 Entry'!#REF!,"AAAAAH/+3EQ=")</f>
        <v>#REF!</v>
      </c>
      <c r="BR133" t="e">
        <f>AND('GA55 Entry'!D435,"AAAAAH/+3EU=")</f>
        <v>#VALUE!</v>
      </c>
      <c r="BS133" t="e">
        <f>AND('GA55 Entry'!#REF!,"AAAAAH/+3EY=")</f>
        <v>#REF!</v>
      </c>
      <c r="BT133" t="e">
        <f>AND('GA55 Entry'!E435,"AAAAAH/+3Ec=")</f>
        <v>#VALUE!</v>
      </c>
      <c r="BU133" t="e">
        <f>AND('GA55 Entry'!F435,"AAAAAH/+3Eg=")</f>
        <v>#VALUE!</v>
      </c>
      <c r="BV133" t="e">
        <f>AND('GA55 Entry'!G435,"AAAAAH/+3Ek=")</f>
        <v>#VALUE!</v>
      </c>
      <c r="BW133" t="e">
        <f>AND('GA55 Entry'!H435,"AAAAAH/+3Eo=")</f>
        <v>#VALUE!</v>
      </c>
      <c r="BX133" t="e">
        <f>AND('GA55 Entry'!I435,"AAAAAH/+3Es=")</f>
        <v>#VALUE!</v>
      </c>
      <c r="BY133" t="e">
        <f>AND('GA55 Entry'!J435,"AAAAAH/+3Ew=")</f>
        <v>#VALUE!</v>
      </c>
      <c r="BZ133" t="e">
        <f>AND('GA55 Entry'!#REF!,"AAAAAH/+3E0=")</f>
        <v>#REF!</v>
      </c>
      <c r="CA133" t="e">
        <f>AND('GA55 Entry'!K435,"AAAAAH/+3E4=")</f>
        <v>#VALUE!</v>
      </c>
      <c r="CB133" t="e">
        <f>AND('GA55 Entry'!L435,"AAAAAH/+3E8=")</f>
        <v>#VALUE!</v>
      </c>
      <c r="CC133" t="e">
        <f>AND('GA55 Entry'!M435,"AAAAAH/+3FA=")</f>
        <v>#VALUE!</v>
      </c>
      <c r="CD133" t="e">
        <f>AND('GA55 Entry'!N435,"AAAAAH/+3FE=")</f>
        <v>#VALUE!</v>
      </c>
      <c r="CE133" t="e">
        <f>AND('GA55 Entry'!O435,"AAAAAH/+3FI=")</f>
        <v>#VALUE!</v>
      </c>
      <c r="CF133" t="e">
        <f>AND('GA55 Entry'!P435,"AAAAAH/+3FM=")</f>
        <v>#VALUE!</v>
      </c>
      <c r="CG133" t="e">
        <f>AND('GA55 Entry'!Q435,"AAAAAH/+3FQ=")</f>
        <v>#VALUE!</v>
      </c>
      <c r="CH133" t="e">
        <f>AND('GA55 Entry'!S435,"AAAAAH/+3FU=")</f>
        <v>#VALUE!</v>
      </c>
      <c r="CI133" t="e">
        <f>AND('GA55 Entry'!#REF!,"AAAAAH/+3FY=")</f>
        <v>#REF!</v>
      </c>
      <c r="CJ133" t="e">
        <f>AND('GA55 Entry'!T435,"AAAAAH/+3Fc=")</f>
        <v>#VALUE!</v>
      </c>
      <c r="CK133" t="e">
        <f>AND('GA55 Entry'!U435,"AAAAAH/+3Fg=")</f>
        <v>#VALUE!</v>
      </c>
      <c r="CL133" t="e">
        <f>AND('GA55 Entry'!V435,"AAAAAH/+3Fk=")</f>
        <v>#VALUE!</v>
      </c>
      <c r="CM133" t="e">
        <f>AND('GA55 Entry'!#REF!,"AAAAAH/+3Fo=")</f>
        <v>#REF!</v>
      </c>
      <c r="CN133" t="e">
        <f>AND('GA55 Entry'!#REF!,"AAAAAH/+3Fs=")</f>
        <v>#REF!</v>
      </c>
      <c r="CO133" t="e">
        <f>AND('GA55 Entry'!X435,"AAAAAH/+3Fw=")</f>
        <v>#VALUE!</v>
      </c>
      <c r="CP133" t="e">
        <f>AND('GA55 Entry'!Y435,"AAAAAH/+3F0=")</f>
        <v>#VALUE!</v>
      </c>
      <c r="CQ133" t="e">
        <f>AND('GA55 Entry'!#REF!,"AAAAAH/+3F4=")</f>
        <v>#REF!</v>
      </c>
      <c r="CR133" t="e">
        <f>AND('GA55 Entry'!#REF!,"AAAAAH/+3F8=")</f>
        <v>#REF!</v>
      </c>
      <c r="CS133" t="e">
        <f>AND('GA55 Entry'!#REF!,"AAAAAH/+3GA=")</f>
        <v>#REF!</v>
      </c>
      <c r="CT133" t="e">
        <f>AND('GA55 Entry'!#REF!,"AAAAAH/+3GE=")</f>
        <v>#REF!</v>
      </c>
      <c r="CU133" t="e">
        <f>AND('GA55 Entry'!#REF!,"AAAAAH/+3GI=")</f>
        <v>#REF!</v>
      </c>
      <c r="CV133" t="e">
        <f>AND('GA55 Entry'!#REF!,"AAAAAH/+3GM=")</f>
        <v>#REF!</v>
      </c>
      <c r="CW133" t="e">
        <f>AND('GA55 Entry'!#REF!,"AAAAAH/+3GQ=")</f>
        <v>#REF!</v>
      </c>
      <c r="CX133" t="e">
        <f>AND('GA55 Entry'!#REF!,"AAAAAH/+3GU=")</f>
        <v>#REF!</v>
      </c>
      <c r="CY133" t="e">
        <f>AND('GA55 Entry'!#REF!,"AAAAAH/+3GY=")</f>
        <v>#REF!</v>
      </c>
      <c r="CZ133" t="e">
        <f>AND('GA55 Entry'!Z435,"AAAAAH/+3Gc=")</f>
        <v>#VALUE!</v>
      </c>
      <c r="DA133" t="e">
        <f>AND('GA55 Entry'!AA435,"AAAAAH/+3Gg=")</f>
        <v>#VALUE!</v>
      </c>
      <c r="DB133" t="e">
        <f>AND('GA55 Entry'!#REF!,"AAAAAH/+3Gk=")</f>
        <v>#REF!</v>
      </c>
      <c r="DC133" t="e">
        <f>AND('GA55 Entry'!#REF!,"AAAAAH/+3Go=")</f>
        <v>#REF!</v>
      </c>
      <c r="DD133" t="e">
        <f>AND('GA55 Entry'!#REF!,"AAAAAH/+3Gs=")</f>
        <v>#REF!</v>
      </c>
      <c r="DE133" t="e">
        <f>AND('GA55 Entry'!AB435,"AAAAAH/+3Gw=")</f>
        <v>#VALUE!</v>
      </c>
      <c r="DF133" t="e">
        <f>AND('GA55 Entry'!AC435,"AAAAAH/+3G0=")</f>
        <v>#VALUE!</v>
      </c>
      <c r="DG133" t="e">
        <f>AND('GA55 Entry'!#REF!,"AAAAAH/+3G4=")</f>
        <v>#REF!</v>
      </c>
      <c r="DH133">
        <f>IF('GA55 Entry'!436:436,"AAAAAH/+3G8=",0)</f>
        <v>0</v>
      </c>
      <c r="DI133" t="e">
        <f>AND('GA55 Entry'!B436,"AAAAAH/+3HA=")</f>
        <v>#VALUE!</v>
      </c>
      <c r="DJ133" t="e">
        <f>AND('GA55 Entry'!#REF!,"AAAAAH/+3HE=")</f>
        <v>#REF!</v>
      </c>
      <c r="DK133" t="e">
        <f>AND('GA55 Entry'!C436,"AAAAAH/+3HI=")</f>
        <v>#VALUE!</v>
      </c>
      <c r="DL133" t="e">
        <f>AND('GA55 Entry'!#REF!,"AAAAAH/+3HM=")</f>
        <v>#REF!</v>
      </c>
      <c r="DM133" t="e">
        <f>AND('GA55 Entry'!#REF!,"AAAAAH/+3HQ=")</f>
        <v>#REF!</v>
      </c>
      <c r="DN133" t="e">
        <f>AND('GA55 Entry'!#REF!,"AAAAAH/+3HU=")</f>
        <v>#REF!</v>
      </c>
      <c r="DO133" t="e">
        <f>AND('GA55 Entry'!#REF!,"AAAAAH/+3HY=")</f>
        <v>#REF!</v>
      </c>
      <c r="DP133" t="e">
        <f>AND('GA55 Entry'!#REF!,"AAAAAH/+3Hc=")</f>
        <v>#REF!</v>
      </c>
      <c r="DQ133" t="e">
        <f>AND('GA55 Entry'!D436,"AAAAAH/+3Hg=")</f>
        <v>#VALUE!</v>
      </c>
      <c r="DR133" t="e">
        <f>AND('GA55 Entry'!#REF!,"AAAAAH/+3Hk=")</f>
        <v>#REF!</v>
      </c>
      <c r="DS133" t="e">
        <f>AND('GA55 Entry'!E436,"AAAAAH/+3Ho=")</f>
        <v>#VALUE!</v>
      </c>
      <c r="DT133" t="e">
        <f>AND('GA55 Entry'!F436,"AAAAAH/+3Hs=")</f>
        <v>#VALUE!</v>
      </c>
      <c r="DU133" t="e">
        <f>AND('GA55 Entry'!G436,"AAAAAH/+3Hw=")</f>
        <v>#VALUE!</v>
      </c>
      <c r="DV133" t="e">
        <f>AND('GA55 Entry'!H436,"AAAAAH/+3H0=")</f>
        <v>#VALUE!</v>
      </c>
      <c r="DW133" t="e">
        <f>AND('GA55 Entry'!I436,"AAAAAH/+3H4=")</f>
        <v>#VALUE!</v>
      </c>
      <c r="DX133" t="e">
        <f>AND('GA55 Entry'!J436,"AAAAAH/+3H8=")</f>
        <v>#VALUE!</v>
      </c>
      <c r="DY133" t="e">
        <f>AND('GA55 Entry'!#REF!,"AAAAAH/+3IA=")</f>
        <v>#REF!</v>
      </c>
      <c r="DZ133" t="e">
        <f>AND('GA55 Entry'!K436,"AAAAAH/+3IE=")</f>
        <v>#VALUE!</v>
      </c>
      <c r="EA133" t="e">
        <f>AND('GA55 Entry'!L436,"AAAAAH/+3II=")</f>
        <v>#VALUE!</v>
      </c>
      <c r="EB133" t="e">
        <f>AND('GA55 Entry'!M436,"AAAAAH/+3IM=")</f>
        <v>#VALUE!</v>
      </c>
      <c r="EC133" t="e">
        <f>AND('GA55 Entry'!N436,"AAAAAH/+3IQ=")</f>
        <v>#VALUE!</v>
      </c>
      <c r="ED133" t="e">
        <f>AND('GA55 Entry'!O436,"AAAAAH/+3IU=")</f>
        <v>#VALUE!</v>
      </c>
      <c r="EE133" t="e">
        <f>AND('GA55 Entry'!P436,"AAAAAH/+3IY=")</f>
        <v>#VALUE!</v>
      </c>
      <c r="EF133" t="e">
        <f>AND('GA55 Entry'!Q436,"AAAAAH/+3Ic=")</f>
        <v>#VALUE!</v>
      </c>
      <c r="EG133" t="e">
        <f>AND('GA55 Entry'!S436,"AAAAAH/+3Ig=")</f>
        <v>#VALUE!</v>
      </c>
      <c r="EH133" t="e">
        <f>AND('GA55 Entry'!#REF!,"AAAAAH/+3Ik=")</f>
        <v>#REF!</v>
      </c>
      <c r="EI133" t="e">
        <f>AND('GA55 Entry'!T436,"AAAAAH/+3Io=")</f>
        <v>#VALUE!</v>
      </c>
      <c r="EJ133" t="e">
        <f>AND('GA55 Entry'!U436,"AAAAAH/+3Is=")</f>
        <v>#VALUE!</v>
      </c>
      <c r="EK133" t="e">
        <f>AND('GA55 Entry'!V436,"AAAAAH/+3Iw=")</f>
        <v>#VALUE!</v>
      </c>
      <c r="EL133" t="e">
        <f>AND('GA55 Entry'!#REF!,"AAAAAH/+3I0=")</f>
        <v>#REF!</v>
      </c>
      <c r="EM133" t="e">
        <f>AND('GA55 Entry'!#REF!,"AAAAAH/+3I4=")</f>
        <v>#REF!</v>
      </c>
      <c r="EN133" t="e">
        <f>AND('GA55 Entry'!X436,"AAAAAH/+3I8=")</f>
        <v>#VALUE!</v>
      </c>
      <c r="EO133" t="e">
        <f>AND('GA55 Entry'!Y436,"AAAAAH/+3JA=")</f>
        <v>#VALUE!</v>
      </c>
      <c r="EP133" t="e">
        <f>AND('GA55 Entry'!#REF!,"AAAAAH/+3JE=")</f>
        <v>#REF!</v>
      </c>
      <c r="EQ133" t="e">
        <f>AND('GA55 Entry'!#REF!,"AAAAAH/+3JI=")</f>
        <v>#REF!</v>
      </c>
      <c r="ER133" t="e">
        <f>AND('GA55 Entry'!#REF!,"AAAAAH/+3JM=")</f>
        <v>#REF!</v>
      </c>
      <c r="ES133" t="e">
        <f>AND('GA55 Entry'!#REF!,"AAAAAH/+3JQ=")</f>
        <v>#REF!</v>
      </c>
      <c r="ET133" t="e">
        <f>AND('GA55 Entry'!#REF!,"AAAAAH/+3JU=")</f>
        <v>#REF!</v>
      </c>
      <c r="EU133" t="e">
        <f>AND('GA55 Entry'!#REF!,"AAAAAH/+3JY=")</f>
        <v>#REF!</v>
      </c>
      <c r="EV133" t="e">
        <f>AND('GA55 Entry'!#REF!,"AAAAAH/+3Jc=")</f>
        <v>#REF!</v>
      </c>
      <c r="EW133" t="e">
        <f>AND('GA55 Entry'!#REF!,"AAAAAH/+3Jg=")</f>
        <v>#REF!</v>
      </c>
      <c r="EX133" t="e">
        <f>AND('GA55 Entry'!#REF!,"AAAAAH/+3Jk=")</f>
        <v>#REF!</v>
      </c>
      <c r="EY133" t="e">
        <f>AND('GA55 Entry'!Z436,"AAAAAH/+3Jo=")</f>
        <v>#VALUE!</v>
      </c>
      <c r="EZ133" t="e">
        <f>AND('GA55 Entry'!AA436,"AAAAAH/+3Js=")</f>
        <v>#VALUE!</v>
      </c>
      <c r="FA133" t="e">
        <f>AND('GA55 Entry'!#REF!,"AAAAAH/+3Jw=")</f>
        <v>#REF!</v>
      </c>
      <c r="FB133" t="e">
        <f>AND('GA55 Entry'!#REF!,"AAAAAH/+3J0=")</f>
        <v>#REF!</v>
      </c>
      <c r="FC133" t="e">
        <f>AND('GA55 Entry'!#REF!,"AAAAAH/+3J4=")</f>
        <v>#REF!</v>
      </c>
      <c r="FD133" t="e">
        <f>AND('GA55 Entry'!AB436,"AAAAAH/+3J8=")</f>
        <v>#VALUE!</v>
      </c>
      <c r="FE133" t="e">
        <f>AND('GA55 Entry'!AC436,"AAAAAH/+3KA=")</f>
        <v>#VALUE!</v>
      </c>
      <c r="FF133" t="e">
        <f>AND('GA55 Entry'!#REF!,"AAAAAH/+3KE=")</f>
        <v>#REF!</v>
      </c>
      <c r="FG133">
        <f>IF('GA55 Entry'!437:437,"AAAAAH/+3KI=",0)</f>
        <v>0</v>
      </c>
      <c r="FH133" t="e">
        <f>AND('GA55 Entry'!B437,"AAAAAH/+3KM=")</f>
        <v>#VALUE!</v>
      </c>
      <c r="FI133" t="e">
        <f>AND('GA55 Entry'!#REF!,"AAAAAH/+3KQ=")</f>
        <v>#REF!</v>
      </c>
      <c r="FJ133" t="e">
        <f>AND('GA55 Entry'!C437,"AAAAAH/+3KU=")</f>
        <v>#VALUE!</v>
      </c>
      <c r="FK133" t="e">
        <f>AND('GA55 Entry'!#REF!,"AAAAAH/+3KY=")</f>
        <v>#REF!</v>
      </c>
      <c r="FL133" t="e">
        <f>AND('GA55 Entry'!#REF!,"AAAAAH/+3Kc=")</f>
        <v>#REF!</v>
      </c>
      <c r="FM133" t="e">
        <f>AND('GA55 Entry'!#REF!,"AAAAAH/+3Kg=")</f>
        <v>#REF!</v>
      </c>
      <c r="FN133" t="e">
        <f>AND('GA55 Entry'!#REF!,"AAAAAH/+3Kk=")</f>
        <v>#REF!</v>
      </c>
      <c r="FO133" t="e">
        <f>AND('GA55 Entry'!#REF!,"AAAAAH/+3Ko=")</f>
        <v>#REF!</v>
      </c>
      <c r="FP133" t="e">
        <f>AND('GA55 Entry'!D437,"AAAAAH/+3Ks=")</f>
        <v>#VALUE!</v>
      </c>
      <c r="FQ133" t="e">
        <f>AND('GA55 Entry'!#REF!,"AAAAAH/+3Kw=")</f>
        <v>#REF!</v>
      </c>
      <c r="FR133" t="e">
        <f>AND('GA55 Entry'!E437,"AAAAAH/+3K0=")</f>
        <v>#VALUE!</v>
      </c>
      <c r="FS133" t="e">
        <f>AND('GA55 Entry'!F437,"AAAAAH/+3K4=")</f>
        <v>#VALUE!</v>
      </c>
      <c r="FT133" t="e">
        <f>AND('GA55 Entry'!G437,"AAAAAH/+3K8=")</f>
        <v>#VALUE!</v>
      </c>
      <c r="FU133" t="e">
        <f>AND('GA55 Entry'!H437,"AAAAAH/+3LA=")</f>
        <v>#VALUE!</v>
      </c>
      <c r="FV133" t="e">
        <f>AND('GA55 Entry'!I437,"AAAAAH/+3LE=")</f>
        <v>#VALUE!</v>
      </c>
      <c r="FW133" t="e">
        <f>AND('GA55 Entry'!J437,"AAAAAH/+3LI=")</f>
        <v>#VALUE!</v>
      </c>
      <c r="FX133" t="e">
        <f>AND('GA55 Entry'!#REF!,"AAAAAH/+3LM=")</f>
        <v>#REF!</v>
      </c>
      <c r="FY133" t="e">
        <f>AND('GA55 Entry'!K437,"AAAAAH/+3LQ=")</f>
        <v>#VALUE!</v>
      </c>
      <c r="FZ133" t="e">
        <f>AND('GA55 Entry'!L437,"AAAAAH/+3LU=")</f>
        <v>#VALUE!</v>
      </c>
      <c r="GA133" t="e">
        <f>AND('GA55 Entry'!M437,"AAAAAH/+3LY=")</f>
        <v>#VALUE!</v>
      </c>
      <c r="GB133" t="e">
        <f>AND('GA55 Entry'!N437,"AAAAAH/+3Lc=")</f>
        <v>#VALUE!</v>
      </c>
      <c r="GC133" t="e">
        <f>AND('GA55 Entry'!O437,"AAAAAH/+3Lg=")</f>
        <v>#VALUE!</v>
      </c>
      <c r="GD133" t="e">
        <f>AND('GA55 Entry'!P437,"AAAAAH/+3Lk=")</f>
        <v>#VALUE!</v>
      </c>
      <c r="GE133" t="e">
        <f>AND('GA55 Entry'!Q437,"AAAAAH/+3Lo=")</f>
        <v>#VALUE!</v>
      </c>
      <c r="GF133" t="e">
        <f>AND('GA55 Entry'!S437,"AAAAAH/+3Ls=")</f>
        <v>#VALUE!</v>
      </c>
      <c r="GG133" t="e">
        <f>AND('GA55 Entry'!#REF!,"AAAAAH/+3Lw=")</f>
        <v>#REF!</v>
      </c>
      <c r="GH133" t="e">
        <f>AND('GA55 Entry'!T437,"AAAAAH/+3L0=")</f>
        <v>#VALUE!</v>
      </c>
      <c r="GI133" t="e">
        <f>AND('GA55 Entry'!U437,"AAAAAH/+3L4=")</f>
        <v>#VALUE!</v>
      </c>
      <c r="GJ133" t="e">
        <f>AND('GA55 Entry'!V437,"AAAAAH/+3L8=")</f>
        <v>#VALUE!</v>
      </c>
      <c r="GK133" t="e">
        <f>AND('GA55 Entry'!#REF!,"AAAAAH/+3MA=")</f>
        <v>#REF!</v>
      </c>
      <c r="GL133" t="e">
        <f>AND('GA55 Entry'!#REF!,"AAAAAH/+3ME=")</f>
        <v>#REF!</v>
      </c>
      <c r="GM133" t="e">
        <f>AND('GA55 Entry'!X437,"AAAAAH/+3MI=")</f>
        <v>#VALUE!</v>
      </c>
      <c r="GN133" t="e">
        <f>AND('GA55 Entry'!Y437,"AAAAAH/+3MM=")</f>
        <v>#VALUE!</v>
      </c>
      <c r="GO133" t="e">
        <f>AND('GA55 Entry'!#REF!,"AAAAAH/+3MQ=")</f>
        <v>#REF!</v>
      </c>
      <c r="GP133" t="e">
        <f>AND('GA55 Entry'!#REF!,"AAAAAH/+3MU=")</f>
        <v>#REF!</v>
      </c>
      <c r="GQ133" t="e">
        <f>AND('GA55 Entry'!#REF!,"AAAAAH/+3MY=")</f>
        <v>#REF!</v>
      </c>
      <c r="GR133" t="e">
        <f>AND('GA55 Entry'!#REF!,"AAAAAH/+3Mc=")</f>
        <v>#REF!</v>
      </c>
      <c r="GS133" t="e">
        <f>AND('GA55 Entry'!#REF!,"AAAAAH/+3Mg=")</f>
        <v>#REF!</v>
      </c>
      <c r="GT133" t="e">
        <f>AND('GA55 Entry'!#REF!,"AAAAAH/+3Mk=")</f>
        <v>#REF!</v>
      </c>
      <c r="GU133" t="e">
        <f>AND('GA55 Entry'!#REF!,"AAAAAH/+3Mo=")</f>
        <v>#REF!</v>
      </c>
      <c r="GV133" t="e">
        <f>AND('GA55 Entry'!#REF!,"AAAAAH/+3Ms=")</f>
        <v>#REF!</v>
      </c>
      <c r="GW133" t="e">
        <f>AND('GA55 Entry'!#REF!,"AAAAAH/+3Mw=")</f>
        <v>#REF!</v>
      </c>
      <c r="GX133" t="e">
        <f>AND('GA55 Entry'!Z437,"AAAAAH/+3M0=")</f>
        <v>#VALUE!</v>
      </c>
      <c r="GY133" t="e">
        <f>AND('GA55 Entry'!AA437,"AAAAAH/+3M4=")</f>
        <v>#VALUE!</v>
      </c>
      <c r="GZ133" t="e">
        <f>AND('GA55 Entry'!#REF!,"AAAAAH/+3M8=")</f>
        <v>#REF!</v>
      </c>
      <c r="HA133" t="e">
        <f>AND('GA55 Entry'!#REF!,"AAAAAH/+3NA=")</f>
        <v>#REF!</v>
      </c>
      <c r="HB133" t="e">
        <f>AND('GA55 Entry'!#REF!,"AAAAAH/+3NE=")</f>
        <v>#REF!</v>
      </c>
      <c r="HC133" t="e">
        <f>AND('GA55 Entry'!AB437,"AAAAAH/+3NI=")</f>
        <v>#VALUE!</v>
      </c>
      <c r="HD133" t="e">
        <f>AND('GA55 Entry'!AC437,"AAAAAH/+3NM=")</f>
        <v>#VALUE!</v>
      </c>
      <c r="HE133" t="e">
        <f>AND('GA55 Entry'!#REF!,"AAAAAH/+3NQ=")</f>
        <v>#REF!</v>
      </c>
      <c r="HF133">
        <f>IF('GA55 Entry'!438:438,"AAAAAH/+3NU=",0)</f>
        <v>0</v>
      </c>
      <c r="HG133" t="e">
        <f>AND('GA55 Entry'!B438,"AAAAAH/+3NY=")</f>
        <v>#VALUE!</v>
      </c>
      <c r="HH133" t="e">
        <f>AND('GA55 Entry'!#REF!,"AAAAAH/+3Nc=")</f>
        <v>#REF!</v>
      </c>
      <c r="HI133" t="e">
        <f>AND('GA55 Entry'!C438,"AAAAAH/+3Ng=")</f>
        <v>#VALUE!</v>
      </c>
      <c r="HJ133" t="e">
        <f>AND('GA55 Entry'!#REF!,"AAAAAH/+3Nk=")</f>
        <v>#REF!</v>
      </c>
      <c r="HK133" t="e">
        <f>AND('GA55 Entry'!#REF!,"AAAAAH/+3No=")</f>
        <v>#REF!</v>
      </c>
      <c r="HL133" t="e">
        <f>AND('GA55 Entry'!#REF!,"AAAAAH/+3Ns=")</f>
        <v>#REF!</v>
      </c>
      <c r="HM133" t="e">
        <f>AND('GA55 Entry'!#REF!,"AAAAAH/+3Nw=")</f>
        <v>#REF!</v>
      </c>
      <c r="HN133" t="e">
        <f>AND('GA55 Entry'!#REF!,"AAAAAH/+3N0=")</f>
        <v>#REF!</v>
      </c>
      <c r="HO133" t="e">
        <f>AND('GA55 Entry'!D438,"AAAAAH/+3N4=")</f>
        <v>#VALUE!</v>
      </c>
      <c r="HP133" t="e">
        <f>AND('GA55 Entry'!#REF!,"AAAAAH/+3N8=")</f>
        <v>#REF!</v>
      </c>
      <c r="HQ133" t="e">
        <f>AND('GA55 Entry'!E438,"AAAAAH/+3OA=")</f>
        <v>#VALUE!</v>
      </c>
      <c r="HR133" t="e">
        <f>AND('GA55 Entry'!F438,"AAAAAH/+3OE=")</f>
        <v>#VALUE!</v>
      </c>
      <c r="HS133" t="e">
        <f>AND('GA55 Entry'!G438,"AAAAAH/+3OI=")</f>
        <v>#VALUE!</v>
      </c>
      <c r="HT133" t="e">
        <f>AND('GA55 Entry'!H438,"AAAAAH/+3OM=")</f>
        <v>#VALUE!</v>
      </c>
      <c r="HU133" t="e">
        <f>AND('GA55 Entry'!I438,"AAAAAH/+3OQ=")</f>
        <v>#VALUE!</v>
      </c>
      <c r="HV133" t="e">
        <f>AND('GA55 Entry'!J438,"AAAAAH/+3OU=")</f>
        <v>#VALUE!</v>
      </c>
      <c r="HW133" t="e">
        <f>AND('GA55 Entry'!#REF!,"AAAAAH/+3OY=")</f>
        <v>#REF!</v>
      </c>
      <c r="HX133" t="e">
        <f>AND('GA55 Entry'!K438,"AAAAAH/+3Oc=")</f>
        <v>#VALUE!</v>
      </c>
      <c r="HY133" t="e">
        <f>AND('GA55 Entry'!L438,"AAAAAH/+3Og=")</f>
        <v>#VALUE!</v>
      </c>
      <c r="HZ133" t="e">
        <f>AND('GA55 Entry'!M438,"AAAAAH/+3Ok=")</f>
        <v>#VALUE!</v>
      </c>
      <c r="IA133" t="e">
        <f>AND('GA55 Entry'!N438,"AAAAAH/+3Oo=")</f>
        <v>#VALUE!</v>
      </c>
      <c r="IB133" t="e">
        <f>AND('GA55 Entry'!O438,"AAAAAH/+3Os=")</f>
        <v>#VALUE!</v>
      </c>
      <c r="IC133" t="e">
        <f>AND('GA55 Entry'!P438,"AAAAAH/+3Ow=")</f>
        <v>#VALUE!</v>
      </c>
      <c r="ID133" t="e">
        <f>AND('GA55 Entry'!Q438,"AAAAAH/+3O0=")</f>
        <v>#VALUE!</v>
      </c>
      <c r="IE133" t="e">
        <f>AND('GA55 Entry'!S438,"AAAAAH/+3O4=")</f>
        <v>#VALUE!</v>
      </c>
      <c r="IF133" t="e">
        <f>AND('GA55 Entry'!#REF!,"AAAAAH/+3O8=")</f>
        <v>#REF!</v>
      </c>
      <c r="IG133" t="e">
        <f>AND('GA55 Entry'!T438,"AAAAAH/+3PA=")</f>
        <v>#VALUE!</v>
      </c>
      <c r="IH133" t="e">
        <f>AND('GA55 Entry'!U438,"AAAAAH/+3PE=")</f>
        <v>#VALUE!</v>
      </c>
      <c r="II133" t="e">
        <f>AND('GA55 Entry'!V438,"AAAAAH/+3PI=")</f>
        <v>#VALUE!</v>
      </c>
      <c r="IJ133" t="e">
        <f>AND('GA55 Entry'!#REF!,"AAAAAH/+3PM=")</f>
        <v>#REF!</v>
      </c>
      <c r="IK133" t="e">
        <f>AND('GA55 Entry'!#REF!,"AAAAAH/+3PQ=")</f>
        <v>#REF!</v>
      </c>
      <c r="IL133" t="e">
        <f>AND('GA55 Entry'!X438,"AAAAAH/+3PU=")</f>
        <v>#VALUE!</v>
      </c>
      <c r="IM133" t="e">
        <f>AND('GA55 Entry'!Y438,"AAAAAH/+3PY=")</f>
        <v>#VALUE!</v>
      </c>
      <c r="IN133" t="e">
        <f>AND('GA55 Entry'!#REF!,"AAAAAH/+3Pc=")</f>
        <v>#REF!</v>
      </c>
      <c r="IO133" t="e">
        <f>AND('GA55 Entry'!#REF!,"AAAAAH/+3Pg=")</f>
        <v>#REF!</v>
      </c>
      <c r="IP133" t="e">
        <f>AND('GA55 Entry'!#REF!,"AAAAAH/+3Pk=")</f>
        <v>#REF!</v>
      </c>
      <c r="IQ133" t="e">
        <f>AND('GA55 Entry'!#REF!,"AAAAAH/+3Po=")</f>
        <v>#REF!</v>
      </c>
      <c r="IR133" t="e">
        <f>AND('GA55 Entry'!#REF!,"AAAAAH/+3Ps=")</f>
        <v>#REF!</v>
      </c>
      <c r="IS133" t="e">
        <f>AND('GA55 Entry'!#REF!,"AAAAAH/+3Pw=")</f>
        <v>#REF!</v>
      </c>
      <c r="IT133" t="e">
        <f>AND('GA55 Entry'!#REF!,"AAAAAH/+3P0=")</f>
        <v>#REF!</v>
      </c>
      <c r="IU133" t="e">
        <f>AND('GA55 Entry'!#REF!,"AAAAAH/+3P4=")</f>
        <v>#REF!</v>
      </c>
      <c r="IV133" t="e">
        <f>AND('GA55 Entry'!#REF!,"AAAAAH/+3P8=")</f>
        <v>#REF!</v>
      </c>
    </row>
    <row r="134" spans="1:256">
      <c r="A134" t="e">
        <f>AND('GA55 Entry'!Z438,"AAAAADk9uwA=")</f>
        <v>#VALUE!</v>
      </c>
      <c r="B134" t="e">
        <f>AND('GA55 Entry'!AA438,"AAAAADk9uwE=")</f>
        <v>#VALUE!</v>
      </c>
      <c r="C134" t="e">
        <f>AND('GA55 Entry'!#REF!,"AAAAADk9uwI=")</f>
        <v>#REF!</v>
      </c>
      <c r="D134" t="e">
        <f>AND('GA55 Entry'!#REF!,"AAAAADk9uwM=")</f>
        <v>#REF!</v>
      </c>
      <c r="E134" t="e">
        <f>AND('GA55 Entry'!#REF!,"AAAAADk9uwQ=")</f>
        <v>#REF!</v>
      </c>
      <c r="F134" t="e">
        <f>AND('GA55 Entry'!AB438,"AAAAADk9uwU=")</f>
        <v>#VALUE!</v>
      </c>
      <c r="G134" t="e">
        <f>AND('GA55 Entry'!AC438,"AAAAADk9uwY=")</f>
        <v>#VALUE!</v>
      </c>
      <c r="H134" t="e">
        <f>AND('GA55 Entry'!#REF!,"AAAAADk9uwc=")</f>
        <v>#REF!</v>
      </c>
      <c r="I134">
        <f>IF('GA55 Entry'!439:439,"AAAAADk9uwg=",0)</f>
        <v>0</v>
      </c>
      <c r="J134" t="e">
        <f>AND('GA55 Entry'!B439,"AAAAADk9uwk=")</f>
        <v>#VALUE!</v>
      </c>
      <c r="K134" t="e">
        <f>AND('GA55 Entry'!#REF!,"AAAAADk9uwo=")</f>
        <v>#REF!</v>
      </c>
      <c r="L134" t="e">
        <f>AND('GA55 Entry'!C439,"AAAAADk9uws=")</f>
        <v>#VALUE!</v>
      </c>
      <c r="M134" t="e">
        <f>AND('GA55 Entry'!#REF!,"AAAAADk9uww=")</f>
        <v>#REF!</v>
      </c>
      <c r="N134" t="e">
        <f>AND('GA55 Entry'!#REF!,"AAAAADk9uw0=")</f>
        <v>#REF!</v>
      </c>
      <c r="O134" t="e">
        <f>AND('GA55 Entry'!#REF!,"AAAAADk9uw4=")</f>
        <v>#REF!</v>
      </c>
      <c r="P134" t="e">
        <f>AND('GA55 Entry'!#REF!,"AAAAADk9uw8=")</f>
        <v>#REF!</v>
      </c>
      <c r="Q134" t="e">
        <f>AND('GA55 Entry'!#REF!,"AAAAADk9uxA=")</f>
        <v>#REF!</v>
      </c>
      <c r="R134" t="e">
        <f>AND('GA55 Entry'!D439,"AAAAADk9uxE=")</f>
        <v>#VALUE!</v>
      </c>
      <c r="S134" t="e">
        <f>AND('GA55 Entry'!#REF!,"AAAAADk9uxI=")</f>
        <v>#REF!</v>
      </c>
      <c r="T134" t="e">
        <f>AND('GA55 Entry'!E439,"AAAAADk9uxM=")</f>
        <v>#VALUE!</v>
      </c>
      <c r="U134" t="e">
        <f>AND('GA55 Entry'!F439,"AAAAADk9uxQ=")</f>
        <v>#VALUE!</v>
      </c>
      <c r="V134" t="e">
        <f>AND('GA55 Entry'!G439,"AAAAADk9uxU=")</f>
        <v>#VALUE!</v>
      </c>
      <c r="W134" t="e">
        <f>AND('GA55 Entry'!H439,"AAAAADk9uxY=")</f>
        <v>#VALUE!</v>
      </c>
      <c r="X134" t="e">
        <f>AND('GA55 Entry'!I439,"AAAAADk9uxc=")</f>
        <v>#VALUE!</v>
      </c>
      <c r="Y134" t="e">
        <f>AND('GA55 Entry'!J439,"AAAAADk9uxg=")</f>
        <v>#VALUE!</v>
      </c>
      <c r="Z134" t="e">
        <f>AND('GA55 Entry'!#REF!,"AAAAADk9uxk=")</f>
        <v>#REF!</v>
      </c>
      <c r="AA134" t="e">
        <f>AND('GA55 Entry'!K439,"AAAAADk9uxo=")</f>
        <v>#VALUE!</v>
      </c>
      <c r="AB134" t="e">
        <f>AND('GA55 Entry'!L439,"AAAAADk9uxs=")</f>
        <v>#VALUE!</v>
      </c>
      <c r="AC134" t="e">
        <f>AND('GA55 Entry'!M439,"AAAAADk9uxw=")</f>
        <v>#VALUE!</v>
      </c>
      <c r="AD134" t="e">
        <f>AND('GA55 Entry'!N439,"AAAAADk9ux0=")</f>
        <v>#VALUE!</v>
      </c>
      <c r="AE134" t="e">
        <f>AND('GA55 Entry'!O439,"AAAAADk9ux4=")</f>
        <v>#VALUE!</v>
      </c>
      <c r="AF134" t="e">
        <f>AND('GA55 Entry'!P439,"AAAAADk9ux8=")</f>
        <v>#VALUE!</v>
      </c>
      <c r="AG134" t="e">
        <f>AND('GA55 Entry'!Q439,"AAAAADk9uyA=")</f>
        <v>#VALUE!</v>
      </c>
      <c r="AH134" t="e">
        <f>AND('GA55 Entry'!S439,"AAAAADk9uyE=")</f>
        <v>#VALUE!</v>
      </c>
      <c r="AI134" t="e">
        <f>AND('GA55 Entry'!#REF!,"AAAAADk9uyI=")</f>
        <v>#REF!</v>
      </c>
      <c r="AJ134" t="e">
        <f>AND('GA55 Entry'!T439,"AAAAADk9uyM=")</f>
        <v>#VALUE!</v>
      </c>
      <c r="AK134" t="e">
        <f>AND('GA55 Entry'!U439,"AAAAADk9uyQ=")</f>
        <v>#VALUE!</v>
      </c>
      <c r="AL134" t="e">
        <f>AND('GA55 Entry'!V439,"AAAAADk9uyU=")</f>
        <v>#VALUE!</v>
      </c>
      <c r="AM134" t="e">
        <f>AND('GA55 Entry'!#REF!,"AAAAADk9uyY=")</f>
        <v>#REF!</v>
      </c>
      <c r="AN134" t="e">
        <f>AND('GA55 Entry'!#REF!,"AAAAADk9uyc=")</f>
        <v>#REF!</v>
      </c>
      <c r="AO134" t="e">
        <f>AND('GA55 Entry'!X439,"AAAAADk9uyg=")</f>
        <v>#VALUE!</v>
      </c>
      <c r="AP134" t="e">
        <f>AND('GA55 Entry'!Y439,"AAAAADk9uyk=")</f>
        <v>#VALUE!</v>
      </c>
      <c r="AQ134" t="e">
        <f>AND('GA55 Entry'!#REF!,"AAAAADk9uyo=")</f>
        <v>#REF!</v>
      </c>
      <c r="AR134" t="e">
        <f>AND('GA55 Entry'!#REF!,"AAAAADk9uys=")</f>
        <v>#REF!</v>
      </c>
      <c r="AS134" t="e">
        <f>AND('GA55 Entry'!#REF!,"AAAAADk9uyw=")</f>
        <v>#REF!</v>
      </c>
      <c r="AT134" t="e">
        <f>AND('GA55 Entry'!#REF!,"AAAAADk9uy0=")</f>
        <v>#REF!</v>
      </c>
      <c r="AU134" t="e">
        <f>AND('GA55 Entry'!#REF!,"AAAAADk9uy4=")</f>
        <v>#REF!</v>
      </c>
      <c r="AV134" t="e">
        <f>AND('GA55 Entry'!#REF!,"AAAAADk9uy8=")</f>
        <v>#REF!</v>
      </c>
      <c r="AW134" t="e">
        <f>AND('GA55 Entry'!#REF!,"AAAAADk9uzA=")</f>
        <v>#REF!</v>
      </c>
      <c r="AX134" t="e">
        <f>AND('GA55 Entry'!#REF!,"AAAAADk9uzE=")</f>
        <v>#REF!</v>
      </c>
      <c r="AY134" t="e">
        <f>AND('GA55 Entry'!#REF!,"AAAAADk9uzI=")</f>
        <v>#REF!</v>
      </c>
      <c r="AZ134" t="e">
        <f>AND('GA55 Entry'!Z439,"AAAAADk9uzM=")</f>
        <v>#VALUE!</v>
      </c>
      <c r="BA134" t="e">
        <f>AND('GA55 Entry'!AA439,"AAAAADk9uzQ=")</f>
        <v>#VALUE!</v>
      </c>
      <c r="BB134" t="e">
        <f>AND('GA55 Entry'!#REF!,"AAAAADk9uzU=")</f>
        <v>#REF!</v>
      </c>
      <c r="BC134" t="e">
        <f>AND('GA55 Entry'!#REF!,"AAAAADk9uzY=")</f>
        <v>#REF!</v>
      </c>
      <c r="BD134" t="e">
        <f>AND('GA55 Entry'!#REF!,"AAAAADk9uzc=")</f>
        <v>#REF!</v>
      </c>
      <c r="BE134" t="e">
        <f>AND('GA55 Entry'!AB439,"AAAAADk9uzg=")</f>
        <v>#VALUE!</v>
      </c>
      <c r="BF134" t="e">
        <f>AND('GA55 Entry'!AC439,"AAAAADk9uzk=")</f>
        <v>#VALUE!</v>
      </c>
      <c r="BG134" t="e">
        <f>AND('GA55 Entry'!#REF!,"AAAAADk9uzo=")</f>
        <v>#REF!</v>
      </c>
      <c r="BH134">
        <f>IF('GA55 Entry'!440:440,"AAAAADk9uzs=",0)</f>
        <v>0</v>
      </c>
      <c r="BI134" t="e">
        <f>AND('GA55 Entry'!B440,"AAAAADk9uzw=")</f>
        <v>#VALUE!</v>
      </c>
      <c r="BJ134" t="e">
        <f>AND('GA55 Entry'!#REF!,"AAAAADk9uz0=")</f>
        <v>#REF!</v>
      </c>
      <c r="BK134" t="e">
        <f>AND('GA55 Entry'!C440,"AAAAADk9uz4=")</f>
        <v>#VALUE!</v>
      </c>
      <c r="BL134" t="e">
        <f>AND('GA55 Entry'!#REF!,"AAAAADk9uz8=")</f>
        <v>#REF!</v>
      </c>
      <c r="BM134" t="e">
        <f>AND('GA55 Entry'!#REF!,"AAAAADk9u0A=")</f>
        <v>#REF!</v>
      </c>
      <c r="BN134" t="e">
        <f>AND('GA55 Entry'!#REF!,"AAAAADk9u0E=")</f>
        <v>#REF!</v>
      </c>
      <c r="BO134" t="e">
        <f>AND('GA55 Entry'!#REF!,"AAAAADk9u0I=")</f>
        <v>#REF!</v>
      </c>
      <c r="BP134" t="e">
        <f>AND('GA55 Entry'!#REF!,"AAAAADk9u0M=")</f>
        <v>#REF!</v>
      </c>
      <c r="BQ134" t="e">
        <f>AND('GA55 Entry'!D440,"AAAAADk9u0Q=")</f>
        <v>#VALUE!</v>
      </c>
      <c r="BR134" t="e">
        <f>AND('GA55 Entry'!#REF!,"AAAAADk9u0U=")</f>
        <v>#REF!</v>
      </c>
      <c r="BS134" t="e">
        <f>AND('GA55 Entry'!E440,"AAAAADk9u0Y=")</f>
        <v>#VALUE!</v>
      </c>
      <c r="BT134" t="e">
        <f>AND('GA55 Entry'!F440,"AAAAADk9u0c=")</f>
        <v>#VALUE!</v>
      </c>
      <c r="BU134" t="e">
        <f>AND('GA55 Entry'!G440,"AAAAADk9u0g=")</f>
        <v>#VALUE!</v>
      </c>
      <c r="BV134" t="e">
        <f>AND('GA55 Entry'!H440,"AAAAADk9u0k=")</f>
        <v>#VALUE!</v>
      </c>
      <c r="BW134" t="e">
        <f>AND('GA55 Entry'!I440,"AAAAADk9u0o=")</f>
        <v>#VALUE!</v>
      </c>
      <c r="BX134" t="e">
        <f>AND('GA55 Entry'!J440,"AAAAADk9u0s=")</f>
        <v>#VALUE!</v>
      </c>
      <c r="BY134" t="e">
        <f>AND('GA55 Entry'!#REF!,"AAAAADk9u0w=")</f>
        <v>#REF!</v>
      </c>
      <c r="BZ134" t="e">
        <f>AND('GA55 Entry'!K440,"AAAAADk9u00=")</f>
        <v>#VALUE!</v>
      </c>
      <c r="CA134" t="e">
        <f>AND('GA55 Entry'!L440,"AAAAADk9u04=")</f>
        <v>#VALUE!</v>
      </c>
      <c r="CB134" t="e">
        <f>AND('GA55 Entry'!M440,"AAAAADk9u08=")</f>
        <v>#VALUE!</v>
      </c>
      <c r="CC134" t="e">
        <f>AND('GA55 Entry'!N440,"AAAAADk9u1A=")</f>
        <v>#VALUE!</v>
      </c>
      <c r="CD134" t="e">
        <f>AND('GA55 Entry'!O440,"AAAAADk9u1E=")</f>
        <v>#VALUE!</v>
      </c>
      <c r="CE134" t="e">
        <f>AND('GA55 Entry'!P440,"AAAAADk9u1I=")</f>
        <v>#VALUE!</v>
      </c>
      <c r="CF134" t="e">
        <f>AND('GA55 Entry'!Q440,"AAAAADk9u1M=")</f>
        <v>#VALUE!</v>
      </c>
      <c r="CG134" t="e">
        <f>AND('GA55 Entry'!S440,"AAAAADk9u1Q=")</f>
        <v>#VALUE!</v>
      </c>
      <c r="CH134" t="e">
        <f>AND('GA55 Entry'!#REF!,"AAAAADk9u1U=")</f>
        <v>#REF!</v>
      </c>
      <c r="CI134" t="e">
        <f>AND('GA55 Entry'!T440,"AAAAADk9u1Y=")</f>
        <v>#VALUE!</v>
      </c>
      <c r="CJ134" t="e">
        <f>AND('GA55 Entry'!U440,"AAAAADk9u1c=")</f>
        <v>#VALUE!</v>
      </c>
      <c r="CK134" t="e">
        <f>AND('GA55 Entry'!V440,"AAAAADk9u1g=")</f>
        <v>#VALUE!</v>
      </c>
      <c r="CL134" t="e">
        <f>AND('GA55 Entry'!#REF!,"AAAAADk9u1k=")</f>
        <v>#REF!</v>
      </c>
      <c r="CM134" t="e">
        <f>AND('GA55 Entry'!#REF!,"AAAAADk9u1o=")</f>
        <v>#REF!</v>
      </c>
      <c r="CN134" t="e">
        <f>AND('GA55 Entry'!X440,"AAAAADk9u1s=")</f>
        <v>#VALUE!</v>
      </c>
      <c r="CO134" t="e">
        <f>AND('GA55 Entry'!Y440,"AAAAADk9u1w=")</f>
        <v>#VALUE!</v>
      </c>
      <c r="CP134" t="e">
        <f>AND('GA55 Entry'!#REF!,"AAAAADk9u10=")</f>
        <v>#REF!</v>
      </c>
      <c r="CQ134" t="e">
        <f>AND('GA55 Entry'!#REF!,"AAAAADk9u14=")</f>
        <v>#REF!</v>
      </c>
      <c r="CR134" t="e">
        <f>AND('GA55 Entry'!#REF!,"AAAAADk9u18=")</f>
        <v>#REF!</v>
      </c>
      <c r="CS134" t="e">
        <f>AND('GA55 Entry'!#REF!,"AAAAADk9u2A=")</f>
        <v>#REF!</v>
      </c>
      <c r="CT134" t="e">
        <f>AND('GA55 Entry'!#REF!,"AAAAADk9u2E=")</f>
        <v>#REF!</v>
      </c>
      <c r="CU134" t="e">
        <f>AND('GA55 Entry'!#REF!,"AAAAADk9u2I=")</f>
        <v>#REF!</v>
      </c>
      <c r="CV134" t="e">
        <f>AND('GA55 Entry'!#REF!,"AAAAADk9u2M=")</f>
        <v>#REF!</v>
      </c>
      <c r="CW134" t="e">
        <f>AND('GA55 Entry'!#REF!,"AAAAADk9u2Q=")</f>
        <v>#REF!</v>
      </c>
      <c r="CX134" t="e">
        <f>AND('GA55 Entry'!#REF!,"AAAAADk9u2U=")</f>
        <v>#REF!</v>
      </c>
      <c r="CY134" t="e">
        <f>AND('GA55 Entry'!Z440,"AAAAADk9u2Y=")</f>
        <v>#VALUE!</v>
      </c>
      <c r="CZ134" t="e">
        <f>AND('GA55 Entry'!AA440,"AAAAADk9u2c=")</f>
        <v>#VALUE!</v>
      </c>
      <c r="DA134" t="e">
        <f>AND('GA55 Entry'!#REF!,"AAAAADk9u2g=")</f>
        <v>#REF!</v>
      </c>
      <c r="DB134" t="e">
        <f>AND('GA55 Entry'!#REF!,"AAAAADk9u2k=")</f>
        <v>#REF!</v>
      </c>
      <c r="DC134" t="e">
        <f>AND('GA55 Entry'!#REF!,"AAAAADk9u2o=")</f>
        <v>#REF!</v>
      </c>
      <c r="DD134" t="e">
        <f>AND('GA55 Entry'!AB440,"AAAAADk9u2s=")</f>
        <v>#VALUE!</v>
      </c>
      <c r="DE134" t="e">
        <f>AND('GA55 Entry'!AC440,"AAAAADk9u2w=")</f>
        <v>#VALUE!</v>
      </c>
      <c r="DF134" t="e">
        <f>AND('GA55 Entry'!#REF!,"AAAAADk9u20=")</f>
        <v>#REF!</v>
      </c>
      <c r="DG134">
        <f>IF('GA55 Entry'!441:441,"AAAAADk9u24=",0)</f>
        <v>0</v>
      </c>
      <c r="DH134" t="e">
        <f>AND('GA55 Entry'!B441,"AAAAADk9u28=")</f>
        <v>#VALUE!</v>
      </c>
      <c r="DI134" t="e">
        <f>AND('GA55 Entry'!#REF!,"AAAAADk9u3A=")</f>
        <v>#REF!</v>
      </c>
      <c r="DJ134" t="e">
        <f>AND('GA55 Entry'!C441,"AAAAADk9u3E=")</f>
        <v>#VALUE!</v>
      </c>
      <c r="DK134" t="e">
        <f>AND('GA55 Entry'!#REF!,"AAAAADk9u3I=")</f>
        <v>#REF!</v>
      </c>
      <c r="DL134" t="e">
        <f>AND('GA55 Entry'!#REF!,"AAAAADk9u3M=")</f>
        <v>#REF!</v>
      </c>
      <c r="DM134" t="e">
        <f>AND('GA55 Entry'!#REF!,"AAAAADk9u3Q=")</f>
        <v>#REF!</v>
      </c>
      <c r="DN134" t="e">
        <f>AND('GA55 Entry'!#REF!,"AAAAADk9u3U=")</f>
        <v>#REF!</v>
      </c>
      <c r="DO134" t="e">
        <f>AND('GA55 Entry'!#REF!,"AAAAADk9u3Y=")</f>
        <v>#REF!</v>
      </c>
      <c r="DP134" t="e">
        <f>AND('GA55 Entry'!D441,"AAAAADk9u3c=")</f>
        <v>#VALUE!</v>
      </c>
      <c r="DQ134" t="e">
        <f>AND('GA55 Entry'!#REF!,"AAAAADk9u3g=")</f>
        <v>#REF!</v>
      </c>
      <c r="DR134" t="e">
        <f>AND('GA55 Entry'!E441,"AAAAADk9u3k=")</f>
        <v>#VALUE!</v>
      </c>
      <c r="DS134" t="e">
        <f>AND('GA55 Entry'!F441,"AAAAADk9u3o=")</f>
        <v>#VALUE!</v>
      </c>
      <c r="DT134" t="e">
        <f>AND('GA55 Entry'!G441,"AAAAADk9u3s=")</f>
        <v>#VALUE!</v>
      </c>
      <c r="DU134" t="e">
        <f>AND('GA55 Entry'!H441,"AAAAADk9u3w=")</f>
        <v>#VALUE!</v>
      </c>
      <c r="DV134" t="e">
        <f>AND('GA55 Entry'!I441,"AAAAADk9u30=")</f>
        <v>#VALUE!</v>
      </c>
      <c r="DW134" t="e">
        <f>AND('GA55 Entry'!J441,"AAAAADk9u34=")</f>
        <v>#VALUE!</v>
      </c>
      <c r="DX134" t="e">
        <f>AND('GA55 Entry'!#REF!,"AAAAADk9u38=")</f>
        <v>#REF!</v>
      </c>
      <c r="DY134" t="e">
        <f>AND('GA55 Entry'!K441,"AAAAADk9u4A=")</f>
        <v>#VALUE!</v>
      </c>
      <c r="DZ134" t="e">
        <f>AND('GA55 Entry'!L441,"AAAAADk9u4E=")</f>
        <v>#VALUE!</v>
      </c>
      <c r="EA134" t="e">
        <f>AND('GA55 Entry'!M441,"AAAAADk9u4I=")</f>
        <v>#VALUE!</v>
      </c>
      <c r="EB134" t="e">
        <f>AND('GA55 Entry'!N441,"AAAAADk9u4M=")</f>
        <v>#VALUE!</v>
      </c>
      <c r="EC134" t="e">
        <f>AND('GA55 Entry'!O441,"AAAAADk9u4Q=")</f>
        <v>#VALUE!</v>
      </c>
      <c r="ED134" t="e">
        <f>AND('GA55 Entry'!P441,"AAAAADk9u4U=")</f>
        <v>#VALUE!</v>
      </c>
      <c r="EE134" t="e">
        <f>AND('GA55 Entry'!Q441,"AAAAADk9u4Y=")</f>
        <v>#VALUE!</v>
      </c>
      <c r="EF134" t="e">
        <f>AND('GA55 Entry'!S441,"AAAAADk9u4c=")</f>
        <v>#VALUE!</v>
      </c>
      <c r="EG134" t="e">
        <f>AND('GA55 Entry'!#REF!,"AAAAADk9u4g=")</f>
        <v>#REF!</v>
      </c>
      <c r="EH134" t="e">
        <f>AND('GA55 Entry'!T441,"AAAAADk9u4k=")</f>
        <v>#VALUE!</v>
      </c>
      <c r="EI134" t="e">
        <f>AND('GA55 Entry'!U441,"AAAAADk9u4o=")</f>
        <v>#VALUE!</v>
      </c>
      <c r="EJ134" t="e">
        <f>AND('GA55 Entry'!V441,"AAAAADk9u4s=")</f>
        <v>#VALUE!</v>
      </c>
      <c r="EK134" t="e">
        <f>AND('GA55 Entry'!#REF!,"AAAAADk9u4w=")</f>
        <v>#REF!</v>
      </c>
      <c r="EL134" t="e">
        <f>AND('GA55 Entry'!#REF!,"AAAAADk9u40=")</f>
        <v>#REF!</v>
      </c>
      <c r="EM134" t="e">
        <f>AND('GA55 Entry'!X441,"AAAAADk9u44=")</f>
        <v>#VALUE!</v>
      </c>
      <c r="EN134" t="e">
        <f>AND('GA55 Entry'!Y441,"AAAAADk9u48=")</f>
        <v>#VALUE!</v>
      </c>
      <c r="EO134" t="e">
        <f>AND('GA55 Entry'!#REF!,"AAAAADk9u5A=")</f>
        <v>#REF!</v>
      </c>
      <c r="EP134" t="e">
        <f>AND('GA55 Entry'!#REF!,"AAAAADk9u5E=")</f>
        <v>#REF!</v>
      </c>
      <c r="EQ134" t="e">
        <f>AND('GA55 Entry'!#REF!,"AAAAADk9u5I=")</f>
        <v>#REF!</v>
      </c>
      <c r="ER134" t="e">
        <f>AND('GA55 Entry'!#REF!,"AAAAADk9u5M=")</f>
        <v>#REF!</v>
      </c>
      <c r="ES134" t="e">
        <f>AND('GA55 Entry'!#REF!,"AAAAADk9u5Q=")</f>
        <v>#REF!</v>
      </c>
      <c r="ET134" t="e">
        <f>AND('GA55 Entry'!#REF!,"AAAAADk9u5U=")</f>
        <v>#REF!</v>
      </c>
      <c r="EU134" t="e">
        <f>AND('GA55 Entry'!#REF!,"AAAAADk9u5Y=")</f>
        <v>#REF!</v>
      </c>
      <c r="EV134" t="e">
        <f>AND('GA55 Entry'!#REF!,"AAAAADk9u5c=")</f>
        <v>#REF!</v>
      </c>
      <c r="EW134" t="e">
        <f>AND('GA55 Entry'!#REF!,"AAAAADk9u5g=")</f>
        <v>#REF!</v>
      </c>
      <c r="EX134" t="e">
        <f>AND('GA55 Entry'!Z441,"AAAAADk9u5k=")</f>
        <v>#VALUE!</v>
      </c>
      <c r="EY134" t="e">
        <f>AND('GA55 Entry'!AA441,"AAAAADk9u5o=")</f>
        <v>#VALUE!</v>
      </c>
      <c r="EZ134" t="e">
        <f>AND('GA55 Entry'!#REF!,"AAAAADk9u5s=")</f>
        <v>#REF!</v>
      </c>
      <c r="FA134" t="e">
        <f>AND('GA55 Entry'!#REF!,"AAAAADk9u5w=")</f>
        <v>#REF!</v>
      </c>
      <c r="FB134" t="e">
        <f>AND('GA55 Entry'!#REF!,"AAAAADk9u50=")</f>
        <v>#REF!</v>
      </c>
      <c r="FC134" t="e">
        <f>AND('GA55 Entry'!AB441,"AAAAADk9u54=")</f>
        <v>#VALUE!</v>
      </c>
      <c r="FD134" t="e">
        <f>AND('GA55 Entry'!AC441,"AAAAADk9u58=")</f>
        <v>#VALUE!</v>
      </c>
      <c r="FE134" t="e">
        <f>AND('GA55 Entry'!#REF!,"AAAAADk9u6A=")</f>
        <v>#REF!</v>
      </c>
      <c r="FF134">
        <f>IF('GA55 Entry'!442:442,"AAAAADk9u6E=",0)</f>
        <v>0</v>
      </c>
      <c r="FG134" t="e">
        <f>AND('GA55 Entry'!B442,"AAAAADk9u6I=")</f>
        <v>#VALUE!</v>
      </c>
      <c r="FH134" t="e">
        <f>AND('GA55 Entry'!#REF!,"AAAAADk9u6M=")</f>
        <v>#REF!</v>
      </c>
      <c r="FI134" t="e">
        <f>AND('GA55 Entry'!C442,"AAAAADk9u6Q=")</f>
        <v>#VALUE!</v>
      </c>
      <c r="FJ134" t="e">
        <f>AND('GA55 Entry'!#REF!,"AAAAADk9u6U=")</f>
        <v>#REF!</v>
      </c>
      <c r="FK134" t="e">
        <f>AND('GA55 Entry'!#REF!,"AAAAADk9u6Y=")</f>
        <v>#REF!</v>
      </c>
      <c r="FL134" t="e">
        <f>AND('GA55 Entry'!#REF!,"AAAAADk9u6c=")</f>
        <v>#REF!</v>
      </c>
      <c r="FM134" t="e">
        <f>AND('GA55 Entry'!#REF!,"AAAAADk9u6g=")</f>
        <v>#REF!</v>
      </c>
      <c r="FN134" t="e">
        <f>AND('GA55 Entry'!#REF!,"AAAAADk9u6k=")</f>
        <v>#REF!</v>
      </c>
      <c r="FO134" t="e">
        <f>AND('GA55 Entry'!D442,"AAAAADk9u6o=")</f>
        <v>#VALUE!</v>
      </c>
      <c r="FP134" t="e">
        <f>AND('GA55 Entry'!#REF!,"AAAAADk9u6s=")</f>
        <v>#REF!</v>
      </c>
      <c r="FQ134" t="e">
        <f>AND('GA55 Entry'!E442,"AAAAADk9u6w=")</f>
        <v>#VALUE!</v>
      </c>
      <c r="FR134" t="e">
        <f>AND('GA55 Entry'!F442,"AAAAADk9u60=")</f>
        <v>#VALUE!</v>
      </c>
      <c r="FS134" t="e">
        <f>AND('GA55 Entry'!G442,"AAAAADk9u64=")</f>
        <v>#VALUE!</v>
      </c>
      <c r="FT134" t="e">
        <f>AND('GA55 Entry'!H442,"AAAAADk9u68=")</f>
        <v>#VALUE!</v>
      </c>
      <c r="FU134" t="e">
        <f>AND('GA55 Entry'!I442,"AAAAADk9u7A=")</f>
        <v>#VALUE!</v>
      </c>
      <c r="FV134" t="e">
        <f>AND('GA55 Entry'!J442,"AAAAADk9u7E=")</f>
        <v>#VALUE!</v>
      </c>
      <c r="FW134" t="e">
        <f>AND('GA55 Entry'!#REF!,"AAAAADk9u7I=")</f>
        <v>#REF!</v>
      </c>
      <c r="FX134" t="e">
        <f>AND('GA55 Entry'!K442,"AAAAADk9u7M=")</f>
        <v>#VALUE!</v>
      </c>
      <c r="FY134" t="e">
        <f>AND('GA55 Entry'!L442,"AAAAADk9u7Q=")</f>
        <v>#VALUE!</v>
      </c>
      <c r="FZ134" t="e">
        <f>AND('GA55 Entry'!M442,"AAAAADk9u7U=")</f>
        <v>#VALUE!</v>
      </c>
      <c r="GA134" t="e">
        <f>AND('GA55 Entry'!N442,"AAAAADk9u7Y=")</f>
        <v>#VALUE!</v>
      </c>
      <c r="GB134" t="e">
        <f>AND('GA55 Entry'!O442,"AAAAADk9u7c=")</f>
        <v>#VALUE!</v>
      </c>
      <c r="GC134" t="e">
        <f>AND('GA55 Entry'!P442,"AAAAADk9u7g=")</f>
        <v>#VALUE!</v>
      </c>
      <c r="GD134" t="e">
        <f>AND('GA55 Entry'!Q442,"AAAAADk9u7k=")</f>
        <v>#VALUE!</v>
      </c>
      <c r="GE134" t="e">
        <f>AND('GA55 Entry'!S442,"AAAAADk9u7o=")</f>
        <v>#VALUE!</v>
      </c>
      <c r="GF134" t="e">
        <f>AND('GA55 Entry'!#REF!,"AAAAADk9u7s=")</f>
        <v>#REF!</v>
      </c>
      <c r="GG134" t="e">
        <f>AND('GA55 Entry'!T442,"AAAAADk9u7w=")</f>
        <v>#VALUE!</v>
      </c>
      <c r="GH134" t="e">
        <f>AND('GA55 Entry'!U442,"AAAAADk9u70=")</f>
        <v>#VALUE!</v>
      </c>
      <c r="GI134" t="e">
        <f>AND('GA55 Entry'!V442,"AAAAADk9u74=")</f>
        <v>#VALUE!</v>
      </c>
      <c r="GJ134" t="e">
        <f>AND('GA55 Entry'!#REF!,"AAAAADk9u78=")</f>
        <v>#REF!</v>
      </c>
      <c r="GK134" t="e">
        <f>AND('GA55 Entry'!#REF!,"AAAAADk9u8A=")</f>
        <v>#REF!</v>
      </c>
      <c r="GL134" t="e">
        <f>AND('GA55 Entry'!X442,"AAAAADk9u8E=")</f>
        <v>#VALUE!</v>
      </c>
      <c r="GM134" t="e">
        <f>AND('GA55 Entry'!Y442,"AAAAADk9u8I=")</f>
        <v>#VALUE!</v>
      </c>
      <c r="GN134" t="e">
        <f>AND('GA55 Entry'!#REF!,"AAAAADk9u8M=")</f>
        <v>#REF!</v>
      </c>
      <c r="GO134" t="e">
        <f>AND('GA55 Entry'!#REF!,"AAAAADk9u8Q=")</f>
        <v>#REF!</v>
      </c>
      <c r="GP134" t="e">
        <f>AND('GA55 Entry'!#REF!,"AAAAADk9u8U=")</f>
        <v>#REF!</v>
      </c>
      <c r="GQ134" t="e">
        <f>AND('GA55 Entry'!#REF!,"AAAAADk9u8Y=")</f>
        <v>#REF!</v>
      </c>
      <c r="GR134" t="e">
        <f>AND('GA55 Entry'!#REF!,"AAAAADk9u8c=")</f>
        <v>#REF!</v>
      </c>
      <c r="GS134" t="e">
        <f>AND('GA55 Entry'!#REF!,"AAAAADk9u8g=")</f>
        <v>#REF!</v>
      </c>
      <c r="GT134" t="e">
        <f>AND('GA55 Entry'!#REF!,"AAAAADk9u8k=")</f>
        <v>#REF!</v>
      </c>
      <c r="GU134" t="e">
        <f>AND('GA55 Entry'!#REF!,"AAAAADk9u8o=")</f>
        <v>#REF!</v>
      </c>
      <c r="GV134" t="e">
        <f>AND('GA55 Entry'!#REF!,"AAAAADk9u8s=")</f>
        <v>#REF!</v>
      </c>
      <c r="GW134" t="e">
        <f>AND('GA55 Entry'!Z442,"AAAAADk9u8w=")</f>
        <v>#VALUE!</v>
      </c>
      <c r="GX134" t="e">
        <f>AND('GA55 Entry'!AA442,"AAAAADk9u80=")</f>
        <v>#VALUE!</v>
      </c>
      <c r="GY134" t="e">
        <f>AND('GA55 Entry'!#REF!,"AAAAADk9u84=")</f>
        <v>#REF!</v>
      </c>
      <c r="GZ134" t="e">
        <f>AND('GA55 Entry'!#REF!,"AAAAADk9u88=")</f>
        <v>#REF!</v>
      </c>
      <c r="HA134" t="e">
        <f>AND('GA55 Entry'!#REF!,"AAAAADk9u9A=")</f>
        <v>#REF!</v>
      </c>
      <c r="HB134" t="e">
        <f>AND('GA55 Entry'!AB442,"AAAAADk9u9E=")</f>
        <v>#VALUE!</v>
      </c>
      <c r="HC134" t="e">
        <f>AND('GA55 Entry'!AC442,"AAAAADk9u9I=")</f>
        <v>#VALUE!</v>
      </c>
      <c r="HD134" t="e">
        <f>AND('GA55 Entry'!#REF!,"AAAAADk9u9M=")</f>
        <v>#REF!</v>
      </c>
      <c r="HE134">
        <f>IF('GA55 Entry'!443:443,"AAAAADk9u9Q=",0)</f>
        <v>0</v>
      </c>
      <c r="HF134" t="e">
        <f>AND('GA55 Entry'!B443,"AAAAADk9u9U=")</f>
        <v>#VALUE!</v>
      </c>
      <c r="HG134" t="e">
        <f>AND('GA55 Entry'!#REF!,"AAAAADk9u9Y=")</f>
        <v>#REF!</v>
      </c>
      <c r="HH134" t="e">
        <f>AND('GA55 Entry'!C443,"AAAAADk9u9c=")</f>
        <v>#VALUE!</v>
      </c>
      <c r="HI134" t="e">
        <f>AND('GA55 Entry'!#REF!,"AAAAADk9u9g=")</f>
        <v>#REF!</v>
      </c>
      <c r="HJ134" t="e">
        <f>AND('GA55 Entry'!#REF!,"AAAAADk9u9k=")</f>
        <v>#REF!</v>
      </c>
      <c r="HK134" t="e">
        <f>AND('GA55 Entry'!#REF!,"AAAAADk9u9o=")</f>
        <v>#REF!</v>
      </c>
      <c r="HL134" t="e">
        <f>AND('GA55 Entry'!#REF!,"AAAAADk9u9s=")</f>
        <v>#REF!</v>
      </c>
      <c r="HM134" t="e">
        <f>AND('GA55 Entry'!#REF!,"AAAAADk9u9w=")</f>
        <v>#REF!</v>
      </c>
      <c r="HN134" t="e">
        <f>AND('GA55 Entry'!D443,"AAAAADk9u90=")</f>
        <v>#VALUE!</v>
      </c>
      <c r="HO134" t="e">
        <f>AND('GA55 Entry'!#REF!,"AAAAADk9u94=")</f>
        <v>#REF!</v>
      </c>
      <c r="HP134" t="e">
        <f>AND('GA55 Entry'!E443,"AAAAADk9u98=")</f>
        <v>#VALUE!</v>
      </c>
      <c r="HQ134" t="e">
        <f>AND('GA55 Entry'!F443,"AAAAADk9u+A=")</f>
        <v>#VALUE!</v>
      </c>
      <c r="HR134" t="e">
        <f>AND('GA55 Entry'!G443,"AAAAADk9u+E=")</f>
        <v>#VALUE!</v>
      </c>
      <c r="HS134" t="e">
        <f>AND('GA55 Entry'!H443,"AAAAADk9u+I=")</f>
        <v>#VALUE!</v>
      </c>
      <c r="HT134" t="e">
        <f>AND('GA55 Entry'!I443,"AAAAADk9u+M=")</f>
        <v>#VALUE!</v>
      </c>
      <c r="HU134" t="e">
        <f>AND('GA55 Entry'!J443,"AAAAADk9u+Q=")</f>
        <v>#VALUE!</v>
      </c>
      <c r="HV134" t="e">
        <f>AND('GA55 Entry'!#REF!,"AAAAADk9u+U=")</f>
        <v>#REF!</v>
      </c>
      <c r="HW134" t="e">
        <f>AND('GA55 Entry'!K443,"AAAAADk9u+Y=")</f>
        <v>#VALUE!</v>
      </c>
      <c r="HX134" t="e">
        <f>AND('GA55 Entry'!L443,"AAAAADk9u+c=")</f>
        <v>#VALUE!</v>
      </c>
      <c r="HY134" t="e">
        <f>AND('GA55 Entry'!M443,"AAAAADk9u+g=")</f>
        <v>#VALUE!</v>
      </c>
      <c r="HZ134" t="e">
        <f>AND('GA55 Entry'!N443,"AAAAADk9u+k=")</f>
        <v>#VALUE!</v>
      </c>
      <c r="IA134" t="e">
        <f>AND('GA55 Entry'!O443,"AAAAADk9u+o=")</f>
        <v>#VALUE!</v>
      </c>
      <c r="IB134" t="e">
        <f>AND('GA55 Entry'!P443,"AAAAADk9u+s=")</f>
        <v>#VALUE!</v>
      </c>
      <c r="IC134" t="e">
        <f>AND('GA55 Entry'!Q443,"AAAAADk9u+w=")</f>
        <v>#VALUE!</v>
      </c>
      <c r="ID134" t="e">
        <f>AND('GA55 Entry'!S443,"AAAAADk9u+0=")</f>
        <v>#VALUE!</v>
      </c>
      <c r="IE134" t="e">
        <f>AND('GA55 Entry'!#REF!,"AAAAADk9u+4=")</f>
        <v>#REF!</v>
      </c>
      <c r="IF134" t="e">
        <f>AND('GA55 Entry'!T443,"AAAAADk9u+8=")</f>
        <v>#VALUE!</v>
      </c>
      <c r="IG134" t="e">
        <f>AND('GA55 Entry'!U443,"AAAAADk9u/A=")</f>
        <v>#VALUE!</v>
      </c>
      <c r="IH134" t="e">
        <f>AND('GA55 Entry'!V443,"AAAAADk9u/E=")</f>
        <v>#VALUE!</v>
      </c>
      <c r="II134" t="e">
        <f>AND('GA55 Entry'!#REF!,"AAAAADk9u/I=")</f>
        <v>#REF!</v>
      </c>
      <c r="IJ134" t="e">
        <f>AND('GA55 Entry'!#REF!,"AAAAADk9u/M=")</f>
        <v>#REF!</v>
      </c>
      <c r="IK134" t="e">
        <f>AND('GA55 Entry'!X443,"AAAAADk9u/Q=")</f>
        <v>#VALUE!</v>
      </c>
      <c r="IL134" t="e">
        <f>AND('GA55 Entry'!Y443,"AAAAADk9u/U=")</f>
        <v>#VALUE!</v>
      </c>
      <c r="IM134" t="e">
        <f>AND('GA55 Entry'!#REF!,"AAAAADk9u/Y=")</f>
        <v>#REF!</v>
      </c>
      <c r="IN134" t="e">
        <f>AND('GA55 Entry'!#REF!,"AAAAADk9u/c=")</f>
        <v>#REF!</v>
      </c>
      <c r="IO134" t="e">
        <f>AND('GA55 Entry'!#REF!,"AAAAADk9u/g=")</f>
        <v>#REF!</v>
      </c>
      <c r="IP134" t="e">
        <f>AND('GA55 Entry'!#REF!,"AAAAADk9u/k=")</f>
        <v>#REF!</v>
      </c>
      <c r="IQ134" t="e">
        <f>AND('GA55 Entry'!#REF!,"AAAAADk9u/o=")</f>
        <v>#REF!</v>
      </c>
      <c r="IR134" t="e">
        <f>AND('GA55 Entry'!#REF!,"AAAAADk9u/s=")</f>
        <v>#REF!</v>
      </c>
      <c r="IS134" t="e">
        <f>AND('GA55 Entry'!#REF!,"AAAAADk9u/w=")</f>
        <v>#REF!</v>
      </c>
      <c r="IT134" t="e">
        <f>AND('GA55 Entry'!#REF!,"AAAAADk9u/0=")</f>
        <v>#REF!</v>
      </c>
      <c r="IU134" t="e">
        <f>AND('GA55 Entry'!#REF!,"AAAAADk9u/4=")</f>
        <v>#REF!</v>
      </c>
      <c r="IV134" t="e">
        <f>AND('GA55 Entry'!Z443,"AAAAADk9u/8=")</f>
        <v>#VALUE!</v>
      </c>
    </row>
    <row r="135" spans="1:256">
      <c r="A135" t="e">
        <f>AND('GA55 Entry'!AA443,"AAAAAH/c9wA=")</f>
        <v>#VALUE!</v>
      </c>
      <c r="B135" t="e">
        <f>AND('GA55 Entry'!#REF!,"AAAAAH/c9wE=")</f>
        <v>#REF!</v>
      </c>
      <c r="C135" t="e">
        <f>AND('GA55 Entry'!#REF!,"AAAAAH/c9wI=")</f>
        <v>#REF!</v>
      </c>
      <c r="D135" t="e">
        <f>AND('GA55 Entry'!#REF!,"AAAAAH/c9wM=")</f>
        <v>#REF!</v>
      </c>
      <c r="E135" t="e">
        <f>AND('GA55 Entry'!AB443,"AAAAAH/c9wQ=")</f>
        <v>#VALUE!</v>
      </c>
      <c r="F135" t="e">
        <f>AND('GA55 Entry'!AC443,"AAAAAH/c9wU=")</f>
        <v>#VALUE!</v>
      </c>
      <c r="G135" t="e">
        <f>AND('GA55 Entry'!#REF!,"AAAAAH/c9wY=")</f>
        <v>#REF!</v>
      </c>
      <c r="H135">
        <f>IF('GA55 Entry'!444:444,"AAAAAH/c9wc=",0)</f>
        <v>0</v>
      </c>
      <c r="I135" t="e">
        <f>AND('GA55 Entry'!B444,"AAAAAH/c9wg=")</f>
        <v>#VALUE!</v>
      </c>
      <c r="J135" t="e">
        <f>AND('GA55 Entry'!#REF!,"AAAAAH/c9wk=")</f>
        <v>#REF!</v>
      </c>
      <c r="K135" t="e">
        <f>AND('GA55 Entry'!C444,"AAAAAH/c9wo=")</f>
        <v>#VALUE!</v>
      </c>
      <c r="L135" t="e">
        <f>AND('GA55 Entry'!#REF!,"AAAAAH/c9ws=")</f>
        <v>#REF!</v>
      </c>
      <c r="M135" t="e">
        <f>AND('GA55 Entry'!#REF!,"AAAAAH/c9ww=")</f>
        <v>#REF!</v>
      </c>
      <c r="N135" t="e">
        <f>AND('GA55 Entry'!#REF!,"AAAAAH/c9w0=")</f>
        <v>#REF!</v>
      </c>
      <c r="O135" t="e">
        <f>AND('GA55 Entry'!#REF!,"AAAAAH/c9w4=")</f>
        <v>#REF!</v>
      </c>
      <c r="P135" t="e">
        <f>AND('GA55 Entry'!#REF!,"AAAAAH/c9w8=")</f>
        <v>#REF!</v>
      </c>
      <c r="Q135" t="e">
        <f>AND('GA55 Entry'!D444,"AAAAAH/c9xA=")</f>
        <v>#VALUE!</v>
      </c>
      <c r="R135" t="e">
        <f>AND('GA55 Entry'!#REF!,"AAAAAH/c9xE=")</f>
        <v>#REF!</v>
      </c>
      <c r="S135" t="e">
        <f>AND('GA55 Entry'!E444,"AAAAAH/c9xI=")</f>
        <v>#VALUE!</v>
      </c>
      <c r="T135" t="e">
        <f>AND('GA55 Entry'!F444,"AAAAAH/c9xM=")</f>
        <v>#VALUE!</v>
      </c>
      <c r="U135" t="e">
        <f>AND('GA55 Entry'!G444,"AAAAAH/c9xQ=")</f>
        <v>#VALUE!</v>
      </c>
      <c r="V135" t="e">
        <f>AND('GA55 Entry'!H444,"AAAAAH/c9xU=")</f>
        <v>#VALUE!</v>
      </c>
      <c r="W135" t="e">
        <f>AND('GA55 Entry'!I444,"AAAAAH/c9xY=")</f>
        <v>#VALUE!</v>
      </c>
      <c r="X135" t="e">
        <f>AND('GA55 Entry'!J444,"AAAAAH/c9xc=")</f>
        <v>#VALUE!</v>
      </c>
      <c r="Y135" t="e">
        <f>AND('GA55 Entry'!#REF!,"AAAAAH/c9xg=")</f>
        <v>#REF!</v>
      </c>
      <c r="Z135" t="e">
        <f>AND('GA55 Entry'!K444,"AAAAAH/c9xk=")</f>
        <v>#VALUE!</v>
      </c>
      <c r="AA135" t="e">
        <f>AND('GA55 Entry'!L444,"AAAAAH/c9xo=")</f>
        <v>#VALUE!</v>
      </c>
      <c r="AB135" t="e">
        <f>AND('GA55 Entry'!M444,"AAAAAH/c9xs=")</f>
        <v>#VALUE!</v>
      </c>
      <c r="AC135" t="e">
        <f>AND('GA55 Entry'!N444,"AAAAAH/c9xw=")</f>
        <v>#VALUE!</v>
      </c>
      <c r="AD135" t="e">
        <f>AND('GA55 Entry'!O444,"AAAAAH/c9x0=")</f>
        <v>#VALUE!</v>
      </c>
      <c r="AE135" t="e">
        <f>AND('GA55 Entry'!P444,"AAAAAH/c9x4=")</f>
        <v>#VALUE!</v>
      </c>
      <c r="AF135" t="e">
        <f>AND('GA55 Entry'!Q444,"AAAAAH/c9x8=")</f>
        <v>#VALUE!</v>
      </c>
      <c r="AG135" t="e">
        <f>AND('GA55 Entry'!S444,"AAAAAH/c9yA=")</f>
        <v>#VALUE!</v>
      </c>
      <c r="AH135" t="e">
        <f>AND('GA55 Entry'!#REF!,"AAAAAH/c9yE=")</f>
        <v>#REF!</v>
      </c>
      <c r="AI135" t="e">
        <f>AND('GA55 Entry'!T444,"AAAAAH/c9yI=")</f>
        <v>#VALUE!</v>
      </c>
      <c r="AJ135" t="e">
        <f>AND('GA55 Entry'!U444,"AAAAAH/c9yM=")</f>
        <v>#VALUE!</v>
      </c>
      <c r="AK135" t="e">
        <f>AND('GA55 Entry'!V444,"AAAAAH/c9yQ=")</f>
        <v>#VALUE!</v>
      </c>
      <c r="AL135" t="e">
        <f>AND('GA55 Entry'!#REF!,"AAAAAH/c9yU=")</f>
        <v>#REF!</v>
      </c>
      <c r="AM135" t="e">
        <f>AND('GA55 Entry'!#REF!,"AAAAAH/c9yY=")</f>
        <v>#REF!</v>
      </c>
      <c r="AN135" t="e">
        <f>AND('GA55 Entry'!X444,"AAAAAH/c9yc=")</f>
        <v>#VALUE!</v>
      </c>
      <c r="AO135" t="e">
        <f>AND('GA55 Entry'!Y444,"AAAAAH/c9yg=")</f>
        <v>#VALUE!</v>
      </c>
      <c r="AP135" t="e">
        <f>AND('GA55 Entry'!#REF!,"AAAAAH/c9yk=")</f>
        <v>#REF!</v>
      </c>
      <c r="AQ135" t="e">
        <f>AND('GA55 Entry'!#REF!,"AAAAAH/c9yo=")</f>
        <v>#REF!</v>
      </c>
      <c r="AR135" t="e">
        <f>AND('GA55 Entry'!#REF!,"AAAAAH/c9ys=")</f>
        <v>#REF!</v>
      </c>
      <c r="AS135" t="e">
        <f>AND('GA55 Entry'!#REF!,"AAAAAH/c9yw=")</f>
        <v>#REF!</v>
      </c>
      <c r="AT135" t="e">
        <f>AND('GA55 Entry'!#REF!,"AAAAAH/c9y0=")</f>
        <v>#REF!</v>
      </c>
      <c r="AU135" t="e">
        <f>AND('GA55 Entry'!#REF!,"AAAAAH/c9y4=")</f>
        <v>#REF!</v>
      </c>
      <c r="AV135" t="e">
        <f>AND('GA55 Entry'!#REF!,"AAAAAH/c9y8=")</f>
        <v>#REF!</v>
      </c>
      <c r="AW135" t="e">
        <f>AND('GA55 Entry'!#REF!,"AAAAAH/c9zA=")</f>
        <v>#REF!</v>
      </c>
      <c r="AX135" t="e">
        <f>AND('GA55 Entry'!#REF!,"AAAAAH/c9zE=")</f>
        <v>#REF!</v>
      </c>
      <c r="AY135" t="e">
        <f>AND('GA55 Entry'!Z444,"AAAAAH/c9zI=")</f>
        <v>#VALUE!</v>
      </c>
      <c r="AZ135" t="e">
        <f>AND('GA55 Entry'!AA444,"AAAAAH/c9zM=")</f>
        <v>#VALUE!</v>
      </c>
      <c r="BA135" t="e">
        <f>AND('GA55 Entry'!#REF!,"AAAAAH/c9zQ=")</f>
        <v>#REF!</v>
      </c>
      <c r="BB135" t="e">
        <f>AND('GA55 Entry'!#REF!,"AAAAAH/c9zU=")</f>
        <v>#REF!</v>
      </c>
      <c r="BC135" t="e">
        <f>AND('GA55 Entry'!#REF!,"AAAAAH/c9zY=")</f>
        <v>#REF!</v>
      </c>
      <c r="BD135" t="e">
        <f>AND('GA55 Entry'!AB444,"AAAAAH/c9zc=")</f>
        <v>#VALUE!</v>
      </c>
      <c r="BE135" t="e">
        <f>AND('GA55 Entry'!AC444,"AAAAAH/c9zg=")</f>
        <v>#VALUE!</v>
      </c>
      <c r="BF135" t="e">
        <f>AND('GA55 Entry'!#REF!,"AAAAAH/c9zk=")</f>
        <v>#REF!</v>
      </c>
      <c r="BG135">
        <f>IF('GA55 Entry'!445:445,"AAAAAH/c9zo=",0)</f>
        <v>0</v>
      </c>
      <c r="BH135" t="e">
        <f>AND('GA55 Entry'!B445,"AAAAAH/c9zs=")</f>
        <v>#VALUE!</v>
      </c>
      <c r="BI135" t="e">
        <f>AND('GA55 Entry'!#REF!,"AAAAAH/c9zw=")</f>
        <v>#REF!</v>
      </c>
      <c r="BJ135" t="e">
        <f>AND('GA55 Entry'!C445,"AAAAAH/c9z0=")</f>
        <v>#VALUE!</v>
      </c>
      <c r="BK135" t="e">
        <f>AND('GA55 Entry'!#REF!,"AAAAAH/c9z4=")</f>
        <v>#REF!</v>
      </c>
      <c r="BL135" t="e">
        <f>AND('GA55 Entry'!#REF!,"AAAAAH/c9z8=")</f>
        <v>#REF!</v>
      </c>
      <c r="BM135" t="e">
        <f>AND('GA55 Entry'!#REF!,"AAAAAH/c90A=")</f>
        <v>#REF!</v>
      </c>
      <c r="BN135" t="e">
        <f>AND('GA55 Entry'!#REF!,"AAAAAH/c90E=")</f>
        <v>#REF!</v>
      </c>
      <c r="BO135" t="e">
        <f>AND('GA55 Entry'!#REF!,"AAAAAH/c90I=")</f>
        <v>#REF!</v>
      </c>
      <c r="BP135" t="e">
        <f>AND('GA55 Entry'!D445,"AAAAAH/c90M=")</f>
        <v>#VALUE!</v>
      </c>
      <c r="BQ135" t="e">
        <f>AND('GA55 Entry'!#REF!,"AAAAAH/c90Q=")</f>
        <v>#REF!</v>
      </c>
      <c r="BR135" t="e">
        <f>AND('GA55 Entry'!E445,"AAAAAH/c90U=")</f>
        <v>#VALUE!</v>
      </c>
      <c r="BS135" t="e">
        <f>AND('GA55 Entry'!F445,"AAAAAH/c90Y=")</f>
        <v>#VALUE!</v>
      </c>
      <c r="BT135" t="e">
        <f>AND('GA55 Entry'!G445,"AAAAAH/c90c=")</f>
        <v>#VALUE!</v>
      </c>
      <c r="BU135" t="e">
        <f>AND('GA55 Entry'!H445,"AAAAAH/c90g=")</f>
        <v>#VALUE!</v>
      </c>
      <c r="BV135" t="e">
        <f>AND('GA55 Entry'!I445,"AAAAAH/c90k=")</f>
        <v>#VALUE!</v>
      </c>
      <c r="BW135" t="e">
        <f>AND('GA55 Entry'!J445,"AAAAAH/c90o=")</f>
        <v>#VALUE!</v>
      </c>
      <c r="BX135" t="e">
        <f>AND('GA55 Entry'!#REF!,"AAAAAH/c90s=")</f>
        <v>#REF!</v>
      </c>
      <c r="BY135" t="e">
        <f>AND('GA55 Entry'!K445,"AAAAAH/c90w=")</f>
        <v>#VALUE!</v>
      </c>
      <c r="BZ135" t="e">
        <f>AND('GA55 Entry'!L445,"AAAAAH/c900=")</f>
        <v>#VALUE!</v>
      </c>
      <c r="CA135" t="e">
        <f>AND('GA55 Entry'!M445,"AAAAAH/c904=")</f>
        <v>#VALUE!</v>
      </c>
      <c r="CB135" t="e">
        <f>AND('GA55 Entry'!N445,"AAAAAH/c908=")</f>
        <v>#VALUE!</v>
      </c>
      <c r="CC135" t="e">
        <f>AND('GA55 Entry'!O445,"AAAAAH/c91A=")</f>
        <v>#VALUE!</v>
      </c>
      <c r="CD135" t="e">
        <f>AND('GA55 Entry'!P445,"AAAAAH/c91E=")</f>
        <v>#VALUE!</v>
      </c>
      <c r="CE135" t="e">
        <f>AND('GA55 Entry'!Q445,"AAAAAH/c91I=")</f>
        <v>#VALUE!</v>
      </c>
      <c r="CF135" t="e">
        <f>AND('GA55 Entry'!S445,"AAAAAH/c91M=")</f>
        <v>#VALUE!</v>
      </c>
      <c r="CG135" t="e">
        <f>AND('GA55 Entry'!#REF!,"AAAAAH/c91Q=")</f>
        <v>#REF!</v>
      </c>
      <c r="CH135" t="e">
        <f>AND('GA55 Entry'!T445,"AAAAAH/c91U=")</f>
        <v>#VALUE!</v>
      </c>
      <c r="CI135" t="e">
        <f>AND('GA55 Entry'!U445,"AAAAAH/c91Y=")</f>
        <v>#VALUE!</v>
      </c>
      <c r="CJ135" t="e">
        <f>AND('GA55 Entry'!V445,"AAAAAH/c91c=")</f>
        <v>#VALUE!</v>
      </c>
      <c r="CK135" t="e">
        <f>AND('GA55 Entry'!#REF!,"AAAAAH/c91g=")</f>
        <v>#REF!</v>
      </c>
      <c r="CL135" t="e">
        <f>AND('GA55 Entry'!#REF!,"AAAAAH/c91k=")</f>
        <v>#REF!</v>
      </c>
      <c r="CM135" t="e">
        <f>AND('GA55 Entry'!X445,"AAAAAH/c91o=")</f>
        <v>#VALUE!</v>
      </c>
      <c r="CN135" t="e">
        <f>AND('GA55 Entry'!Y445,"AAAAAH/c91s=")</f>
        <v>#VALUE!</v>
      </c>
      <c r="CO135" t="e">
        <f>AND('GA55 Entry'!#REF!,"AAAAAH/c91w=")</f>
        <v>#REF!</v>
      </c>
      <c r="CP135" t="e">
        <f>AND('GA55 Entry'!#REF!,"AAAAAH/c910=")</f>
        <v>#REF!</v>
      </c>
      <c r="CQ135" t="e">
        <f>AND('GA55 Entry'!#REF!,"AAAAAH/c914=")</f>
        <v>#REF!</v>
      </c>
      <c r="CR135" t="e">
        <f>AND('GA55 Entry'!#REF!,"AAAAAH/c918=")</f>
        <v>#REF!</v>
      </c>
      <c r="CS135" t="e">
        <f>AND('GA55 Entry'!#REF!,"AAAAAH/c92A=")</f>
        <v>#REF!</v>
      </c>
      <c r="CT135" t="e">
        <f>AND('GA55 Entry'!#REF!,"AAAAAH/c92E=")</f>
        <v>#REF!</v>
      </c>
      <c r="CU135" t="e">
        <f>AND('GA55 Entry'!#REF!,"AAAAAH/c92I=")</f>
        <v>#REF!</v>
      </c>
      <c r="CV135" t="e">
        <f>AND('GA55 Entry'!#REF!,"AAAAAH/c92M=")</f>
        <v>#REF!</v>
      </c>
      <c r="CW135" t="e">
        <f>AND('GA55 Entry'!#REF!,"AAAAAH/c92Q=")</f>
        <v>#REF!</v>
      </c>
      <c r="CX135" t="e">
        <f>AND('GA55 Entry'!Z445,"AAAAAH/c92U=")</f>
        <v>#VALUE!</v>
      </c>
      <c r="CY135" t="e">
        <f>AND('GA55 Entry'!AA445,"AAAAAH/c92Y=")</f>
        <v>#VALUE!</v>
      </c>
      <c r="CZ135" t="e">
        <f>AND('GA55 Entry'!#REF!,"AAAAAH/c92c=")</f>
        <v>#REF!</v>
      </c>
      <c r="DA135" t="e">
        <f>AND('GA55 Entry'!#REF!,"AAAAAH/c92g=")</f>
        <v>#REF!</v>
      </c>
      <c r="DB135" t="e">
        <f>AND('GA55 Entry'!#REF!,"AAAAAH/c92k=")</f>
        <v>#REF!</v>
      </c>
      <c r="DC135" t="e">
        <f>AND('GA55 Entry'!AB445,"AAAAAH/c92o=")</f>
        <v>#VALUE!</v>
      </c>
      <c r="DD135" t="e">
        <f>AND('GA55 Entry'!AC445,"AAAAAH/c92s=")</f>
        <v>#VALUE!</v>
      </c>
      <c r="DE135" t="e">
        <f>AND('GA55 Entry'!#REF!,"AAAAAH/c92w=")</f>
        <v>#REF!</v>
      </c>
      <c r="DF135">
        <f>IF('GA55 Entry'!446:446,"AAAAAH/c920=",0)</f>
        <v>0</v>
      </c>
      <c r="DG135" t="e">
        <f>AND('GA55 Entry'!B446,"AAAAAH/c924=")</f>
        <v>#VALUE!</v>
      </c>
      <c r="DH135" t="e">
        <f>AND('GA55 Entry'!#REF!,"AAAAAH/c928=")</f>
        <v>#REF!</v>
      </c>
      <c r="DI135" t="e">
        <f>AND('GA55 Entry'!C446,"AAAAAH/c93A=")</f>
        <v>#VALUE!</v>
      </c>
      <c r="DJ135" t="e">
        <f>AND('GA55 Entry'!#REF!,"AAAAAH/c93E=")</f>
        <v>#REF!</v>
      </c>
      <c r="DK135" t="e">
        <f>AND('GA55 Entry'!#REF!,"AAAAAH/c93I=")</f>
        <v>#REF!</v>
      </c>
      <c r="DL135" t="e">
        <f>AND('GA55 Entry'!#REF!,"AAAAAH/c93M=")</f>
        <v>#REF!</v>
      </c>
      <c r="DM135" t="e">
        <f>AND('GA55 Entry'!#REF!,"AAAAAH/c93Q=")</f>
        <v>#REF!</v>
      </c>
      <c r="DN135" t="e">
        <f>AND('GA55 Entry'!#REF!,"AAAAAH/c93U=")</f>
        <v>#REF!</v>
      </c>
      <c r="DO135" t="e">
        <f>AND('GA55 Entry'!D446,"AAAAAH/c93Y=")</f>
        <v>#VALUE!</v>
      </c>
      <c r="DP135" t="e">
        <f>AND('GA55 Entry'!#REF!,"AAAAAH/c93c=")</f>
        <v>#REF!</v>
      </c>
      <c r="DQ135" t="e">
        <f>AND('GA55 Entry'!E446,"AAAAAH/c93g=")</f>
        <v>#VALUE!</v>
      </c>
      <c r="DR135" t="e">
        <f>AND('GA55 Entry'!F446,"AAAAAH/c93k=")</f>
        <v>#VALUE!</v>
      </c>
      <c r="DS135" t="e">
        <f>AND('GA55 Entry'!G446,"AAAAAH/c93o=")</f>
        <v>#VALUE!</v>
      </c>
      <c r="DT135" t="e">
        <f>AND('GA55 Entry'!H446,"AAAAAH/c93s=")</f>
        <v>#VALUE!</v>
      </c>
      <c r="DU135" t="e">
        <f>AND('GA55 Entry'!I446,"AAAAAH/c93w=")</f>
        <v>#VALUE!</v>
      </c>
      <c r="DV135" t="e">
        <f>AND('GA55 Entry'!J446,"AAAAAH/c930=")</f>
        <v>#VALUE!</v>
      </c>
      <c r="DW135" t="e">
        <f>AND('GA55 Entry'!#REF!,"AAAAAH/c934=")</f>
        <v>#REF!</v>
      </c>
      <c r="DX135" t="e">
        <f>AND('GA55 Entry'!K446,"AAAAAH/c938=")</f>
        <v>#VALUE!</v>
      </c>
      <c r="DY135" t="e">
        <f>AND('GA55 Entry'!L446,"AAAAAH/c94A=")</f>
        <v>#VALUE!</v>
      </c>
      <c r="DZ135" t="e">
        <f>AND('GA55 Entry'!M446,"AAAAAH/c94E=")</f>
        <v>#VALUE!</v>
      </c>
      <c r="EA135" t="e">
        <f>AND('GA55 Entry'!N446,"AAAAAH/c94I=")</f>
        <v>#VALUE!</v>
      </c>
      <c r="EB135" t="e">
        <f>AND('GA55 Entry'!O446,"AAAAAH/c94M=")</f>
        <v>#VALUE!</v>
      </c>
      <c r="EC135" t="e">
        <f>AND('GA55 Entry'!P446,"AAAAAH/c94Q=")</f>
        <v>#VALUE!</v>
      </c>
      <c r="ED135" t="e">
        <f>AND('GA55 Entry'!Q446,"AAAAAH/c94U=")</f>
        <v>#VALUE!</v>
      </c>
      <c r="EE135" t="e">
        <f>AND('GA55 Entry'!S446,"AAAAAH/c94Y=")</f>
        <v>#VALUE!</v>
      </c>
      <c r="EF135" t="e">
        <f>AND('GA55 Entry'!#REF!,"AAAAAH/c94c=")</f>
        <v>#REF!</v>
      </c>
      <c r="EG135" t="e">
        <f>AND('GA55 Entry'!T446,"AAAAAH/c94g=")</f>
        <v>#VALUE!</v>
      </c>
      <c r="EH135" t="e">
        <f>AND('GA55 Entry'!U446,"AAAAAH/c94k=")</f>
        <v>#VALUE!</v>
      </c>
      <c r="EI135" t="e">
        <f>AND('GA55 Entry'!V446,"AAAAAH/c94o=")</f>
        <v>#VALUE!</v>
      </c>
      <c r="EJ135" t="e">
        <f>AND('GA55 Entry'!#REF!,"AAAAAH/c94s=")</f>
        <v>#REF!</v>
      </c>
      <c r="EK135" t="e">
        <f>AND('GA55 Entry'!#REF!,"AAAAAH/c94w=")</f>
        <v>#REF!</v>
      </c>
      <c r="EL135" t="e">
        <f>AND('GA55 Entry'!X446,"AAAAAH/c940=")</f>
        <v>#VALUE!</v>
      </c>
      <c r="EM135" t="e">
        <f>AND('GA55 Entry'!Y446,"AAAAAH/c944=")</f>
        <v>#VALUE!</v>
      </c>
      <c r="EN135" t="e">
        <f>AND('GA55 Entry'!#REF!,"AAAAAH/c948=")</f>
        <v>#REF!</v>
      </c>
      <c r="EO135" t="e">
        <f>AND('GA55 Entry'!#REF!,"AAAAAH/c95A=")</f>
        <v>#REF!</v>
      </c>
      <c r="EP135" t="e">
        <f>AND('GA55 Entry'!#REF!,"AAAAAH/c95E=")</f>
        <v>#REF!</v>
      </c>
      <c r="EQ135" t="e">
        <f>AND('GA55 Entry'!#REF!,"AAAAAH/c95I=")</f>
        <v>#REF!</v>
      </c>
      <c r="ER135" t="e">
        <f>AND('GA55 Entry'!#REF!,"AAAAAH/c95M=")</f>
        <v>#REF!</v>
      </c>
      <c r="ES135" t="e">
        <f>AND('GA55 Entry'!#REF!,"AAAAAH/c95Q=")</f>
        <v>#REF!</v>
      </c>
      <c r="ET135" t="e">
        <f>AND('GA55 Entry'!#REF!,"AAAAAH/c95U=")</f>
        <v>#REF!</v>
      </c>
      <c r="EU135" t="e">
        <f>AND('GA55 Entry'!#REF!,"AAAAAH/c95Y=")</f>
        <v>#REF!</v>
      </c>
      <c r="EV135" t="e">
        <f>AND('GA55 Entry'!#REF!,"AAAAAH/c95c=")</f>
        <v>#REF!</v>
      </c>
      <c r="EW135" t="e">
        <f>AND('GA55 Entry'!Z446,"AAAAAH/c95g=")</f>
        <v>#VALUE!</v>
      </c>
      <c r="EX135" t="e">
        <f>AND('GA55 Entry'!AA446,"AAAAAH/c95k=")</f>
        <v>#VALUE!</v>
      </c>
      <c r="EY135" t="e">
        <f>AND('GA55 Entry'!#REF!,"AAAAAH/c95o=")</f>
        <v>#REF!</v>
      </c>
      <c r="EZ135" t="e">
        <f>AND('GA55 Entry'!#REF!,"AAAAAH/c95s=")</f>
        <v>#REF!</v>
      </c>
      <c r="FA135" t="e">
        <f>AND('GA55 Entry'!#REF!,"AAAAAH/c95w=")</f>
        <v>#REF!</v>
      </c>
      <c r="FB135" t="e">
        <f>AND('GA55 Entry'!AB446,"AAAAAH/c950=")</f>
        <v>#VALUE!</v>
      </c>
      <c r="FC135" t="e">
        <f>AND('GA55 Entry'!AC446,"AAAAAH/c954=")</f>
        <v>#VALUE!</v>
      </c>
      <c r="FD135" t="e">
        <f>AND('GA55 Entry'!#REF!,"AAAAAH/c958=")</f>
        <v>#REF!</v>
      </c>
      <c r="FE135">
        <f>IF('GA55 Entry'!447:447,"AAAAAH/c96A=",0)</f>
        <v>0</v>
      </c>
      <c r="FF135" t="e">
        <f>AND('GA55 Entry'!B447,"AAAAAH/c96E=")</f>
        <v>#VALUE!</v>
      </c>
      <c r="FG135" t="e">
        <f>AND('GA55 Entry'!#REF!,"AAAAAH/c96I=")</f>
        <v>#REF!</v>
      </c>
      <c r="FH135" t="e">
        <f>AND('GA55 Entry'!C447,"AAAAAH/c96M=")</f>
        <v>#VALUE!</v>
      </c>
      <c r="FI135" t="e">
        <f>AND('GA55 Entry'!#REF!,"AAAAAH/c96Q=")</f>
        <v>#REF!</v>
      </c>
      <c r="FJ135" t="e">
        <f>AND('GA55 Entry'!#REF!,"AAAAAH/c96U=")</f>
        <v>#REF!</v>
      </c>
      <c r="FK135" t="e">
        <f>AND('GA55 Entry'!#REF!,"AAAAAH/c96Y=")</f>
        <v>#REF!</v>
      </c>
      <c r="FL135" t="e">
        <f>AND('GA55 Entry'!#REF!,"AAAAAH/c96c=")</f>
        <v>#REF!</v>
      </c>
      <c r="FM135" t="e">
        <f>AND('GA55 Entry'!#REF!,"AAAAAH/c96g=")</f>
        <v>#REF!</v>
      </c>
      <c r="FN135" t="e">
        <f>AND('GA55 Entry'!D447,"AAAAAH/c96k=")</f>
        <v>#VALUE!</v>
      </c>
      <c r="FO135" t="e">
        <f>AND('GA55 Entry'!#REF!,"AAAAAH/c96o=")</f>
        <v>#REF!</v>
      </c>
      <c r="FP135" t="e">
        <f>AND('GA55 Entry'!E447,"AAAAAH/c96s=")</f>
        <v>#VALUE!</v>
      </c>
      <c r="FQ135" t="e">
        <f>AND('GA55 Entry'!F447,"AAAAAH/c96w=")</f>
        <v>#VALUE!</v>
      </c>
      <c r="FR135" t="e">
        <f>AND('GA55 Entry'!G447,"AAAAAH/c960=")</f>
        <v>#VALUE!</v>
      </c>
      <c r="FS135" t="e">
        <f>AND('GA55 Entry'!H447,"AAAAAH/c964=")</f>
        <v>#VALUE!</v>
      </c>
      <c r="FT135" t="e">
        <f>AND('GA55 Entry'!I447,"AAAAAH/c968=")</f>
        <v>#VALUE!</v>
      </c>
      <c r="FU135" t="e">
        <f>AND('GA55 Entry'!J447,"AAAAAH/c97A=")</f>
        <v>#VALUE!</v>
      </c>
      <c r="FV135" t="e">
        <f>AND('GA55 Entry'!#REF!,"AAAAAH/c97E=")</f>
        <v>#REF!</v>
      </c>
      <c r="FW135" t="e">
        <f>AND('GA55 Entry'!K447,"AAAAAH/c97I=")</f>
        <v>#VALUE!</v>
      </c>
      <c r="FX135" t="e">
        <f>AND('GA55 Entry'!L447,"AAAAAH/c97M=")</f>
        <v>#VALUE!</v>
      </c>
      <c r="FY135" t="e">
        <f>AND('GA55 Entry'!M447,"AAAAAH/c97Q=")</f>
        <v>#VALUE!</v>
      </c>
      <c r="FZ135" t="e">
        <f>AND('GA55 Entry'!N447,"AAAAAH/c97U=")</f>
        <v>#VALUE!</v>
      </c>
      <c r="GA135" t="e">
        <f>AND('GA55 Entry'!O447,"AAAAAH/c97Y=")</f>
        <v>#VALUE!</v>
      </c>
      <c r="GB135" t="e">
        <f>AND('GA55 Entry'!P447,"AAAAAH/c97c=")</f>
        <v>#VALUE!</v>
      </c>
      <c r="GC135" t="e">
        <f>AND('GA55 Entry'!Q447,"AAAAAH/c97g=")</f>
        <v>#VALUE!</v>
      </c>
      <c r="GD135" t="e">
        <f>AND('GA55 Entry'!S447,"AAAAAH/c97k=")</f>
        <v>#VALUE!</v>
      </c>
      <c r="GE135" t="e">
        <f>AND('GA55 Entry'!#REF!,"AAAAAH/c97o=")</f>
        <v>#REF!</v>
      </c>
      <c r="GF135" t="e">
        <f>AND('GA55 Entry'!T447,"AAAAAH/c97s=")</f>
        <v>#VALUE!</v>
      </c>
      <c r="GG135" t="e">
        <f>AND('GA55 Entry'!U447,"AAAAAH/c97w=")</f>
        <v>#VALUE!</v>
      </c>
      <c r="GH135" t="e">
        <f>AND('GA55 Entry'!V447,"AAAAAH/c970=")</f>
        <v>#VALUE!</v>
      </c>
      <c r="GI135" t="e">
        <f>AND('GA55 Entry'!#REF!,"AAAAAH/c974=")</f>
        <v>#REF!</v>
      </c>
      <c r="GJ135" t="e">
        <f>AND('GA55 Entry'!#REF!,"AAAAAH/c978=")</f>
        <v>#REF!</v>
      </c>
      <c r="GK135" t="e">
        <f>AND('GA55 Entry'!X447,"AAAAAH/c98A=")</f>
        <v>#VALUE!</v>
      </c>
      <c r="GL135" t="e">
        <f>AND('GA55 Entry'!Y447,"AAAAAH/c98E=")</f>
        <v>#VALUE!</v>
      </c>
      <c r="GM135" t="e">
        <f>AND('GA55 Entry'!#REF!,"AAAAAH/c98I=")</f>
        <v>#REF!</v>
      </c>
      <c r="GN135" t="e">
        <f>AND('GA55 Entry'!#REF!,"AAAAAH/c98M=")</f>
        <v>#REF!</v>
      </c>
      <c r="GO135" t="e">
        <f>AND('GA55 Entry'!#REF!,"AAAAAH/c98Q=")</f>
        <v>#REF!</v>
      </c>
      <c r="GP135" t="e">
        <f>AND('GA55 Entry'!#REF!,"AAAAAH/c98U=")</f>
        <v>#REF!</v>
      </c>
      <c r="GQ135" t="e">
        <f>AND('GA55 Entry'!#REF!,"AAAAAH/c98Y=")</f>
        <v>#REF!</v>
      </c>
      <c r="GR135" t="e">
        <f>AND('GA55 Entry'!#REF!,"AAAAAH/c98c=")</f>
        <v>#REF!</v>
      </c>
      <c r="GS135" t="e">
        <f>AND('GA55 Entry'!#REF!,"AAAAAH/c98g=")</f>
        <v>#REF!</v>
      </c>
      <c r="GT135" t="e">
        <f>AND('GA55 Entry'!#REF!,"AAAAAH/c98k=")</f>
        <v>#REF!</v>
      </c>
      <c r="GU135" t="e">
        <f>AND('GA55 Entry'!#REF!,"AAAAAH/c98o=")</f>
        <v>#REF!</v>
      </c>
      <c r="GV135" t="e">
        <f>AND('GA55 Entry'!Z447,"AAAAAH/c98s=")</f>
        <v>#VALUE!</v>
      </c>
      <c r="GW135" t="e">
        <f>AND('GA55 Entry'!AA447,"AAAAAH/c98w=")</f>
        <v>#VALUE!</v>
      </c>
      <c r="GX135" t="e">
        <f>AND('GA55 Entry'!#REF!,"AAAAAH/c980=")</f>
        <v>#REF!</v>
      </c>
      <c r="GY135" t="e">
        <f>AND('GA55 Entry'!#REF!,"AAAAAH/c984=")</f>
        <v>#REF!</v>
      </c>
      <c r="GZ135" t="e">
        <f>AND('GA55 Entry'!#REF!,"AAAAAH/c988=")</f>
        <v>#REF!</v>
      </c>
      <c r="HA135" t="e">
        <f>AND('GA55 Entry'!AB447,"AAAAAH/c99A=")</f>
        <v>#VALUE!</v>
      </c>
      <c r="HB135" t="e">
        <f>AND('GA55 Entry'!AC447,"AAAAAH/c99E=")</f>
        <v>#VALUE!</v>
      </c>
      <c r="HC135" t="e">
        <f>AND('GA55 Entry'!#REF!,"AAAAAH/c99I=")</f>
        <v>#REF!</v>
      </c>
      <c r="HD135">
        <f>IF('GA55 Entry'!448:448,"AAAAAH/c99M=",0)</f>
        <v>0</v>
      </c>
      <c r="HE135" t="e">
        <f>AND('GA55 Entry'!B448,"AAAAAH/c99Q=")</f>
        <v>#VALUE!</v>
      </c>
      <c r="HF135" t="e">
        <f>AND('GA55 Entry'!#REF!,"AAAAAH/c99U=")</f>
        <v>#REF!</v>
      </c>
      <c r="HG135" t="e">
        <f>AND('GA55 Entry'!C448,"AAAAAH/c99Y=")</f>
        <v>#VALUE!</v>
      </c>
      <c r="HH135" t="e">
        <f>AND('GA55 Entry'!#REF!,"AAAAAH/c99c=")</f>
        <v>#REF!</v>
      </c>
      <c r="HI135" t="e">
        <f>AND('GA55 Entry'!#REF!,"AAAAAH/c99g=")</f>
        <v>#REF!</v>
      </c>
      <c r="HJ135" t="e">
        <f>AND('GA55 Entry'!#REF!,"AAAAAH/c99k=")</f>
        <v>#REF!</v>
      </c>
      <c r="HK135" t="e">
        <f>AND('GA55 Entry'!#REF!,"AAAAAH/c99o=")</f>
        <v>#REF!</v>
      </c>
      <c r="HL135" t="e">
        <f>AND('GA55 Entry'!#REF!,"AAAAAH/c99s=")</f>
        <v>#REF!</v>
      </c>
      <c r="HM135" t="e">
        <f>AND('GA55 Entry'!D448,"AAAAAH/c99w=")</f>
        <v>#VALUE!</v>
      </c>
      <c r="HN135" t="e">
        <f>AND('GA55 Entry'!#REF!,"AAAAAH/c990=")</f>
        <v>#REF!</v>
      </c>
      <c r="HO135" t="e">
        <f>AND('GA55 Entry'!E448,"AAAAAH/c994=")</f>
        <v>#VALUE!</v>
      </c>
      <c r="HP135" t="e">
        <f>AND('GA55 Entry'!F448,"AAAAAH/c998=")</f>
        <v>#VALUE!</v>
      </c>
      <c r="HQ135" t="e">
        <f>AND('GA55 Entry'!G448,"AAAAAH/c9+A=")</f>
        <v>#VALUE!</v>
      </c>
      <c r="HR135" t="e">
        <f>AND('GA55 Entry'!H448,"AAAAAH/c9+E=")</f>
        <v>#VALUE!</v>
      </c>
      <c r="HS135" t="e">
        <f>AND('GA55 Entry'!I448,"AAAAAH/c9+I=")</f>
        <v>#VALUE!</v>
      </c>
      <c r="HT135" t="e">
        <f>AND('GA55 Entry'!J448,"AAAAAH/c9+M=")</f>
        <v>#VALUE!</v>
      </c>
      <c r="HU135" t="e">
        <f>AND('GA55 Entry'!#REF!,"AAAAAH/c9+Q=")</f>
        <v>#REF!</v>
      </c>
      <c r="HV135" t="e">
        <f>AND('GA55 Entry'!K448,"AAAAAH/c9+U=")</f>
        <v>#VALUE!</v>
      </c>
      <c r="HW135" t="e">
        <f>AND('GA55 Entry'!L448,"AAAAAH/c9+Y=")</f>
        <v>#VALUE!</v>
      </c>
      <c r="HX135" t="e">
        <f>AND('GA55 Entry'!M448,"AAAAAH/c9+c=")</f>
        <v>#VALUE!</v>
      </c>
      <c r="HY135" t="e">
        <f>AND('GA55 Entry'!N448,"AAAAAH/c9+g=")</f>
        <v>#VALUE!</v>
      </c>
      <c r="HZ135" t="e">
        <f>AND('GA55 Entry'!O448,"AAAAAH/c9+k=")</f>
        <v>#VALUE!</v>
      </c>
      <c r="IA135" t="e">
        <f>AND('GA55 Entry'!P448,"AAAAAH/c9+o=")</f>
        <v>#VALUE!</v>
      </c>
      <c r="IB135" t="e">
        <f>AND('GA55 Entry'!Q448,"AAAAAH/c9+s=")</f>
        <v>#VALUE!</v>
      </c>
      <c r="IC135" t="e">
        <f>AND('GA55 Entry'!S448,"AAAAAH/c9+w=")</f>
        <v>#VALUE!</v>
      </c>
      <c r="ID135" t="e">
        <f>AND('GA55 Entry'!#REF!,"AAAAAH/c9+0=")</f>
        <v>#REF!</v>
      </c>
      <c r="IE135" t="e">
        <f>AND('GA55 Entry'!T448,"AAAAAH/c9+4=")</f>
        <v>#VALUE!</v>
      </c>
      <c r="IF135" t="e">
        <f>AND('GA55 Entry'!U448,"AAAAAH/c9+8=")</f>
        <v>#VALUE!</v>
      </c>
      <c r="IG135" t="e">
        <f>AND('GA55 Entry'!V448,"AAAAAH/c9/A=")</f>
        <v>#VALUE!</v>
      </c>
      <c r="IH135" t="e">
        <f>AND('GA55 Entry'!#REF!,"AAAAAH/c9/E=")</f>
        <v>#REF!</v>
      </c>
      <c r="II135" t="e">
        <f>AND('GA55 Entry'!#REF!,"AAAAAH/c9/I=")</f>
        <v>#REF!</v>
      </c>
      <c r="IJ135" t="e">
        <f>AND('GA55 Entry'!X448,"AAAAAH/c9/M=")</f>
        <v>#VALUE!</v>
      </c>
      <c r="IK135" t="e">
        <f>AND('GA55 Entry'!Y448,"AAAAAH/c9/Q=")</f>
        <v>#VALUE!</v>
      </c>
      <c r="IL135" t="e">
        <f>AND('GA55 Entry'!#REF!,"AAAAAH/c9/U=")</f>
        <v>#REF!</v>
      </c>
      <c r="IM135" t="e">
        <f>AND('GA55 Entry'!#REF!,"AAAAAH/c9/Y=")</f>
        <v>#REF!</v>
      </c>
      <c r="IN135" t="e">
        <f>AND('GA55 Entry'!#REF!,"AAAAAH/c9/c=")</f>
        <v>#REF!</v>
      </c>
      <c r="IO135" t="e">
        <f>AND('GA55 Entry'!#REF!,"AAAAAH/c9/g=")</f>
        <v>#REF!</v>
      </c>
      <c r="IP135" t="e">
        <f>AND('GA55 Entry'!#REF!,"AAAAAH/c9/k=")</f>
        <v>#REF!</v>
      </c>
      <c r="IQ135" t="e">
        <f>AND('GA55 Entry'!#REF!,"AAAAAH/c9/o=")</f>
        <v>#REF!</v>
      </c>
      <c r="IR135" t="e">
        <f>AND('GA55 Entry'!#REF!,"AAAAAH/c9/s=")</f>
        <v>#REF!</v>
      </c>
      <c r="IS135" t="e">
        <f>AND('GA55 Entry'!#REF!,"AAAAAH/c9/w=")</f>
        <v>#REF!</v>
      </c>
      <c r="IT135" t="e">
        <f>AND('GA55 Entry'!#REF!,"AAAAAH/c9/0=")</f>
        <v>#REF!</v>
      </c>
      <c r="IU135" t="e">
        <f>AND('GA55 Entry'!Z448,"AAAAAH/c9/4=")</f>
        <v>#VALUE!</v>
      </c>
      <c r="IV135" t="e">
        <f>AND('GA55 Entry'!AA448,"AAAAAH/c9/8=")</f>
        <v>#VALUE!</v>
      </c>
    </row>
    <row r="136" spans="1:256">
      <c r="A136" t="e">
        <f>AND('GA55 Entry'!#REF!,"AAAAAHaF/AA=")</f>
        <v>#REF!</v>
      </c>
      <c r="B136" t="e">
        <f>AND('GA55 Entry'!#REF!,"AAAAAHaF/AE=")</f>
        <v>#REF!</v>
      </c>
      <c r="C136" t="e">
        <f>AND('GA55 Entry'!#REF!,"AAAAAHaF/AI=")</f>
        <v>#REF!</v>
      </c>
      <c r="D136" t="e">
        <f>AND('GA55 Entry'!AB448,"AAAAAHaF/AM=")</f>
        <v>#VALUE!</v>
      </c>
      <c r="E136" t="e">
        <f>AND('GA55 Entry'!AC448,"AAAAAHaF/AQ=")</f>
        <v>#VALUE!</v>
      </c>
      <c r="F136" t="e">
        <f>AND('GA55 Entry'!#REF!,"AAAAAHaF/AU=")</f>
        <v>#REF!</v>
      </c>
      <c r="G136">
        <f>IF('GA55 Entry'!449:449,"AAAAAHaF/AY=",0)</f>
        <v>0</v>
      </c>
      <c r="H136" t="e">
        <f>AND('GA55 Entry'!B449,"AAAAAHaF/Ac=")</f>
        <v>#VALUE!</v>
      </c>
      <c r="I136" t="e">
        <f>AND('GA55 Entry'!#REF!,"AAAAAHaF/Ag=")</f>
        <v>#REF!</v>
      </c>
      <c r="J136" t="e">
        <f>AND('GA55 Entry'!C449,"AAAAAHaF/Ak=")</f>
        <v>#VALUE!</v>
      </c>
      <c r="K136" t="e">
        <f>AND('GA55 Entry'!#REF!,"AAAAAHaF/Ao=")</f>
        <v>#REF!</v>
      </c>
      <c r="L136" t="e">
        <f>AND('GA55 Entry'!#REF!,"AAAAAHaF/As=")</f>
        <v>#REF!</v>
      </c>
      <c r="M136" t="e">
        <f>AND('GA55 Entry'!#REF!,"AAAAAHaF/Aw=")</f>
        <v>#REF!</v>
      </c>
      <c r="N136" t="e">
        <f>AND('GA55 Entry'!#REF!,"AAAAAHaF/A0=")</f>
        <v>#REF!</v>
      </c>
      <c r="O136" t="e">
        <f>AND('GA55 Entry'!#REF!,"AAAAAHaF/A4=")</f>
        <v>#REF!</v>
      </c>
      <c r="P136" t="e">
        <f>AND('GA55 Entry'!D449,"AAAAAHaF/A8=")</f>
        <v>#VALUE!</v>
      </c>
      <c r="Q136" t="e">
        <f>AND('GA55 Entry'!#REF!,"AAAAAHaF/BA=")</f>
        <v>#REF!</v>
      </c>
      <c r="R136" t="e">
        <f>AND('GA55 Entry'!E449,"AAAAAHaF/BE=")</f>
        <v>#VALUE!</v>
      </c>
      <c r="S136" t="e">
        <f>AND('GA55 Entry'!F449,"AAAAAHaF/BI=")</f>
        <v>#VALUE!</v>
      </c>
      <c r="T136" t="e">
        <f>AND('GA55 Entry'!G449,"AAAAAHaF/BM=")</f>
        <v>#VALUE!</v>
      </c>
      <c r="U136" t="e">
        <f>AND('GA55 Entry'!H449,"AAAAAHaF/BQ=")</f>
        <v>#VALUE!</v>
      </c>
      <c r="V136" t="e">
        <f>AND('GA55 Entry'!I449,"AAAAAHaF/BU=")</f>
        <v>#VALUE!</v>
      </c>
      <c r="W136" t="e">
        <f>AND('GA55 Entry'!J449,"AAAAAHaF/BY=")</f>
        <v>#VALUE!</v>
      </c>
      <c r="X136" t="e">
        <f>AND('GA55 Entry'!#REF!,"AAAAAHaF/Bc=")</f>
        <v>#REF!</v>
      </c>
      <c r="Y136" t="e">
        <f>AND('GA55 Entry'!K449,"AAAAAHaF/Bg=")</f>
        <v>#VALUE!</v>
      </c>
      <c r="Z136" t="e">
        <f>AND('GA55 Entry'!L449,"AAAAAHaF/Bk=")</f>
        <v>#VALUE!</v>
      </c>
      <c r="AA136" t="e">
        <f>AND('GA55 Entry'!M449,"AAAAAHaF/Bo=")</f>
        <v>#VALUE!</v>
      </c>
      <c r="AB136" t="e">
        <f>AND('GA55 Entry'!N449,"AAAAAHaF/Bs=")</f>
        <v>#VALUE!</v>
      </c>
      <c r="AC136" t="e">
        <f>AND('GA55 Entry'!O449,"AAAAAHaF/Bw=")</f>
        <v>#VALUE!</v>
      </c>
      <c r="AD136" t="e">
        <f>AND('GA55 Entry'!P449,"AAAAAHaF/B0=")</f>
        <v>#VALUE!</v>
      </c>
      <c r="AE136" t="e">
        <f>AND('GA55 Entry'!Q449,"AAAAAHaF/B4=")</f>
        <v>#VALUE!</v>
      </c>
      <c r="AF136" t="e">
        <f>AND('GA55 Entry'!S449,"AAAAAHaF/B8=")</f>
        <v>#VALUE!</v>
      </c>
      <c r="AG136" t="e">
        <f>AND('GA55 Entry'!#REF!,"AAAAAHaF/CA=")</f>
        <v>#REF!</v>
      </c>
      <c r="AH136" t="e">
        <f>AND('GA55 Entry'!T449,"AAAAAHaF/CE=")</f>
        <v>#VALUE!</v>
      </c>
      <c r="AI136" t="e">
        <f>AND('GA55 Entry'!U449,"AAAAAHaF/CI=")</f>
        <v>#VALUE!</v>
      </c>
      <c r="AJ136" t="e">
        <f>AND('GA55 Entry'!V449,"AAAAAHaF/CM=")</f>
        <v>#VALUE!</v>
      </c>
      <c r="AK136" t="e">
        <f>AND('GA55 Entry'!#REF!,"AAAAAHaF/CQ=")</f>
        <v>#REF!</v>
      </c>
      <c r="AL136" t="e">
        <f>AND('GA55 Entry'!#REF!,"AAAAAHaF/CU=")</f>
        <v>#REF!</v>
      </c>
      <c r="AM136" t="e">
        <f>AND('GA55 Entry'!X449,"AAAAAHaF/CY=")</f>
        <v>#VALUE!</v>
      </c>
      <c r="AN136" t="e">
        <f>AND('GA55 Entry'!Y449,"AAAAAHaF/Cc=")</f>
        <v>#VALUE!</v>
      </c>
      <c r="AO136" t="e">
        <f>AND('GA55 Entry'!#REF!,"AAAAAHaF/Cg=")</f>
        <v>#REF!</v>
      </c>
      <c r="AP136" t="e">
        <f>AND('GA55 Entry'!#REF!,"AAAAAHaF/Ck=")</f>
        <v>#REF!</v>
      </c>
      <c r="AQ136" t="e">
        <f>AND('GA55 Entry'!#REF!,"AAAAAHaF/Co=")</f>
        <v>#REF!</v>
      </c>
      <c r="AR136" t="e">
        <f>AND('GA55 Entry'!#REF!,"AAAAAHaF/Cs=")</f>
        <v>#REF!</v>
      </c>
      <c r="AS136" t="e">
        <f>AND('GA55 Entry'!#REF!,"AAAAAHaF/Cw=")</f>
        <v>#REF!</v>
      </c>
      <c r="AT136" t="e">
        <f>AND('GA55 Entry'!#REF!,"AAAAAHaF/C0=")</f>
        <v>#REF!</v>
      </c>
      <c r="AU136" t="e">
        <f>AND('GA55 Entry'!#REF!,"AAAAAHaF/C4=")</f>
        <v>#REF!</v>
      </c>
      <c r="AV136" t="e">
        <f>AND('GA55 Entry'!#REF!,"AAAAAHaF/C8=")</f>
        <v>#REF!</v>
      </c>
      <c r="AW136" t="e">
        <f>AND('GA55 Entry'!#REF!,"AAAAAHaF/DA=")</f>
        <v>#REF!</v>
      </c>
      <c r="AX136" t="e">
        <f>AND('GA55 Entry'!Z449,"AAAAAHaF/DE=")</f>
        <v>#VALUE!</v>
      </c>
      <c r="AY136" t="e">
        <f>AND('GA55 Entry'!AA449,"AAAAAHaF/DI=")</f>
        <v>#VALUE!</v>
      </c>
      <c r="AZ136" t="e">
        <f>AND('GA55 Entry'!#REF!,"AAAAAHaF/DM=")</f>
        <v>#REF!</v>
      </c>
      <c r="BA136" t="e">
        <f>AND('GA55 Entry'!#REF!,"AAAAAHaF/DQ=")</f>
        <v>#REF!</v>
      </c>
      <c r="BB136" t="e">
        <f>AND('GA55 Entry'!#REF!,"AAAAAHaF/DU=")</f>
        <v>#REF!</v>
      </c>
      <c r="BC136" t="e">
        <f>AND('GA55 Entry'!AB449,"AAAAAHaF/DY=")</f>
        <v>#VALUE!</v>
      </c>
      <c r="BD136" t="e">
        <f>AND('GA55 Entry'!AC449,"AAAAAHaF/Dc=")</f>
        <v>#VALUE!</v>
      </c>
      <c r="BE136" t="e">
        <f>AND('GA55 Entry'!#REF!,"AAAAAHaF/Dg=")</f>
        <v>#REF!</v>
      </c>
      <c r="BF136">
        <f>IF('GA55 Entry'!450:450,"AAAAAHaF/Dk=",0)</f>
        <v>0</v>
      </c>
      <c r="BG136" t="e">
        <f>AND('GA55 Entry'!B450,"AAAAAHaF/Do=")</f>
        <v>#VALUE!</v>
      </c>
      <c r="BH136" t="e">
        <f>AND('GA55 Entry'!#REF!,"AAAAAHaF/Ds=")</f>
        <v>#REF!</v>
      </c>
      <c r="BI136" t="e">
        <f>AND('GA55 Entry'!C450,"AAAAAHaF/Dw=")</f>
        <v>#VALUE!</v>
      </c>
      <c r="BJ136" t="e">
        <f>AND('GA55 Entry'!#REF!,"AAAAAHaF/D0=")</f>
        <v>#REF!</v>
      </c>
      <c r="BK136" t="e">
        <f>AND('GA55 Entry'!#REF!,"AAAAAHaF/D4=")</f>
        <v>#REF!</v>
      </c>
      <c r="BL136" t="e">
        <f>AND('GA55 Entry'!#REF!,"AAAAAHaF/D8=")</f>
        <v>#REF!</v>
      </c>
      <c r="BM136" t="e">
        <f>AND('GA55 Entry'!#REF!,"AAAAAHaF/EA=")</f>
        <v>#REF!</v>
      </c>
      <c r="BN136" t="e">
        <f>AND('GA55 Entry'!#REF!,"AAAAAHaF/EE=")</f>
        <v>#REF!</v>
      </c>
      <c r="BO136" t="e">
        <f>AND('GA55 Entry'!D450,"AAAAAHaF/EI=")</f>
        <v>#VALUE!</v>
      </c>
      <c r="BP136" t="e">
        <f>AND('GA55 Entry'!#REF!,"AAAAAHaF/EM=")</f>
        <v>#REF!</v>
      </c>
      <c r="BQ136" t="e">
        <f>AND('GA55 Entry'!E450,"AAAAAHaF/EQ=")</f>
        <v>#VALUE!</v>
      </c>
      <c r="BR136" t="e">
        <f>AND('GA55 Entry'!F450,"AAAAAHaF/EU=")</f>
        <v>#VALUE!</v>
      </c>
      <c r="BS136" t="e">
        <f>AND('GA55 Entry'!G450,"AAAAAHaF/EY=")</f>
        <v>#VALUE!</v>
      </c>
      <c r="BT136" t="e">
        <f>AND('GA55 Entry'!H450,"AAAAAHaF/Ec=")</f>
        <v>#VALUE!</v>
      </c>
      <c r="BU136" t="e">
        <f>AND('GA55 Entry'!I450,"AAAAAHaF/Eg=")</f>
        <v>#VALUE!</v>
      </c>
      <c r="BV136" t="e">
        <f>AND('GA55 Entry'!J450,"AAAAAHaF/Ek=")</f>
        <v>#VALUE!</v>
      </c>
      <c r="BW136" t="e">
        <f>AND('GA55 Entry'!#REF!,"AAAAAHaF/Eo=")</f>
        <v>#REF!</v>
      </c>
      <c r="BX136" t="e">
        <f>AND('GA55 Entry'!K450,"AAAAAHaF/Es=")</f>
        <v>#VALUE!</v>
      </c>
      <c r="BY136" t="e">
        <f>AND('GA55 Entry'!L450,"AAAAAHaF/Ew=")</f>
        <v>#VALUE!</v>
      </c>
      <c r="BZ136" t="e">
        <f>AND('GA55 Entry'!M450,"AAAAAHaF/E0=")</f>
        <v>#VALUE!</v>
      </c>
      <c r="CA136" t="e">
        <f>AND('GA55 Entry'!N450,"AAAAAHaF/E4=")</f>
        <v>#VALUE!</v>
      </c>
      <c r="CB136" t="e">
        <f>AND('GA55 Entry'!O450,"AAAAAHaF/E8=")</f>
        <v>#VALUE!</v>
      </c>
      <c r="CC136" t="e">
        <f>AND('GA55 Entry'!P450,"AAAAAHaF/FA=")</f>
        <v>#VALUE!</v>
      </c>
      <c r="CD136" t="e">
        <f>AND('GA55 Entry'!Q450,"AAAAAHaF/FE=")</f>
        <v>#VALUE!</v>
      </c>
      <c r="CE136" t="e">
        <f>AND('GA55 Entry'!S450,"AAAAAHaF/FI=")</f>
        <v>#VALUE!</v>
      </c>
      <c r="CF136" t="e">
        <f>AND('GA55 Entry'!#REF!,"AAAAAHaF/FM=")</f>
        <v>#REF!</v>
      </c>
      <c r="CG136" t="e">
        <f>AND('GA55 Entry'!T450,"AAAAAHaF/FQ=")</f>
        <v>#VALUE!</v>
      </c>
      <c r="CH136" t="e">
        <f>AND('GA55 Entry'!U450,"AAAAAHaF/FU=")</f>
        <v>#VALUE!</v>
      </c>
      <c r="CI136" t="e">
        <f>AND('GA55 Entry'!V450,"AAAAAHaF/FY=")</f>
        <v>#VALUE!</v>
      </c>
      <c r="CJ136" t="e">
        <f>AND('GA55 Entry'!#REF!,"AAAAAHaF/Fc=")</f>
        <v>#REF!</v>
      </c>
      <c r="CK136" t="e">
        <f>AND('GA55 Entry'!#REF!,"AAAAAHaF/Fg=")</f>
        <v>#REF!</v>
      </c>
      <c r="CL136" t="e">
        <f>AND('GA55 Entry'!X450,"AAAAAHaF/Fk=")</f>
        <v>#VALUE!</v>
      </c>
      <c r="CM136" t="e">
        <f>AND('GA55 Entry'!Y450,"AAAAAHaF/Fo=")</f>
        <v>#VALUE!</v>
      </c>
      <c r="CN136" t="e">
        <f>AND('GA55 Entry'!#REF!,"AAAAAHaF/Fs=")</f>
        <v>#REF!</v>
      </c>
      <c r="CO136" t="e">
        <f>AND('GA55 Entry'!#REF!,"AAAAAHaF/Fw=")</f>
        <v>#REF!</v>
      </c>
      <c r="CP136" t="e">
        <f>AND('GA55 Entry'!#REF!,"AAAAAHaF/F0=")</f>
        <v>#REF!</v>
      </c>
      <c r="CQ136" t="e">
        <f>AND('GA55 Entry'!#REF!,"AAAAAHaF/F4=")</f>
        <v>#REF!</v>
      </c>
      <c r="CR136" t="e">
        <f>AND('GA55 Entry'!#REF!,"AAAAAHaF/F8=")</f>
        <v>#REF!</v>
      </c>
      <c r="CS136" t="e">
        <f>AND('GA55 Entry'!#REF!,"AAAAAHaF/GA=")</f>
        <v>#REF!</v>
      </c>
      <c r="CT136" t="e">
        <f>AND('GA55 Entry'!#REF!,"AAAAAHaF/GE=")</f>
        <v>#REF!</v>
      </c>
      <c r="CU136" t="e">
        <f>AND('GA55 Entry'!#REF!,"AAAAAHaF/GI=")</f>
        <v>#REF!</v>
      </c>
      <c r="CV136" t="e">
        <f>AND('GA55 Entry'!#REF!,"AAAAAHaF/GM=")</f>
        <v>#REF!</v>
      </c>
      <c r="CW136" t="e">
        <f>AND('GA55 Entry'!Z450,"AAAAAHaF/GQ=")</f>
        <v>#VALUE!</v>
      </c>
      <c r="CX136" t="e">
        <f>AND('GA55 Entry'!AA450,"AAAAAHaF/GU=")</f>
        <v>#VALUE!</v>
      </c>
      <c r="CY136" t="e">
        <f>AND('GA55 Entry'!#REF!,"AAAAAHaF/GY=")</f>
        <v>#REF!</v>
      </c>
      <c r="CZ136" t="e">
        <f>AND('GA55 Entry'!#REF!,"AAAAAHaF/Gc=")</f>
        <v>#REF!</v>
      </c>
      <c r="DA136" t="e">
        <f>AND('GA55 Entry'!#REF!,"AAAAAHaF/Gg=")</f>
        <v>#REF!</v>
      </c>
      <c r="DB136" t="e">
        <f>AND('GA55 Entry'!AB450,"AAAAAHaF/Gk=")</f>
        <v>#VALUE!</v>
      </c>
      <c r="DC136" t="e">
        <f>AND('GA55 Entry'!AC450,"AAAAAHaF/Go=")</f>
        <v>#VALUE!</v>
      </c>
      <c r="DD136" t="e">
        <f>AND('GA55 Entry'!#REF!,"AAAAAHaF/Gs=")</f>
        <v>#REF!</v>
      </c>
      <c r="DE136">
        <f>IF('GA55 Entry'!451:451,"AAAAAHaF/Gw=",0)</f>
        <v>0</v>
      </c>
      <c r="DF136" t="e">
        <f>AND('GA55 Entry'!B451,"AAAAAHaF/G0=")</f>
        <v>#VALUE!</v>
      </c>
      <c r="DG136" t="e">
        <f>AND('GA55 Entry'!#REF!,"AAAAAHaF/G4=")</f>
        <v>#REF!</v>
      </c>
      <c r="DH136" t="e">
        <f>AND('GA55 Entry'!C451,"AAAAAHaF/G8=")</f>
        <v>#VALUE!</v>
      </c>
      <c r="DI136" t="e">
        <f>AND('GA55 Entry'!#REF!,"AAAAAHaF/HA=")</f>
        <v>#REF!</v>
      </c>
      <c r="DJ136" t="e">
        <f>AND('GA55 Entry'!#REF!,"AAAAAHaF/HE=")</f>
        <v>#REF!</v>
      </c>
      <c r="DK136" t="e">
        <f>AND('GA55 Entry'!#REF!,"AAAAAHaF/HI=")</f>
        <v>#REF!</v>
      </c>
      <c r="DL136" t="e">
        <f>AND('GA55 Entry'!#REF!,"AAAAAHaF/HM=")</f>
        <v>#REF!</v>
      </c>
      <c r="DM136" t="e">
        <f>AND('GA55 Entry'!#REF!,"AAAAAHaF/HQ=")</f>
        <v>#REF!</v>
      </c>
      <c r="DN136" t="e">
        <f>AND('GA55 Entry'!D451,"AAAAAHaF/HU=")</f>
        <v>#VALUE!</v>
      </c>
      <c r="DO136" t="e">
        <f>AND('GA55 Entry'!#REF!,"AAAAAHaF/HY=")</f>
        <v>#REF!</v>
      </c>
      <c r="DP136" t="e">
        <f>AND('GA55 Entry'!E451,"AAAAAHaF/Hc=")</f>
        <v>#VALUE!</v>
      </c>
      <c r="DQ136" t="e">
        <f>AND('GA55 Entry'!F451,"AAAAAHaF/Hg=")</f>
        <v>#VALUE!</v>
      </c>
      <c r="DR136" t="e">
        <f>AND('GA55 Entry'!G451,"AAAAAHaF/Hk=")</f>
        <v>#VALUE!</v>
      </c>
      <c r="DS136" t="e">
        <f>AND('GA55 Entry'!H451,"AAAAAHaF/Ho=")</f>
        <v>#VALUE!</v>
      </c>
      <c r="DT136" t="e">
        <f>AND('GA55 Entry'!I451,"AAAAAHaF/Hs=")</f>
        <v>#VALUE!</v>
      </c>
      <c r="DU136" t="e">
        <f>AND('GA55 Entry'!J451,"AAAAAHaF/Hw=")</f>
        <v>#VALUE!</v>
      </c>
      <c r="DV136" t="e">
        <f>AND('GA55 Entry'!#REF!,"AAAAAHaF/H0=")</f>
        <v>#REF!</v>
      </c>
      <c r="DW136" t="e">
        <f>AND('GA55 Entry'!K451,"AAAAAHaF/H4=")</f>
        <v>#VALUE!</v>
      </c>
      <c r="DX136" t="e">
        <f>AND('GA55 Entry'!L451,"AAAAAHaF/H8=")</f>
        <v>#VALUE!</v>
      </c>
      <c r="DY136" t="e">
        <f>AND('GA55 Entry'!M451,"AAAAAHaF/IA=")</f>
        <v>#VALUE!</v>
      </c>
      <c r="DZ136" t="e">
        <f>AND('GA55 Entry'!N451,"AAAAAHaF/IE=")</f>
        <v>#VALUE!</v>
      </c>
      <c r="EA136" t="e">
        <f>AND('GA55 Entry'!O451,"AAAAAHaF/II=")</f>
        <v>#VALUE!</v>
      </c>
      <c r="EB136" t="e">
        <f>AND('GA55 Entry'!P451,"AAAAAHaF/IM=")</f>
        <v>#VALUE!</v>
      </c>
      <c r="EC136" t="e">
        <f>AND('GA55 Entry'!Q451,"AAAAAHaF/IQ=")</f>
        <v>#VALUE!</v>
      </c>
      <c r="ED136" t="e">
        <f>AND('GA55 Entry'!S451,"AAAAAHaF/IU=")</f>
        <v>#VALUE!</v>
      </c>
      <c r="EE136" t="e">
        <f>AND('GA55 Entry'!#REF!,"AAAAAHaF/IY=")</f>
        <v>#REF!</v>
      </c>
      <c r="EF136" t="e">
        <f>AND('GA55 Entry'!T451,"AAAAAHaF/Ic=")</f>
        <v>#VALUE!</v>
      </c>
      <c r="EG136" t="e">
        <f>AND('GA55 Entry'!U451,"AAAAAHaF/Ig=")</f>
        <v>#VALUE!</v>
      </c>
      <c r="EH136" t="e">
        <f>AND('GA55 Entry'!V451,"AAAAAHaF/Ik=")</f>
        <v>#VALUE!</v>
      </c>
      <c r="EI136" t="e">
        <f>AND('GA55 Entry'!#REF!,"AAAAAHaF/Io=")</f>
        <v>#REF!</v>
      </c>
      <c r="EJ136" t="e">
        <f>AND('GA55 Entry'!#REF!,"AAAAAHaF/Is=")</f>
        <v>#REF!</v>
      </c>
      <c r="EK136" t="e">
        <f>AND('GA55 Entry'!X451,"AAAAAHaF/Iw=")</f>
        <v>#VALUE!</v>
      </c>
      <c r="EL136" t="e">
        <f>AND('GA55 Entry'!Y451,"AAAAAHaF/I0=")</f>
        <v>#VALUE!</v>
      </c>
      <c r="EM136" t="e">
        <f>AND('GA55 Entry'!#REF!,"AAAAAHaF/I4=")</f>
        <v>#REF!</v>
      </c>
      <c r="EN136" t="e">
        <f>AND('GA55 Entry'!#REF!,"AAAAAHaF/I8=")</f>
        <v>#REF!</v>
      </c>
      <c r="EO136" t="e">
        <f>AND('GA55 Entry'!#REF!,"AAAAAHaF/JA=")</f>
        <v>#REF!</v>
      </c>
      <c r="EP136" t="e">
        <f>AND('GA55 Entry'!#REF!,"AAAAAHaF/JE=")</f>
        <v>#REF!</v>
      </c>
      <c r="EQ136" t="e">
        <f>AND('GA55 Entry'!#REF!,"AAAAAHaF/JI=")</f>
        <v>#REF!</v>
      </c>
      <c r="ER136" t="e">
        <f>AND('GA55 Entry'!#REF!,"AAAAAHaF/JM=")</f>
        <v>#REF!</v>
      </c>
      <c r="ES136" t="e">
        <f>AND('GA55 Entry'!#REF!,"AAAAAHaF/JQ=")</f>
        <v>#REF!</v>
      </c>
      <c r="ET136" t="e">
        <f>AND('GA55 Entry'!#REF!,"AAAAAHaF/JU=")</f>
        <v>#REF!</v>
      </c>
      <c r="EU136" t="e">
        <f>AND('GA55 Entry'!#REF!,"AAAAAHaF/JY=")</f>
        <v>#REF!</v>
      </c>
      <c r="EV136" t="e">
        <f>AND('GA55 Entry'!Z451,"AAAAAHaF/Jc=")</f>
        <v>#VALUE!</v>
      </c>
      <c r="EW136" t="e">
        <f>AND('GA55 Entry'!AA451,"AAAAAHaF/Jg=")</f>
        <v>#VALUE!</v>
      </c>
      <c r="EX136" t="e">
        <f>AND('GA55 Entry'!#REF!,"AAAAAHaF/Jk=")</f>
        <v>#REF!</v>
      </c>
      <c r="EY136" t="e">
        <f>AND('GA55 Entry'!#REF!,"AAAAAHaF/Jo=")</f>
        <v>#REF!</v>
      </c>
      <c r="EZ136" t="e">
        <f>AND('GA55 Entry'!#REF!,"AAAAAHaF/Js=")</f>
        <v>#REF!</v>
      </c>
      <c r="FA136" t="e">
        <f>AND('GA55 Entry'!AB451,"AAAAAHaF/Jw=")</f>
        <v>#VALUE!</v>
      </c>
      <c r="FB136" t="e">
        <f>AND('GA55 Entry'!AC451,"AAAAAHaF/J0=")</f>
        <v>#VALUE!</v>
      </c>
      <c r="FC136" t="e">
        <f>AND('GA55 Entry'!#REF!,"AAAAAHaF/J4=")</f>
        <v>#REF!</v>
      </c>
      <c r="FD136">
        <f>IF('GA55 Entry'!452:452,"AAAAAHaF/J8=",0)</f>
        <v>0</v>
      </c>
      <c r="FE136" t="e">
        <f>AND('GA55 Entry'!B452,"AAAAAHaF/KA=")</f>
        <v>#VALUE!</v>
      </c>
      <c r="FF136" t="e">
        <f>AND('GA55 Entry'!#REF!,"AAAAAHaF/KE=")</f>
        <v>#REF!</v>
      </c>
      <c r="FG136" t="e">
        <f>AND('GA55 Entry'!C452,"AAAAAHaF/KI=")</f>
        <v>#VALUE!</v>
      </c>
      <c r="FH136" t="e">
        <f>AND('GA55 Entry'!#REF!,"AAAAAHaF/KM=")</f>
        <v>#REF!</v>
      </c>
      <c r="FI136" t="e">
        <f>AND('GA55 Entry'!#REF!,"AAAAAHaF/KQ=")</f>
        <v>#REF!</v>
      </c>
      <c r="FJ136" t="e">
        <f>AND('GA55 Entry'!#REF!,"AAAAAHaF/KU=")</f>
        <v>#REF!</v>
      </c>
      <c r="FK136" t="e">
        <f>AND('GA55 Entry'!#REF!,"AAAAAHaF/KY=")</f>
        <v>#REF!</v>
      </c>
      <c r="FL136" t="e">
        <f>AND('GA55 Entry'!#REF!,"AAAAAHaF/Kc=")</f>
        <v>#REF!</v>
      </c>
      <c r="FM136" t="e">
        <f>AND('GA55 Entry'!D452,"AAAAAHaF/Kg=")</f>
        <v>#VALUE!</v>
      </c>
      <c r="FN136" t="e">
        <f>AND('GA55 Entry'!#REF!,"AAAAAHaF/Kk=")</f>
        <v>#REF!</v>
      </c>
      <c r="FO136" t="e">
        <f>AND('GA55 Entry'!E452,"AAAAAHaF/Ko=")</f>
        <v>#VALUE!</v>
      </c>
      <c r="FP136" t="e">
        <f>AND('GA55 Entry'!F452,"AAAAAHaF/Ks=")</f>
        <v>#VALUE!</v>
      </c>
      <c r="FQ136" t="e">
        <f>AND('GA55 Entry'!G452,"AAAAAHaF/Kw=")</f>
        <v>#VALUE!</v>
      </c>
      <c r="FR136" t="e">
        <f>AND('GA55 Entry'!H452,"AAAAAHaF/K0=")</f>
        <v>#VALUE!</v>
      </c>
      <c r="FS136" t="e">
        <f>AND('GA55 Entry'!I452,"AAAAAHaF/K4=")</f>
        <v>#VALUE!</v>
      </c>
      <c r="FT136" t="e">
        <f>AND('GA55 Entry'!J452,"AAAAAHaF/K8=")</f>
        <v>#VALUE!</v>
      </c>
      <c r="FU136" t="e">
        <f>AND('GA55 Entry'!#REF!,"AAAAAHaF/LA=")</f>
        <v>#REF!</v>
      </c>
      <c r="FV136" t="e">
        <f>AND('GA55 Entry'!K452,"AAAAAHaF/LE=")</f>
        <v>#VALUE!</v>
      </c>
      <c r="FW136" t="e">
        <f>AND('GA55 Entry'!L452,"AAAAAHaF/LI=")</f>
        <v>#VALUE!</v>
      </c>
      <c r="FX136" t="e">
        <f>AND('GA55 Entry'!M452,"AAAAAHaF/LM=")</f>
        <v>#VALUE!</v>
      </c>
      <c r="FY136" t="e">
        <f>AND('GA55 Entry'!N452,"AAAAAHaF/LQ=")</f>
        <v>#VALUE!</v>
      </c>
      <c r="FZ136" t="e">
        <f>AND('GA55 Entry'!O452,"AAAAAHaF/LU=")</f>
        <v>#VALUE!</v>
      </c>
      <c r="GA136" t="e">
        <f>AND('GA55 Entry'!P452,"AAAAAHaF/LY=")</f>
        <v>#VALUE!</v>
      </c>
      <c r="GB136" t="e">
        <f>AND('GA55 Entry'!Q452,"AAAAAHaF/Lc=")</f>
        <v>#VALUE!</v>
      </c>
      <c r="GC136" t="e">
        <f>AND('GA55 Entry'!S452,"AAAAAHaF/Lg=")</f>
        <v>#VALUE!</v>
      </c>
      <c r="GD136" t="e">
        <f>AND('GA55 Entry'!#REF!,"AAAAAHaF/Lk=")</f>
        <v>#REF!</v>
      </c>
      <c r="GE136" t="e">
        <f>AND('GA55 Entry'!T452,"AAAAAHaF/Lo=")</f>
        <v>#VALUE!</v>
      </c>
      <c r="GF136" t="e">
        <f>AND('GA55 Entry'!U452,"AAAAAHaF/Ls=")</f>
        <v>#VALUE!</v>
      </c>
      <c r="GG136" t="e">
        <f>AND('GA55 Entry'!V452,"AAAAAHaF/Lw=")</f>
        <v>#VALUE!</v>
      </c>
      <c r="GH136" t="e">
        <f>AND('GA55 Entry'!#REF!,"AAAAAHaF/L0=")</f>
        <v>#REF!</v>
      </c>
      <c r="GI136" t="e">
        <f>AND('GA55 Entry'!#REF!,"AAAAAHaF/L4=")</f>
        <v>#REF!</v>
      </c>
      <c r="GJ136" t="e">
        <f>AND('GA55 Entry'!X452,"AAAAAHaF/L8=")</f>
        <v>#VALUE!</v>
      </c>
      <c r="GK136" t="e">
        <f>AND('GA55 Entry'!Y452,"AAAAAHaF/MA=")</f>
        <v>#VALUE!</v>
      </c>
      <c r="GL136" t="e">
        <f>AND('GA55 Entry'!#REF!,"AAAAAHaF/ME=")</f>
        <v>#REF!</v>
      </c>
      <c r="GM136" t="e">
        <f>AND('GA55 Entry'!#REF!,"AAAAAHaF/MI=")</f>
        <v>#REF!</v>
      </c>
      <c r="GN136" t="e">
        <f>AND('GA55 Entry'!#REF!,"AAAAAHaF/MM=")</f>
        <v>#REF!</v>
      </c>
      <c r="GO136" t="e">
        <f>AND('GA55 Entry'!#REF!,"AAAAAHaF/MQ=")</f>
        <v>#REF!</v>
      </c>
      <c r="GP136" t="e">
        <f>AND('GA55 Entry'!#REF!,"AAAAAHaF/MU=")</f>
        <v>#REF!</v>
      </c>
      <c r="GQ136" t="e">
        <f>AND('GA55 Entry'!#REF!,"AAAAAHaF/MY=")</f>
        <v>#REF!</v>
      </c>
      <c r="GR136" t="e">
        <f>AND('GA55 Entry'!#REF!,"AAAAAHaF/Mc=")</f>
        <v>#REF!</v>
      </c>
      <c r="GS136" t="e">
        <f>AND('GA55 Entry'!#REF!,"AAAAAHaF/Mg=")</f>
        <v>#REF!</v>
      </c>
      <c r="GT136" t="e">
        <f>AND('GA55 Entry'!#REF!,"AAAAAHaF/Mk=")</f>
        <v>#REF!</v>
      </c>
      <c r="GU136" t="e">
        <f>AND('GA55 Entry'!Z452,"AAAAAHaF/Mo=")</f>
        <v>#VALUE!</v>
      </c>
      <c r="GV136" t="e">
        <f>AND('GA55 Entry'!AA452,"AAAAAHaF/Ms=")</f>
        <v>#VALUE!</v>
      </c>
      <c r="GW136" t="e">
        <f>AND('GA55 Entry'!#REF!,"AAAAAHaF/Mw=")</f>
        <v>#REF!</v>
      </c>
      <c r="GX136" t="e">
        <f>AND('GA55 Entry'!#REF!,"AAAAAHaF/M0=")</f>
        <v>#REF!</v>
      </c>
      <c r="GY136" t="e">
        <f>AND('GA55 Entry'!#REF!,"AAAAAHaF/M4=")</f>
        <v>#REF!</v>
      </c>
      <c r="GZ136" t="e">
        <f>AND('GA55 Entry'!AB452,"AAAAAHaF/M8=")</f>
        <v>#VALUE!</v>
      </c>
      <c r="HA136" t="e">
        <f>AND('GA55 Entry'!AC452,"AAAAAHaF/NA=")</f>
        <v>#VALUE!</v>
      </c>
      <c r="HB136" t="e">
        <f>AND('GA55 Entry'!#REF!,"AAAAAHaF/NE=")</f>
        <v>#REF!</v>
      </c>
      <c r="HC136">
        <f>IF('GA55 Entry'!453:453,"AAAAAHaF/NI=",0)</f>
        <v>0</v>
      </c>
      <c r="HD136" t="e">
        <f>AND('GA55 Entry'!B453,"AAAAAHaF/NM=")</f>
        <v>#VALUE!</v>
      </c>
      <c r="HE136" t="e">
        <f>AND('GA55 Entry'!#REF!,"AAAAAHaF/NQ=")</f>
        <v>#REF!</v>
      </c>
      <c r="HF136" t="e">
        <f>AND('GA55 Entry'!C453,"AAAAAHaF/NU=")</f>
        <v>#VALUE!</v>
      </c>
      <c r="HG136" t="e">
        <f>AND('GA55 Entry'!#REF!,"AAAAAHaF/NY=")</f>
        <v>#REF!</v>
      </c>
      <c r="HH136" t="e">
        <f>AND('GA55 Entry'!#REF!,"AAAAAHaF/Nc=")</f>
        <v>#REF!</v>
      </c>
      <c r="HI136" t="e">
        <f>AND('GA55 Entry'!#REF!,"AAAAAHaF/Ng=")</f>
        <v>#REF!</v>
      </c>
      <c r="HJ136" t="e">
        <f>AND('GA55 Entry'!#REF!,"AAAAAHaF/Nk=")</f>
        <v>#REF!</v>
      </c>
      <c r="HK136" t="e">
        <f>AND('GA55 Entry'!#REF!,"AAAAAHaF/No=")</f>
        <v>#REF!</v>
      </c>
      <c r="HL136" t="e">
        <f>AND('GA55 Entry'!D453,"AAAAAHaF/Ns=")</f>
        <v>#VALUE!</v>
      </c>
      <c r="HM136" t="e">
        <f>AND('GA55 Entry'!#REF!,"AAAAAHaF/Nw=")</f>
        <v>#REF!</v>
      </c>
      <c r="HN136" t="e">
        <f>AND('GA55 Entry'!E453,"AAAAAHaF/N0=")</f>
        <v>#VALUE!</v>
      </c>
      <c r="HO136" t="e">
        <f>AND('GA55 Entry'!F453,"AAAAAHaF/N4=")</f>
        <v>#VALUE!</v>
      </c>
      <c r="HP136" t="e">
        <f>AND('GA55 Entry'!G453,"AAAAAHaF/N8=")</f>
        <v>#VALUE!</v>
      </c>
      <c r="HQ136" t="e">
        <f>AND('GA55 Entry'!H453,"AAAAAHaF/OA=")</f>
        <v>#VALUE!</v>
      </c>
      <c r="HR136" t="e">
        <f>AND('GA55 Entry'!I453,"AAAAAHaF/OE=")</f>
        <v>#VALUE!</v>
      </c>
      <c r="HS136" t="e">
        <f>AND('GA55 Entry'!J453,"AAAAAHaF/OI=")</f>
        <v>#VALUE!</v>
      </c>
      <c r="HT136" t="e">
        <f>AND('GA55 Entry'!#REF!,"AAAAAHaF/OM=")</f>
        <v>#REF!</v>
      </c>
      <c r="HU136" t="e">
        <f>AND('GA55 Entry'!K453,"AAAAAHaF/OQ=")</f>
        <v>#VALUE!</v>
      </c>
      <c r="HV136" t="e">
        <f>AND('GA55 Entry'!L453,"AAAAAHaF/OU=")</f>
        <v>#VALUE!</v>
      </c>
      <c r="HW136" t="e">
        <f>AND('GA55 Entry'!M453,"AAAAAHaF/OY=")</f>
        <v>#VALUE!</v>
      </c>
      <c r="HX136" t="e">
        <f>AND('GA55 Entry'!N453,"AAAAAHaF/Oc=")</f>
        <v>#VALUE!</v>
      </c>
      <c r="HY136" t="e">
        <f>AND('GA55 Entry'!O453,"AAAAAHaF/Og=")</f>
        <v>#VALUE!</v>
      </c>
      <c r="HZ136" t="e">
        <f>AND('GA55 Entry'!P453,"AAAAAHaF/Ok=")</f>
        <v>#VALUE!</v>
      </c>
      <c r="IA136" t="e">
        <f>AND('GA55 Entry'!Q453,"AAAAAHaF/Oo=")</f>
        <v>#VALUE!</v>
      </c>
      <c r="IB136" t="e">
        <f>AND('GA55 Entry'!S453,"AAAAAHaF/Os=")</f>
        <v>#VALUE!</v>
      </c>
      <c r="IC136" t="e">
        <f>AND('GA55 Entry'!#REF!,"AAAAAHaF/Ow=")</f>
        <v>#REF!</v>
      </c>
      <c r="ID136" t="e">
        <f>AND('GA55 Entry'!T453,"AAAAAHaF/O0=")</f>
        <v>#VALUE!</v>
      </c>
      <c r="IE136" t="e">
        <f>AND('GA55 Entry'!U453,"AAAAAHaF/O4=")</f>
        <v>#VALUE!</v>
      </c>
      <c r="IF136" t="e">
        <f>AND('GA55 Entry'!V453,"AAAAAHaF/O8=")</f>
        <v>#VALUE!</v>
      </c>
      <c r="IG136" t="e">
        <f>AND('GA55 Entry'!#REF!,"AAAAAHaF/PA=")</f>
        <v>#REF!</v>
      </c>
      <c r="IH136" t="e">
        <f>AND('GA55 Entry'!#REF!,"AAAAAHaF/PE=")</f>
        <v>#REF!</v>
      </c>
      <c r="II136" t="e">
        <f>AND('GA55 Entry'!X453,"AAAAAHaF/PI=")</f>
        <v>#VALUE!</v>
      </c>
      <c r="IJ136" t="e">
        <f>AND('GA55 Entry'!Y453,"AAAAAHaF/PM=")</f>
        <v>#VALUE!</v>
      </c>
      <c r="IK136" t="e">
        <f>AND('GA55 Entry'!#REF!,"AAAAAHaF/PQ=")</f>
        <v>#REF!</v>
      </c>
      <c r="IL136" t="e">
        <f>AND('GA55 Entry'!#REF!,"AAAAAHaF/PU=")</f>
        <v>#REF!</v>
      </c>
      <c r="IM136" t="e">
        <f>AND('GA55 Entry'!#REF!,"AAAAAHaF/PY=")</f>
        <v>#REF!</v>
      </c>
      <c r="IN136" t="e">
        <f>AND('GA55 Entry'!#REF!,"AAAAAHaF/Pc=")</f>
        <v>#REF!</v>
      </c>
      <c r="IO136" t="e">
        <f>AND('GA55 Entry'!#REF!,"AAAAAHaF/Pg=")</f>
        <v>#REF!</v>
      </c>
      <c r="IP136" t="e">
        <f>AND('GA55 Entry'!#REF!,"AAAAAHaF/Pk=")</f>
        <v>#REF!</v>
      </c>
      <c r="IQ136" t="e">
        <f>AND('GA55 Entry'!#REF!,"AAAAAHaF/Po=")</f>
        <v>#REF!</v>
      </c>
      <c r="IR136" t="e">
        <f>AND('GA55 Entry'!#REF!,"AAAAAHaF/Ps=")</f>
        <v>#REF!</v>
      </c>
      <c r="IS136" t="e">
        <f>AND('GA55 Entry'!#REF!,"AAAAAHaF/Pw=")</f>
        <v>#REF!</v>
      </c>
      <c r="IT136" t="e">
        <f>AND('GA55 Entry'!Z453,"AAAAAHaF/P0=")</f>
        <v>#VALUE!</v>
      </c>
      <c r="IU136" t="e">
        <f>AND('GA55 Entry'!AA453,"AAAAAHaF/P4=")</f>
        <v>#VALUE!</v>
      </c>
      <c r="IV136" t="e">
        <f>AND('GA55 Entry'!#REF!,"AAAAAHaF/P8=")</f>
        <v>#REF!</v>
      </c>
    </row>
    <row r="137" spans="1:256">
      <c r="A137" t="e">
        <f>AND('GA55 Entry'!#REF!,"AAAAAEf8+wA=")</f>
        <v>#REF!</v>
      </c>
      <c r="B137" t="e">
        <f>AND('GA55 Entry'!#REF!,"AAAAAEf8+wE=")</f>
        <v>#REF!</v>
      </c>
      <c r="C137" t="e">
        <f>AND('GA55 Entry'!AB453,"AAAAAEf8+wI=")</f>
        <v>#VALUE!</v>
      </c>
      <c r="D137" t="e">
        <f>AND('GA55 Entry'!AC453,"AAAAAEf8+wM=")</f>
        <v>#VALUE!</v>
      </c>
      <c r="E137" t="e">
        <f>AND('GA55 Entry'!#REF!,"AAAAAEf8+wQ=")</f>
        <v>#REF!</v>
      </c>
      <c r="F137">
        <f>IF('GA55 Entry'!454:454,"AAAAAEf8+wU=",0)</f>
        <v>0</v>
      </c>
      <c r="G137" t="e">
        <f>AND('GA55 Entry'!B454,"AAAAAEf8+wY=")</f>
        <v>#VALUE!</v>
      </c>
      <c r="H137" t="e">
        <f>AND('GA55 Entry'!#REF!,"AAAAAEf8+wc=")</f>
        <v>#REF!</v>
      </c>
      <c r="I137" t="e">
        <f>AND('GA55 Entry'!C454,"AAAAAEf8+wg=")</f>
        <v>#VALUE!</v>
      </c>
      <c r="J137" t="e">
        <f>AND('GA55 Entry'!#REF!,"AAAAAEf8+wk=")</f>
        <v>#REF!</v>
      </c>
      <c r="K137" t="e">
        <f>AND('GA55 Entry'!#REF!,"AAAAAEf8+wo=")</f>
        <v>#REF!</v>
      </c>
      <c r="L137" t="e">
        <f>AND('GA55 Entry'!#REF!,"AAAAAEf8+ws=")</f>
        <v>#REF!</v>
      </c>
      <c r="M137" t="e">
        <f>AND('GA55 Entry'!#REF!,"AAAAAEf8+ww=")</f>
        <v>#REF!</v>
      </c>
      <c r="N137" t="e">
        <f>AND('GA55 Entry'!#REF!,"AAAAAEf8+w0=")</f>
        <v>#REF!</v>
      </c>
      <c r="O137" t="e">
        <f>AND('GA55 Entry'!D454,"AAAAAEf8+w4=")</f>
        <v>#VALUE!</v>
      </c>
      <c r="P137" t="e">
        <f>AND('GA55 Entry'!#REF!,"AAAAAEf8+w8=")</f>
        <v>#REF!</v>
      </c>
      <c r="Q137" t="e">
        <f>AND('GA55 Entry'!E454,"AAAAAEf8+xA=")</f>
        <v>#VALUE!</v>
      </c>
      <c r="R137" t="e">
        <f>AND('GA55 Entry'!F454,"AAAAAEf8+xE=")</f>
        <v>#VALUE!</v>
      </c>
      <c r="S137" t="e">
        <f>AND('GA55 Entry'!G454,"AAAAAEf8+xI=")</f>
        <v>#VALUE!</v>
      </c>
      <c r="T137" t="e">
        <f>AND('GA55 Entry'!H454,"AAAAAEf8+xM=")</f>
        <v>#VALUE!</v>
      </c>
      <c r="U137" t="e">
        <f>AND('GA55 Entry'!I454,"AAAAAEf8+xQ=")</f>
        <v>#VALUE!</v>
      </c>
      <c r="V137" t="e">
        <f>AND('GA55 Entry'!J454,"AAAAAEf8+xU=")</f>
        <v>#VALUE!</v>
      </c>
      <c r="W137" t="e">
        <f>AND('GA55 Entry'!#REF!,"AAAAAEf8+xY=")</f>
        <v>#REF!</v>
      </c>
      <c r="X137" t="e">
        <f>AND('GA55 Entry'!K454,"AAAAAEf8+xc=")</f>
        <v>#VALUE!</v>
      </c>
      <c r="Y137" t="e">
        <f>AND('GA55 Entry'!L454,"AAAAAEf8+xg=")</f>
        <v>#VALUE!</v>
      </c>
      <c r="Z137" t="e">
        <f>AND('GA55 Entry'!M454,"AAAAAEf8+xk=")</f>
        <v>#VALUE!</v>
      </c>
      <c r="AA137" t="e">
        <f>AND('GA55 Entry'!N454,"AAAAAEf8+xo=")</f>
        <v>#VALUE!</v>
      </c>
      <c r="AB137" t="e">
        <f>AND('GA55 Entry'!O454,"AAAAAEf8+xs=")</f>
        <v>#VALUE!</v>
      </c>
      <c r="AC137" t="e">
        <f>AND('GA55 Entry'!P454,"AAAAAEf8+xw=")</f>
        <v>#VALUE!</v>
      </c>
      <c r="AD137" t="e">
        <f>AND('GA55 Entry'!Q454,"AAAAAEf8+x0=")</f>
        <v>#VALUE!</v>
      </c>
      <c r="AE137" t="e">
        <f>AND('GA55 Entry'!S454,"AAAAAEf8+x4=")</f>
        <v>#VALUE!</v>
      </c>
      <c r="AF137" t="e">
        <f>AND('GA55 Entry'!#REF!,"AAAAAEf8+x8=")</f>
        <v>#REF!</v>
      </c>
      <c r="AG137" t="e">
        <f>AND('GA55 Entry'!T454,"AAAAAEf8+yA=")</f>
        <v>#VALUE!</v>
      </c>
      <c r="AH137" t="e">
        <f>AND('GA55 Entry'!U454,"AAAAAEf8+yE=")</f>
        <v>#VALUE!</v>
      </c>
      <c r="AI137" t="e">
        <f>AND('GA55 Entry'!V454,"AAAAAEf8+yI=")</f>
        <v>#VALUE!</v>
      </c>
      <c r="AJ137" t="e">
        <f>AND('GA55 Entry'!#REF!,"AAAAAEf8+yM=")</f>
        <v>#REF!</v>
      </c>
      <c r="AK137" t="e">
        <f>AND('GA55 Entry'!#REF!,"AAAAAEf8+yQ=")</f>
        <v>#REF!</v>
      </c>
      <c r="AL137" t="e">
        <f>AND('GA55 Entry'!X454,"AAAAAEf8+yU=")</f>
        <v>#VALUE!</v>
      </c>
      <c r="AM137" t="e">
        <f>AND('GA55 Entry'!Y454,"AAAAAEf8+yY=")</f>
        <v>#VALUE!</v>
      </c>
      <c r="AN137" t="e">
        <f>AND('GA55 Entry'!#REF!,"AAAAAEf8+yc=")</f>
        <v>#REF!</v>
      </c>
      <c r="AO137" t="e">
        <f>AND('GA55 Entry'!#REF!,"AAAAAEf8+yg=")</f>
        <v>#REF!</v>
      </c>
      <c r="AP137" t="e">
        <f>AND('GA55 Entry'!#REF!,"AAAAAEf8+yk=")</f>
        <v>#REF!</v>
      </c>
      <c r="AQ137" t="e">
        <f>AND('GA55 Entry'!#REF!,"AAAAAEf8+yo=")</f>
        <v>#REF!</v>
      </c>
      <c r="AR137" t="e">
        <f>AND('GA55 Entry'!#REF!,"AAAAAEf8+ys=")</f>
        <v>#REF!</v>
      </c>
      <c r="AS137" t="e">
        <f>AND('GA55 Entry'!#REF!,"AAAAAEf8+yw=")</f>
        <v>#REF!</v>
      </c>
      <c r="AT137" t="e">
        <f>AND('GA55 Entry'!#REF!,"AAAAAEf8+y0=")</f>
        <v>#REF!</v>
      </c>
      <c r="AU137" t="e">
        <f>AND('GA55 Entry'!#REF!,"AAAAAEf8+y4=")</f>
        <v>#REF!</v>
      </c>
      <c r="AV137" t="e">
        <f>AND('GA55 Entry'!#REF!,"AAAAAEf8+y8=")</f>
        <v>#REF!</v>
      </c>
      <c r="AW137" t="e">
        <f>AND('GA55 Entry'!Z454,"AAAAAEf8+zA=")</f>
        <v>#VALUE!</v>
      </c>
      <c r="AX137" t="e">
        <f>AND('GA55 Entry'!AA454,"AAAAAEf8+zE=")</f>
        <v>#VALUE!</v>
      </c>
      <c r="AY137" t="e">
        <f>AND('GA55 Entry'!#REF!,"AAAAAEf8+zI=")</f>
        <v>#REF!</v>
      </c>
      <c r="AZ137" t="e">
        <f>AND('GA55 Entry'!#REF!,"AAAAAEf8+zM=")</f>
        <v>#REF!</v>
      </c>
      <c r="BA137" t="e">
        <f>AND('GA55 Entry'!#REF!,"AAAAAEf8+zQ=")</f>
        <v>#REF!</v>
      </c>
      <c r="BB137" t="e">
        <f>AND('GA55 Entry'!AB454,"AAAAAEf8+zU=")</f>
        <v>#VALUE!</v>
      </c>
      <c r="BC137" t="e">
        <f>AND('GA55 Entry'!AC454,"AAAAAEf8+zY=")</f>
        <v>#VALUE!</v>
      </c>
      <c r="BD137" t="e">
        <f>AND('GA55 Entry'!#REF!,"AAAAAEf8+zc=")</f>
        <v>#REF!</v>
      </c>
      <c r="BE137">
        <f>IF('GA55 Entry'!455:455,"AAAAAEf8+zg=",0)</f>
        <v>0</v>
      </c>
      <c r="BF137" t="e">
        <f>AND('GA55 Entry'!B455,"AAAAAEf8+zk=")</f>
        <v>#VALUE!</v>
      </c>
      <c r="BG137" t="e">
        <f>AND('GA55 Entry'!#REF!,"AAAAAEf8+zo=")</f>
        <v>#REF!</v>
      </c>
      <c r="BH137" t="e">
        <f>AND('GA55 Entry'!C455,"AAAAAEf8+zs=")</f>
        <v>#VALUE!</v>
      </c>
      <c r="BI137" t="e">
        <f>AND('GA55 Entry'!#REF!,"AAAAAEf8+zw=")</f>
        <v>#REF!</v>
      </c>
      <c r="BJ137" t="e">
        <f>AND('GA55 Entry'!#REF!,"AAAAAEf8+z0=")</f>
        <v>#REF!</v>
      </c>
      <c r="BK137" t="e">
        <f>AND('GA55 Entry'!#REF!,"AAAAAEf8+z4=")</f>
        <v>#REF!</v>
      </c>
      <c r="BL137" t="e">
        <f>AND('GA55 Entry'!#REF!,"AAAAAEf8+z8=")</f>
        <v>#REF!</v>
      </c>
      <c r="BM137" t="e">
        <f>AND('GA55 Entry'!#REF!,"AAAAAEf8+0A=")</f>
        <v>#REF!</v>
      </c>
      <c r="BN137" t="e">
        <f>AND('GA55 Entry'!D455,"AAAAAEf8+0E=")</f>
        <v>#VALUE!</v>
      </c>
      <c r="BO137" t="e">
        <f>AND('GA55 Entry'!#REF!,"AAAAAEf8+0I=")</f>
        <v>#REF!</v>
      </c>
      <c r="BP137" t="e">
        <f>AND('GA55 Entry'!E455,"AAAAAEf8+0M=")</f>
        <v>#VALUE!</v>
      </c>
      <c r="BQ137" t="e">
        <f>AND('GA55 Entry'!F455,"AAAAAEf8+0Q=")</f>
        <v>#VALUE!</v>
      </c>
      <c r="BR137" t="e">
        <f>AND('GA55 Entry'!G455,"AAAAAEf8+0U=")</f>
        <v>#VALUE!</v>
      </c>
      <c r="BS137" t="e">
        <f>AND('GA55 Entry'!H455,"AAAAAEf8+0Y=")</f>
        <v>#VALUE!</v>
      </c>
      <c r="BT137" t="e">
        <f>AND('GA55 Entry'!I455,"AAAAAEf8+0c=")</f>
        <v>#VALUE!</v>
      </c>
      <c r="BU137" t="e">
        <f>AND('GA55 Entry'!J455,"AAAAAEf8+0g=")</f>
        <v>#VALUE!</v>
      </c>
      <c r="BV137" t="e">
        <f>AND('GA55 Entry'!#REF!,"AAAAAEf8+0k=")</f>
        <v>#REF!</v>
      </c>
      <c r="BW137" t="e">
        <f>AND('GA55 Entry'!K455,"AAAAAEf8+0o=")</f>
        <v>#VALUE!</v>
      </c>
      <c r="BX137" t="e">
        <f>AND('GA55 Entry'!L455,"AAAAAEf8+0s=")</f>
        <v>#VALUE!</v>
      </c>
      <c r="BY137" t="e">
        <f>AND('GA55 Entry'!M455,"AAAAAEf8+0w=")</f>
        <v>#VALUE!</v>
      </c>
      <c r="BZ137" t="e">
        <f>AND('GA55 Entry'!N455,"AAAAAEf8+00=")</f>
        <v>#VALUE!</v>
      </c>
      <c r="CA137" t="e">
        <f>AND('GA55 Entry'!O455,"AAAAAEf8+04=")</f>
        <v>#VALUE!</v>
      </c>
      <c r="CB137" t="e">
        <f>AND('GA55 Entry'!P455,"AAAAAEf8+08=")</f>
        <v>#VALUE!</v>
      </c>
      <c r="CC137" t="e">
        <f>AND('GA55 Entry'!Q455,"AAAAAEf8+1A=")</f>
        <v>#VALUE!</v>
      </c>
      <c r="CD137" t="e">
        <f>AND('GA55 Entry'!S455,"AAAAAEf8+1E=")</f>
        <v>#VALUE!</v>
      </c>
      <c r="CE137" t="e">
        <f>AND('GA55 Entry'!#REF!,"AAAAAEf8+1I=")</f>
        <v>#REF!</v>
      </c>
      <c r="CF137" t="e">
        <f>AND('GA55 Entry'!T455,"AAAAAEf8+1M=")</f>
        <v>#VALUE!</v>
      </c>
      <c r="CG137" t="e">
        <f>AND('GA55 Entry'!U455,"AAAAAEf8+1Q=")</f>
        <v>#VALUE!</v>
      </c>
      <c r="CH137" t="e">
        <f>AND('GA55 Entry'!V455,"AAAAAEf8+1U=")</f>
        <v>#VALUE!</v>
      </c>
      <c r="CI137" t="e">
        <f>AND('GA55 Entry'!#REF!,"AAAAAEf8+1Y=")</f>
        <v>#REF!</v>
      </c>
      <c r="CJ137" t="e">
        <f>AND('GA55 Entry'!#REF!,"AAAAAEf8+1c=")</f>
        <v>#REF!</v>
      </c>
      <c r="CK137" t="e">
        <f>AND('GA55 Entry'!X455,"AAAAAEf8+1g=")</f>
        <v>#VALUE!</v>
      </c>
      <c r="CL137" t="e">
        <f>AND('GA55 Entry'!Y455,"AAAAAEf8+1k=")</f>
        <v>#VALUE!</v>
      </c>
      <c r="CM137" t="e">
        <f>AND('GA55 Entry'!#REF!,"AAAAAEf8+1o=")</f>
        <v>#REF!</v>
      </c>
      <c r="CN137" t="e">
        <f>AND('GA55 Entry'!#REF!,"AAAAAEf8+1s=")</f>
        <v>#REF!</v>
      </c>
      <c r="CO137" t="e">
        <f>AND('GA55 Entry'!#REF!,"AAAAAEf8+1w=")</f>
        <v>#REF!</v>
      </c>
      <c r="CP137" t="e">
        <f>AND('GA55 Entry'!#REF!,"AAAAAEf8+10=")</f>
        <v>#REF!</v>
      </c>
      <c r="CQ137" t="e">
        <f>AND('GA55 Entry'!#REF!,"AAAAAEf8+14=")</f>
        <v>#REF!</v>
      </c>
      <c r="CR137" t="e">
        <f>AND('GA55 Entry'!#REF!,"AAAAAEf8+18=")</f>
        <v>#REF!</v>
      </c>
      <c r="CS137" t="e">
        <f>AND('GA55 Entry'!#REF!,"AAAAAEf8+2A=")</f>
        <v>#REF!</v>
      </c>
      <c r="CT137" t="e">
        <f>AND('GA55 Entry'!#REF!,"AAAAAEf8+2E=")</f>
        <v>#REF!</v>
      </c>
      <c r="CU137" t="e">
        <f>AND('GA55 Entry'!#REF!,"AAAAAEf8+2I=")</f>
        <v>#REF!</v>
      </c>
      <c r="CV137" t="e">
        <f>AND('GA55 Entry'!Z455,"AAAAAEf8+2M=")</f>
        <v>#VALUE!</v>
      </c>
      <c r="CW137" t="e">
        <f>AND('GA55 Entry'!AA455,"AAAAAEf8+2Q=")</f>
        <v>#VALUE!</v>
      </c>
      <c r="CX137" t="e">
        <f>AND('GA55 Entry'!#REF!,"AAAAAEf8+2U=")</f>
        <v>#REF!</v>
      </c>
      <c r="CY137" t="e">
        <f>AND('GA55 Entry'!#REF!,"AAAAAEf8+2Y=")</f>
        <v>#REF!</v>
      </c>
      <c r="CZ137" t="e">
        <f>AND('GA55 Entry'!#REF!,"AAAAAEf8+2c=")</f>
        <v>#REF!</v>
      </c>
      <c r="DA137" t="e">
        <f>AND('GA55 Entry'!AB455,"AAAAAEf8+2g=")</f>
        <v>#VALUE!</v>
      </c>
      <c r="DB137" t="e">
        <f>AND('GA55 Entry'!AC455,"AAAAAEf8+2k=")</f>
        <v>#VALUE!</v>
      </c>
      <c r="DC137" t="e">
        <f>AND('GA55 Entry'!#REF!,"AAAAAEf8+2o=")</f>
        <v>#REF!</v>
      </c>
      <c r="DD137">
        <f>IF('GA55 Entry'!456:456,"AAAAAEf8+2s=",0)</f>
        <v>0</v>
      </c>
      <c r="DE137" t="e">
        <f>AND('GA55 Entry'!B456,"AAAAAEf8+2w=")</f>
        <v>#VALUE!</v>
      </c>
      <c r="DF137" t="e">
        <f>AND('GA55 Entry'!#REF!,"AAAAAEf8+20=")</f>
        <v>#REF!</v>
      </c>
      <c r="DG137" t="e">
        <f>AND('GA55 Entry'!C456,"AAAAAEf8+24=")</f>
        <v>#VALUE!</v>
      </c>
      <c r="DH137" t="e">
        <f>AND('GA55 Entry'!#REF!,"AAAAAEf8+28=")</f>
        <v>#REF!</v>
      </c>
      <c r="DI137" t="e">
        <f>AND('GA55 Entry'!#REF!,"AAAAAEf8+3A=")</f>
        <v>#REF!</v>
      </c>
      <c r="DJ137" t="e">
        <f>AND('GA55 Entry'!#REF!,"AAAAAEf8+3E=")</f>
        <v>#REF!</v>
      </c>
      <c r="DK137" t="e">
        <f>AND('GA55 Entry'!#REF!,"AAAAAEf8+3I=")</f>
        <v>#REF!</v>
      </c>
      <c r="DL137" t="e">
        <f>AND('GA55 Entry'!#REF!,"AAAAAEf8+3M=")</f>
        <v>#REF!</v>
      </c>
      <c r="DM137" t="e">
        <f>AND('GA55 Entry'!D456,"AAAAAEf8+3Q=")</f>
        <v>#VALUE!</v>
      </c>
      <c r="DN137" t="e">
        <f>AND('GA55 Entry'!#REF!,"AAAAAEf8+3U=")</f>
        <v>#REF!</v>
      </c>
      <c r="DO137" t="e">
        <f>AND('GA55 Entry'!E456,"AAAAAEf8+3Y=")</f>
        <v>#VALUE!</v>
      </c>
      <c r="DP137" t="e">
        <f>AND('GA55 Entry'!F456,"AAAAAEf8+3c=")</f>
        <v>#VALUE!</v>
      </c>
      <c r="DQ137" t="e">
        <f>AND('GA55 Entry'!G456,"AAAAAEf8+3g=")</f>
        <v>#VALUE!</v>
      </c>
      <c r="DR137" t="e">
        <f>AND('GA55 Entry'!H456,"AAAAAEf8+3k=")</f>
        <v>#VALUE!</v>
      </c>
      <c r="DS137" t="e">
        <f>AND('GA55 Entry'!I456,"AAAAAEf8+3o=")</f>
        <v>#VALUE!</v>
      </c>
      <c r="DT137" t="e">
        <f>AND('GA55 Entry'!J456,"AAAAAEf8+3s=")</f>
        <v>#VALUE!</v>
      </c>
      <c r="DU137" t="e">
        <f>AND('GA55 Entry'!#REF!,"AAAAAEf8+3w=")</f>
        <v>#REF!</v>
      </c>
      <c r="DV137" t="e">
        <f>AND('GA55 Entry'!K456,"AAAAAEf8+30=")</f>
        <v>#VALUE!</v>
      </c>
      <c r="DW137" t="e">
        <f>AND('GA55 Entry'!L456,"AAAAAEf8+34=")</f>
        <v>#VALUE!</v>
      </c>
      <c r="DX137" t="e">
        <f>AND('GA55 Entry'!M456,"AAAAAEf8+38=")</f>
        <v>#VALUE!</v>
      </c>
      <c r="DY137" t="e">
        <f>AND('GA55 Entry'!N456,"AAAAAEf8+4A=")</f>
        <v>#VALUE!</v>
      </c>
      <c r="DZ137" t="e">
        <f>AND('GA55 Entry'!O456,"AAAAAEf8+4E=")</f>
        <v>#VALUE!</v>
      </c>
      <c r="EA137" t="e">
        <f>AND('GA55 Entry'!P456,"AAAAAEf8+4I=")</f>
        <v>#VALUE!</v>
      </c>
      <c r="EB137" t="e">
        <f>AND('GA55 Entry'!Q456,"AAAAAEf8+4M=")</f>
        <v>#VALUE!</v>
      </c>
      <c r="EC137" t="e">
        <f>AND('GA55 Entry'!S456,"AAAAAEf8+4Q=")</f>
        <v>#VALUE!</v>
      </c>
      <c r="ED137" t="e">
        <f>AND('GA55 Entry'!#REF!,"AAAAAEf8+4U=")</f>
        <v>#REF!</v>
      </c>
      <c r="EE137" t="e">
        <f>AND('GA55 Entry'!T456,"AAAAAEf8+4Y=")</f>
        <v>#VALUE!</v>
      </c>
      <c r="EF137" t="e">
        <f>AND('GA55 Entry'!U456,"AAAAAEf8+4c=")</f>
        <v>#VALUE!</v>
      </c>
      <c r="EG137" t="e">
        <f>AND('GA55 Entry'!V456,"AAAAAEf8+4g=")</f>
        <v>#VALUE!</v>
      </c>
      <c r="EH137" t="e">
        <f>AND('GA55 Entry'!#REF!,"AAAAAEf8+4k=")</f>
        <v>#REF!</v>
      </c>
      <c r="EI137" t="e">
        <f>AND('GA55 Entry'!#REF!,"AAAAAEf8+4o=")</f>
        <v>#REF!</v>
      </c>
      <c r="EJ137" t="e">
        <f>AND('GA55 Entry'!X456,"AAAAAEf8+4s=")</f>
        <v>#VALUE!</v>
      </c>
      <c r="EK137" t="e">
        <f>AND('GA55 Entry'!Y456,"AAAAAEf8+4w=")</f>
        <v>#VALUE!</v>
      </c>
      <c r="EL137" t="e">
        <f>AND('GA55 Entry'!#REF!,"AAAAAEf8+40=")</f>
        <v>#REF!</v>
      </c>
      <c r="EM137" t="e">
        <f>AND('GA55 Entry'!#REF!,"AAAAAEf8+44=")</f>
        <v>#REF!</v>
      </c>
      <c r="EN137" t="e">
        <f>AND('GA55 Entry'!#REF!,"AAAAAEf8+48=")</f>
        <v>#REF!</v>
      </c>
      <c r="EO137" t="e">
        <f>AND('GA55 Entry'!#REF!,"AAAAAEf8+5A=")</f>
        <v>#REF!</v>
      </c>
      <c r="EP137" t="e">
        <f>AND('GA55 Entry'!#REF!,"AAAAAEf8+5E=")</f>
        <v>#REF!</v>
      </c>
      <c r="EQ137" t="e">
        <f>AND('GA55 Entry'!#REF!,"AAAAAEf8+5I=")</f>
        <v>#REF!</v>
      </c>
      <c r="ER137" t="e">
        <f>AND('GA55 Entry'!#REF!,"AAAAAEf8+5M=")</f>
        <v>#REF!</v>
      </c>
      <c r="ES137" t="e">
        <f>AND('GA55 Entry'!#REF!,"AAAAAEf8+5Q=")</f>
        <v>#REF!</v>
      </c>
      <c r="ET137" t="e">
        <f>AND('GA55 Entry'!#REF!,"AAAAAEf8+5U=")</f>
        <v>#REF!</v>
      </c>
      <c r="EU137" t="e">
        <f>AND('GA55 Entry'!Z456,"AAAAAEf8+5Y=")</f>
        <v>#VALUE!</v>
      </c>
      <c r="EV137" t="e">
        <f>AND('GA55 Entry'!AA456,"AAAAAEf8+5c=")</f>
        <v>#VALUE!</v>
      </c>
      <c r="EW137" t="e">
        <f>AND('GA55 Entry'!#REF!,"AAAAAEf8+5g=")</f>
        <v>#REF!</v>
      </c>
      <c r="EX137" t="e">
        <f>AND('GA55 Entry'!#REF!,"AAAAAEf8+5k=")</f>
        <v>#REF!</v>
      </c>
      <c r="EY137" t="e">
        <f>AND('GA55 Entry'!#REF!,"AAAAAEf8+5o=")</f>
        <v>#REF!</v>
      </c>
      <c r="EZ137" t="e">
        <f>AND('GA55 Entry'!AB456,"AAAAAEf8+5s=")</f>
        <v>#VALUE!</v>
      </c>
      <c r="FA137" t="e">
        <f>AND('GA55 Entry'!AC456,"AAAAAEf8+5w=")</f>
        <v>#VALUE!</v>
      </c>
      <c r="FB137" t="e">
        <f>AND('GA55 Entry'!#REF!,"AAAAAEf8+50=")</f>
        <v>#REF!</v>
      </c>
      <c r="FC137">
        <f>IF('GA55 Entry'!457:457,"AAAAAEf8+54=",0)</f>
        <v>0</v>
      </c>
      <c r="FD137" t="e">
        <f>AND('GA55 Entry'!B457,"AAAAAEf8+58=")</f>
        <v>#VALUE!</v>
      </c>
      <c r="FE137" t="e">
        <f>AND('GA55 Entry'!#REF!,"AAAAAEf8+6A=")</f>
        <v>#REF!</v>
      </c>
      <c r="FF137" t="e">
        <f>AND('GA55 Entry'!C457,"AAAAAEf8+6E=")</f>
        <v>#VALUE!</v>
      </c>
      <c r="FG137" t="e">
        <f>AND('GA55 Entry'!#REF!,"AAAAAEf8+6I=")</f>
        <v>#REF!</v>
      </c>
      <c r="FH137" t="e">
        <f>AND('GA55 Entry'!#REF!,"AAAAAEf8+6M=")</f>
        <v>#REF!</v>
      </c>
      <c r="FI137" t="e">
        <f>AND('GA55 Entry'!#REF!,"AAAAAEf8+6Q=")</f>
        <v>#REF!</v>
      </c>
      <c r="FJ137" t="e">
        <f>AND('GA55 Entry'!#REF!,"AAAAAEf8+6U=")</f>
        <v>#REF!</v>
      </c>
      <c r="FK137" t="e">
        <f>AND('GA55 Entry'!#REF!,"AAAAAEf8+6Y=")</f>
        <v>#REF!</v>
      </c>
      <c r="FL137" t="e">
        <f>AND('GA55 Entry'!D457,"AAAAAEf8+6c=")</f>
        <v>#VALUE!</v>
      </c>
      <c r="FM137" t="e">
        <f>AND('GA55 Entry'!#REF!,"AAAAAEf8+6g=")</f>
        <v>#REF!</v>
      </c>
      <c r="FN137" t="e">
        <f>AND('GA55 Entry'!E457,"AAAAAEf8+6k=")</f>
        <v>#VALUE!</v>
      </c>
      <c r="FO137" t="e">
        <f>AND('GA55 Entry'!F457,"AAAAAEf8+6o=")</f>
        <v>#VALUE!</v>
      </c>
      <c r="FP137" t="e">
        <f>AND('GA55 Entry'!G457,"AAAAAEf8+6s=")</f>
        <v>#VALUE!</v>
      </c>
      <c r="FQ137" t="e">
        <f>AND('GA55 Entry'!H457,"AAAAAEf8+6w=")</f>
        <v>#VALUE!</v>
      </c>
      <c r="FR137" t="e">
        <f>AND('GA55 Entry'!I457,"AAAAAEf8+60=")</f>
        <v>#VALUE!</v>
      </c>
      <c r="FS137" t="e">
        <f>AND('GA55 Entry'!J457,"AAAAAEf8+64=")</f>
        <v>#VALUE!</v>
      </c>
      <c r="FT137" t="e">
        <f>AND('GA55 Entry'!#REF!,"AAAAAEf8+68=")</f>
        <v>#REF!</v>
      </c>
      <c r="FU137" t="e">
        <f>AND('GA55 Entry'!K457,"AAAAAEf8+7A=")</f>
        <v>#VALUE!</v>
      </c>
      <c r="FV137" t="e">
        <f>AND('GA55 Entry'!L457,"AAAAAEf8+7E=")</f>
        <v>#VALUE!</v>
      </c>
      <c r="FW137" t="e">
        <f>AND('GA55 Entry'!M457,"AAAAAEf8+7I=")</f>
        <v>#VALUE!</v>
      </c>
      <c r="FX137" t="e">
        <f>AND('GA55 Entry'!N457,"AAAAAEf8+7M=")</f>
        <v>#VALUE!</v>
      </c>
      <c r="FY137" t="e">
        <f>AND('GA55 Entry'!O457,"AAAAAEf8+7Q=")</f>
        <v>#VALUE!</v>
      </c>
      <c r="FZ137" t="e">
        <f>AND('GA55 Entry'!P457,"AAAAAEf8+7U=")</f>
        <v>#VALUE!</v>
      </c>
      <c r="GA137" t="e">
        <f>AND('GA55 Entry'!Q457,"AAAAAEf8+7Y=")</f>
        <v>#VALUE!</v>
      </c>
      <c r="GB137" t="e">
        <f>AND('GA55 Entry'!S457,"AAAAAEf8+7c=")</f>
        <v>#VALUE!</v>
      </c>
      <c r="GC137" t="e">
        <f>AND('GA55 Entry'!#REF!,"AAAAAEf8+7g=")</f>
        <v>#REF!</v>
      </c>
      <c r="GD137" t="e">
        <f>AND('GA55 Entry'!T457,"AAAAAEf8+7k=")</f>
        <v>#VALUE!</v>
      </c>
      <c r="GE137" t="e">
        <f>AND('GA55 Entry'!U457,"AAAAAEf8+7o=")</f>
        <v>#VALUE!</v>
      </c>
      <c r="GF137" t="e">
        <f>AND('GA55 Entry'!V457,"AAAAAEf8+7s=")</f>
        <v>#VALUE!</v>
      </c>
      <c r="GG137" t="e">
        <f>AND('GA55 Entry'!#REF!,"AAAAAEf8+7w=")</f>
        <v>#REF!</v>
      </c>
      <c r="GH137" t="e">
        <f>AND('GA55 Entry'!#REF!,"AAAAAEf8+70=")</f>
        <v>#REF!</v>
      </c>
      <c r="GI137" t="e">
        <f>AND('GA55 Entry'!X457,"AAAAAEf8+74=")</f>
        <v>#VALUE!</v>
      </c>
      <c r="GJ137" t="e">
        <f>AND('GA55 Entry'!Y457,"AAAAAEf8+78=")</f>
        <v>#VALUE!</v>
      </c>
      <c r="GK137" t="e">
        <f>AND('GA55 Entry'!#REF!,"AAAAAEf8+8A=")</f>
        <v>#REF!</v>
      </c>
      <c r="GL137" t="e">
        <f>AND('GA55 Entry'!#REF!,"AAAAAEf8+8E=")</f>
        <v>#REF!</v>
      </c>
      <c r="GM137" t="e">
        <f>AND('GA55 Entry'!#REF!,"AAAAAEf8+8I=")</f>
        <v>#REF!</v>
      </c>
      <c r="GN137" t="e">
        <f>AND('GA55 Entry'!#REF!,"AAAAAEf8+8M=")</f>
        <v>#REF!</v>
      </c>
      <c r="GO137" t="e">
        <f>AND('GA55 Entry'!#REF!,"AAAAAEf8+8Q=")</f>
        <v>#REF!</v>
      </c>
      <c r="GP137" t="e">
        <f>AND('GA55 Entry'!#REF!,"AAAAAEf8+8U=")</f>
        <v>#REF!</v>
      </c>
      <c r="GQ137" t="e">
        <f>AND('GA55 Entry'!#REF!,"AAAAAEf8+8Y=")</f>
        <v>#REF!</v>
      </c>
      <c r="GR137" t="e">
        <f>AND('GA55 Entry'!#REF!,"AAAAAEf8+8c=")</f>
        <v>#REF!</v>
      </c>
      <c r="GS137" t="e">
        <f>AND('GA55 Entry'!#REF!,"AAAAAEf8+8g=")</f>
        <v>#REF!</v>
      </c>
      <c r="GT137" t="e">
        <f>AND('GA55 Entry'!Z457,"AAAAAEf8+8k=")</f>
        <v>#VALUE!</v>
      </c>
      <c r="GU137" t="e">
        <f>AND('GA55 Entry'!AA457,"AAAAAEf8+8o=")</f>
        <v>#VALUE!</v>
      </c>
      <c r="GV137" t="e">
        <f>AND('GA55 Entry'!#REF!,"AAAAAEf8+8s=")</f>
        <v>#REF!</v>
      </c>
      <c r="GW137" t="e">
        <f>AND('GA55 Entry'!#REF!,"AAAAAEf8+8w=")</f>
        <v>#REF!</v>
      </c>
      <c r="GX137" t="e">
        <f>AND('GA55 Entry'!#REF!,"AAAAAEf8+80=")</f>
        <v>#REF!</v>
      </c>
      <c r="GY137" t="e">
        <f>AND('GA55 Entry'!AB457,"AAAAAEf8+84=")</f>
        <v>#VALUE!</v>
      </c>
      <c r="GZ137" t="e">
        <f>AND('GA55 Entry'!AC457,"AAAAAEf8+88=")</f>
        <v>#VALUE!</v>
      </c>
      <c r="HA137" t="e">
        <f>AND('GA55 Entry'!#REF!,"AAAAAEf8+9A=")</f>
        <v>#REF!</v>
      </c>
      <c r="HB137">
        <f>IF('GA55 Entry'!458:458,"AAAAAEf8+9E=",0)</f>
        <v>0</v>
      </c>
      <c r="HC137" t="e">
        <f>AND('GA55 Entry'!B458,"AAAAAEf8+9I=")</f>
        <v>#VALUE!</v>
      </c>
      <c r="HD137" t="e">
        <f>AND('GA55 Entry'!#REF!,"AAAAAEf8+9M=")</f>
        <v>#REF!</v>
      </c>
      <c r="HE137" t="e">
        <f>AND('GA55 Entry'!C458,"AAAAAEf8+9Q=")</f>
        <v>#VALUE!</v>
      </c>
      <c r="HF137" t="e">
        <f>AND('GA55 Entry'!#REF!,"AAAAAEf8+9U=")</f>
        <v>#REF!</v>
      </c>
      <c r="HG137" t="e">
        <f>AND('GA55 Entry'!#REF!,"AAAAAEf8+9Y=")</f>
        <v>#REF!</v>
      </c>
      <c r="HH137" t="e">
        <f>AND('GA55 Entry'!#REF!,"AAAAAEf8+9c=")</f>
        <v>#REF!</v>
      </c>
      <c r="HI137" t="e">
        <f>AND('GA55 Entry'!#REF!,"AAAAAEf8+9g=")</f>
        <v>#REF!</v>
      </c>
      <c r="HJ137" t="e">
        <f>AND('GA55 Entry'!#REF!,"AAAAAEf8+9k=")</f>
        <v>#REF!</v>
      </c>
      <c r="HK137" t="e">
        <f>AND('GA55 Entry'!D458,"AAAAAEf8+9o=")</f>
        <v>#VALUE!</v>
      </c>
      <c r="HL137" t="e">
        <f>AND('GA55 Entry'!#REF!,"AAAAAEf8+9s=")</f>
        <v>#REF!</v>
      </c>
      <c r="HM137" t="e">
        <f>AND('GA55 Entry'!E458,"AAAAAEf8+9w=")</f>
        <v>#VALUE!</v>
      </c>
      <c r="HN137" t="e">
        <f>AND('GA55 Entry'!F458,"AAAAAEf8+90=")</f>
        <v>#VALUE!</v>
      </c>
      <c r="HO137" t="e">
        <f>AND('GA55 Entry'!G458,"AAAAAEf8+94=")</f>
        <v>#VALUE!</v>
      </c>
      <c r="HP137" t="e">
        <f>AND('GA55 Entry'!H458,"AAAAAEf8+98=")</f>
        <v>#VALUE!</v>
      </c>
      <c r="HQ137" t="e">
        <f>AND('GA55 Entry'!I458,"AAAAAEf8++A=")</f>
        <v>#VALUE!</v>
      </c>
      <c r="HR137" t="e">
        <f>AND('GA55 Entry'!J458,"AAAAAEf8++E=")</f>
        <v>#VALUE!</v>
      </c>
      <c r="HS137" t="e">
        <f>AND('GA55 Entry'!#REF!,"AAAAAEf8++I=")</f>
        <v>#REF!</v>
      </c>
      <c r="HT137" t="e">
        <f>AND('GA55 Entry'!K458,"AAAAAEf8++M=")</f>
        <v>#VALUE!</v>
      </c>
      <c r="HU137" t="e">
        <f>AND('GA55 Entry'!L458,"AAAAAEf8++Q=")</f>
        <v>#VALUE!</v>
      </c>
      <c r="HV137" t="e">
        <f>AND('GA55 Entry'!M458,"AAAAAEf8++U=")</f>
        <v>#VALUE!</v>
      </c>
      <c r="HW137" t="e">
        <f>AND('GA55 Entry'!N458,"AAAAAEf8++Y=")</f>
        <v>#VALUE!</v>
      </c>
      <c r="HX137" t="e">
        <f>AND('GA55 Entry'!O458,"AAAAAEf8++c=")</f>
        <v>#VALUE!</v>
      </c>
      <c r="HY137" t="e">
        <f>AND('GA55 Entry'!P458,"AAAAAEf8++g=")</f>
        <v>#VALUE!</v>
      </c>
      <c r="HZ137" t="e">
        <f>AND('GA55 Entry'!Q458,"AAAAAEf8++k=")</f>
        <v>#VALUE!</v>
      </c>
      <c r="IA137" t="e">
        <f>AND('GA55 Entry'!S458,"AAAAAEf8++o=")</f>
        <v>#VALUE!</v>
      </c>
      <c r="IB137" t="e">
        <f>AND('GA55 Entry'!#REF!,"AAAAAEf8++s=")</f>
        <v>#REF!</v>
      </c>
      <c r="IC137" t="e">
        <f>AND('GA55 Entry'!T458,"AAAAAEf8++w=")</f>
        <v>#VALUE!</v>
      </c>
      <c r="ID137" t="e">
        <f>AND('GA55 Entry'!U458,"AAAAAEf8++0=")</f>
        <v>#VALUE!</v>
      </c>
      <c r="IE137" t="e">
        <f>AND('GA55 Entry'!V458,"AAAAAEf8++4=")</f>
        <v>#VALUE!</v>
      </c>
      <c r="IF137" t="e">
        <f>AND('GA55 Entry'!#REF!,"AAAAAEf8++8=")</f>
        <v>#REF!</v>
      </c>
      <c r="IG137" t="e">
        <f>AND('GA55 Entry'!#REF!,"AAAAAEf8+/A=")</f>
        <v>#REF!</v>
      </c>
      <c r="IH137" t="e">
        <f>AND('GA55 Entry'!X458,"AAAAAEf8+/E=")</f>
        <v>#VALUE!</v>
      </c>
      <c r="II137" t="e">
        <f>AND('GA55 Entry'!Y458,"AAAAAEf8+/I=")</f>
        <v>#VALUE!</v>
      </c>
      <c r="IJ137" t="e">
        <f>AND('GA55 Entry'!#REF!,"AAAAAEf8+/M=")</f>
        <v>#REF!</v>
      </c>
      <c r="IK137" t="e">
        <f>AND('GA55 Entry'!#REF!,"AAAAAEf8+/Q=")</f>
        <v>#REF!</v>
      </c>
      <c r="IL137" t="e">
        <f>AND('GA55 Entry'!#REF!,"AAAAAEf8+/U=")</f>
        <v>#REF!</v>
      </c>
      <c r="IM137" t="e">
        <f>AND('GA55 Entry'!#REF!,"AAAAAEf8+/Y=")</f>
        <v>#REF!</v>
      </c>
      <c r="IN137" t="e">
        <f>AND('GA55 Entry'!#REF!,"AAAAAEf8+/c=")</f>
        <v>#REF!</v>
      </c>
      <c r="IO137" t="e">
        <f>AND('GA55 Entry'!#REF!,"AAAAAEf8+/g=")</f>
        <v>#REF!</v>
      </c>
      <c r="IP137" t="e">
        <f>AND('GA55 Entry'!#REF!,"AAAAAEf8+/k=")</f>
        <v>#REF!</v>
      </c>
      <c r="IQ137" t="e">
        <f>AND('GA55 Entry'!#REF!,"AAAAAEf8+/o=")</f>
        <v>#REF!</v>
      </c>
      <c r="IR137" t="e">
        <f>AND('GA55 Entry'!#REF!,"AAAAAEf8+/s=")</f>
        <v>#REF!</v>
      </c>
      <c r="IS137" t="e">
        <f>AND('GA55 Entry'!Z458,"AAAAAEf8+/w=")</f>
        <v>#VALUE!</v>
      </c>
      <c r="IT137" t="e">
        <f>AND('GA55 Entry'!AA458,"AAAAAEf8+/0=")</f>
        <v>#VALUE!</v>
      </c>
      <c r="IU137" t="e">
        <f>AND('GA55 Entry'!#REF!,"AAAAAEf8+/4=")</f>
        <v>#REF!</v>
      </c>
      <c r="IV137" t="e">
        <f>AND('GA55 Entry'!#REF!,"AAAAAEf8+/8=")</f>
        <v>#REF!</v>
      </c>
    </row>
    <row r="138" spans="1:256">
      <c r="A138" t="e">
        <f>AND('GA55 Entry'!#REF!,"AAAAAHz/XwA=")</f>
        <v>#REF!</v>
      </c>
      <c r="B138" t="e">
        <f>AND('GA55 Entry'!AB458,"AAAAAHz/XwE=")</f>
        <v>#VALUE!</v>
      </c>
      <c r="C138" t="e">
        <f>AND('GA55 Entry'!AC458,"AAAAAHz/XwI=")</f>
        <v>#VALUE!</v>
      </c>
      <c r="D138" t="e">
        <f>AND('GA55 Entry'!#REF!,"AAAAAHz/XwM=")</f>
        <v>#REF!</v>
      </c>
      <c r="E138">
        <f>IF('GA55 Entry'!459:459,"AAAAAHz/XwQ=",0)</f>
        <v>0</v>
      </c>
      <c r="F138" t="e">
        <f>AND('GA55 Entry'!B459,"AAAAAHz/XwU=")</f>
        <v>#VALUE!</v>
      </c>
      <c r="G138" t="e">
        <f>AND('GA55 Entry'!#REF!,"AAAAAHz/XwY=")</f>
        <v>#REF!</v>
      </c>
      <c r="H138" t="e">
        <f>AND('GA55 Entry'!C459,"AAAAAHz/Xwc=")</f>
        <v>#VALUE!</v>
      </c>
      <c r="I138" t="e">
        <f>AND('GA55 Entry'!#REF!,"AAAAAHz/Xwg=")</f>
        <v>#REF!</v>
      </c>
      <c r="J138" t="e">
        <f>AND('GA55 Entry'!#REF!,"AAAAAHz/Xwk=")</f>
        <v>#REF!</v>
      </c>
      <c r="K138" t="e">
        <f>AND('GA55 Entry'!#REF!,"AAAAAHz/Xwo=")</f>
        <v>#REF!</v>
      </c>
      <c r="L138" t="e">
        <f>AND('GA55 Entry'!#REF!,"AAAAAHz/Xws=")</f>
        <v>#REF!</v>
      </c>
      <c r="M138" t="e">
        <f>AND('GA55 Entry'!#REF!,"AAAAAHz/Xww=")</f>
        <v>#REF!</v>
      </c>
      <c r="N138" t="e">
        <f>AND('GA55 Entry'!D459,"AAAAAHz/Xw0=")</f>
        <v>#VALUE!</v>
      </c>
      <c r="O138" t="e">
        <f>AND('GA55 Entry'!#REF!,"AAAAAHz/Xw4=")</f>
        <v>#REF!</v>
      </c>
      <c r="P138" t="e">
        <f>AND('GA55 Entry'!E459,"AAAAAHz/Xw8=")</f>
        <v>#VALUE!</v>
      </c>
      <c r="Q138" t="e">
        <f>AND('GA55 Entry'!F459,"AAAAAHz/XxA=")</f>
        <v>#VALUE!</v>
      </c>
      <c r="R138" t="e">
        <f>AND('GA55 Entry'!G459,"AAAAAHz/XxE=")</f>
        <v>#VALUE!</v>
      </c>
      <c r="S138" t="e">
        <f>AND('GA55 Entry'!H459,"AAAAAHz/XxI=")</f>
        <v>#VALUE!</v>
      </c>
      <c r="T138" t="e">
        <f>AND('GA55 Entry'!I459,"AAAAAHz/XxM=")</f>
        <v>#VALUE!</v>
      </c>
      <c r="U138" t="e">
        <f>AND('GA55 Entry'!J459,"AAAAAHz/XxQ=")</f>
        <v>#VALUE!</v>
      </c>
      <c r="V138" t="e">
        <f>AND('GA55 Entry'!#REF!,"AAAAAHz/XxU=")</f>
        <v>#REF!</v>
      </c>
      <c r="W138" t="e">
        <f>AND('GA55 Entry'!K459,"AAAAAHz/XxY=")</f>
        <v>#VALUE!</v>
      </c>
      <c r="X138" t="e">
        <f>AND('GA55 Entry'!L459,"AAAAAHz/Xxc=")</f>
        <v>#VALUE!</v>
      </c>
      <c r="Y138" t="e">
        <f>AND('GA55 Entry'!M459,"AAAAAHz/Xxg=")</f>
        <v>#VALUE!</v>
      </c>
      <c r="Z138" t="e">
        <f>AND('GA55 Entry'!N459,"AAAAAHz/Xxk=")</f>
        <v>#VALUE!</v>
      </c>
      <c r="AA138" t="e">
        <f>AND('GA55 Entry'!O459,"AAAAAHz/Xxo=")</f>
        <v>#VALUE!</v>
      </c>
      <c r="AB138" t="e">
        <f>AND('GA55 Entry'!P459,"AAAAAHz/Xxs=")</f>
        <v>#VALUE!</v>
      </c>
      <c r="AC138" t="e">
        <f>AND('GA55 Entry'!Q459,"AAAAAHz/Xxw=")</f>
        <v>#VALUE!</v>
      </c>
      <c r="AD138" t="e">
        <f>AND('GA55 Entry'!S459,"AAAAAHz/Xx0=")</f>
        <v>#VALUE!</v>
      </c>
      <c r="AE138" t="e">
        <f>AND('GA55 Entry'!#REF!,"AAAAAHz/Xx4=")</f>
        <v>#REF!</v>
      </c>
      <c r="AF138" t="e">
        <f>AND('GA55 Entry'!T459,"AAAAAHz/Xx8=")</f>
        <v>#VALUE!</v>
      </c>
      <c r="AG138" t="e">
        <f>AND('GA55 Entry'!U459,"AAAAAHz/XyA=")</f>
        <v>#VALUE!</v>
      </c>
      <c r="AH138" t="e">
        <f>AND('GA55 Entry'!V459,"AAAAAHz/XyE=")</f>
        <v>#VALUE!</v>
      </c>
      <c r="AI138" t="e">
        <f>AND('GA55 Entry'!#REF!,"AAAAAHz/XyI=")</f>
        <v>#REF!</v>
      </c>
      <c r="AJ138" t="e">
        <f>AND('GA55 Entry'!#REF!,"AAAAAHz/XyM=")</f>
        <v>#REF!</v>
      </c>
      <c r="AK138" t="e">
        <f>AND('GA55 Entry'!X459,"AAAAAHz/XyQ=")</f>
        <v>#VALUE!</v>
      </c>
      <c r="AL138" t="e">
        <f>AND('GA55 Entry'!Y459,"AAAAAHz/XyU=")</f>
        <v>#VALUE!</v>
      </c>
      <c r="AM138" t="e">
        <f>AND('GA55 Entry'!#REF!,"AAAAAHz/XyY=")</f>
        <v>#REF!</v>
      </c>
      <c r="AN138" t="e">
        <f>AND('GA55 Entry'!#REF!,"AAAAAHz/Xyc=")</f>
        <v>#REF!</v>
      </c>
      <c r="AO138" t="e">
        <f>AND('GA55 Entry'!#REF!,"AAAAAHz/Xyg=")</f>
        <v>#REF!</v>
      </c>
      <c r="AP138" t="e">
        <f>AND('GA55 Entry'!#REF!,"AAAAAHz/Xyk=")</f>
        <v>#REF!</v>
      </c>
      <c r="AQ138" t="e">
        <f>AND('GA55 Entry'!#REF!,"AAAAAHz/Xyo=")</f>
        <v>#REF!</v>
      </c>
      <c r="AR138" t="e">
        <f>AND('GA55 Entry'!#REF!,"AAAAAHz/Xys=")</f>
        <v>#REF!</v>
      </c>
      <c r="AS138" t="e">
        <f>AND('GA55 Entry'!#REF!,"AAAAAHz/Xyw=")</f>
        <v>#REF!</v>
      </c>
      <c r="AT138" t="e">
        <f>AND('GA55 Entry'!#REF!,"AAAAAHz/Xy0=")</f>
        <v>#REF!</v>
      </c>
      <c r="AU138" t="e">
        <f>AND('GA55 Entry'!#REF!,"AAAAAHz/Xy4=")</f>
        <v>#REF!</v>
      </c>
      <c r="AV138" t="e">
        <f>AND('GA55 Entry'!Z459,"AAAAAHz/Xy8=")</f>
        <v>#VALUE!</v>
      </c>
      <c r="AW138" t="e">
        <f>AND('GA55 Entry'!AA459,"AAAAAHz/XzA=")</f>
        <v>#VALUE!</v>
      </c>
      <c r="AX138" t="e">
        <f>AND('GA55 Entry'!#REF!,"AAAAAHz/XzE=")</f>
        <v>#REF!</v>
      </c>
      <c r="AY138" t="e">
        <f>AND('GA55 Entry'!#REF!,"AAAAAHz/XzI=")</f>
        <v>#REF!</v>
      </c>
      <c r="AZ138" t="e">
        <f>AND('GA55 Entry'!#REF!,"AAAAAHz/XzM=")</f>
        <v>#REF!</v>
      </c>
      <c r="BA138" t="e">
        <f>AND('GA55 Entry'!AB459,"AAAAAHz/XzQ=")</f>
        <v>#VALUE!</v>
      </c>
      <c r="BB138" t="e">
        <f>AND('GA55 Entry'!AC459,"AAAAAHz/XzU=")</f>
        <v>#VALUE!</v>
      </c>
      <c r="BC138" t="e">
        <f>AND('GA55 Entry'!#REF!,"AAAAAHz/XzY=")</f>
        <v>#REF!</v>
      </c>
      <c r="BD138">
        <f>IF('GA55 Entry'!460:460,"AAAAAHz/Xzc=",0)</f>
        <v>0</v>
      </c>
      <c r="BE138" t="e">
        <f>AND('GA55 Entry'!B460,"AAAAAHz/Xzg=")</f>
        <v>#VALUE!</v>
      </c>
      <c r="BF138" t="e">
        <f>AND('GA55 Entry'!#REF!,"AAAAAHz/Xzk=")</f>
        <v>#REF!</v>
      </c>
      <c r="BG138" t="e">
        <f>AND('GA55 Entry'!C460,"AAAAAHz/Xzo=")</f>
        <v>#VALUE!</v>
      </c>
      <c r="BH138" t="e">
        <f>AND('GA55 Entry'!#REF!,"AAAAAHz/Xzs=")</f>
        <v>#REF!</v>
      </c>
      <c r="BI138" t="e">
        <f>AND('GA55 Entry'!#REF!,"AAAAAHz/Xzw=")</f>
        <v>#REF!</v>
      </c>
      <c r="BJ138" t="e">
        <f>AND('GA55 Entry'!#REF!,"AAAAAHz/Xz0=")</f>
        <v>#REF!</v>
      </c>
      <c r="BK138" t="e">
        <f>AND('GA55 Entry'!#REF!,"AAAAAHz/Xz4=")</f>
        <v>#REF!</v>
      </c>
      <c r="BL138" t="e">
        <f>AND('GA55 Entry'!#REF!,"AAAAAHz/Xz8=")</f>
        <v>#REF!</v>
      </c>
      <c r="BM138" t="e">
        <f>AND('GA55 Entry'!D460,"AAAAAHz/X0A=")</f>
        <v>#VALUE!</v>
      </c>
      <c r="BN138" t="e">
        <f>AND('GA55 Entry'!#REF!,"AAAAAHz/X0E=")</f>
        <v>#REF!</v>
      </c>
      <c r="BO138" t="e">
        <f>AND('GA55 Entry'!E460,"AAAAAHz/X0I=")</f>
        <v>#VALUE!</v>
      </c>
      <c r="BP138" t="e">
        <f>AND('GA55 Entry'!F460,"AAAAAHz/X0M=")</f>
        <v>#VALUE!</v>
      </c>
      <c r="BQ138" t="e">
        <f>AND('GA55 Entry'!G460,"AAAAAHz/X0Q=")</f>
        <v>#VALUE!</v>
      </c>
      <c r="BR138" t="e">
        <f>AND('GA55 Entry'!H460,"AAAAAHz/X0U=")</f>
        <v>#VALUE!</v>
      </c>
      <c r="BS138" t="e">
        <f>AND('GA55 Entry'!I460,"AAAAAHz/X0Y=")</f>
        <v>#VALUE!</v>
      </c>
      <c r="BT138" t="e">
        <f>AND('GA55 Entry'!J460,"AAAAAHz/X0c=")</f>
        <v>#VALUE!</v>
      </c>
      <c r="BU138" t="e">
        <f>AND('GA55 Entry'!#REF!,"AAAAAHz/X0g=")</f>
        <v>#REF!</v>
      </c>
      <c r="BV138" t="e">
        <f>AND('GA55 Entry'!K460,"AAAAAHz/X0k=")</f>
        <v>#VALUE!</v>
      </c>
      <c r="BW138" t="e">
        <f>AND('GA55 Entry'!L460,"AAAAAHz/X0o=")</f>
        <v>#VALUE!</v>
      </c>
      <c r="BX138" t="e">
        <f>AND('GA55 Entry'!M460,"AAAAAHz/X0s=")</f>
        <v>#VALUE!</v>
      </c>
      <c r="BY138" t="e">
        <f>AND('GA55 Entry'!N460,"AAAAAHz/X0w=")</f>
        <v>#VALUE!</v>
      </c>
      <c r="BZ138" t="e">
        <f>AND('GA55 Entry'!O460,"AAAAAHz/X00=")</f>
        <v>#VALUE!</v>
      </c>
      <c r="CA138" t="e">
        <f>AND('GA55 Entry'!P460,"AAAAAHz/X04=")</f>
        <v>#VALUE!</v>
      </c>
      <c r="CB138" t="e">
        <f>AND('GA55 Entry'!Q460,"AAAAAHz/X08=")</f>
        <v>#VALUE!</v>
      </c>
      <c r="CC138" t="e">
        <f>AND('GA55 Entry'!S460,"AAAAAHz/X1A=")</f>
        <v>#VALUE!</v>
      </c>
      <c r="CD138" t="e">
        <f>AND('GA55 Entry'!#REF!,"AAAAAHz/X1E=")</f>
        <v>#REF!</v>
      </c>
      <c r="CE138" t="e">
        <f>AND('GA55 Entry'!T460,"AAAAAHz/X1I=")</f>
        <v>#VALUE!</v>
      </c>
      <c r="CF138" t="e">
        <f>AND('GA55 Entry'!U460,"AAAAAHz/X1M=")</f>
        <v>#VALUE!</v>
      </c>
      <c r="CG138" t="e">
        <f>AND('GA55 Entry'!V460,"AAAAAHz/X1Q=")</f>
        <v>#VALUE!</v>
      </c>
      <c r="CH138" t="e">
        <f>AND('GA55 Entry'!#REF!,"AAAAAHz/X1U=")</f>
        <v>#REF!</v>
      </c>
      <c r="CI138" t="e">
        <f>AND('GA55 Entry'!#REF!,"AAAAAHz/X1Y=")</f>
        <v>#REF!</v>
      </c>
      <c r="CJ138" t="e">
        <f>AND('GA55 Entry'!X460,"AAAAAHz/X1c=")</f>
        <v>#VALUE!</v>
      </c>
      <c r="CK138" t="e">
        <f>AND('GA55 Entry'!Y460,"AAAAAHz/X1g=")</f>
        <v>#VALUE!</v>
      </c>
      <c r="CL138" t="e">
        <f>AND('GA55 Entry'!#REF!,"AAAAAHz/X1k=")</f>
        <v>#REF!</v>
      </c>
      <c r="CM138" t="e">
        <f>AND('GA55 Entry'!#REF!,"AAAAAHz/X1o=")</f>
        <v>#REF!</v>
      </c>
      <c r="CN138" t="e">
        <f>AND('GA55 Entry'!#REF!,"AAAAAHz/X1s=")</f>
        <v>#REF!</v>
      </c>
      <c r="CO138" t="e">
        <f>AND('GA55 Entry'!#REF!,"AAAAAHz/X1w=")</f>
        <v>#REF!</v>
      </c>
      <c r="CP138" t="e">
        <f>AND('GA55 Entry'!#REF!,"AAAAAHz/X10=")</f>
        <v>#REF!</v>
      </c>
      <c r="CQ138" t="e">
        <f>AND('GA55 Entry'!#REF!,"AAAAAHz/X14=")</f>
        <v>#REF!</v>
      </c>
      <c r="CR138" t="e">
        <f>AND('GA55 Entry'!#REF!,"AAAAAHz/X18=")</f>
        <v>#REF!</v>
      </c>
      <c r="CS138" t="e">
        <f>AND('GA55 Entry'!#REF!,"AAAAAHz/X2A=")</f>
        <v>#REF!</v>
      </c>
      <c r="CT138" t="e">
        <f>AND('GA55 Entry'!#REF!,"AAAAAHz/X2E=")</f>
        <v>#REF!</v>
      </c>
      <c r="CU138" t="e">
        <f>AND('GA55 Entry'!Z460,"AAAAAHz/X2I=")</f>
        <v>#VALUE!</v>
      </c>
      <c r="CV138" t="e">
        <f>AND('GA55 Entry'!AA460,"AAAAAHz/X2M=")</f>
        <v>#VALUE!</v>
      </c>
      <c r="CW138" t="e">
        <f>AND('GA55 Entry'!#REF!,"AAAAAHz/X2Q=")</f>
        <v>#REF!</v>
      </c>
      <c r="CX138" t="e">
        <f>AND('GA55 Entry'!#REF!,"AAAAAHz/X2U=")</f>
        <v>#REF!</v>
      </c>
      <c r="CY138" t="e">
        <f>AND('GA55 Entry'!#REF!,"AAAAAHz/X2Y=")</f>
        <v>#REF!</v>
      </c>
      <c r="CZ138" t="e">
        <f>AND('GA55 Entry'!AB460,"AAAAAHz/X2c=")</f>
        <v>#VALUE!</v>
      </c>
      <c r="DA138" t="e">
        <f>AND('GA55 Entry'!AC460,"AAAAAHz/X2g=")</f>
        <v>#VALUE!</v>
      </c>
      <c r="DB138" t="e">
        <f>AND('GA55 Entry'!#REF!,"AAAAAHz/X2k=")</f>
        <v>#REF!</v>
      </c>
      <c r="DC138">
        <f>IF('GA55 Entry'!461:461,"AAAAAHz/X2o=",0)</f>
        <v>0</v>
      </c>
      <c r="DD138" t="e">
        <f>AND('GA55 Entry'!B461,"AAAAAHz/X2s=")</f>
        <v>#VALUE!</v>
      </c>
      <c r="DE138" t="e">
        <f>AND('GA55 Entry'!#REF!,"AAAAAHz/X2w=")</f>
        <v>#REF!</v>
      </c>
      <c r="DF138" t="e">
        <f>AND('GA55 Entry'!C461,"AAAAAHz/X20=")</f>
        <v>#VALUE!</v>
      </c>
      <c r="DG138" t="e">
        <f>AND('GA55 Entry'!#REF!,"AAAAAHz/X24=")</f>
        <v>#REF!</v>
      </c>
      <c r="DH138" t="e">
        <f>AND('GA55 Entry'!#REF!,"AAAAAHz/X28=")</f>
        <v>#REF!</v>
      </c>
      <c r="DI138" t="e">
        <f>AND('GA55 Entry'!#REF!,"AAAAAHz/X3A=")</f>
        <v>#REF!</v>
      </c>
      <c r="DJ138" t="e">
        <f>AND('GA55 Entry'!#REF!,"AAAAAHz/X3E=")</f>
        <v>#REF!</v>
      </c>
      <c r="DK138" t="e">
        <f>AND('GA55 Entry'!#REF!,"AAAAAHz/X3I=")</f>
        <v>#REF!</v>
      </c>
      <c r="DL138" t="e">
        <f>AND('GA55 Entry'!D461,"AAAAAHz/X3M=")</f>
        <v>#VALUE!</v>
      </c>
      <c r="DM138" t="e">
        <f>AND('GA55 Entry'!#REF!,"AAAAAHz/X3Q=")</f>
        <v>#REF!</v>
      </c>
      <c r="DN138" t="e">
        <f>AND('GA55 Entry'!E461,"AAAAAHz/X3U=")</f>
        <v>#VALUE!</v>
      </c>
      <c r="DO138" t="e">
        <f>AND('GA55 Entry'!F461,"AAAAAHz/X3Y=")</f>
        <v>#VALUE!</v>
      </c>
      <c r="DP138" t="e">
        <f>AND('GA55 Entry'!G461,"AAAAAHz/X3c=")</f>
        <v>#VALUE!</v>
      </c>
      <c r="DQ138" t="e">
        <f>AND('GA55 Entry'!H461,"AAAAAHz/X3g=")</f>
        <v>#VALUE!</v>
      </c>
      <c r="DR138" t="e">
        <f>AND('GA55 Entry'!I461,"AAAAAHz/X3k=")</f>
        <v>#VALUE!</v>
      </c>
      <c r="DS138" t="e">
        <f>AND('GA55 Entry'!J461,"AAAAAHz/X3o=")</f>
        <v>#VALUE!</v>
      </c>
      <c r="DT138" t="e">
        <f>AND('GA55 Entry'!#REF!,"AAAAAHz/X3s=")</f>
        <v>#REF!</v>
      </c>
      <c r="DU138" t="e">
        <f>AND('GA55 Entry'!K461,"AAAAAHz/X3w=")</f>
        <v>#VALUE!</v>
      </c>
      <c r="DV138" t="e">
        <f>AND('GA55 Entry'!L461,"AAAAAHz/X30=")</f>
        <v>#VALUE!</v>
      </c>
      <c r="DW138" t="e">
        <f>AND('GA55 Entry'!M461,"AAAAAHz/X34=")</f>
        <v>#VALUE!</v>
      </c>
      <c r="DX138" t="e">
        <f>AND('GA55 Entry'!N461,"AAAAAHz/X38=")</f>
        <v>#VALUE!</v>
      </c>
      <c r="DY138" t="e">
        <f>AND('GA55 Entry'!O461,"AAAAAHz/X4A=")</f>
        <v>#VALUE!</v>
      </c>
      <c r="DZ138" t="e">
        <f>AND('GA55 Entry'!P461,"AAAAAHz/X4E=")</f>
        <v>#VALUE!</v>
      </c>
      <c r="EA138" t="e">
        <f>AND('GA55 Entry'!Q461,"AAAAAHz/X4I=")</f>
        <v>#VALUE!</v>
      </c>
      <c r="EB138" t="e">
        <f>AND('GA55 Entry'!S461,"AAAAAHz/X4M=")</f>
        <v>#VALUE!</v>
      </c>
      <c r="EC138" t="e">
        <f>AND('GA55 Entry'!#REF!,"AAAAAHz/X4Q=")</f>
        <v>#REF!</v>
      </c>
      <c r="ED138" t="e">
        <f>AND('GA55 Entry'!T461,"AAAAAHz/X4U=")</f>
        <v>#VALUE!</v>
      </c>
      <c r="EE138" t="e">
        <f>AND('GA55 Entry'!U461,"AAAAAHz/X4Y=")</f>
        <v>#VALUE!</v>
      </c>
      <c r="EF138" t="e">
        <f>AND('GA55 Entry'!V461,"AAAAAHz/X4c=")</f>
        <v>#VALUE!</v>
      </c>
      <c r="EG138" t="e">
        <f>AND('GA55 Entry'!#REF!,"AAAAAHz/X4g=")</f>
        <v>#REF!</v>
      </c>
      <c r="EH138" t="e">
        <f>AND('GA55 Entry'!#REF!,"AAAAAHz/X4k=")</f>
        <v>#REF!</v>
      </c>
      <c r="EI138" t="e">
        <f>AND('GA55 Entry'!X461,"AAAAAHz/X4o=")</f>
        <v>#VALUE!</v>
      </c>
      <c r="EJ138" t="e">
        <f>AND('GA55 Entry'!Y461,"AAAAAHz/X4s=")</f>
        <v>#VALUE!</v>
      </c>
      <c r="EK138" t="e">
        <f>AND('GA55 Entry'!#REF!,"AAAAAHz/X4w=")</f>
        <v>#REF!</v>
      </c>
      <c r="EL138" t="e">
        <f>AND('GA55 Entry'!#REF!,"AAAAAHz/X40=")</f>
        <v>#REF!</v>
      </c>
      <c r="EM138" t="e">
        <f>AND('GA55 Entry'!#REF!,"AAAAAHz/X44=")</f>
        <v>#REF!</v>
      </c>
      <c r="EN138" t="e">
        <f>AND('GA55 Entry'!#REF!,"AAAAAHz/X48=")</f>
        <v>#REF!</v>
      </c>
      <c r="EO138" t="e">
        <f>AND('GA55 Entry'!#REF!,"AAAAAHz/X5A=")</f>
        <v>#REF!</v>
      </c>
      <c r="EP138" t="e">
        <f>AND('GA55 Entry'!#REF!,"AAAAAHz/X5E=")</f>
        <v>#REF!</v>
      </c>
      <c r="EQ138" t="e">
        <f>AND('GA55 Entry'!#REF!,"AAAAAHz/X5I=")</f>
        <v>#REF!</v>
      </c>
      <c r="ER138" t="e">
        <f>AND('GA55 Entry'!#REF!,"AAAAAHz/X5M=")</f>
        <v>#REF!</v>
      </c>
      <c r="ES138" t="e">
        <f>AND('GA55 Entry'!#REF!,"AAAAAHz/X5Q=")</f>
        <v>#REF!</v>
      </c>
      <c r="ET138" t="e">
        <f>AND('GA55 Entry'!Z461,"AAAAAHz/X5U=")</f>
        <v>#VALUE!</v>
      </c>
      <c r="EU138" t="e">
        <f>AND('GA55 Entry'!AA461,"AAAAAHz/X5Y=")</f>
        <v>#VALUE!</v>
      </c>
      <c r="EV138" t="e">
        <f>AND('GA55 Entry'!#REF!,"AAAAAHz/X5c=")</f>
        <v>#REF!</v>
      </c>
      <c r="EW138" t="e">
        <f>AND('GA55 Entry'!#REF!,"AAAAAHz/X5g=")</f>
        <v>#REF!</v>
      </c>
      <c r="EX138" t="e">
        <f>AND('GA55 Entry'!#REF!,"AAAAAHz/X5k=")</f>
        <v>#REF!</v>
      </c>
      <c r="EY138" t="e">
        <f>AND('GA55 Entry'!AB461,"AAAAAHz/X5o=")</f>
        <v>#VALUE!</v>
      </c>
      <c r="EZ138" t="e">
        <f>AND('GA55 Entry'!AC461,"AAAAAHz/X5s=")</f>
        <v>#VALUE!</v>
      </c>
      <c r="FA138" t="e">
        <f>AND('GA55 Entry'!#REF!,"AAAAAHz/X5w=")</f>
        <v>#REF!</v>
      </c>
      <c r="FB138">
        <f>IF('GA55 Entry'!462:462,"AAAAAHz/X50=",0)</f>
        <v>0</v>
      </c>
      <c r="FC138" t="e">
        <f>AND('GA55 Entry'!B462,"AAAAAHz/X54=")</f>
        <v>#VALUE!</v>
      </c>
      <c r="FD138" t="e">
        <f>AND('GA55 Entry'!#REF!,"AAAAAHz/X58=")</f>
        <v>#REF!</v>
      </c>
      <c r="FE138" t="e">
        <f>AND('GA55 Entry'!C462,"AAAAAHz/X6A=")</f>
        <v>#VALUE!</v>
      </c>
      <c r="FF138" t="e">
        <f>AND('GA55 Entry'!#REF!,"AAAAAHz/X6E=")</f>
        <v>#REF!</v>
      </c>
      <c r="FG138" t="e">
        <f>AND('GA55 Entry'!#REF!,"AAAAAHz/X6I=")</f>
        <v>#REF!</v>
      </c>
      <c r="FH138" t="e">
        <f>AND('GA55 Entry'!#REF!,"AAAAAHz/X6M=")</f>
        <v>#REF!</v>
      </c>
      <c r="FI138" t="e">
        <f>AND('GA55 Entry'!#REF!,"AAAAAHz/X6Q=")</f>
        <v>#REF!</v>
      </c>
      <c r="FJ138" t="e">
        <f>AND('GA55 Entry'!#REF!,"AAAAAHz/X6U=")</f>
        <v>#REF!</v>
      </c>
      <c r="FK138" t="e">
        <f>AND('GA55 Entry'!D462,"AAAAAHz/X6Y=")</f>
        <v>#VALUE!</v>
      </c>
      <c r="FL138" t="e">
        <f>AND('GA55 Entry'!#REF!,"AAAAAHz/X6c=")</f>
        <v>#REF!</v>
      </c>
      <c r="FM138" t="e">
        <f>AND('GA55 Entry'!E462,"AAAAAHz/X6g=")</f>
        <v>#VALUE!</v>
      </c>
      <c r="FN138" t="e">
        <f>AND('GA55 Entry'!F462,"AAAAAHz/X6k=")</f>
        <v>#VALUE!</v>
      </c>
      <c r="FO138" t="e">
        <f>AND('GA55 Entry'!G462,"AAAAAHz/X6o=")</f>
        <v>#VALUE!</v>
      </c>
      <c r="FP138" t="e">
        <f>AND('GA55 Entry'!H462,"AAAAAHz/X6s=")</f>
        <v>#VALUE!</v>
      </c>
      <c r="FQ138" t="e">
        <f>AND('GA55 Entry'!I462,"AAAAAHz/X6w=")</f>
        <v>#VALUE!</v>
      </c>
      <c r="FR138" t="e">
        <f>AND('GA55 Entry'!J462,"AAAAAHz/X60=")</f>
        <v>#VALUE!</v>
      </c>
      <c r="FS138" t="e">
        <f>AND('GA55 Entry'!#REF!,"AAAAAHz/X64=")</f>
        <v>#REF!</v>
      </c>
      <c r="FT138" t="e">
        <f>AND('GA55 Entry'!K462,"AAAAAHz/X68=")</f>
        <v>#VALUE!</v>
      </c>
      <c r="FU138" t="e">
        <f>AND('GA55 Entry'!L462,"AAAAAHz/X7A=")</f>
        <v>#VALUE!</v>
      </c>
      <c r="FV138" t="e">
        <f>AND('GA55 Entry'!M462,"AAAAAHz/X7E=")</f>
        <v>#VALUE!</v>
      </c>
      <c r="FW138" t="e">
        <f>AND('GA55 Entry'!N462,"AAAAAHz/X7I=")</f>
        <v>#VALUE!</v>
      </c>
      <c r="FX138" t="e">
        <f>AND('GA55 Entry'!O462,"AAAAAHz/X7M=")</f>
        <v>#VALUE!</v>
      </c>
      <c r="FY138" t="e">
        <f>AND('GA55 Entry'!P462,"AAAAAHz/X7Q=")</f>
        <v>#VALUE!</v>
      </c>
      <c r="FZ138" t="e">
        <f>AND('GA55 Entry'!Q462,"AAAAAHz/X7U=")</f>
        <v>#VALUE!</v>
      </c>
      <c r="GA138" t="e">
        <f>AND('GA55 Entry'!S462,"AAAAAHz/X7Y=")</f>
        <v>#VALUE!</v>
      </c>
      <c r="GB138" t="e">
        <f>AND('GA55 Entry'!#REF!,"AAAAAHz/X7c=")</f>
        <v>#REF!</v>
      </c>
      <c r="GC138" t="e">
        <f>AND('GA55 Entry'!T462,"AAAAAHz/X7g=")</f>
        <v>#VALUE!</v>
      </c>
      <c r="GD138" t="e">
        <f>AND('GA55 Entry'!U462,"AAAAAHz/X7k=")</f>
        <v>#VALUE!</v>
      </c>
      <c r="GE138" t="e">
        <f>AND('GA55 Entry'!V462,"AAAAAHz/X7o=")</f>
        <v>#VALUE!</v>
      </c>
      <c r="GF138" t="e">
        <f>AND('GA55 Entry'!#REF!,"AAAAAHz/X7s=")</f>
        <v>#REF!</v>
      </c>
      <c r="GG138" t="e">
        <f>AND('GA55 Entry'!#REF!,"AAAAAHz/X7w=")</f>
        <v>#REF!</v>
      </c>
      <c r="GH138" t="e">
        <f>AND('GA55 Entry'!X462,"AAAAAHz/X70=")</f>
        <v>#VALUE!</v>
      </c>
      <c r="GI138" t="e">
        <f>AND('GA55 Entry'!Y462,"AAAAAHz/X74=")</f>
        <v>#VALUE!</v>
      </c>
      <c r="GJ138" t="e">
        <f>AND('GA55 Entry'!#REF!,"AAAAAHz/X78=")</f>
        <v>#REF!</v>
      </c>
      <c r="GK138" t="e">
        <f>AND('GA55 Entry'!#REF!,"AAAAAHz/X8A=")</f>
        <v>#REF!</v>
      </c>
      <c r="GL138" t="e">
        <f>AND('GA55 Entry'!#REF!,"AAAAAHz/X8E=")</f>
        <v>#REF!</v>
      </c>
      <c r="GM138" t="e">
        <f>AND('GA55 Entry'!#REF!,"AAAAAHz/X8I=")</f>
        <v>#REF!</v>
      </c>
      <c r="GN138" t="e">
        <f>AND('GA55 Entry'!#REF!,"AAAAAHz/X8M=")</f>
        <v>#REF!</v>
      </c>
      <c r="GO138" t="e">
        <f>AND('GA55 Entry'!#REF!,"AAAAAHz/X8Q=")</f>
        <v>#REF!</v>
      </c>
      <c r="GP138" t="e">
        <f>AND('GA55 Entry'!#REF!,"AAAAAHz/X8U=")</f>
        <v>#REF!</v>
      </c>
      <c r="GQ138" t="e">
        <f>AND('GA55 Entry'!#REF!,"AAAAAHz/X8Y=")</f>
        <v>#REF!</v>
      </c>
      <c r="GR138" t="e">
        <f>AND('GA55 Entry'!#REF!,"AAAAAHz/X8c=")</f>
        <v>#REF!</v>
      </c>
      <c r="GS138" t="e">
        <f>AND('GA55 Entry'!Z462,"AAAAAHz/X8g=")</f>
        <v>#VALUE!</v>
      </c>
      <c r="GT138" t="e">
        <f>AND('GA55 Entry'!AA462,"AAAAAHz/X8k=")</f>
        <v>#VALUE!</v>
      </c>
      <c r="GU138" t="e">
        <f>AND('GA55 Entry'!#REF!,"AAAAAHz/X8o=")</f>
        <v>#REF!</v>
      </c>
      <c r="GV138" t="e">
        <f>AND('GA55 Entry'!#REF!,"AAAAAHz/X8s=")</f>
        <v>#REF!</v>
      </c>
      <c r="GW138" t="e">
        <f>AND('GA55 Entry'!#REF!,"AAAAAHz/X8w=")</f>
        <v>#REF!</v>
      </c>
      <c r="GX138" t="e">
        <f>AND('GA55 Entry'!AB462,"AAAAAHz/X80=")</f>
        <v>#VALUE!</v>
      </c>
      <c r="GY138" t="e">
        <f>AND('GA55 Entry'!AC462,"AAAAAHz/X84=")</f>
        <v>#VALUE!</v>
      </c>
      <c r="GZ138" t="e">
        <f>AND('GA55 Entry'!#REF!,"AAAAAHz/X88=")</f>
        <v>#REF!</v>
      </c>
      <c r="HA138">
        <f>IF('GA55 Entry'!463:463,"AAAAAHz/X9A=",0)</f>
        <v>0</v>
      </c>
      <c r="HB138" t="e">
        <f>AND('GA55 Entry'!B463,"AAAAAHz/X9E=")</f>
        <v>#VALUE!</v>
      </c>
      <c r="HC138" t="e">
        <f>AND('GA55 Entry'!#REF!,"AAAAAHz/X9I=")</f>
        <v>#REF!</v>
      </c>
      <c r="HD138" t="e">
        <f>AND('GA55 Entry'!C463,"AAAAAHz/X9M=")</f>
        <v>#VALUE!</v>
      </c>
      <c r="HE138" t="e">
        <f>AND('GA55 Entry'!#REF!,"AAAAAHz/X9Q=")</f>
        <v>#REF!</v>
      </c>
      <c r="HF138" t="e">
        <f>AND('GA55 Entry'!#REF!,"AAAAAHz/X9U=")</f>
        <v>#REF!</v>
      </c>
      <c r="HG138" t="e">
        <f>AND('GA55 Entry'!#REF!,"AAAAAHz/X9Y=")</f>
        <v>#REF!</v>
      </c>
      <c r="HH138" t="e">
        <f>AND('GA55 Entry'!#REF!,"AAAAAHz/X9c=")</f>
        <v>#REF!</v>
      </c>
      <c r="HI138" t="e">
        <f>AND('GA55 Entry'!#REF!,"AAAAAHz/X9g=")</f>
        <v>#REF!</v>
      </c>
      <c r="HJ138" t="e">
        <f>AND('GA55 Entry'!D463,"AAAAAHz/X9k=")</f>
        <v>#VALUE!</v>
      </c>
      <c r="HK138" t="e">
        <f>AND('GA55 Entry'!#REF!,"AAAAAHz/X9o=")</f>
        <v>#REF!</v>
      </c>
      <c r="HL138" t="e">
        <f>AND('GA55 Entry'!E463,"AAAAAHz/X9s=")</f>
        <v>#VALUE!</v>
      </c>
      <c r="HM138" t="e">
        <f>AND('GA55 Entry'!F463,"AAAAAHz/X9w=")</f>
        <v>#VALUE!</v>
      </c>
      <c r="HN138" t="e">
        <f>AND('GA55 Entry'!G463,"AAAAAHz/X90=")</f>
        <v>#VALUE!</v>
      </c>
      <c r="HO138" t="e">
        <f>AND('GA55 Entry'!H463,"AAAAAHz/X94=")</f>
        <v>#VALUE!</v>
      </c>
      <c r="HP138" t="e">
        <f>AND('GA55 Entry'!I463,"AAAAAHz/X98=")</f>
        <v>#VALUE!</v>
      </c>
      <c r="HQ138" t="e">
        <f>AND('GA55 Entry'!J463,"AAAAAHz/X+A=")</f>
        <v>#VALUE!</v>
      </c>
      <c r="HR138" t="e">
        <f>AND('GA55 Entry'!#REF!,"AAAAAHz/X+E=")</f>
        <v>#REF!</v>
      </c>
      <c r="HS138" t="e">
        <f>AND('GA55 Entry'!K463,"AAAAAHz/X+I=")</f>
        <v>#VALUE!</v>
      </c>
      <c r="HT138" t="e">
        <f>AND('GA55 Entry'!L463,"AAAAAHz/X+M=")</f>
        <v>#VALUE!</v>
      </c>
      <c r="HU138" t="e">
        <f>AND('GA55 Entry'!M463,"AAAAAHz/X+Q=")</f>
        <v>#VALUE!</v>
      </c>
      <c r="HV138" t="e">
        <f>AND('GA55 Entry'!N463,"AAAAAHz/X+U=")</f>
        <v>#VALUE!</v>
      </c>
      <c r="HW138" t="e">
        <f>AND('GA55 Entry'!O463,"AAAAAHz/X+Y=")</f>
        <v>#VALUE!</v>
      </c>
      <c r="HX138" t="e">
        <f>AND('GA55 Entry'!P463,"AAAAAHz/X+c=")</f>
        <v>#VALUE!</v>
      </c>
      <c r="HY138" t="e">
        <f>AND('GA55 Entry'!Q463,"AAAAAHz/X+g=")</f>
        <v>#VALUE!</v>
      </c>
      <c r="HZ138" t="e">
        <f>AND('GA55 Entry'!S463,"AAAAAHz/X+k=")</f>
        <v>#VALUE!</v>
      </c>
      <c r="IA138" t="e">
        <f>AND('GA55 Entry'!#REF!,"AAAAAHz/X+o=")</f>
        <v>#REF!</v>
      </c>
      <c r="IB138" t="e">
        <f>AND('GA55 Entry'!T463,"AAAAAHz/X+s=")</f>
        <v>#VALUE!</v>
      </c>
      <c r="IC138" t="e">
        <f>AND('GA55 Entry'!U463,"AAAAAHz/X+w=")</f>
        <v>#VALUE!</v>
      </c>
      <c r="ID138" t="e">
        <f>AND('GA55 Entry'!V463,"AAAAAHz/X+0=")</f>
        <v>#VALUE!</v>
      </c>
      <c r="IE138" t="e">
        <f>AND('GA55 Entry'!#REF!,"AAAAAHz/X+4=")</f>
        <v>#REF!</v>
      </c>
      <c r="IF138" t="e">
        <f>AND('GA55 Entry'!#REF!,"AAAAAHz/X+8=")</f>
        <v>#REF!</v>
      </c>
      <c r="IG138" t="e">
        <f>AND('GA55 Entry'!X463,"AAAAAHz/X/A=")</f>
        <v>#VALUE!</v>
      </c>
      <c r="IH138" t="e">
        <f>AND('GA55 Entry'!Y463,"AAAAAHz/X/E=")</f>
        <v>#VALUE!</v>
      </c>
      <c r="II138" t="e">
        <f>AND('GA55 Entry'!#REF!,"AAAAAHz/X/I=")</f>
        <v>#REF!</v>
      </c>
      <c r="IJ138" t="e">
        <f>AND('GA55 Entry'!#REF!,"AAAAAHz/X/M=")</f>
        <v>#REF!</v>
      </c>
      <c r="IK138" t="e">
        <f>AND('GA55 Entry'!#REF!,"AAAAAHz/X/Q=")</f>
        <v>#REF!</v>
      </c>
      <c r="IL138" t="e">
        <f>AND('GA55 Entry'!#REF!,"AAAAAHz/X/U=")</f>
        <v>#REF!</v>
      </c>
      <c r="IM138" t="e">
        <f>AND('GA55 Entry'!#REF!,"AAAAAHz/X/Y=")</f>
        <v>#REF!</v>
      </c>
      <c r="IN138" t="e">
        <f>AND('GA55 Entry'!#REF!,"AAAAAHz/X/c=")</f>
        <v>#REF!</v>
      </c>
      <c r="IO138" t="e">
        <f>AND('GA55 Entry'!#REF!,"AAAAAHz/X/g=")</f>
        <v>#REF!</v>
      </c>
      <c r="IP138" t="e">
        <f>AND('GA55 Entry'!#REF!,"AAAAAHz/X/k=")</f>
        <v>#REF!</v>
      </c>
      <c r="IQ138" t="e">
        <f>AND('GA55 Entry'!#REF!,"AAAAAHz/X/o=")</f>
        <v>#REF!</v>
      </c>
      <c r="IR138" t="e">
        <f>AND('GA55 Entry'!Z463,"AAAAAHz/X/s=")</f>
        <v>#VALUE!</v>
      </c>
      <c r="IS138" t="e">
        <f>AND('GA55 Entry'!AA463,"AAAAAHz/X/w=")</f>
        <v>#VALUE!</v>
      </c>
      <c r="IT138" t="e">
        <f>AND('GA55 Entry'!#REF!,"AAAAAHz/X/0=")</f>
        <v>#REF!</v>
      </c>
      <c r="IU138" t="e">
        <f>AND('GA55 Entry'!#REF!,"AAAAAHz/X/4=")</f>
        <v>#REF!</v>
      </c>
      <c r="IV138" t="e">
        <f>AND('GA55 Entry'!#REF!,"AAAAAHz/X/8=")</f>
        <v>#REF!</v>
      </c>
    </row>
    <row r="139" spans="1:256">
      <c r="A139" t="e">
        <f>AND('GA55 Entry'!AB463,"AAAAAFf99wA=")</f>
        <v>#VALUE!</v>
      </c>
      <c r="B139" t="e">
        <f>AND('GA55 Entry'!AC463,"AAAAAFf99wE=")</f>
        <v>#VALUE!</v>
      </c>
      <c r="C139" t="e">
        <f>AND('GA55 Entry'!#REF!,"AAAAAFf99wI=")</f>
        <v>#REF!</v>
      </c>
      <c r="D139">
        <f>IF('GA55 Entry'!464:464,"AAAAAFf99wM=",0)</f>
        <v>0</v>
      </c>
      <c r="E139" t="e">
        <f>AND('GA55 Entry'!B464,"AAAAAFf99wQ=")</f>
        <v>#VALUE!</v>
      </c>
      <c r="F139" t="e">
        <f>AND('GA55 Entry'!#REF!,"AAAAAFf99wU=")</f>
        <v>#REF!</v>
      </c>
      <c r="G139" t="e">
        <f>AND('GA55 Entry'!C464,"AAAAAFf99wY=")</f>
        <v>#VALUE!</v>
      </c>
      <c r="H139" t="e">
        <f>AND('GA55 Entry'!#REF!,"AAAAAFf99wc=")</f>
        <v>#REF!</v>
      </c>
      <c r="I139" t="e">
        <f>AND('GA55 Entry'!#REF!,"AAAAAFf99wg=")</f>
        <v>#REF!</v>
      </c>
      <c r="J139" t="e">
        <f>AND('GA55 Entry'!#REF!,"AAAAAFf99wk=")</f>
        <v>#REF!</v>
      </c>
      <c r="K139" t="e">
        <f>AND('GA55 Entry'!#REF!,"AAAAAFf99wo=")</f>
        <v>#REF!</v>
      </c>
      <c r="L139" t="e">
        <f>AND('GA55 Entry'!#REF!,"AAAAAFf99ws=")</f>
        <v>#REF!</v>
      </c>
      <c r="M139" t="e">
        <f>AND('GA55 Entry'!D464,"AAAAAFf99ww=")</f>
        <v>#VALUE!</v>
      </c>
      <c r="N139" t="e">
        <f>AND('GA55 Entry'!#REF!,"AAAAAFf99w0=")</f>
        <v>#REF!</v>
      </c>
      <c r="O139" t="e">
        <f>AND('GA55 Entry'!E464,"AAAAAFf99w4=")</f>
        <v>#VALUE!</v>
      </c>
      <c r="P139" t="e">
        <f>AND('GA55 Entry'!F464,"AAAAAFf99w8=")</f>
        <v>#VALUE!</v>
      </c>
      <c r="Q139" t="e">
        <f>AND('GA55 Entry'!G464,"AAAAAFf99xA=")</f>
        <v>#VALUE!</v>
      </c>
      <c r="R139" t="e">
        <f>AND('GA55 Entry'!H464,"AAAAAFf99xE=")</f>
        <v>#VALUE!</v>
      </c>
      <c r="S139" t="e">
        <f>AND('GA55 Entry'!I464,"AAAAAFf99xI=")</f>
        <v>#VALUE!</v>
      </c>
      <c r="T139" t="e">
        <f>AND('GA55 Entry'!J464,"AAAAAFf99xM=")</f>
        <v>#VALUE!</v>
      </c>
      <c r="U139" t="e">
        <f>AND('GA55 Entry'!#REF!,"AAAAAFf99xQ=")</f>
        <v>#REF!</v>
      </c>
      <c r="V139" t="e">
        <f>AND('GA55 Entry'!K464,"AAAAAFf99xU=")</f>
        <v>#VALUE!</v>
      </c>
      <c r="W139" t="e">
        <f>AND('GA55 Entry'!L464,"AAAAAFf99xY=")</f>
        <v>#VALUE!</v>
      </c>
      <c r="X139" t="e">
        <f>AND('GA55 Entry'!M464,"AAAAAFf99xc=")</f>
        <v>#VALUE!</v>
      </c>
      <c r="Y139" t="e">
        <f>AND('GA55 Entry'!N464,"AAAAAFf99xg=")</f>
        <v>#VALUE!</v>
      </c>
      <c r="Z139" t="e">
        <f>AND('GA55 Entry'!O464,"AAAAAFf99xk=")</f>
        <v>#VALUE!</v>
      </c>
      <c r="AA139" t="e">
        <f>AND('GA55 Entry'!P464,"AAAAAFf99xo=")</f>
        <v>#VALUE!</v>
      </c>
      <c r="AB139" t="e">
        <f>AND('GA55 Entry'!Q464,"AAAAAFf99xs=")</f>
        <v>#VALUE!</v>
      </c>
      <c r="AC139" t="e">
        <f>AND('GA55 Entry'!S464,"AAAAAFf99xw=")</f>
        <v>#VALUE!</v>
      </c>
      <c r="AD139" t="e">
        <f>AND('GA55 Entry'!#REF!,"AAAAAFf99x0=")</f>
        <v>#REF!</v>
      </c>
      <c r="AE139" t="e">
        <f>AND('GA55 Entry'!T464,"AAAAAFf99x4=")</f>
        <v>#VALUE!</v>
      </c>
      <c r="AF139" t="e">
        <f>AND('GA55 Entry'!U464,"AAAAAFf99x8=")</f>
        <v>#VALUE!</v>
      </c>
      <c r="AG139" t="e">
        <f>AND('GA55 Entry'!V464,"AAAAAFf99yA=")</f>
        <v>#VALUE!</v>
      </c>
      <c r="AH139" t="e">
        <f>AND('GA55 Entry'!#REF!,"AAAAAFf99yE=")</f>
        <v>#REF!</v>
      </c>
      <c r="AI139" t="e">
        <f>AND('GA55 Entry'!#REF!,"AAAAAFf99yI=")</f>
        <v>#REF!</v>
      </c>
      <c r="AJ139" t="e">
        <f>AND('GA55 Entry'!X464,"AAAAAFf99yM=")</f>
        <v>#VALUE!</v>
      </c>
      <c r="AK139" t="e">
        <f>AND('GA55 Entry'!Y464,"AAAAAFf99yQ=")</f>
        <v>#VALUE!</v>
      </c>
      <c r="AL139" t="e">
        <f>AND('GA55 Entry'!#REF!,"AAAAAFf99yU=")</f>
        <v>#REF!</v>
      </c>
      <c r="AM139" t="e">
        <f>AND('GA55 Entry'!#REF!,"AAAAAFf99yY=")</f>
        <v>#REF!</v>
      </c>
      <c r="AN139" t="e">
        <f>AND('GA55 Entry'!#REF!,"AAAAAFf99yc=")</f>
        <v>#REF!</v>
      </c>
      <c r="AO139" t="e">
        <f>AND('GA55 Entry'!#REF!,"AAAAAFf99yg=")</f>
        <v>#REF!</v>
      </c>
      <c r="AP139" t="e">
        <f>AND('GA55 Entry'!#REF!,"AAAAAFf99yk=")</f>
        <v>#REF!</v>
      </c>
      <c r="AQ139" t="e">
        <f>AND('GA55 Entry'!#REF!,"AAAAAFf99yo=")</f>
        <v>#REF!</v>
      </c>
      <c r="AR139" t="e">
        <f>AND('GA55 Entry'!#REF!,"AAAAAFf99ys=")</f>
        <v>#REF!</v>
      </c>
      <c r="AS139" t="e">
        <f>AND('GA55 Entry'!#REF!,"AAAAAFf99yw=")</f>
        <v>#REF!</v>
      </c>
      <c r="AT139" t="e">
        <f>AND('GA55 Entry'!#REF!,"AAAAAFf99y0=")</f>
        <v>#REF!</v>
      </c>
      <c r="AU139" t="e">
        <f>AND('GA55 Entry'!Z464,"AAAAAFf99y4=")</f>
        <v>#VALUE!</v>
      </c>
      <c r="AV139" t="e">
        <f>AND('GA55 Entry'!AA464,"AAAAAFf99y8=")</f>
        <v>#VALUE!</v>
      </c>
      <c r="AW139" t="e">
        <f>AND('GA55 Entry'!#REF!,"AAAAAFf99zA=")</f>
        <v>#REF!</v>
      </c>
      <c r="AX139" t="e">
        <f>AND('GA55 Entry'!#REF!,"AAAAAFf99zE=")</f>
        <v>#REF!</v>
      </c>
      <c r="AY139" t="e">
        <f>AND('GA55 Entry'!#REF!,"AAAAAFf99zI=")</f>
        <v>#REF!</v>
      </c>
      <c r="AZ139" t="e">
        <f>AND('GA55 Entry'!AB464,"AAAAAFf99zM=")</f>
        <v>#VALUE!</v>
      </c>
      <c r="BA139" t="e">
        <f>AND('GA55 Entry'!AC464,"AAAAAFf99zQ=")</f>
        <v>#VALUE!</v>
      </c>
      <c r="BB139" t="e">
        <f>AND('GA55 Entry'!#REF!,"AAAAAFf99zU=")</f>
        <v>#REF!</v>
      </c>
      <c r="BC139">
        <f>IF('GA55 Entry'!465:465,"AAAAAFf99zY=",0)</f>
        <v>0</v>
      </c>
      <c r="BD139" t="e">
        <f>AND('GA55 Entry'!B465,"AAAAAFf99zc=")</f>
        <v>#VALUE!</v>
      </c>
      <c r="BE139" t="e">
        <f>AND('GA55 Entry'!#REF!,"AAAAAFf99zg=")</f>
        <v>#REF!</v>
      </c>
      <c r="BF139" t="e">
        <f>AND('GA55 Entry'!C465,"AAAAAFf99zk=")</f>
        <v>#VALUE!</v>
      </c>
      <c r="BG139" t="e">
        <f>AND('GA55 Entry'!#REF!,"AAAAAFf99zo=")</f>
        <v>#REF!</v>
      </c>
      <c r="BH139" t="e">
        <f>AND('GA55 Entry'!#REF!,"AAAAAFf99zs=")</f>
        <v>#REF!</v>
      </c>
      <c r="BI139" t="e">
        <f>AND('GA55 Entry'!#REF!,"AAAAAFf99zw=")</f>
        <v>#REF!</v>
      </c>
      <c r="BJ139" t="e">
        <f>AND('GA55 Entry'!#REF!,"AAAAAFf99z0=")</f>
        <v>#REF!</v>
      </c>
      <c r="BK139" t="e">
        <f>AND('GA55 Entry'!#REF!,"AAAAAFf99z4=")</f>
        <v>#REF!</v>
      </c>
      <c r="BL139" t="e">
        <f>AND('GA55 Entry'!D465,"AAAAAFf99z8=")</f>
        <v>#VALUE!</v>
      </c>
      <c r="BM139" t="e">
        <f>AND('GA55 Entry'!#REF!,"AAAAAFf990A=")</f>
        <v>#REF!</v>
      </c>
      <c r="BN139" t="e">
        <f>AND('GA55 Entry'!E465,"AAAAAFf990E=")</f>
        <v>#VALUE!</v>
      </c>
      <c r="BO139" t="e">
        <f>AND('GA55 Entry'!F465,"AAAAAFf990I=")</f>
        <v>#VALUE!</v>
      </c>
      <c r="BP139" t="e">
        <f>AND('GA55 Entry'!G465,"AAAAAFf990M=")</f>
        <v>#VALUE!</v>
      </c>
      <c r="BQ139" t="e">
        <f>AND('GA55 Entry'!H465,"AAAAAFf990Q=")</f>
        <v>#VALUE!</v>
      </c>
      <c r="BR139" t="e">
        <f>AND('GA55 Entry'!I465,"AAAAAFf990U=")</f>
        <v>#VALUE!</v>
      </c>
      <c r="BS139" t="e">
        <f>AND('GA55 Entry'!J465,"AAAAAFf990Y=")</f>
        <v>#VALUE!</v>
      </c>
      <c r="BT139" t="e">
        <f>AND('GA55 Entry'!#REF!,"AAAAAFf990c=")</f>
        <v>#REF!</v>
      </c>
      <c r="BU139" t="e">
        <f>AND('GA55 Entry'!K465,"AAAAAFf990g=")</f>
        <v>#VALUE!</v>
      </c>
      <c r="BV139" t="e">
        <f>AND('GA55 Entry'!L465,"AAAAAFf990k=")</f>
        <v>#VALUE!</v>
      </c>
      <c r="BW139" t="e">
        <f>AND('GA55 Entry'!M465,"AAAAAFf990o=")</f>
        <v>#VALUE!</v>
      </c>
      <c r="BX139" t="e">
        <f>AND('GA55 Entry'!N465,"AAAAAFf990s=")</f>
        <v>#VALUE!</v>
      </c>
      <c r="BY139" t="e">
        <f>AND('GA55 Entry'!O465,"AAAAAFf990w=")</f>
        <v>#VALUE!</v>
      </c>
      <c r="BZ139" t="e">
        <f>AND('GA55 Entry'!P465,"AAAAAFf9900=")</f>
        <v>#VALUE!</v>
      </c>
      <c r="CA139" t="e">
        <f>AND('GA55 Entry'!Q465,"AAAAAFf9904=")</f>
        <v>#VALUE!</v>
      </c>
      <c r="CB139" t="e">
        <f>AND('GA55 Entry'!S465,"AAAAAFf9908=")</f>
        <v>#VALUE!</v>
      </c>
      <c r="CC139" t="e">
        <f>AND('GA55 Entry'!#REF!,"AAAAAFf991A=")</f>
        <v>#REF!</v>
      </c>
      <c r="CD139" t="e">
        <f>AND('GA55 Entry'!T465,"AAAAAFf991E=")</f>
        <v>#VALUE!</v>
      </c>
      <c r="CE139" t="e">
        <f>AND('GA55 Entry'!U465,"AAAAAFf991I=")</f>
        <v>#VALUE!</v>
      </c>
      <c r="CF139" t="e">
        <f>AND('GA55 Entry'!V465,"AAAAAFf991M=")</f>
        <v>#VALUE!</v>
      </c>
      <c r="CG139" t="e">
        <f>AND('GA55 Entry'!#REF!,"AAAAAFf991Q=")</f>
        <v>#REF!</v>
      </c>
      <c r="CH139" t="e">
        <f>AND('GA55 Entry'!#REF!,"AAAAAFf991U=")</f>
        <v>#REF!</v>
      </c>
      <c r="CI139" t="e">
        <f>AND('GA55 Entry'!X465,"AAAAAFf991Y=")</f>
        <v>#VALUE!</v>
      </c>
      <c r="CJ139" t="e">
        <f>AND('GA55 Entry'!Y465,"AAAAAFf991c=")</f>
        <v>#VALUE!</v>
      </c>
      <c r="CK139" t="e">
        <f>AND('GA55 Entry'!#REF!,"AAAAAFf991g=")</f>
        <v>#REF!</v>
      </c>
      <c r="CL139" t="e">
        <f>AND('GA55 Entry'!#REF!,"AAAAAFf991k=")</f>
        <v>#REF!</v>
      </c>
      <c r="CM139" t="e">
        <f>AND('GA55 Entry'!#REF!,"AAAAAFf991o=")</f>
        <v>#REF!</v>
      </c>
      <c r="CN139" t="e">
        <f>AND('GA55 Entry'!#REF!,"AAAAAFf991s=")</f>
        <v>#REF!</v>
      </c>
      <c r="CO139" t="e">
        <f>AND('GA55 Entry'!#REF!,"AAAAAFf991w=")</f>
        <v>#REF!</v>
      </c>
      <c r="CP139" t="e">
        <f>AND('GA55 Entry'!#REF!,"AAAAAFf9910=")</f>
        <v>#REF!</v>
      </c>
      <c r="CQ139" t="e">
        <f>AND('GA55 Entry'!#REF!,"AAAAAFf9914=")</f>
        <v>#REF!</v>
      </c>
      <c r="CR139" t="e">
        <f>AND('GA55 Entry'!#REF!,"AAAAAFf9918=")</f>
        <v>#REF!</v>
      </c>
      <c r="CS139" t="e">
        <f>AND('GA55 Entry'!#REF!,"AAAAAFf992A=")</f>
        <v>#REF!</v>
      </c>
      <c r="CT139" t="e">
        <f>AND('GA55 Entry'!Z465,"AAAAAFf992E=")</f>
        <v>#VALUE!</v>
      </c>
      <c r="CU139" t="e">
        <f>AND('GA55 Entry'!AA465,"AAAAAFf992I=")</f>
        <v>#VALUE!</v>
      </c>
      <c r="CV139" t="e">
        <f>AND('GA55 Entry'!#REF!,"AAAAAFf992M=")</f>
        <v>#REF!</v>
      </c>
      <c r="CW139" t="e">
        <f>AND('GA55 Entry'!#REF!,"AAAAAFf992Q=")</f>
        <v>#REF!</v>
      </c>
      <c r="CX139" t="e">
        <f>AND('GA55 Entry'!#REF!,"AAAAAFf992U=")</f>
        <v>#REF!</v>
      </c>
      <c r="CY139" t="e">
        <f>AND('GA55 Entry'!AB465,"AAAAAFf992Y=")</f>
        <v>#VALUE!</v>
      </c>
      <c r="CZ139" t="e">
        <f>AND('GA55 Entry'!AC465,"AAAAAFf992c=")</f>
        <v>#VALUE!</v>
      </c>
      <c r="DA139" t="e">
        <f>AND('GA55 Entry'!#REF!,"AAAAAFf992g=")</f>
        <v>#REF!</v>
      </c>
      <c r="DB139">
        <f>IF('GA55 Entry'!466:466,"AAAAAFf992k=",0)</f>
        <v>0</v>
      </c>
      <c r="DC139" t="e">
        <f>AND('GA55 Entry'!B466,"AAAAAFf992o=")</f>
        <v>#VALUE!</v>
      </c>
      <c r="DD139" t="e">
        <f>AND('GA55 Entry'!#REF!,"AAAAAFf992s=")</f>
        <v>#REF!</v>
      </c>
      <c r="DE139" t="e">
        <f>AND('GA55 Entry'!C466,"AAAAAFf992w=")</f>
        <v>#VALUE!</v>
      </c>
      <c r="DF139" t="e">
        <f>AND('GA55 Entry'!#REF!,"AAAAAFf9920=")</f>
        <v>#REF!</v>
      </c>
      <c r="DG139" t="e">
        <f>AND('GA55 Entry'!#REF!,"AAAAAFf9924=")</f>
        <v>#REF!</v>
      </c>
      <c r="DH139" t="e">
        <f>AND('GA55 Entry'!#REF!,"AAAAAFf9928=")</f>
        <v>#REF!</v>
      </c>
      <c r="DI139" t="e">
        <f>AND('GA55 Entry'!#REF!,"AAAAAFf993A=")</f>
        <v>#REF!</v>
      </c>
      <c r="DJ139" t="e">
        <f>AND('GA55 Entry'!#REF!,"AAAAAFf993E=")</f>
        <v>#REF!</v>
      </c>
      <c r="DK139" t="e">
        <f>AND('GA55 Entry'!D466,"AAAAAFf993I=")</f>
        <v>#VALUE!</v>
      </c>
      <c r="DL139" t="e">
        <f>AND('GA55 Entry'!#REF!,"AAAAAFf993M=")</f>
        <v>#REF!</v>
      </c>
      <c r="DM139" t="e">
        <f>AND('GA55 Entry'!E466,"AAAAAFf993Q=")</f>
        <v>#VALUE!</v>
      </c>
      <c r="DN139" t="e">
        <f>AND('GA55 Entry'!F466,"AAAAAFf993U=")</f>
        <v>#VALUE!</v>
      </c>
      <c r="DO139" t="e">
        <f>AND('GA55 Entry'!G466,"AAAAAFf993Y=")</f>
        <v>#VALUE!</v>
      </c>
      <c r="DP139" t="e">
        <f>AND('GA55 Entry'!H466,"AAAAAFf993c=")</f>
        <v>#VALUE!</v>
      </c>
      <c r="DQ139" t="e">
        <f>AND('GA55 Entry'!I466,"AAAAAFf993g=")</f>
        <v>#VALUE!</v>
      </c>
      <c r="DR139" t="e">
        <f>AND('GA55 Entry'!J466,"AAAAAFf993k=")</f>
        <v>#VALUE!</v>
      </c>
      <c r="DS139" t="e">
        <f>AND('GA55 Entry'!#REF!,"AAAAAFf993o=")</f>
        <v>#REF!</v>
      </c>
      <c r="DT139" t="e">
        <f>AND('GA55 Entry'!K466,"AAAAAFf993s=")</f>
        <v>#VALUE!</v>
      </c>
      <c r="DU139" t="e">
        <f>AND('GA55 Entry'!L466,"AAAAAFf993w=")</f>
        <v>#VALUE!</v>
      </c>
      <c r="DV139" t="e">
        <f>AND('GA55 Entry'!M466,"AAAAAFf9930=")</f>
        <v>#VALUE!</v>
      </c>
      <c r="DW139" t="e">
        <f>AND('GA55 Entry'!N466,"AAAAAFf9934=")</f>
        <v>#VALUE!</v>
      </c>
      <c r="DX139" t="e">
        <f>AND('GA55 Entry'!O466,"AAAAAFf9938=")</f>
        <v>#VALUE!</v>
      </c>
      <c r="DY139" t="e">
        <f>AND('GA55 Entry'!P466,"AAAAAFf994A=")</f>
        <v>#VALUE!</v>
      </c>
      <c r="DZ139" t="e">
        <f>AND('GA55 Entry'!Q466,"AAAAAFf994E=")</f>
        <v>#VALUE!</v>
      </c>
      <c r="EA139" t="e">
        <f>AND('GA55 Entry'!S466,"AAAAAFf994I=")</f>
        <v>#VALUE!</v>
      </c>
      <c r="EB139" t="e">
        <f>AND('GA55 Entry'!#REF!,"AAAAAFf994M=")</f>
        <v>#REF!</v>
      </c>
      <c r="EC139" t="e">
        <f>AND('GA55 Entry'!T466,"AAAAAFf994Q=")</f>
        <v>#VALUE!</v>
      </c>
      <c r="ED139" t="e">
        <f>AND('GA55 Entry'!U466,"AAAAAFf994U=")</f>
        <v>#VALUE!</v>
      </c>
      <c r="EE139" t="e">
        <f>AND('GA55 Entry'!V466,"AAAAAFf994Y=")</f>
        <v>#VALUE!</v>
      </c>
      <c r="EF139" t="e">
        <f>AND('GA55 Entry'!#REF!,"AAAAAFf994c=")</f>
        <v>#REF!</v>
      </c>
      <c r="EG139" t="e">
        <f>AND('GA55 Entry'!#REF!,"AAAAAFf994g=")</f>
        <v>#REF!</v>
      </c>
      <c r="EH139" t="e">
        <f>AND('GA55 Entry'!X466,"AAAAAFf994k=")</f>
        <v>#VALUE!</v>
      </c>
      <c r="EI139" t="e">
        <f>AND('GA55 Entry'!Y466,"AAAAAFf994o=")</f>
        <v>#VALUE!</v>
      </c>
      <c r="EJ139" t="e">
        <f>AND('GA55 Entry'!#REF!,"AAAAAFf994s=")</f>
        <v>#REF!</v>
      </c>
      <c r="EK139" t="e">
        <f>AND('GA55 Entry'!#REF!,"AAAAAFf994w=")</f>
        <v>#REF!</v>
      </c>
      <c r="EL139" t="e">
        <f>AND('GA55 Entry'!#REF!,"AAAAAFf9940=")</f>
        <v>#REF!</v>
      </c>
      <c r="EM139" t="e">
        <f>AND('GA55 Entry'!#REF!,"AAAAAFf9944=")</f>
        <v>#REF!</v>
      </c>
      <c r="EN139" t="e">
        <f>AND('GA55 Entry'!#REF!,"AAAAAFf9948=")</f>
        <v>#REF!</v>
      </c>
      <c r="EO139" t="e">
        <f>AND('GA55 Entry'!#REF!,"AAAAAFf995A=")</f>
        <v>#REF!</v>
      </c>
      <c r="EP139" t="e">
        <f>AND('GA55 Entry'!#REF!,"AAAAAFf995E=")</f>
        <v>#REF!</v>
      </c>
      <c r="EQ139" t="e">
        <f>AND('GA55 Entry'!#REF!,"AAAAAFf995I=")</f>
        <v>#REF!</v>
      </c>
      <c r="ER139" t="e">
        <f>AND('GA55 Entry'!#REF!,"AAAAAFf995M=")</f>
        <v>#REF!</v>
      </c>
      <c r="ES139" t="e">
        <f>AND('GA55 Entry'!Z466,"AAAAAFf995Q=")</f>
        <v>#VALUE!</v>
      </c>
      <c r="ET139" t="e">
        <f>AND('GA55 Entry'!AA466,"AAAAAFf995U=")</f>
        <v>#VALUE!</v>
      </c>
      <c r="EU139" t="e">
        <f>AND('GA55 Entry'!#REF!,"AAAAAFf995Y=")</f>
        <v>#REF!</v>
      </c>
      <c r="EV139" t="e">
        <f>AND('GA55 Entry'!#REF!,"AAAAAFf995c=")</f>
        <v>#REF!</v>
      </c>
      <c r="EW139" t="e">
        <f>AND('GA55 Entry'!#REF!,"AAAAAFf995g=")</f>
        <v>#REF!</v>
      </c>
      <c r="EX139" t="e">
        <f>AND('GA55 Entry'!AB466,"AAAAAFf995k=")</f>
        <v>#VALUE!</v>
      </c>
      <c r="EY139" t="e">
        <f>AND('GA55 Entry'!AC466,"AAAAAFf995o=")</f>
        <v>#VALUE!</v>
      </c>
      <c r="EZ139" t="e">
        <f>AND('GA55 Entry'!#REF!,"AAAAAFf995s=")</f>
        <v>#REF!</v>
      </c>
      <c r="FA139">
        <f>IF('GA55 Entry'!467:467,"AAAAAFf995w=",0)</f>
        <v>0</v>
      </c>
      <c r="FB139" t="e">
        <f>AND('GA55 Entry'!B467,"AAAAAFf9950=")</f>
        <v>#VALUE!</v>
      </c>
      <c r="FC139" t="e">
        <f>AND('GA55 Entry'!#REF!,"AAAAAFf9954=")</f>
        <v>#REF!</v>
      </c>
      <c r="FD139" t="e">
        <f>AND('GA55 Entry'!C467,"AAAAAFf9958=")</f>
        <v>#VALUE!</v>
      </c>
      <c r="FE139" t="e">
        <f>AND('GA55 Entry'!#REF!,"AAAAAFf996A=")</f>
        <v>#REF!</v>
      </c>
      <c r="FF139" t="e">
        <f>AND('GA55 Entry'!#REF!,"AAAAAFf996E=")</f>
        <v>#REF!</v>
      </c>
      <c r="FG139" t="e">
        <f>AND('GA55 Entry'!#REF!,"AAAAAFf996I=")</f>
        <v>#REF!</v>
      </c>
      <c r="FH139" t="e">
        <f>AND('GA55 Entry'!#REF!,"AAAAAFf996M=")</f>
        <v>#REF!</v>
      </c>
      <c r="FI139" t="e">
        <f>AND('GA55 Entry'!#REF!,"AAAAAFf996Q=")</f>
        <v>#REF!</v>
      </c>
      <c r="FJ139" t="e">
        <f>AND('GA55 Entry'!D467,"AAAAAFf996U=")</f>
        <v>#VALUE!</v>
      </c>
      <c r="FK139" t="e">
        <f>AND('GA55 Entry'!#REF!,"AAAAAFf996Y=")</f>
        <v>#REF!</v>
      </c>
      <c r="FL139" t="e">
        <f>AND('GA55 Entry'!E467,"AAAAAFf996c=")</f>
        <v>#VALUE!</v>
      </c>
      <c r="FM139" t="e">
        <f>AND('GA55 Entry'!F467,"AAAAAFf996g=")</f>
        <v>#VALUE!</v>
      </c>
      <c r="FN139" t="e">
        <f>AND('GA55 Entry'!G467,"AAAAAFf996k=")</f>
        <v>#VALUE!</v>
      </c>
      <c r="FO139" t="e">
        <f>AND('GA55 Entry'!H467,"AAAAAFf996o=")</f>
        <v>#VALUE!</v>
      </c>
      <c r="FP139" t="e">
        <f>AND('GA55 Entry'!I467,"AAAAAFf996s=")</f>
        <v>#VALUE!</v>
      </c>
      <c r="FQ139" t="e">
        <f>AND('GA55 Entry'!J467,"AAAAAFf996w=")</f>
        <v>#VALUE!</v>
      </c>
      <c r="FR139" t="e">
        <f>AND('GA55 Entry'!#REF!,"AAAAAFf9960=")</f>
        <v>#REF!</v>
      </c>
      <c r="FS139" t="e">
        <f>AND('GA55 Entry'!K467,"AAAAAFf9964=")</f>
        <v>#VALUE!</v>
      </c>
      <c r="FT139" t="e">
        <f>AND('GA55 Entry'!L467,"AAAAAFf9968=")</f>
        <v>#VALUE!</v>
      </c>
      <c r="FU139" t="e">
        <f>AND('GA55 Entry'!M467,"AAAAAFf997A=")</f>
        <v>#VALUE!</v>
      </c>
      <c r="FV139" t="e">
        <f>AND('GA55 Entry'!N467,"AAAAAFf997E=")</f>
        <v>#VALUE!</v>
      </c>
      <c r="FW139" t="e">
        <f>AND('GA55 Entry'!O467,"AAAAAFf997I=")</f>
        <v>#VALUE!</v>
      </c>
      <c r="FX139" t="e">
        <f>AND('GA55 Entry'!P467,"AAAAAFf997M=")</f>
        <v>#VALUE!</v>
      </c>
      <c r="FY139" t="e">
        <f>AND('GA55 Entry'!Q467,"AAAAAFf997Q=")</f>
        <v>#VALUE!</v>
      </c>
      <c r="FZ139" t="e">
        <f>AND('GA55 Entry'!S467,"AAAAAFf997U=")</f>
        <v>#VALUE!</v>
      </c>
      <c r="GA139" t="e">
        <f>AND('GA55 Entry'!#REF!,"AAAAAFf997Y=")</f>
        <v>#REF!</v>
      </c>
      <c r="GB139" t="e">
        <f>AND('GA55 Entry'!T467,"AAAAAFf997c=")</f>
        <v>#VALUE!</v>
      </c>
      <c r="GC139" t="e">
        <f>AND('GA55 Entry'!U467,"AAAAAFf997g=")</f>
        <v>#VALUE!</v>
      </c>
      <c r="GD139" t="e">
        <f>AND('GA55 Entry'!V467,"AAAAAFf997k=")</f>
        <v>#VALUE!</v>
      </c>
      <c r="GE139" t="e">
        <f>AND('GA55 Entry'!#REF!,"AAAAAFf997o=")</f>
        <v>#REF!</v>
      </c>
      <c r="GF139" t="e">
        <f>AND('GA55 Entry'!#REF!,"AAAAAFf997s=")</f>
        <v>#REF!</v>
      </c>
      <c r="GG139" t="e">
        <f>AND('GA55 Entry'!X467,"AAAAAFf997w=")</f>
        <v>#VALUE!</v>
      </c>
      <c r="GH139" t="e">
        <f>AND('GA55 Entry'!Y467,"AAAAAFf9970=")</f>
        <v>#VALUE!</v>
      </c>
      <c r="GI139" t="e">
        <f>AND('GA55 Entry'!#REF!,"AAAAAFf9974=")</f>
        <v>#REF!</v>
      </c>
      <c r="GJ139" t="e">
        <f>AND('GA55 Entry'!#REF!,"AAAAAFf9978=")</f>
        <v>#REF!</v>
      </c>
      <c r="GK139" t="e">
        <f>AND('GA55 Entry'!#REF!,"AAAAAFf998A=")</f>
        <v>#REF!</v>
      </c>
      <c r="GL139" t="e">
        <f>AND('GA55 Entry'!#REF!,"AAAAAFf998E=")</f>
        <v>#REF!</v>
      </c>
      <c r="GM139" t="e">
        <f>AND('GA55 Entry'!#REF!,"AAAAAFf998I=")</f>
        <v>#REF!</v>
      </c>
      <c r="GN139" t="e">
        <f>AND('GA55 Entry'!#REF!,"AAAAAFf998M=")</f>
        <v>#REF!</v>
      </c>
      <c r="GO139" t="e">
        <f>AND('GA55 Entry'!#REF!,"AAAAAFf998Q=")</f>
        <v>#REF!</v>
      </c>
      <c r="GP139" t="e">
        <f>AND('GA55 Entry'!#REF!,"AAAAAFf998U=")</f>
        <v>#REF!</v>
      </c>
      <c r="GQ139" t="e">
        <f>AND('GA55 Entry'!#REF!,"AAAAAFf998Y=")</f>
        <v>#REF!</v>
      </c>
      <c r="GR139" t="e">
        <f>AND('GA55 Entry'!Z467,"AAAAAFf998c=")</f>
        <v>#VALUE!</v>
      </c>
      <c r="GS139" t="e">
        <f>AND('GA55 Entry'!AA467,"AAAAAFf998g=")</f>
        <v>#VALUE!</v>
      </c>
      <c r="GT139" t="e">
        <f>AND('GA55 Entry'!#REF!,"AAAAAFf998k=")</f>
        <v>#REF!</v>
      </c>
      <c r="GU139" t="e">
        <f>AND('GA55 Entry'!#REF!,"AAAAAFf998o=")</f>
        <v>#REF!</v>
      </c>
      <c r="GV139" t="e">
        <f>AND('GA55 Entry'!#REF!,"AAAAAFf998s=")</f>
        <v>#REF!</v>
      </c>
      <c r="GW139" t="e">
        <f>AND('GA55 Entry'!AB467,"AAAAAFf998w=")</f>
        <v>#VALUE!</v>
      </c>
      <c r="GX139" t="e">
        <f>AND('GA55 Entry'!AC467,"AAAAAFf9980=")</f>
        <v>#VALUE!</v>
      </c>
      <c r="GY139" t="e">
        <f>AND('GA55 Entry'!#REF!,"AAAAAFf9984=")</f>
        <v>#REF!</v>
      </c>
      <c r="GZ139">
        <f>IF('GA55 Entry'!468:468,"AAAAAFf9988=",0)</f>
        <v>0</v>
      </c>
      <c r="HA139" t="e">
        <f>AND('GA55 Entry'!B468,"AAAAAFf999A=")</f>
        <v>#VALUE!</v>
      </c>
      <c r="HB139" t="e">
        <f>AND('GA55 Entry'!#REF!,"AAAAAFf999E=")</f>
        <v>#REF!</v>
      </c>
      <c r="HC139" t="e">
        <f>AND('GA55 Entry'!C468,"AAAAAFf999I=")</f>
        <v>#VALUE!</v>
      </c>
      <c r="HD139" t="e">
        <f>AND('GA55 Entry'!#REF!,"AAAAAFf999M=")</f>
        <v>#REF!</v>
      </c>
      <c r="HE139" t="e">
        <f>AND('GA55 Entry'!#REF!,"AAAAAFf999Q=")</f>
        <v>#REF!</v>
      </c>
      <c r="HF139" t="e">
        <f>AND('GA55 Entry'!#REF!,"AAAAAFf999U=")</f>
        <v>#REF!</v>
      </c>
      <c r="HG139" t="e">
        <f>AND('GA55 Entry'!#REF!,"AAAAAFf999Y=")</f>
        <v>#REF!</v>
      </c>
      <c r="HH139" t="e">
        <f>AND('GA55 Entry'!#REF!,"AAAAAFf999c=")</f>
        <v>#REF!</v>
      </c>
      <c r="HI139" t="e">
        <f>AND('GA55 Entry'!D468,"AAAAAFf999g=")</f>
        <v>#VALUE!</v>
      </c>
      <c r="HJ139" t="e">
        <f>AND('GA55 Entry'!#REF!,"AAAAAFf999k=")</f>
        <v>#REF!</v>
      </c>
      <c r="HK139" t="e">
        <f>AND('GA55 Entry'!E468,"AAAAAFf999o=")</f>
        <v>#VALUE!</v>
      </c>
      <c r="HL139" t="e">
        <f>AND('GA55 Entry'!F468,"AAAAAFf999s=")</f>
        <v>#VALUE!</v>
      </c>
      <c r="HM139" t="e">
        <f>AND('GA55 Entry'!G468,"AAAAAFf999w=")</f>
        <v>#VALUE!</v>
      </c>
      <c r="HN139" t="e">
        <f>AND('GA55 Entry'!H468,"AAAAAFf9990=")</f>
        <v>#VALUE!</v>
      </c>
      <c r="HO139" t="e">
        <f>AND('GA55 Entry'!I468,"AAAAAFf9994=")</f>
        <v>#VALUE!</v>
      </c>
      <c r="HP139" t="e">
        <f>AND('GA55 Entry'!J468,"AAAAAFf9998=")</f>
        <v>#VALUE!</v>
      </c>
      <c r="HQ139" t="e">
        <f>AND('GA55 Entry'!#REF!,"AAAAAFf99+A=")</f>
        <v>#REF!</v>
      </c>
      <c r="HR139" t="e">
        <f>AND('GA55 Entry'!K468,"AAAAAFf99+E=")</f>
        <v>#VALUE!</v>
      </c>
      <c r="HS139" t="e">
        <f>AND('GA55 Entry'!L468,"AAAAAFf99+I=")</f>
        <v>#VALUE!</v>
      </c>
      <c r="HT139" t="e">
        <f>AND('GA55 Entry'!M468,"AAAAAFf99+M=")</f>
        <v>#VALUE!</v>
      </c>
      <c r="HU139" t="e">
        <f>AND('GA55 Entry'!N468,"AAAAAFf99+Q=")</f>
        <v>#VALUE!</v>
      </c>
      <c r="HV139" t="e">
        <f>AND('GA55 Entry'!O468,"AAAAAFf99+U=")</f>
        <v>#VALUE!</v>
      </c>
      <c r="HW139" t="e">
        <f>AND('GA55 Entry'!P468,"AAAAAFf99+Y=")</f>
        <v>#VALUE!</v>
      </c>
      <c r="HX139" t="e">
        <f>AND('GA55 Entry'!Q468,"AAAAAFf99+c=")</f>
        <v>#VALUE!</v>
      </c>
      <c r="HY139" t="e">
        <f>AND('GA55 Entry'!S468,"AAAAAFf99+g=")</f>
        <v>#VALUE!</v>
      </c>
      <c r="HZ139" t="e">
        <f>AND('GA55 Entry'!#REF!,"AAAAAFf99+k=")</f>
        <v>#REF!</v>
      </c>
      <c r="IA139" t="e">
        <f>AND('GA55 Entry'!T468,"AAAAAFf99+o=")</f>
        <v>#VALUE!</v>
      </c>
      <c r="IB139" t="e">
        <f>AND('GA55 Entry'!U468,"AAAAAFf99+s=")</f>
        <v>#VALUE!</v>
      </c>
      <c r="IC139" t="e">
        <f>AND('GA55 Entry'!V468,"AAAAAFf99+w=")</f>
        <v>#VALUE!</v>
      </c>
      <c r="ID139" t="e">
        <f>AND('GA55 Entry'!#REF!,"AAAAAFf99+0=")</f>
        <v>#REF!</v>
      </c>
      <c r="IE139" t="e">
        <f>AND('GA55 Entry'!#REF!,"AAAAAFf99+4=")</f>
        <v>#REF!</v>
      </c>
      <c r="IF139" t="e">
        <f>AND('GA55 Entry'!X468,"AAAAAFf99+8=")</f>
        <v>#VALUE!</v>
      </c>
      <c r="IG139" t="e">
        <f>AND('GA55 Entry'!Y468,"AAAAAFf99/A=")</f>
        <v>#VALUE!</v>
      </c>
      <c r="IH139" t="e">
        <f>AND('GA55 Entry'!#REF!,"AAAAAFf99/E=")</f>
        <v>#REF!</v>
      </c>
      <c r="II139" t="e">
        <f>AND('GA55 Entry'!#REF!,"AAAAAFf99/I=")</f>
        <v>#REF!</v>
      </c>
      <c r="IJ139" t="e">
        <f>AND('GA55 Entry'!#REF!,"AAAAAFf99/M=")</f>
        <v>#REF!</v>
      </c>
      <c r="IK139" t="e">
        <f>AND('GA55 Entry'!#REF!,"AAAAAFf99/Q=")</f>
        <v>#REF!</v>
      </c>
      <c r="IL139" t="e">
        <f>AND('GA55 Entry'!#REF!,"AAAAAFf99/U=")</f>
        <v>#REF!</v>
      </c>
      <c r="IM139" t="e">
        <f>AND('GA55 Entry'!#REF!,"AAAAAFf99/Y=")</f>
        <v>#REF!</v>
      </c>
      <c r="IN139" t="e">
        <f>AND('GA55 Entry'!#REF!,"AAAAAFf99/c=")</f>
        <v>#REF!</v>
      </c>
      <c r="IO139" t="e">
        <f>AND('GA55 Entry'!#REF!,"AAAAAFf99/g=")</f>
        <v>#REF!</v>
      </c>
      <c r="IP139" t="e">
        <f>AND('GA55 Entry'!#REF!,"AAAAAFf99/k=")</f>
        <v>#REF!</v>
      </c>
      <c r="IQ139" t="e">
        <f>AND('GA55 Entry'!Z468,"AAAAAFf99/o=")</f>
        <v>#VALUE!</v>
      </c>
      <c r="IR139" t="e">
        <f>AND('GA55 Entry'!AA468,"AAAAAFf99/s=")</f>
        <v>#VALUE!</v>
      </c>
      <c r="IS139" t="e">
        <f>AND('GA55 Entry'!#REF!,"AAAAAFf99/w=")</f>
        <v>#REF!</v>
      </c>
      <c r="IT139" t="e">
        <f>AND('GA55 Entry'!#REF!,"AAAAAFf99/0=")</f>
        <v>#REF!</v>
      </c>
      <c r="IU139" t="e">
        <f>AND('GA55 Entry'!#REF!,"AAAAAFf99/4=")</f>
        <v>#REF!</v>
      </c>
      <c r="IV139" t="e">
        <f>AND('GA55 Entry'!AB468,"AAAAAFf99/8=")</f>
        <v>#VALUE!</v>
      </c>
    </row>
    <row r="140" spans="1:256">
      <c r="A140" t="e">
        <f>AND('GA55 Entry'!AC468,"AAAAAA/PbQA=")</f>
        <v>#VALUE!</v>
      </c>
      <c r="B140" t="e">
        <f>AND('GA55 Entry'!#REF!,"AAAAAA/PbQE=")</f>
        <v>#REF!</v>
      </c>
      <c r="C140">
        <f>IF('GA55 Entry'!469:469,"AAAAAA/PbQI=",0)</f>
        <v>0</v>
      </c>
      <c r="D140" t="e">
        <f>AND('GA55 Entry'!B469,"AAAAAA/PbQM=")</f>
        <v>#VALUE!</v>
      </c>
      <c r="E140" t="e">
        <f>AND('GA55 Entry'!#REF!,"AAAAAA/PbQQ=")</f>
        <v>#REF!</v>
      </c>
      <c r="F140" t="e">
        <f>AND('GA55 Entry'!C469,"AAAAAA/PbQU=")</f>
        <v>#VALUE!</v>
      </c>
      <c r="G140" t="e">
        <f>AND('GA55 Entry'!#REF!,"AAAAAA/PbQY=")</f>
        <v>#REF!</v>
      </c>
      <c r="H140" t="e">
        <f>AND('GA55 Entry'!#REF!,"AAAAAA/PbQc=")</f>
        <v>#REF!</v>
      </c>
      <c r="I140" t="e">
        <f>AND('GA55 Entry'!#REF!,"AAAAAA/PbQg=")</f>
        <v>#REF!</v>
      </c>
      <c r="J140" t="e">
        <f>AND('GA55 Entry'!#REF!,"AAAAAA/PbQk=")</f>
        <v>#REF!</v>
      </c>
      <c r="K140" t="e">
        <f>AND('GA55 Entry'!#REF!,"AAAAAA/PbQo=")</f>
        <v>#REF!</v>
      </c>
      <c r="L140" t="e">
        <f>AND('GA55 Entry'!D469,"AAAAAA/PbQs=")</f>
        <v>#VALUE!</v>
      </c>
      <c r="M140" t="e">
        <f>AND('GA55 Entry'!#REF!,"AAAAAA/PbQw=")</f>
        <v>#REF!</v>
      </c>
      <c r="N140" t="e">
        <f>AND('GA55 Entry'!E469,"AAAAAA/PbQ0=")</f>
        <v>#VALUE!</v>
      </c>
      <c r="O140" t="e">
        <f>AND('GA55 Entry'!F469,"AAAAAA/PbQ4=")</f>
        <v>#VALUE!</v>
      </c>
      <c r="P140" t="e">
        <f>AND('GA55 Entry'!G469,"AAAAAA/PbQ8=")</f>
        <v>#VALUE!</v>
      </c>
      <c r="Q140" t="e">
        <f>AND('GA55 Entry'!H469,"AAAAAA/PbRA=")</f>
        <v>#VALUE!</v>
      </c>
      <c r="R140" t="e">
        <f>AND('GA55 Entry'!I469,"AAAAAA/PbRE=")</f>
        <v>#VALUE!</v>
      </c>
      <c r="S140" t="e">
        <f>AND('GA55 Entry'!J469,"AAAAAA/PbRI=")</f>
        <v>#VALUE!</v>
      </c>
      <c r="T140" t="e">
        <f>AND('GA55 Entry'!#REF!,"AAAAAA/PbRM=")</f>
        <v>#REF!</v>
      </c>
      <c r="U140" t="e">
        <f>AND('GA55 Entry'!K469,"AAAAAA/PbRQ=")</f>
        <v>#VALUE!</v>
      </c>
      <c r="V140" t="e">
        <f>AND('GA55 Entry'!L469,"AAAAAA/PbRU=")</f>
        <v>#VALUE!</v>
      </c>
      <c r="W140" t="e">
        <f>AND('GA55 Entry'!M469,"AAAAAA/PbRY=")</f>
        <v>#VALUE!</v>
      </c>
      <c r="X140" t="e">
        <f>AND('GA55 Entry'!N469,"AAAAAA/PbRc=")</f>
        <v>#VALUE!</v>
      </c>
      <c r="Y140" t="e">
        <f>AND('GA55 Entry'!O469,"AAAAAA/PbRg=")</f>
        <v>#VALUE!</v>
      </c>
      <c r="Z140" t="e">
        <f>AND('GA55 Entry'!P469,"AAAAAA/PbRk=")</f>
        <v>#VALUE!</v>
      </c>
      <c r="AA140" t="e">
        <f>AND('GA55 Entry'!Q469,"AAAAAA/PbRo=")</f>
        <v>#VALUE!</v>
      </c>
      <c r="AB140" t="e">
        <f>AND('GA55 Entry'!S469,"AAAAAA/PbRs=")</f>
        <v>#VALUE!</v>
      </c>
      <c r="AC140" t="e">
        <f>AND('GA55 Entry'!#REF!,"AAAAAA/PbRw=")</f>
        <v>#REF!</v>
      </c>
      <c r="AD140" t="e">
        <f>AND('GA55 Entry'!T469,"AAAAAA/PbR0=")</f>
        <v>#VALUE!</v>
      </c>
      <c r="AE140" t="e">
        <f>AND('GA55 Entry'!U469,"AAAAAA/PbR4=")</f>
        <v>#VALUE!</v>
      </c>
      <c r="AF140" t="e">
        <f>AND('GA55 Entry'!V469,"AAAAAA/PbR8=")</f>
        <v>#VALUE!</v>
      </c>
      <c r="AG140" t="e">
        <f>AND('GA55 Entry'!#REF!,"AAAAAA/PbSA=")</f>
        <v>#REF!</v>
      </c>
      <c r="AH140" t="e">
        <f>AND('GA55 Entry'!#REF!,"AAAAAA/PbSE=")</f>
        <v>#REF!</v>
      </c>
      <c r="AI140" t="e">
        <f>AND('GA55 Entry'!X469,"AAAAAA/PbSI=")</f>
        <v>#VALUE!</v>
      </c>
      <c r="AJ140" t="e">
        <f>AND('GA55 Entry'!Y469,"AAAAAA/PbSM=")</f>
        <v>#VALUE!</v>
      </c>
      <c r="AK140" t="e">
        <f>AND('GA55 Entry'!#REF!,"AAAAAA/PbSQ=")</f>
        <v>#REF!</v>
      </c>
      <c r="AL140" t="e">
        <f>AND('GA55 Entry'!#REF!,"AAAAAA/PbSU=")</f>
        <v>#REF!</v>
      </c>
      <c r="AM140" t="e">
        <f>AND('GA55 Entry'!#REF!,"AAAAAA/PbSY=")</f>
        <v>#REF!</v>
      </c>
      <c r="AN140" t="e">
        <f>AND('GA55 Entry'!#REF!,"AAAAAA/PbSc=")</f>
        <v>#REF!</v>
      </c>
      <c r="AO140" t="e">
        <f>AND('GA55 Entry'!#REF!,"AAAAAA/PbSg=")</f>
        <v>#REF!</v>
      </c>
      <c r="AP140" t="e">
        <f>AND('GA55 Entry'!#REF!,"AAAAAA/PbSk=")</f>
        <v>#REF!</v>
      </c>
      <c r="AQ140" t="e">
        <f>AND('GA55 Entry'!#REF!,"AAAAAA/PbSo=")</f>
        <v>#REF!</v>
      </c>
      <c r="AR140" t="e">
        <f>AND('GA55 Entry'!#REF!,"AAAAAA/PbSs=")</f>
        <v>#REF!</v>
      </c>
      <c r="AS140" t="e">
        <f>AND('GA55 Entry'!#REF!,"AAAAAA/PbSw=")</f>
        <v>#REF!</v>
      </c>
      <c r="AT140" t="e">
        <f>AND('GA55 Entry'!Z469,"AAAAAA/PbS0=")</f>
        <v>#VALUE!</v>
      </c>
      <c r="AU140" t="e">
        <f>AND('GA55 Entry'!AA469,"AAAAAA/PbS4=")</f>
        <v>#VALUE!</v>
      </c>
      <c r="AV140" t="e">
        <f>AND('GA55 Entry'!#REF!,"AAAAAA/PbS8=")</f>
        <v>#REF!</v>
      </c>
      <c r="AW140" t="e">
        <f>AND('GA55 Entry'!#REF!,"AAAAAA/PbTA=")</f>
        <v>#REF!</v>
      </c>
      <c r="AX140" t="e">
        <f>AND('GA55 Entry'!#REF!,"AAAAAA/PbTE=")</f>
        <v>#REF!</v>
      </c>
      <c r="AY140" t="e">
        <f>AND('GA55 Entry'!AB469,"AAAAAA/PbTI=")</f>
        <v>#VALUE!</v>
      </c>
      <c r="AZ140" t="e">
        <f>AND('GA55 Entry'!AC469,"AAAAAA/PbTM=")</f>
        <v>#VALUE!</v>
      </c>
      <c r="BA140" t="e">
        <f>AND('GA55 Entry'!#REF!,"AAAAAA/PbTQ=")</f>
        <v>#REF!</v>
      </c>
      <c r="BB140">
        <f>IF('GA55 Entry'!470:470,"AAAAAA/PbTU=",0)</f>
        <v>0</v>
      </c>
      <c r="BC140" t="e">
        <f>AND('GA55 Entry'!B470,"AAAAAA/PbTY=")</f>
        <v>#VALUE!</v>
      </c>
      <c r="BD140" t="e">
        <f>AND('GA55 Entry'!#REF!,"AAAAAA/PbTc=")</f>
        <v>#REF!</v>
      </c>
      <c r="BE140" t="e">
        <f>AND('GA55 Entry'!C470,"AAAAAA/PbTg=")</f>
        <v>#VALUE!</v>
      </c>
      <c r="BF140" t="e">
        <f>AND('GA55 Entry'!#REF!,"AAAAAA/PbTk=")</f>
        <v>#REF!</v>
      </c>
      <c r="BG140" t="e">
        <f>AND('GA55 Entry'!#REF!,"AAAAAA/PbTo=")</f>
        <v>#REF!</v>
      </c>
      <c r="BH140" t="e">
        <f>AND('GA55 Entry'!#REF!,"AAAAAA/PbTs=")</f>
        <v>#REF!</v>
      </c>
      <c r="BI140" t="e">
        <f>AND('GA55 Entry'!#REF!,"AAAAAA/PbTw=")</f>
        <v>#REF!</v>
      </c>
      <c r="BJ140" t="e">
        <f>AND('GA55 Entry'!#REF!,"AAAAAA/PbT0=")</f>
        <v>#REF!</v>
      </c>
      <c r="BK140" t="e">
        <f>AND('GA55 Entry'!D470,"AAAAAA/PbT4=")</f>
        <v>#VALUE!</v>
      </c>
      <c r="BL140" t="e">
        <f>AND('GA55 Entry'!#REF!,"AAAAAA/PbT8=")</f>
        <v>#REF!</v>
      </c>
      <c r="BM140" t="e">
        <f>AND('GA55 Entry'!E470,"AAAAAA/PbUA=")</f>
        <v>#VALUE!</v>
      </c>
      <c r="BN140" t="e">
        <f>AND('GA55 Entry'!F470,"AAAAAA/PbUE=")</f>
        <v>#VALUE!</v>
      </c>
      <c r="BO140" t="e">
        <f>AND('GA55 Entry'!G470,"AAAAAA/PbUI=")</f>
        <v>#VALUE!</v>
      </c>
      <c r="BP140" t="e">
        <f>AND('GA55 Entry'!H470,"AAAAAA/PbUM=")</f>
        <v>#VALUE!</v>
      </c>
      <c r="BQ140" t="e">
        <f>AND('GA55 Entry'!I470,"AAAAAA/PbUQ=")</f>
        <v>#VALUE!</v>
      </c>
      <c r="BR140" t="e">
        <f>AND('GA55 Entry'!J470,"AAAAAA/PbUU=")</f>
        <v>#VALUE!</v>
      </c>
      <c r="BS140" t="e">
        <f>AND('GA55 Entry'!#REF!,"AAAAAA/PbUY=")</f>
        <v>#REF!</v>
      </c>
      <c r="BT140" t="e">
        <f>AND('GA55 Entry'!K470,"AAAAAA/PbUc=")</f>
        <v>#VALUE!</v>
      </c>
      <c r="BU140" t="e">
        <f>AND('GA55 Entry'!L470,"AAAAAA/PbUg=")</f>
        <v>#VALUE!</v>
      </c>
      <c r="BV140" t="e">
        <f>AND('GA55 Entry'!M470,"AAAAAA/PbUk=")</f>
        <v>#VALUE!</v>
      </c>
      <c r="BW140" t="e">
        <f>AND('GA55 Entry'!N470,"AAAAAA/PbUo=")</f>
        <v>#VALUE!</v>
      </c>
      <c r="BX140" t="e">
        <f>AND('GA55 Entry'!O470,"AAAAAA/PbUs=")</f>
        <v>#VALUE!</v>
      </c>
      <c r="BY140" t="e">
        <f>AND('GA55 Entry'!P470,"AAAAAA/PbUw=")</f>
        <v>#VALUE!</v>
      </c>
      <c r="BZ140" t="e">
        <f>AND('GA55 Entry'!Q470,"AAAAAA/PbU0=")</f>
        <v>#VALUE!</v>
      </c>
      <c r="CA140" t="e">
        <f>AND('GA55 Entry'!S470,"AAAAAA/PbU4=")</f>
        <v>#VALUE!</v>
      </c>
      <c r="CB140" t="e">
        <f>AND('GA55 Entry'!#REF!,"AAAAAA/PbU8=")</f>
        <v>#REF!</v>
      </c>
      <c r="CC140" t="e">
        <f>AND('GA55 Entry'!T470,"AAAAAA/PbVA=")</f>
        <v>#VALUE!</v>
      </c>
      <c r="CD140" t="e">
        <f>AND('GA55 Entry'!U470,"AAAAAA/PbVE=")</f>
        <v>#VALUE!</v>
      </c>
      <c r="CE140" t="e">
        <f>AND('GA55 Entry'!V470,"AAAAAA/PbVI=")</f>
        <v>#VALUE!</v>
      </c>
      <c r="CF140" t="e">
        <f>AND('GA55 Entry'!#REF!,"AAAAAA/PbVM=")</f>
        <v>#REF!</v>
      </c>
      <c r="CG140" t="e">
        <f>AND('GA55 Entry'!#REF!,"AAAAAA/PbVQ=")</f>
        <v>#REF!</v>
      </c>
      <c r="CH140" t="e">
        <f>AND('GA55 Entry'!X470,"AAAAAA/PbVU=")</f>
        <v>#VALUE!</v>
      </c>
      <c r="CI140" t="e">
        <f>AND('GA55 Entry'!Y470,"AAAAAA/PbVY=")</f>
        <v>#VALUE!</v>
      </c>
      <c r="CJ140" t="e">
        <f>AND('GA55 Entry'!#REF!,"AAAAAA/PbVc=")</f>
        <v>#REF!</v>
      </c>
      <c r="CK140" t="e">
        <f>AND('GA55 Entry'!#REF!,"AAAAAA/PbVg=")</f>
        <v>#REF!</v>
      </c>
      <c r="CL140" t="e">
        <f>AND('GA55 Entry'!#REF!,"AAAAAA/PbVk=")</f>
        <v>#REF!</v>
      </c>
      <c r="CM140" t="e">
        <f>AND('GA55 Entry'!#REF!,"AAAAAA/PbVo=")</f>
        <v>#REF!</v>
      </c>
      <c r="CN140" t="e">
        <f>AND('GA55 Entry'!#REF!,"AAAAAA/PbVs=")</f>
        <v>#REF!</v>
      </c>
      <c r="CO140" t="e">
        <f>AND('GA55 Entry'!#REF!,"AAAAAA/PbVw=")</f>
        <v>#REF!</v>
      </c>
      <c r="CP140" t="e">
        <f>AND('GA55 Entry'!#REF!,"AAAAAA/PbV0=")</f>
        <v>#REF!</v>
      </c>
      <c r="CQ140" t="e">
        <f>AND('GA55 Entry'!#REF!,"AAAAAA/PbV4=")</f>
        <v>#REF!</v>
      </c>
      <c r="CR140" t="e">
        <f>AND('GA55 Entry'!#REF!,"AAAAAA/PbV8=")</f>
        <v>#REF!</v>
      </c>
      <c r="CS140" t="e">
        <f>AND('GA55 Entry'!Z470,"AAAAAA/PbWA=")</f>
        <v>#VALUE!</v>
      </c>
      <c r="CT140" t="e">
        <f>AND('GA55 Entry'!AA470,"AAAAAA/PbWE=")</f>
        <v>#VALUE!</v>
      </c>
      <c r="CU140" t="e">
        <f>AND('GA55 Entry'!#REF!,"AAAAAA/PbWI=")</f>
        <v>#REF!</v>
      </c>
      <c r="CV140" t="e">
        <f>AND('GA55 Entry'!#REF!,"AAAAAA/PbWM=")</f>
        <v>#REF!</v>
      </c>
      <c r="CW140" t="e">
        <f>AND('GA55 Entry'!#REF!,"AAAAAA/PbWQ=")</f>
        <v>#REF!</v>
      </c>
      <c r="CX140" t="e">
        <f>AND('GA55 Entry'!AB470,"AAAAAA/PbWU=")</f>
        <v>#VALUE!</v>
      </c>
      <c r="CY140" t="e">
        <f>AND('GA55 Entry'!AC470,"AAAAAA/PbWY=")</f>
        <v>#VALUE!</v>
      </c>
      <c r="CZ140" t="e">
        <f>AND('GA55 Entry'!#REF!,"AAAAAA/PbWc=")</f>
        <v>#REF!</v>
      </c>
      <c r="DA140">
        <f>IF('GA55 Entry'!471:471,"AAAAAA/PbWg=",0)</f>
        <v>0</v>
      </c>
      <c r="DB140" t="e">
        <f>AND('GA55 Entry'!B471,"AAAAAA/PbWk=")</f>
        <v>#VALUE!</v>
      </c>
      <c r="DC140" t="e">
        <f>AND('GA55 Entry'!#REF!,"AAAAAA/PbWo=")</f>
        <v>#REF!</v>
      </c>
      <c r="DD140" t="e">
        <f>AND('GA55 Entry'!C471,"AAAAAA/PbWs=")</f>
        <v>#VALUE!</v>
      </c>
      <c r="DE140" t="e">
        <f>AND('GA55 Entry'!#REF!,"AAAAAA/PbWw=")</f>
        <v>#REF!</v>
      </c>
      <c r="DF140" t="e">
        <f>AND('GA55 Entry'!#REF!,"AAAAAA/PbW0=")</f>
        <v>#REF!</v>
      </c>
      <c r="DG140" t="e">
        <f>AND('GA55 Entry'!#REF!,"AAAAAA/PbW4=")</f>
        <v>#REF!</v>
      </c>
      <c r="DH140" t="e">
        <f>AND('GA55 Entry'!#REF!,"AAAAAA/PbW8=")</f>
        <v>#REF!</v>
      </c>
      <c r="DI140" t="e">
        <f>AND('GA55 Entry'!#REF!,"AAAAAA/PbXA=")</f>
        <v>#REF!</v>
      </c>
      <c r="DJ140" t="e">
        <f>AND('GA55 Entry'!D471,"AAAAAA/PbXE=")</f>
        <v>#VALUE!</v>
      </c>
      <c r="DK140" t="e">
        <f>AND('GA55 Entry'!#REF!,"AAAAAA/PbXI=")</f>
        <v>#REF!</v>
      </c>
      <c r="DL140" t="e">
        <f>AND('GA55 Entry'!E471,"AAAAAA/PbXM=")</f>
        <v>#VALUE!</v>
      </c>
      <c r="DM140" t="e">
        <f>AND('GA55 Entry'!F471,"AAAAAA/PbXQ=")</f>
        <v>#VALUE!</v>
      </c>
      <c r="DN140" t="e">
        <f>AND('GA55 Entry'!G471,"AAAAAA/PbXU=")</f>
        <v>#VALUE!</v>
      </c>
      <c r="DO140" t="e">
        <f>AND('GA55 Entry'!H471,"AAAAAA/PbXY=")</f>
        <v>#VALUE!</v>
      </c>
      <c r="DP140" t="e">
        <f>AND('GA55 Entry'!I471,"AAAAAA/PbXc=")</f>
        <v>#VALUE!</v>
      </c>
      <c r="DQ140" t="e">
        <f>AND('GA55 Entry'!J471,"AAAAAA/PbXg=")</f>
        <v>#VALUE!</v>
      </c>
      <c r="DR140" t="e">
        <f>AND('GA55 Entry'!#REF!,"AAAAAA/PbXk=")</f>
        <v>#REF!</v>
      </c>
      <c r="DS140" t="e">
        <f>AND('GA55 Entry'!K471,"AAAAAA/PbXo=")</f>
        <v>#VALUE!</v>
      </c>
      <c r="DT140" t="e">
        <f>AND('GA55 Entry'!L471,"AAAAAA/PbXs=")</f>
        <v>#VALUE!</v>
      </c>
      <c r="DU140" t="e">
        <f>AND('GA55 Entry'!M471,"AAAAAA/PbXw=")</f>
        <v>#VALUE!</v>
      </c>
      <c r="DV140" t="e">
        <f>AND('GA55 Entry'!N471,"AAAAAA/PbX0=")</f>
        <v>#VALUE!</v>
      </c>
      <c r="DW140" t="e">
        <f>AND('GA55 Entry'!O471,"AAAAAA/PbX4=")</f>
        <v>#VALUE!</v>
      </c>
      <c r="DX140" t="e">
        <f>AND('GA55 Entry'!P471,"AAAAAA/PbX8=")</f>
        <v>#VALUE!</v>
      </c>
      <c r="DY140" t="e">
        <f>AND('GA55 Entry'!Q471,"AAAAAA/PbYA=")</f>
        <v>#VALUE!</v>
      </c>
      <c r="DZ140" t="e">
        <f>AND('GA55 Entry'!S471,"AAAAAA/PbYE=")</f>
        <v>#VALUE!</v>
      </c>
      <c r="EA140" t="e">
        <f>AND('GA55 Entry'!#REF!,"AAAAAA/PbYI=")</f>
        <v>#REF!</v>
      </c>
      <c r="EB140" t="e">
        <f>AND('GA55 Entry'!T471,"AAAAAA/PbYM=")</f>
        <v>#VALUE!</v>
      </c>
      <c r="EC140" t="e">
        <f>AND('GA55 Entry'!U471,"AAAAAA/PbYQ=")</f>
        <v>#VALUE!</v>
      </c>
      <c r="ED140" t="e">
        <f>AND('GA55 Entry'!V471,"AAAAAA/PbYU=")</f>
        <v>#VALUE!</v>
      </c>
      <c r="EE140" t="e">
        <f>AND('GA55 Entry'!#REF!,"AAAAAA/PbYY=")</f>
        <v>#REF!</v>
      </c>
      <c r="EF140" t="e">
        <f>AND('GA55 Entry'!#REF!,"AAAAAA/PbYc=")</f>
        <v>#REF!</v>
      </c>
      <c r="EG140" t="e">
        <f>AND('GA55 Entry'!X471,"AAAAAA/PbYg=")</f>
        <v>#VALUE!</v>
      </c>
      <c r="EH140" t="e">
        <f>AND('GA55 Entry'!Y471,"AAAAAA/PbYk=")</f>
        <v>#VALUE!</v>
      </c>
      <c r="EI140" t="e">
        <f>AND('GA55 Entry'!#REF!,"AAAAAA/PbYo=")</f>
        <v>#REF!</v>
      </c>
      <c r="EJ140" t="e">
        <f>AND('GA55 Entry'!#REF!,"AAAAAA/PbYs=")</f>
        <v>#REF!</v>
      </c>
      <c r="EK140" t="e">
        <f>AND('GA55 Entry'!#REF!,"AAAAAA/PbYw=")</f>
        <v>#REF!</v>
      </c>
      <c r="EL140" t="e">
        <f>AND('GA55 Entry'!#REF!,"AAAAAA/PbY0=")</f>
        <v>#REF!</v>
      </c>
      <c r="EM140" t="e">
        <f>AND('GA55 Entry'!#REF!,"AAAAAA/PbY4=")</f>
        <v>#REF!</v>
      </c>
      <c r="EN140" t="e">
        <f>AND('GA55 Entry'!#REF!,"AAAAAA/PbY8=")</f>
        <v>#REF!</v>
      </c>
      <c r="EO140" t="e">
        <f>AND('GA55 Entry'!#REF!,"AAAAAA/PbZA=")</f>
        <v>#REF!</v>
      </c>
      <c r="EP140" t="e">
        <f>AND('GA55 Entry'!#REF!,"AAAAAA/PbZE=")</f>
        <v>#REF!</v>
      </c>
      <c r="EQ140" t="e">
        <f>AND('GA55 Entry'!#REF!,"AAAAAA/PbZI=")</f>
        <v>#REF!</v>
      </c>
      <c r="ER140" t="e">
        <f>AND('GA55 Entry'!Z471,"AAAAAA/PbZM=")</f>
        <v>#VALUE!</v>
      </c>
      <c r="ES140" t="e">
        <f>AND('GA55 Entry'!AA471,"AAAAAA/PbZQ=")</f>
        <v>#VALUE!</v>
      </c>
      <c r="ET140" t="e">
        <f>AND('GA55 Entry'!#REF!,"AAAAAA/PbZU=")</f>
        <v>#REF!</v>
      </c>
      <c r="EU140" t="e">
        <f>AND('GA55 Entry'!#REF!,"AAAAAA/PbZY=")</f>
        <v>#REF!</v>
      </c>
      <c r="EV140" t="e">
        <f>AND('GA55 Entry'!#REF!,"AAAAAA/PbZc=")</f>
        <v>#REF!</v>
      </c>
      <c r="EW140" t="e">
        <f>AND('GA55 Entry'!AB471,"AAAAAA/PbZg=")</f>
        <v>#VALUE!</v>
      </c>
      <c r="EX140" t="e">
        <f>AND('GA55 Entry'!AC471,"AAAAAA/PbZk=")</f>
        <v>#VALUE!</v>
      </c>
      <c r="EY140" t="e">
        <f>AND('GA55 Entry'!#REF!,"AAAAAA/PbZo=")</f>
        <v>#REF!</v>
      </c>
      <c r="EZ140">
        <f>IF('GA55 Entry'!472:472,"AAAAAA/PbZs=",0)</f>
        <v>0</v>
      </c>
      <c r="FA140" t="e">
        <f>AND('GA55 Entry'!B472,"AAAAAA/PbZw=")</f>
        <v>#VALUE!</v>
      </c>
      <c r="FB140" t="e">
        <f>AND('GA55 Entry'!#REF!,"AAAAAA/PbZ0=")</f>
        <v>#REF!</v>
      </c>
      <c r="FC140" t="e">
        <f>AND('GA55 Entry'!C472,"AAAAAA/PbZ4=")</f>
        <v>#VALUE!</v>
      </c>
      <c r="FD140" t="e">
        <f>AND('GA55 Entry'!#REF!,"AAAAAA/PbZ8=")</f>
        <v>#REF!</v>
      </c>
      <c r="FE140" t="e">
        <f>AND('GA55 Entry'!#REF!,"AAAAAA/PbaA=")</f>
        <v>#REF!</v>
      </c>
      <c r="FF140" t="e">
        <f>AND('GA55 Entry'!#REF!,"AAAAAA/PbaE=")</f>
        <v>#REF!</v>
      </c>
      <c r="FG140" t="e">
        <f>AND('GA55 Entry'!#REF!,"AAAAAA/PbaI=")</f>
        <v>#REF!</v>
      </c>
      <c r="FH140" t="e">
        <f>AND('GA55 Entry'!#REF!,"AAAAAA/PbaM=")</f>
        <v>#REF!</v>
      </c>
      <c r="FI140" t="e">
        <f>AND('GA55 Entry'!D472,"AAAAAA/PbaQ=")</f>
        <v>#VALUE!</v>
      </c>
      <c r="FJ140" t="e">
        <f>AND('GA55 Entry'!#REF!,"AAAAAA/PbaU=")</f>
        <v>#REF!</v>
      </c>
      <c r="FK140" t="e">
        <f>AND('GA55 Entry'!E472,"AAAAAA/PbaY=")</f>
        <v>#VALUE!</v>
      </c>
      <c r="FL140" t="e">
        <f>AND('GA55 Entry'!F472,"AAAAAA/Pbac=")</f>
        <v>#VALUE!</v>
      </c>
      <c r="FM140" t="e">
        <f>AND('GA55 Entry'!G472,"AAAAAA/Pbag=")</f>
        <v>#VALUE!</v>
      </c>
      <c r="FN140" t="e">
        <f>AND('GA55 Entry'!H472,"AAAAAA/Pbak=")</f>
        <v>#VALUE!</v>
      </c>
      <c r="FO140" t="e">
        <f>AND('GA55 Entry'!I472,"AAAAAA/Pbao=")</f>
        <v>#VALUE!</v>
      </c>
      <c r="FP140" t="e">
        <f>AND('GA55 Entry'!J472,"AAAAAA/Pbas=")</f>
        <v>#VALUE!</v>
      </c>
      <c r="FQ140" t="e">
        <f>AND('GA55 Entry'!#REF!,"AAAAAA/Pbaw=")</f>
        <v>#REF!</v>
      </c>
      <c r="FR140" t="e">
        <f>AND('GA55 Entry'!K472,"AAAAAA/Pba0=")</f>
        <v>#VALUE!</v>
      </c>
      <c r="FS140" t="e">
        <f>AND('GA55 Entry'!L472,"AAAAAA/Pba4=")</f>
        <v>#VALUE!</v>
      </c>
      <c r="FT140" t="e">
        <f>AND('GA55 Entry'!M472,"AAAAAA/Pba8=")</f>
        <v>#VALUE!</v>
      </c>
      <c r="FU140" t="e">
        <f>AND('GA55 Entry'!N472,"AAAAAA/PbbA=")</f>
        <v>#VALUE!</v>
      </c>
      <c r="FV140" t="e">
        <f>AND('GA55 Entry'!O472,"AAAAAA/PbbE=")</f>
        <v>#VALUE!</v>
      </c>
      <c r="FW140" t="e">
        <f>AND('GA55 Entry'!P472,"AAAAAA/PbbI=")</f>
        <v>#VALUE!</v>
      </c>
      <c r="FX140" t="e">
        <f>AND('GA55 Entry'!Q472,"AAAAAA/PbbM=")</f>
        <v>#VALUE!</v>
      </c>
      <c r="FY140" t="e">
        <f>AND('GA55 Entry'!S472,"AAAAAA/PbbQ=")</f>
        <v>#VALUE!</v>
      </c>
      <c r="FZ140" t="e">
        <f>AND('GA55 Entry'!#REF!,"AAAAAA/PbbU=")</f>
        <v>#REF!</v>
      </c>
      <c r="GA140" t="e">
        <f>AND('GA55 Entry'!T472,"AAAAAA/PbbY=")</f>
        <v>#VALUE!</v>
      </c>
      <c r="GB140" t="e">
        <f>AND('GA55 Entry'!U472,"AAAAAA/Pbbc=")</f>
        <v>#VALUE!</v>
      </c>
      <c r="GC140" t="e">
        <f>AND('GA55 Entry'!V472,"AAAAAA/Pbbg=")</f>
        <v>#VALUE!</v>
      </c>
      <c r="GD140" t="e">
        <f>AND('GA55 Entry'!#REF!,"AAAAAA/Pbbk=")</f>
        <v>#REF!</v>
      </c>
      <c r="GE140" t="e">
        <f>AND('GA55 Entry'!#REF!,"AAAAAA/Pbbo=")</f>
        <v>#REF!</v>
      </c>
      <c r="GF140" t="e">
        <f>AND('GA55 Entry'!X472,"AAAAAA/Pbbs=")</f>
        <v>#VALUE!</v>
      </c>
      <c r="GG140" t="e">
        <f>AND('GA55 Entry'!Y472,"AAAAAA/Pbbw=")</f>
        <v>#VALUE!</v>
      </c>
      <c r="GH140" t="e">
        <f>AND('GA55 Entry'!#REF!,"AAAAAA/Pbb0=")</f>
        <v>#REF!</v>
      </c>
      <c r="GI140" t="e">
        <f>AND('GA55 Entry'!#REF!,"AAAAAA/Pbb4=")</f>
        <v>#REF!</v>
      </c>
      <c r="GJ140" t="e">
        <f>AND('GA55 Entry'!#REF!,"AAAAAA/Pbb8=")</f>
        <v>#REF!</v>
      </c>
      <c r="GK140" t="e">
        <f>AND('GA55 Entry'!#REF!,"AAAAAA/PbcA=")</f>
        <v>#REF!</v>
      </c>
      <c r="GL140" t="e">
        <f>AND('GA55 Entry'!#REF!,"AAAAAA/PbcE=")</f>
        <v>#REF!</v>
      </c>
      <c r="GM140" t="e">
        <f>AND('GA55 Entry'!#REF!,"AAAAAA/PbcI=")</f>
        <v>#REF!</v>
      </c>
      <c r="GN140" t="e">
        <f>AND('GA55 Entry'!#REF!,"AAAAAA/PbcM=")</f>
        <v>#REF!</v>
      </c>
      <c r="GO140" t="e">
        <f>AND('GA55 Entry'!#REF!,"AAAAAA/PbcQ=")</f>
        <v>#REF!</v>
      </c>
      <c r="GP140" t="e">
        <f>AND('GA55 Entry'!#REF!,"AAAAAA/PbcU=")</f>
        <v>#REF!</v>
      </c>
      <c r="GQ140" t="e">
        <f>AND('GA55 Entry'!Z472,"AAAAAA/PbcY=")</f>
        <v>#VALUE!</v>
      </c>
      <c r="GR140" t="e">
        <f>AND('GA55 Entry'!AA472,"AAAAAA/Pbcc=")</f>
        <v>#VALUE!</v>
      </c>
      <c r="GS140" t="e">
        <f>AND('GA55 Entry'!#REF!,"AAAAAA/Pbcg=")</f>
        <v>#REF!</v>
      </c>
      <c r="GT140" t="e">
        <f>AND('GA55 Entry'!#REF!,"AAAAAA/Pbck=")</f>
        <v>#REF!</v>
      </c>
      <c r="GU140" t="e">
        <f>AND('GA55 Entry'!#REF!,"AAAAAA/Pbco=")</f>
        <v>#REF!</v>
      </c>
      <c r="GV140" t="e">
        <f>AND('GA55 Entry'!AB472,"AAAAAA/Pbcs=")</f>
        <v>#VALUE!</v>
      </c>
      <c r="GW140" t="e">
        <f>AND('GA55 Entry'!AC472,"AAAAAA/Pbcw=")</f>
        <v>#VALUE!</v>
      </c>
      <c r="GX140" t="e">
        <f>AND('GA55 Entry'!#REF!,"AAAAAA/Pbc0=")</f>
        <v>#REF!</v>
      </c>
      <c r="GY140">
        <f>IF('GA55 Entry'!473:473,"AAAAAA/Pbc4=",0)</f>
        <v>0</v>
      </c>
      <c r="GZ140" t="e">
        <f>AND('GA55 Entry'!B473,"AAAAAA/Pbc8=")</f>
        <v>#VALUE!</v>
      </c>
      <c r="HA140" t="e">
        <f>AND('GA55 Entry'!#REF!,"AAAAAA/PbdA=")</f>
        <v>#REF!</v>
      </c>
      <c r="HB140" t="e">
        <f>AND('GA55 Entry'!C473,"AAAAAA/PbdE=")</f>
        <v>#VALUE!</v>
      </c>
      <c r="HC140" t="e">
        <f>AND('GA55 Entry'!#REF!,"AAAAAA/PbdI=")</f>
        <v>#REF!</v>
      </c>
      <c r="HD140" t="e">
        <f>AND('GA55 Entry'!#REF!,"AAAAAA/PbdM=")</f>
        <v>#REF!</v>
      </c>
      <c r="HE140" t="e">
        <f>AND('GA55 Entry'!#REF!,"AAAAAA/PbdQ=")</f>
        <v>#REF!</v>
      </c>
      <c r="HF140" t="e">
        <f>AND('GA55 Entry'!#REF!,"AAAAAA/PbdU=")</f>
        <v>#REF!</v>
      </c>
      <c r="HG140" t="e">
        <f>AND('GA55 Entry'!#REF!,"AAAAAA/PbdY=")</f>
        <v>#REF!</v>
      </c>
      <c r="HH140" t="e">
        <f>AND('GA55 Entry'!D473,"AAAAAA/Pbdc=")</f>
        <v>#VALUE!</v>
      </c>
      <c r="HI140" t="e">
        <f>AND('GA55 Entry'!#REF!,"AAAAAA/Pbdg=")</f>
        <v>#REF!</v>
      </c>
      <c r="HJ140" t="e">
        <f>AND('GA55 Entry'!E473,"AAAAAA/Pbdk=")</f>
        <v>#VALUE!</v>
      </c>
      <c r="HK140" t="e">
        <f>AND('GA55 Entry'!F473,"AAAAAA/Pbdo=")</f>
        <v>#VALUE!</v>
      </c>
      <c r="HL140" t="e">
        <f>AND('GA55 Entry'!G473,"AAAAAA/Pbds=")</f>
        <v>#VALUE!</v>
      </c>
      <c r="HM140" t="e">
        <f>AND('GA55 Entry'!H473,"AAAAAA/Pbdw=")</f>
        <v>#VALUE!</v>
      </c>
      <c r="HN140" t="e">
        <f>AND('GA55 Entry'!I473,"AAAAAA/Pbd0=")</f>
        <v>#VALUE!</v>
      </c>
      <c r="HO140" t="e">
        <f>AND('GA55 Entry'!J473,"AAAAAA/Pbd4=")</f>
        <v>#VALUE!</v>
      </c>
      <c r="HP140" t="e">
        <f>AND('GA55 Entry'!#REF!,"AAAAAA/Pbd8=")</f>
        <v>#REF!</v>
      </c>
      <c r="HQ140" t="e">
        <f>AND('GA55 Entry'!K473,"AAAAAA/PbeA=")</f>
        <v>#VALUE!</v>
      </c>
      <c r="HR140" t="e">
        <f>AND('GA55 Entry'!L473,"AAAAAA/PbeE=")</f>
        <v>#VALUE!</v>
      </c>
      <c r="HS140" t="e">
        <f>AND('GA55 Entry'!M473,"AAAAAA/PbeI=")</f>
        <v>#VALUE!</v>
      </c>
      <c r="HT140" t="e">
        <f>AND('GA55 Entry'!N473,"AAAAAA/PbeM=")</f>
        <v>#VALUE!</v>
      </c>
      <c r="HU140" t="e">
        <f>AND('GA55 Entry'!O473,"AAAAAA/PbeQ=")</f>
        <v>#VALUE!</v>
      </c>
      <c r="HV140" t="e">
        <f>AND('GA55 Entry'!P473,"AAAAAA/PbeU=")</f>
        <v>#VALUE!</v>
      </c>
      <c r="HW140" t="e">
        <f>AND('GA55 Entry'!Q473,"AAAAAA/PbeY=")</f>
        <v>#VALUE!</v>
      </c>
      <c r="HX140" t="e">
        <f>AND('GA55 Entry'!S473,"AAAAAA/Pbec=")</f>
        <v>#VALUE!</v>
      </c>
      <c r="HY140" t="e">
        <f>AND('GA55 Entry'!#REF!,"AAAAAA/Pbeg=")</f>
        <v>#REF!</v>
      </c>
      <c r="HZ140" t="e">
        <f>AND('GA55 Entry'!T473,"AAAAAA/Pbek=")</f>
        <v>#VALUE!</v>
      </c>
      <c r="IA140" t="e">
        <f>AND('GA55 Entry'!U473,"AAAAAA/Pbeo=")</f>
        <v>#VALUE!</v>
      </c>
      <c r="IB140" t="e">
        <f>AND('GA55 Entry'!V473,"AAAAAA/Pbes=")</f>
        <v>#VALUE!</v>
      </c>
      <c r="IC140" t="e">
        <f>AND('GA55 Entry'!#REF!,"AAAAAA/Pbew=")</f>
        <v>#REF!</v>
      </c>
      <c r="ID140" t="e">
        <f>AND('GA55 Entry'!#REF!,"AAAAAA/Pbe0=")</f>
        <v>#REF!</v>
      </c>
      <c r="IE140" t="e">
        <f>AND('GA55 Entry'!X473,"AAAAAA/Pbe4=")</f>
        <v>#VALUE!</v>
      </c>
      <c r="IF140" t="e">
        <f>AND('GA55 Entry'!Y473,"AAAAAA/Pbe8=")</f>
        <v>#VALUE!</v>
      </c>
      <c r="IG140" t="e">
        <f>AND('GA55 Entry'!#REF!,"AAAAAA/PbfA=")</f>
        <v>#REF!</v>
      </c>
      <c r="IH140" t="e">
        <f>AND('GA55 Entry'!#REF!,"AAAAAA/PbfE=")</f>
        <v>#REF!</v>
      </c>
      <c r="II140" t="e">
        <f>AND('GA55 Entry'!#REF!,"AAAAAA/PbfI=")</f>
        <v>#REF!</v>
      </c>
      <c r="IJ140" t="e">
        <f>AND('GA55 Entry'!#REF!,"AAAAAA/PbfM=")</f>
        <v>#REF!</v>
      </c>
      <c r="IK140" t="e">
        <f>AND('GA55 Entry'!#REF!,"AAAAAA/PbfQ=")</f>
        <v>#REF!</v>
      </c>
      <c r="IL140" t="e">
        <f>AND('GA55 Entry'!#REF!,"AAAAAA/PbfU=")</f>
        <v>#REF!</v>
      </c>
      <c r="IM140" t="e">
        <f>AND('GA55 Entry'!#REF!,"AAAAAA/PbfY=")</f>
        <v>#REF!</v>
      </c>
      <c r="IN140" t="e">
        <f>AND('GA55 Entry'!#REF!,"AAAAAA/Pbfc=")</f>
        <v>#REF!</v>
      </c>
      <c r="IO140" t="e">
        <f>AND('GA55 Entry'!#REF!,"AAAAAA/Pbfg=")</f>
        <v>#REF!</v>
      </c>
      <c r="IP140" t="e">
        <f>AND('GA55 Entry'!Z473,"AAAAAA/Pbfk=")</f>
        <v>#VALUE!</v>
      </c>
      <c r="IQ140" t="e">
        <f>AND('GA55 Entry'!AA473,"AAAAAA/Pbfo=")</f>
        <v>#VALUE!</v>
      </c>
      <c r="IR140" t="e">
        <f>AND('GA55 Entry'!#REF!,"AAAAAA/Pbfs=")</f>
        <v>#REF!</v>
      </c>
      <c r="IS140" t="e">
        <f>AND('GA55 Entry'!#REF!,"AAAAAA/Pbfw=")</f>
        <v>#REF!</v>
      </c>
      <c r="IT140" t="e">
        <f>AND('GA55 Entry'!#REF!,"AAAAAA/Pbf0=")</f>
        <v>#REF!</v>
      </c>
      <c r="IU140" t="e">
        <f>AND('GA55 Entry'!AB473,"AAAAAA/Pbf4=")</f>
        <v>#VALUE!</v>
      </c>
      <c r="IV140" t="e">
        <f>AND('GA55 Entry'!AC473,"AAAAAA/Pbf8=")</f>
        <v>#VALUE!</v>
      </c>
    </row>
    <row r="141" spans="1:256">
      <c r="A141" t="e">
        <f>AND('GA55 Entry'!#REF!,"AAAAAH77+wA=")</f>
        <v>#REF!</v>
      </c>
      <c r="B141">
        <f>IF('GA55 Entry'!474:474,"AAAAAH77+wE=",0)</f>
        <v>0</v>
      </c>
      <c r="C141" t="e">
        <f>AND('GA55 Entry'!B474,"AAAAAH77+wI=")</f>
        <v>#VALUE!</v>
      </c>
      <c r="D141" t="e">
        <f>AND('GA55 Entry'!#REF!,"AAAAAH77+wM=")</f>
        <v>#REF!</v>
      </c>
      <c r="E141" t="e">
        <f>AND('GA55 Entry'!C474,"AAAAAH77+wQ=")</f>
        <v>#VALUE!</v>
      </c>
      <c r="F141" t="e">
        <f>AND('GA55 Entry'!#REF!,"AAAAAH77+wU=")</f>
        <v>#REF!</v>
      </c>
      <c r="G141" t="e">
        <f>AND('GA55 Entry'!#REF!,"AAAAAH77+wY=")</f>
        <v>#REF!</v>
      </c>
      <c r="H141" t="e">
        <f>AND('GA55 Entry'!#REF!,"AAAAAH77+wc=")</f>
        <v>#REF!</v>
      </c>
      <c r="I141" t="e">
        <f>AND('GA55 Entry'!#REF!,"AAAAAH77+wg=")</f>
        <v>#REF!</v>
      </c>
      <c r="J141" t="e">
        <f>AND('GA55 Entry'!#REF!,"AAAAAH77+wk=")</f>
        <v>#REF!</v>
      </c>
      <c r="K141" t="e">
        <f>AND('GA55 Entry'!D474,"AAAAAH77+wo=")</f>
        <v>#VALUE!</v>
      </c>
      <c r="L141" t="e">
        <f>AND('GA55 Entry'!#REF!,"AAAAAH77+ws=")</f>
        <v>#REF!</v>
      </c>
      <c r="M141" t="e">
        <f>AND('GA55 Entry'!E474,"AAAAAH77+ww=")</f>
        <v>#VALUE!</v>
      </c>
      <c r="N141" t="e">
        <f>AND('GA55 Entry'!F474,"AAAAAH77+w0=")</f>
        <v>#VALUE!</v>
      </c>
      <c r="O141" t="e">
        <f>AND('GA55 Entry'!G474,"AAAAAH77+w4=")</f>
        <v>#VALUE!</v>
      </c>
      <c r="P141" t="e">
        <f>AND('GA55 Entry'!H474,"AAAAAH77+w8=")</f>
        <v>#VALUE!</v>
      </c>
      <c r="Q141" t="e">
        <f>AND('GA55 Entry'!I474,"AAAAAH77+xA=")</f>
        <v>#VALUE!</v>
      </c>
      <c r="R141" t="e">
        <f>AND('GA55 Entry'!J474,"AAAAAH77+xE=")</f>
        <v>#VALUE!</v>
      </c>
      <c r="S141" t="e">
        <f>AND('GA55 Entry'!#REF!,"AAAAAH77+xI=")</f>
        <v>#REF!</v>
      </c>
      <c r="T141" t="e">
        <f>AND('GA55 Entry'!K474,"AAAAAH77+xM=")</f>
        <v>#VALUE!</v>
      </c>
      <c r="U141" t="e">
        <f>AND('GA55 Entry'!L474,"AAAAAH77+xQ=")</f>
        <v>#VALUE!</v>
      </c>
      <c r="V141" t="e">
        <f>AND('GA55 Entry'!M474,"AAAAAH77+xU=")</f>
        <v>#VALUE!</v>
      </c>
      <c r="W141" t="e">
        <f>AND('GA55 Entry'!N474,"AAAAAH77+xY=")</f>
        <v>#VALUE!</v>
      </c>
      <c r="X141" t="e">
        <f>AND('GA55 Entry'!O474,"AAAAAH77+xc=")</f>
        <v>#VALUE!</v>
      </c>
      <c r="Y141" t="e">
        <f>AND('GA55 Entry'!P474,"AAAAAH77+xg=")</f>
        <v>#VALUE!</v>
      </c>
      <c r="Z141" t="e">
        <f>AND('GA55 Entry'!Q474,"AAAAAH77+xk=")</f>
        <v>#VALUE!</v>
      </c>
      <c r="AA141" t="e">
        <f>AND('GA55 Entry'!S474,"AAAAAH77+xo=")</f>
        <v>#VALUE!</v>
      </c>
      <c r="AB141" t="e">
        <f>AND('GA55 Entry'!#REF!,"AAAAAH77+xs=")</f>
        <v>#REF!</v>
      </c>
      <c r="AC141" t="e">
        <f>AND('GA55 Entry'!T474,"AAAAAH77+xw=")</f>
        <v>#VALUE!</v>
      </c>
      <c r="AD141" t="e">
        <f>AND('GA55 Entry'!U474,"AAAAAH77+x0=")</f>
        <v>#VALUE!</v>
      </c>
      <c r="AE141" t="e">
        <f>AND('GA55 Entry'!V474,"AAAAAH77+x4=")</f>
        <v>#VALUE!</v>
      </c>
      <c r="AF141" t="e">
        <f>AND('GA55 Entry'!#REF!,"AAAAAH77+x8=")</f>
        <v>#REF!</v>
      </c>
      <c r="AG141" t="e">
        <f>AND('GA55 Entry'!#REF!,"AAAAAH77+yA=")</f>
        <v>#REF!</v>
      </c>
      <c r="AH141" t="e">
        <f>AND('GA55 Entry'!X474,"AAAAAH77+yE=")</f>
        <v>#VALUE!</v>
      </c>
      <c r="AI141" t="e">
        <f>AND('GA55 Entry'!Y474,"AAAAAH77+yI=")</f>
        <v>#VALUE!</v>
      </c>
      <c r="AJ141" t="e">
        <f>AND('GA55 Entry'!#REF!,"AAAAAH77+yM=")</f>
        <v>#REF!</v>
      </c>
      <c r="AK141" t="e">
        <f>AND('GA55 Entry'!#REF!,"AAAAAH77+yQ=")</f>
        <v>#REF!</v>
      </c>
      <c r="AL141" t="e">
        <f>AND('GA55 Entry'!#REF!,"AAAAAH77+yU=")</f>
        <v>#REF!</v>
      </c>
      <c r="AM141" t="e">
        <f>AND('GA55 Entry'!#REF!,"AAAAAH77+yY=")</f>
        <v>#REF!</v>
      </c>
      <c r="AN141" t="e">
        <f>AND('GA55 Entry'!#REF!,"AAAAAH77+yc=")</f>
        <v>#REF!</v>
      </c>
      <c r="AO141" t="e">
        <f>AND('GA55 Entry'!#REF!,"AAAAAH77+yg=")</f>
        <v>#REF!</v>
      </c>
      <c r="AP141" t="e">
        <f>AND('GA55 Entry'!#REF!,"AAAAAH77+yk=")</f>
        <v>#REF!</v>
      </c>
      <c r="AQ141" t="e">
        <f>AND('GA55 Entry'!#REF!,"AAAAAH77+yo=")</f>
        <v>#REF!</v>
      </c>
      <c r="AR141" t="e">
        <f>AND('GA55 Entry'!#REF!,"AAAAAH77+ys=")</f>
        <v>#REF!</v>
      </c>
      <c r="AS141" t="e">
        <f>AND('GA55 Entry'!Z474,"AAAAAH77+yw=")</f>
        <v>#VALUE!</v>
      </c>
      <c r="AT141" t="e">
        <f>AND('GA55 Entry'!AA474,"AAAAAH77+y0=")</f>
        <v>#VALUE!</v>
      </c>
      <c r="AU141" t="e">
        <f>AND('GA55 Entry'!#REF!,"AAAAAH77+y4=")</f>
        <v>#REF!</v>
      </c>
      <c r="AV141" t="e">
        <f>AND('GA55 Entry'!#REF!,"AAAAAH77+y8=")</f>
        <v>#REF!</v>
      </c>
      <c r="AW141" t="e">
        <f>AND('GA55 Entry'!#REF!,"AAAAAH77+zA=")</f>
        <v>#REF!</v>
      </c>
      <c r="AX141" t="e">
        <f>AND('GA55 Entry'!AB474,"AAAAAH77+zE=")</f>
        <v>#VALUE!</v>
      </c>
      <c r="AY141" t="e">
        <f>AND('GA55 Entry'!AC474,"AAAAAH77+zI=")</f>
        <v>#VALUE!</v>
      </c>
      <c r="AZ141" t="e">
        <f>AND('GA55 Entry'!#REF!,"AAAAAH77+zM=")</f>
        <v>#REF!</v>
      </c>
      <c r="BA141">
        <f>IF('GA55 Entry'!475:475,"AAAAAH77+zQ=",0)</f>
        <v>0</v>
      </c>
      <c r="BB141" t="e">
        <f>AND('GA55 Entry'!B475,"AAAAAH77+zU=")</f>
        <v>#VALUE!</v>
      </c>
      <c r="BC141" t="e">
        <f>AND('GA55 Entry'!#REF!,"AAAAAH77+zY=")</f>
        <v>#REF!</v>
      </c>
      <c r="BD141" t="e">
        <f>AND('GA55 Entry'!C475,"AAAAAH77+zc=")</f>
        <v>#VALUE!</v>
      </c>
      <c r="BE141" t="e">
        <f>AND('GA55 Entry'!#REF!,"AAAAAH77+zg=")</f>
        <v>#REF!</v>
      </c>
      <c r="BF141" t="e">
        <f>AND('GA55 Entry'!#REF!,"AAAAAH77+zk=")</f>
        <v>#REF!</v>
      </c>
      <c r="BG141" t="e">
        <f>AND('GA55 Entry'!#REF!,"AAAAAH77+zo=")</f>
        <v>#REF!</v>
      </c>
      <c r="BH141" t="e">
        <f>AND('GA55 Entry'!#REF!,"AAAAAH77+zs=")</f>
        <v>#REF!</v>
      </c>
      <c r="BI141" t="e">
        <f>AND('GA55 Entry'!#REF!,"AAAAAH77+zw=")</f>
        <v>#REF!</v>
      </c>
      <c r="BJ141" t="e">
        <f>AND('GA55 Entry'!D475,"AAAAAH77+z0=")</f>
        <v>#VALUE!</v>
      </c>
      <c r="BK141" t="e">
        <f>AND('GA55 Entry'!#REF!,"AAAAAH77+z4=")</f>
        <v>#REF!</v>
      </c>
      <c r="BL141" t="e">
        <f>AND('GA55 Entry'!E475,"AAAAAH77+z8=")</f>
        <v>#VALUE!</v>
      </c>
      <c r="BM141" t="e">
        <f>AND('GA55 Entry'!F475,"AAAAAH77+0A=")</f>
        <v>#VALUE!</v>
      </c>
      <c r="BN141" t="e">
        <f>AND('GA55 Entry'!G475,"AAAAAH77+0E=")</f>
        <v>#VALUE!</v>
      </c>
      <c r="BO141" t="e">
        <f>AND('GA55 Entry'!H475,"AAAAAH77+0I=")</f>
        <v>#VALUE!</v>
      </c>
      <c r="BP141" t="e">
        <f>AND('GA55 Entry'!I475,"AAAAAH77+0M=")</f>
        <v>#VALUE!</v>
      </c>
      <c r="BQ141" t="e">
        <f>AND('GA55 Entry'!J475,"AAAAAH77+0Q=")</f>
        <v>#VALUE!</v>
      </c>
      <c r="BR141" t="e">
        <f>AND('GA55 Entry'!#REF!,"AAAAAH77+0U=")</f>
        <v>#REF!</v>
      </c>
      <c r="BS141" t="e">
        <f>AND('GA55 Entry'!K475,"AAAAAH77+0Y=")</f>
        <v>#VALUE!</v>
      </c>
      <c r="BT141" t="e">
        <f>AND('GA55 Entry'!L475,"AAAAAH77+0c=")</f>
        <v>#VALUE!</v>
      </c>
      <c r="BU141" t="e">
        <f>AND('GA55 Entry'!M475,"AAAAAH77+0g=")</f>
        <v>#VALUE!</v>
      </c>
      <c r="BV141" t="e">
        <f>AND('GA55 Entry'!N475,"AAAAAH77+0k=")</f>
        <v>#VALUE!</v>
      </c>
      <c r="BW141" t="e">
        <f>AND('GA55 Entry'!O475,"AAAAAH77+0o=")</f>
        <v>#VALUE!</v>
      </c>
      <c r="BX141" t="e">
        <f>AND('GA55 Entry'!P475,"AAAAAH77+0s=")</f>
        <v>#VALUE!</v>
      </c>
      <c r="BY141" t="e">
        <f>AND('GA55 Entry'!Q475,"AAAAAH77+0w=")</f>
        <v>#VALUE!</v>
      </c>
      <c r="BZ141" t="e">
        <f>AND('GA55 Entry'!S475,"AAAAAH77+00=")</f>
        <v>#VALUE!</v>
      </c>
      <c r="CA141" t="e">
        <f>AND('GA55 Entry'!#REF!,"AAAAAH77+04=")</f>
        <v>#REF!</v>
      </c>
      <c r="CB141" t="e">
        <f>AND('GA55 Entry'!T475,"AAAAAH77+08=")</f>
        <v>#VALUE!</v>
      </c>
      <c r="CC141" t="e">
        <f>AND('GA55 Entry'!U475,"AAAAAH77+1A=")</f>
        <v>#VALUE!</v>
      </c>
      <c r="CD141" t="e">
        <f>AND('GA55 Entry'!V475,"AAAAAH77+1E=")</f>
        <v>#VALUE!</v>
      </c>
      <c r="CE141" t="e">
        <f>AND('GA55 Entry'!#REF!,"AAAAAH77+1I=")</f>
        <v>#REF!</v>
      </c>
      <c r="CF141" t="e">
        <f>AND('GA55 Entry'!#REF!,"AAAAAH77+1M=")</f>
        <v>#REF!</v>
      </c>
      <c r="CG141" t="e">
        <f>AND('GA55 Entry'!X475,"AAAAAH77+1Q=")</f>
        <v>#VALUE!</v>
      </c>
      <c r="CH141" t="e">
        <f>AND('GA55 Entry'!Y475,"AAAAAH77+1U=")</f>
        <v>#VALUE!</v>
      </c>
      <c r="CI141" t="e">
        <f>AND('GA55 Entry'!#REF!,"AAAAAH77+1Y=")</f>
        <v>#REF!</v>
      </c>
      <c r="CJ141" t="e">
        <f>AND('GA55 Entry'!#REF!,"AAAAAH77+1c=")</f>
        <v>#REF!</v>
      </c>
      <c r="CK141" t="e">
        <f>AND('GA55 Entry'!#REF!,"AAAAAH77+1g=")</f>
        <v>#REF!</v>
      </c>
      <c r="CL141" t="e">
        <f>AND('GA55 Entry'!#REF!,"AAAAAH77+1k=")</f>
        <v>#REF!</v>
      </c>
      <c r="CM141" t="e">
        <f>AND('GA55 Entry'!#REF!,"AAAAAH77+1o=")</f>
        <v>#REF!</v>
      </c>
      <c r="CN141" t="e">
        <f>AND('GA55 Entry'!#REF!,"AAAAAH77+1s=")</f>
        <v>#REF!</v>
      </c>
      <c r="CO141" t="e">
        <f>AND('GA55 Entry'!#REF!,"AAAAAH77+1w=")</f>
        <v>#REF!</v>
      </c>
      <c r="CP141" t="e">
        <f>AND('GA55 Entry'!#REF!,"AAAAAH77+10=")</f>
        <v>#REF!</v>
      </c>
      <c r="CQ141" t="e">
        <f>AND('GA55 Entry'!#REF!,"AAAAAH77+14=")</f>
        <v>#REF!</v>
      </c>
      <c r="CR141" t="e">
        <f>AND('GA55 Entry'!Z475,"AAAAAH77+18=")</f>
        <v>#VALUE!</v>
      </c>
      <c r="CS141" t="e">
        <f>AND('GA55 Entry'!AA475,"AAAAAH77+2A=")</f>
        <v>#VALUE!</v>
      </c>
      <c r="CT141" t="e">
        <f>AND('GA55 Entry'!#REF!,"AAAAAH77+2E=")</f>
        <v>#REF!</v>
      </c>
      <c r="CU141" t="e">
        <f>AND('GA55 Entry'!#REF!,"AAAAAH77+2I=")</f>
        <v>#REF!</v>
      </c>
      <c r="CV141" t="e">
        <f>AND('GA55 Entry'!#REF!,"AAAAAH77+2M=")</f>
        <v>#REF!</v>
      </c>
      <c r="CW141" t="e">
        <f>AND('GA55 Entry'!AB475,"AAAAAH77+2Q=")</f>
        <v>#VALUE!</v>
      </c>
      <c r="CX141" t="e">
        <f>AND('GA55 Entry'!AC475,"AAAAAH77+2U=")</f>
        <v>#VALUE!</v>
      </c>
      <c r="CY141" t="e">
        <f>AND('GA55 Entry'!#REF!,"AAAAAH77+2Y=")</f>
        <v>#REF!</v>
      </c>
      <c r="CZ141">
        <f>IF('GA55 Entry'!476:476,"AAAAAH77+2c=",0)</f>
        <v>0</v>
      </c>
      <c r="DA141" t="e">
        <f>AND('GA55 Entry'!B476,"AAAAAH77+2g=")</f>
        <v>#VALUE!</v>
      </c>
      <c r="DB141" t="e">
        <f>AND('GA55 Entry'!#REF!,"AAAAAH77+2k=")</f>
        <v>#REF!</v>
      </c>
      <c r="DC141" t="e">
        <f>AND('GA55 Entry'!C476,"AAAAAH77+2o=")</f>
        <v>#VALUE!</v>
      </c>
      <c r="DD141" t="e">
        <f>AND('GA55 Entry'!#REF!,"AAAAAH77+2s=")</f>
        <v>#REF!</v>
      </c>
      <c r="DE141" t="e">
        <f>AND('GA55 Entry'!#REF!,"AAAAAH77+2w=")</f>
        <v>#REF!</v>
      </c>
      <c r="DF141" t="e">
        <f>AND('GA55 Entry'!#REF!,"AAAAAH77+20=")</f>
        <v>#REF!</v>
      </c>
      <c r="DG141" t="e">
        <f>AND('GA55 Entry'!#REF!,"AAAAAH77+24=")</f>
        <v>#REF!</v>
      </c>
      <c r="DH141" t="e">
        <f>AND('GA55 Entry'!#REF!,"AAAAAH77+28=")</f>
        <v>#REF!</v>
      </c>
      <c r="DI141" t="e">
        <f>AND('GA55 Entry'!D476,"AAAAAH77+3A=")</f>
        <v>#VALUE!</v>
      </c>
      <c r="DJ141" t="e">
        <f>AND('GA55 Entry'!#REF!,"AAAAAH77+3E=")</f>
        <v>#REF!</v>
      </c>
      <c r="DK141" t="e">
        <f>AND('GA55 Entry'!E476,"AAAAAH77+3I=")</f>
        <v>#VALUE!</v>
      </c>
      <c r="DL141" t="e">
        <f>AND('GA55 Entry'!F476,"AAAAAH77+3M=")</f>
        <v>#VALUE!</v>
      </c>
      <c r="DM141" t="e">
        <f>AND('GA55 Entry'!G476,"AAAAAH77+3Q=")</f>
        <v>#VALUE!</v>
      </c>
      <c r="DN141" t="e">
        <f>AND('GA55 Entry'!H476,"AAAAAH77+3U=")</f>
        <v>#VALUE!</v>
      </c>
      <c r="DO141" t="e">
        <f>AND('GA55 Entry'!I476,"AAAAAH77+3Y=")</f>
        <v>#VALUE!</v>
      </c>
      <c r="DP141" t="e">
        <f>AND('GA55 Entry'!J476,"AAAAAH77+3c=")</f>
        <v>#VALUE!</v>
      </c>
      <c r="DQ141" t="e">
        <f>AND('GA55 Entry'!#REF!,"AAAAAH77+3g=")</f>
        <v>#REF!</v>
      </c>
      <c r="DR141" t="e">
        <f>AND('GA55 Entry'!K476,"AAAAAH77+3k=")</f>
        <v>#VALUE!</v>
      </c>
      <c r="DS141" t="e">
        <f>AND('GA55 Entry'!L476,"AAAAAH77+3o=")</f>
        <v>#VALUE!</v>
      </c>
      <c r="DT141" t="e">
        <f>AND('GA55 Entry'!M476,"AAAAAH77+3s=")</f>
        <v>#VALUE!</v>
      </c>
      <c r="DU141" t="e">
        <f>AND('GA55 Entry'!N476,"AAAAAH77+3w=")</f>
        <v>#VALUE!</v>
      </c>
      <c r="DV141" t="e">
        <f>AND('GA55 Entry'!O476,"AAAAAH77+30=")</f>
        <v>#VALUE!</v>
      </c>
      <c r="DW141" t="e">
        <f>AND('GA55 Entry'!P476,"AAAAAH77+34=")</f>
        <v>#VALUE!</v>
      </c>
      <c r="DX141" t="e">
        <f>AND('GA55 Entry'!Q476,"AAAAAH77+38=")</f>
        <v>#VALUE!</v>
      </c>
      <c r="DY141" t="e">
        <f>AND('GA55 Entry'!S476,"AAAAAH77+4A=")</f>
        <v>#VALUE!</v>
      </c>
      <c r="DZ141" t="e">
        <f>AND('GA55 Entry'!#REF!,"AAAAAH77+4E=")</f>
        <v>#REF!</v>
      </c>
      <c r="EA141" t="e">
        <f>AND('GA55 Entry'!T476,"AAAAAH77+4I=")</f>
        <v>#VALUE!</v>
      </c>
      <c r="EB141" t="e">
        <f>AND('GA55 Entry'!U476,"AAAAAH77+4M=")</f>
        <v>#VALUE!</v>
      </c>
      <c r="EC141" t="e">
        <f>AND('GA55 Entry'!V476,"AAAAAH77+4Q=")</f>
        <v>#VALUE!</v>
      </c>
      <c r="ED141" t="e">
        <f>AND('GA55 Entry'!#REF!,"AAAAAH77+4U=")</f>
        <v>#REF!</v>
      </c>
      <c r="EE141" t="e">
        <f>AND('GA55 Entry'!#REF!,"AAAAAH77+4Y=")</f>
        <v>#REF!</v>
      </c>
      <c r="EF141" t="e">
        <f>AND('GA55 Entry'!X476,"AAAAAH77+4c=")</f>
        <v>#VALUE!</v>
      </c>
      <c r="EG141" t="e">
        <f>AND('GA55 Entry'!Y476,"AAAAAH77+4g=")</f>
        <v>#VALUE!</v>
      </c>
      <c r="EH141" t="e">
        <f>AND('GA55 Entry'!#REF!,"AAAAAH77+4k=")</f>
        <v>#REF!</v>
      </c>
      <c r="EI141" t="e">
        <f>AND('GA55 Entry'!#REF!,"AAAAAH77+4o=")</f>
        <v>#REF!</v>
      </c>
      <c r="EJ141" t="e">
        <f>AND('GA55 Entry'!#REF!,"AAAAAH77+4s=")</f>
        <v>#REF!</v>
      </c>
      <c r="EK141" t="e">
        <f>AND('GA55 Entry'!#REF!,"AAAAAH77+4w=")</f>
        <v>#REF!</v>
      </c>
      <c r="EL141" t="e">
        <f>AND('GA55 Entry'!#REF!,"AAAAAH77+40=")</f>
        <v>#REF!</v>
      </c>
      <c r="EM141" t="e">
        <f>AND('GA55 Entry'!#REF!,"AAAAAH77+44=")</f>
        <v>#REF!</v>
      </c>
      <c r="EN141" t="e">
        <f>AND('GA55 Entry'!#REF!,"AAAAAH77+48=")</f>
        <v>#REF!</v>
      </c>
      <c r="EO141" t="e">
        <f>AND('GA55 Entry'!#REF!,"AAAAAH77+5A=")</f>
        <v>#REF!</v>
      </c>
      <c r="EP141" t="e">
        <f>AND('GA55 Entry'!#REF!,"AAAAAH77+5E=")</f>
        <v>#REF!</v>
      </c>
      <c r="EQ141" t="e">
        <f>AND('GA55 Entry'!Z476,"AAAAAH77+5I=")</f>
        <v>#VALUE!</v>
      </c>
      <c r="ER141" t="e">
        <f>AND('GA55 Entry'!AA476,"AAAAAH77+5M=")</f>
        <v>#VALUE!</v>
      </c>
      <c r="ES141" t="e">
        <f>AND('GA55 Entry'!#REF!,"AAAAAH77+5Q=")</f>
        <v>#REF!</v>
      </c>
      <c r="ET141" t="e">
        <f>AND('GA55 Entry'!#REF!,"AAAAAH77+5U=")</f>
        <v>#REF!</v>
      </c>
      <c r="EU141" t="e">
        <f>AND('GA55 Entry'!#REF!,"AAAAAH77+5Y=")</f>
        <v>#REF!</v>
      </c>
      <c r="EV141" t="e">
        <f>AND('GA55 Entry'!AB476,"AAAAAH77+5c=")</f>
        <v>#VALUE!</v>
      </c>
      <c r="EW141" t="e">
        <f>AND('GA55 Entry'!AC476,"AAAAAH77+5g=")</f>
        <v>#VALUE!</v>
      </c>
      <c r="EX141" t="e">
        <f>AND('GA55 Entry'!#REF!,"AAAAAH77+5k=")</f>
        <v>#REF!</v>
      </c>
      <c r="EY141">
        <f>IF('GA55 Entry'!477:477,"AAAAAH77+5o=",0)</f>
        <v>0</v>
      </c>
      <c r="EZ141" t="e">
        <f>AND('GA55 Entry'!B477,"AAAAAH77+5s=")</f>
        <v>#VALUE!</v>
      </c>
      <c r="FA141" t="e">
        <f>AND('GA55 Entry'!#REF!,"AAAAAH77+5w=")</f>
        <v>#REF!</v>
      </c>
      <c r="FB141" t="e">
        <f>AND('GA55 Entry'!C477,"AAAAAH77+50=")</f>
        <v>#VALUE!</v>
      </c>
      <c r="FC141" t="e">
        <f>AND('GA55 Entry'!#REF!,"AAAAAH77+54=")</f>
        <v>#REF!</v>
      </c>
      <c r="FD141" t="e">
        <f>AND('GA55 Entry'!#REF!,"AAAAAH77+58=")</f>
        <v>#REF!</v>
      </c>
      <c r="FE141" t="e">
        <f>AND('GA55 Entry'!#REF!,"AAAAAH77+6A=")</f>
        <v>#REF!</v>
      </c>
      <c r="FF141" t="e">
        <f>AND('GA55 Entry'!#REF!,"AAAAAH77+6E=")</f>
        <v>#REF!</v>
      </c>
      <c r="FG141" t="e">
        <f>AND('GA55 Entry'!#REF!,"AAAAAH77+6I=")</f>
        <v>#REF!</v>
      </c>
      <c r="FH141" t="e">
        <f>AND('GA55 Entry'!D477,"AAAAAH77+6M=")</f>
        <v>#VALUE!</v>
      </c>
      <c r="FI141" t="e">
        <f>AND('GA55 Entry'!#REF!,"AAAAAH77+6Q=")</f>
        <v>#REF!</v>
      </c>
      <c r="FJ141" t="e">
        <f>AND('GA55 Entry'!E477,"AAAAAH77+6U=")</f>
        <v>#VALUE!</v>
      </c>
      <c r="FK141" t="e">
        <f>AND('GA55 Entry'!F477,"AAAAAH77+6Y=")</f>
        <v>#VALUE!</v>
      </c>
      <c r="FL141" t="e">
        <f>AND('GA55 Entry'!G477,"AAAAAH77+6c=")</f>
        <v>#VALUE!</v>
      </c>
      <c r="FM141" t="e">
        <f>AND('GA55 Entry'!H477,"AAAAAH77+6g=")</f>
        <v>#VALUE!</v>
      </c>
      <c r="FN141" t="e">
        <f>AND('GA55 Entry'!I477,"AAAAAH77+6k=")</f>
        <v>#VALUE!</v>
      </c>
      <c r="FO141" t="e">
        <f>AND('GA55 Entry'!J477,"AAAAAH77+6o=")</f>
        <v>#VALUE!</v>
      </c>
      <c r="FP141" t="e">
        <f>AND('GA55 Entry'!#REF!,"AAAAAH77+6s=")</f>
        <v>#REF!</v>
      </c>
      <c r="FQ141" t="e">
        <f>AND('GA55 Entry'!K477,"AAAAAH77+6w=")</f>
        <v>#VALUE!</v>
      </c>
      <c r="FR141" t="e">
        <f>AND('GA55 Entry'!L477,"AAAAAH77+60=")</f>
        <v>#VALUE!</v>
      </c>
      <c r="FS141" t="e">
        <f>AND('GA55 Entry'!M477,"AAAAAH77+64=")</f>
        <v>#VALUE!</v>
      </c>
      <c r="FT141" t="e">
        <f>AND('GA55 Entry'!N477,"AAAAAH77+68=")</f>
        <v>#VALUE!</v>
      </c>
      <c r="FU141" t="e">
        <f>AND('GA55 Entry'!O477,"AAAAAH77+7A=")</f>
        <v>#VALUE!</v>
      </c>
      <c r="FV141" t="e">
        <f>AND('GA55 Entry'!P477,"AAAAAH77+7E=")</f>
        <v>#VALUE!</v>
      </c>
      <c r="FW141" t="e">
        <f>AND('GA55 Entry'!Q477,"AAAAAH77+7I=")</f>
        <v>#VALUE!</v>
      </c>
      <c r="FX141" t="e">
        <f>AND('GA55 Entry'!S477,"AAAAAH77+7M=")</f>
        <v>#VALUE!</v>
      </c>
      <c r="FY141" t="e">
        <f>AND('GA55 Entry'!#REF!,"AAAAAH77+7Q=")</f>
        <v>#REF!</v>
      </c>
      <c r="FZ141" t="e">
        <f>AND('GA55 Entry'!T477,"AAAAAH77+7U=")</f>
        <v>#VALUE!</v>
      </c>
      <c r="GA141" t="e">
        <f>AND('GA55 Entry'!U477,"AAAAAH77+7Y=")</f>
        <v>#VALUE!</v>
      </c>
      <c r="GB141" t="e">
        <f>AND('GA55 Entry'!V477,"AAAAAH77+7c=")</f>
        <v>#VALUE!</v>
      </c>
      <c r="GC141" t="e">
        <f>AND('GA55 Entry'!#REF!,"AAAAAH77+7g=")</f>
        <v>#REF!</v>
      </c>
      <c r="GD141" t="e">
        <f>AND('GA55 Entry'!#REF!,"AAAAAH77+7k=")</f>
        <v>#REF!</v>
      </c>
      <c r="GE141" t="e">
        <f>AND('GA55 Entry'!X477,"AAAAAH77+7o=")</f>
        <v>#VALUE!</v>
      </c>
      <c r="GF141" t="e">
        <f>AND('GA55 Entry'!Y477,"AAAAAH77+7s=")</f>
        <v>#VALUE!</v>
      </c>
      <c r="GG141" t="e">
        <f>AND('GA55 Entry'!#REF!,"AAAAAH77+7w=")</f>
        <v>#REF!</v>
      </c>
      <c r="GH141" t="e">
        <f>AND('GA55 Entry'!#REF!,"AAAAAH77+70=")</f>
        <v>#REF!</v>
      </c>
      <c r="GI141" t="e">
        <f>AND('GA55 Entry'!#REF!,"AAAAAH77+74=")</f>
        <v>#REF!</v>
      </c>
      <c r="GJ141" t="e">
        <f>AND('GA55 Entry'!#REF!,"AAAAAH77+78=")</f>
        <v>#REF!</v>
      </c>
      <c r="GK141" t="e">
        <f>AND('GA55 Entry'!#REF!,"AAAAAH77+8A=")</f>
        <v>#REF!</v>
      </c>
      <c r="GL141" t="e">
        <f>AND('GA55 Entry'!#REF!,"AAAAAH77+8E=")</f>
        <v>#REF!</v>
      </c>
      <c r="GM141" t="e">
        <f>AND('GA55 Entry'!#REF!,"AAAAAH77+8I=")</f>
        <v>#REF!</v>
      </c>
      <c r="GN141" t="e">
        <f>AND('GA55 Entry'!#REF!,"AAAAAH77+8M=")</f>
        <v>#REF!</v>
      </c>
      <c r="GO141" t="e">
        <f>AND('GA55 Entry'!#REF!,"AAAAAH77+8Q=")</f>
        <v>#REF!</v>
      </c>
      <c r="GP141" t="e">
        <f>AND('GA55 Entry'!Z477,"AAAAAH77+8U=")</f>
        <v>#VALUE!</v>
      </c>
      <c r="GQ141" t="e">
        <f>AND('GA55 Entry'!AA477,"AAAAAH77+8Y=")</f>
        <v>#VALUE!</v>
      </c>
      <c r="GR141" t="e">
        <f>AND('GA55 Entry'!#REF!,"AAAAAH77+8c=")</f>
        <v>#REF!</v>
      </c>
      <c r="GS141" t="e">
        <f>AND('GA55 Entry'!#REF!,"AAAAAH77+8g=")</f>
        <v>#REF!</v>
      </c>
      <c r="GT141" t="e">
        <f>AND('GA55 Entry'!#REF!,"AAAAAH77+8k=")</f>
        <v>#REF!</v>
      </c>
      <c r="GU141" t="e">
        <f>AND('GA55 Entry'!AB477,"AAAAAH77+8o=")</f>
        <v>#VALUE!</v>
      </c>
      <c r="GV141" t="e">
        <f>AND('GA55 Entry'!AC477,"AAAAAH77+8s=")</f>
        <v>#VALUE!</v>
      </c>
      <c r="GW141" t="e">
        <f>AND('GA55 Entry'!#REF!,"AAAAAH77+8w=")</f>
        <v>#REF!</v>
      </c>
      <c r="GX141">
        <f>IF('GA55 Entry'!478:478,"AAAAAH77+80=",0)</f>
        <v>0</v>
      </c>
      <c r="GY141" t="e">
        <f>AND('GA55 Entry'!B478,"AAAAAH77+84=")</f>
        <v>#VALUE!</v>
      </c>
      <c r="GZ141" t="e">
        <f>AND('GA55 Entry'!#REF!,"AAAAAH77+88=")</f>
        <v>#REF!</v>
      </c>
      <c r="HA141" t="e">
        <f>AND('GA55 Entry'!C478,"AAAAAH77+9A=")</f>
        <v>#VALUE!</v>
      </c>
      <c r="HB141" t="e">
        <f>AND('GA55 Entry'!#REF!,"AAAAAH77+9E=")</f>
        <v>#REF!</v>
      </c>
      <c r="HC141" t="e">
        <f>AND('GA55 Entry'!#REF!,"AAAAAH77+9I=")</f>
        <v>#REF!</v>
      </c>
      <c r="HD141" t="e">
        <f>AND('GA55 Entry'!#REF!,"AAAAAH77+9M=")</f>
        <v>#REF!</v>
      </c>
      <c r="HE141" t="e">
        <f>AND('GA55 Entry'!#REF!,"AAAAAH77+9Q=")</f>
        <v>#REF!</v>
      </c>
      <c r="HF141" t="e">
        <f>AND('GA55 Entry'!#REF!,"AAAAAH77+9U=")</f>
        <v>#REF!</v>
      </c>
      <c r="HG141" t="e">
        <f>AND('GA55 Entry'!D478,"AAAAAH77+9Y=")</f>
        <v>#VALUE!</v>
      </c>
      <c r="HH141" t="e">
        <f>AND('GA55 Entry'!#REF!,"AAAAAH77+9c=")</f>
        <v>#REF!</v>
      </c>
      <c r="HI141" t="e">
        <f>AND('GA55 Entry'!E478,"AAAAAH77+9g=")</f>
        <v>#VALUE!</v>
      </c>
      <c r="HJ141" t="e">
        <f>AND('GA55 Entry'!F478,"AAAAAH77+9k=")</f>
        <v>#VALUE!</v>
      </c>
      <c r="HK141" t="e">
        <f>AND('GA55 Entry'!G478,"AAAAAH77+9o=")</f>
        <v>#VALUE!</v>
      </c>
      <c r="HL141" t="e">
        <f>AND('GA55 Entry'!H478,"AAAAAH77+9s=")</f>
        <v>#VALUE!</v>
      </c>
      <c r="HM141" t="e">
        <f>AND('GA55 Entry'!I478,"AAAAAH77+9w=")</f>
        <v>#VALUE!</v>
      </c>
      <c r="HN141" t="e">
        <f>AND('GA55 Entry'!J478,"AAAAAH77+90=")</f>
        <v>#VALUE!</v>
      </c>
      <c r="HO141" t="e">
        <f>AND('GA55 Entry'!#REF!,"AAAAAH77+94=")</f>
        <v>#REF!</v>
      </c>
      <c r="HP141" t="e">
        <f>AND('GA55 Entry'!K478,"AAAAAH77+98=")</f>
        <v>#VALUE!</v>
      </c>
      <c r="HQ141" t="e">
        <f>AND('GA55 Entry'!L478,"AAAAAH77++A=")</f>
        <v>#VALUE!</v>
      </c>
      <c r="HR141" t="e">
        <f>AND('GA55 Entry'!M478,"AAAAAH77++E=")</f>
        <v>#VALUE!</v>
      </c>
      <c r="HS141" t="e">
        <f>AND('GA55 Entry'!N478,"AAAAAH77++I=")</f>
        <v>#VALUE!</v>
      </c>
      <c r="HT141" t="e">
        <f>AND('GA55 Entry'!O478,"AAAAAH77++M=")</f>
        <v>#VALUE!</v>
      </c>
      <c r="HU141" t="e">
        <f>AND('GA55 Entry'!P478,"AAAAAH77++Q=")</f>
        <v>#VALUE!</v>
      </c>
      <c r="HV141" t="e">
        <f>AND('GA55 Entry'!Q478,"AAAAAH77++U=")</f>
        <v>#VALUE!</v>
      </c>
      <c r="HW141" t="e">
        <f>AND('GA55 Entry'!S478,"AAAAAH77++Y=")</f>
        <v>#VALUE!</v>
      </c>
      <c r="HX141" t="e">
        <f>AND('GA55 Entry'!#REF!,"AAAAAH77++c=")</f>
        <v>#REF!</v>
      </c>
      <c r="HY141" t="e">
        <f>AND('GA55 Entry'!T478,"AAAAAH77++g=")</f>
        <v>#VALUE!</v>
      </c>
      <c r="HZ141" t="e">
        <f>AND('GA55 Entry'!U478,"AAAAAH77++k=")</f>
        <v>#VALUE!</v>
      </c>
      <c r="IA141" t="e">
        <f>AND('GA55 Entry'!V478,"AAAAAH77++o=")</f>
        <v>#VALUE!</v>
      </c>
      <c r="IB141" t="e">
        <f>AND('GA55 Entry'!#REF!,"AAAAAH77++s=")</f>
        <v>#REF!</v>
      </c>
      <c r="IC141" t="e">
        <f>AND('GA55 Entry'!#REF!,"AAAAAH77++w=")</f>
        <v>#REF!</v>
      </c>
      <c r="ID141" t="e">
        <f>AND('GA55 Entry'!X478,"AAAAAH77++0=")</f>
        <v>#VALUE!</v>
      </c>
      <c r="IE141" t="e">
        <f>AND('GA55 Entry'!Y478,"AAAAAH77++4=")</f>
        <v>#VALUE!</v>
      </c>
      <c r="IF141" t="e">
        <f>AND('GA55 Entry'!#REF!,"AAAAAH77++8=")</f>
        <v>#REF!</v>
      </c>
      <c r="IG141" t="e">
        <f>AND('GA55 Entry'!#REF!,"AAAAAH77+/A=")</f>
        <v>#REF!</v>
      </c>
      <c r="IH141" t="e">
        <f>AND('GA55 Entry'!#REF!,"AAAAAH77+/E=")</f>
        <v>#REF!</v>
      </c>
      <c r="II141" t="e">
        <f>AND('GA55 Entry'!#REF!,"AAAAAH77+/I=")</f>
        <v>#REF!</v>
      </c>
      <c r="IJ141" t="e">
        <f>AND('GA55 Entry'!#REF!,"AAAAAH77+/M=")</f>
        <v>#REF!</v>
      </c>
      <c r="IK141" t="e">
        <f>AND('GA55 Entry'!#REF!,"AAAAAH77+/Q=")</f>
        <v>#REF!</v>
      </c>
      <c r="IL141" t="e">
        <f>AND('GA55 Entry'!#REF!,"AAAAAH77+/U=")</f>
        <v>#REF!</v>
      </c>
      <c r="IM141" t="e">
        <f>AND('GA55 Entry'!#REF!,"AAAAAH77+/Y=")</f>
        <v>#REF!</v>
      </c>
      <c r="IN141" t="e">
        <f>AND('GA55 Entry'!#REF!,"AAAAAH77+/c=")</f>
        <v>#REF!</v>
      </c>
      <c r="IO141" t="e">
        <f>AND('GA55 Entry'!Z478,"AAAAAH77+/g=")</f>
        <v>#VALUE!</v>
      </c>
      <c r="IP141" t="e">
        <f>AND('GA55 Entry'!AA478,"AAAAAH77+/k=")</f>
        <v>#VALUE!</v>
      </c>
      <c r="IQ141" t="e">
        <f>AND('GA55 Entry'!#REF!,"AAAAAH77+/o=")</f>
        <v>#REF!</v>
      </c>
      <c r="IR141" t="e">
        <f>AND('GA55 Entry'!#REF!,"AAAAAH77+/s=")</f>
        <v>#REF!</v>
      </c>
      <c r="IS141" t="e">
        <f>AND('GA55 Entry'!#REF!,"AAAAAH77+/w=")</f>
        <v>#REF!</v>
      </c>
      <c r="IT141" t="e">
        <f>AND('GA55 Entry'!AB478,"AAAAAH77+/0=")</f>
        <v>#VALUE!</v>
      </c>
      <c r="IU141" t="e">
        <f>AND('GA55 Entry'!AC478,"AAAAAH77+/4=")</f>
        <v>#VALUE!</v>
      </c>
      <c r="IV141" t="e">
        <f>AND('GA55 Entry'!#REF!,"AAAAAH77+/8=")</f>
        <v>#REF!</v>
      </c>
    </row>
    <row r="142" spans="1:256">
      <c r="A142">
        <f>IF('GA55 Entry'!479:479,"AAAAAE3+9gA=",0)</f>
        <v>0</v>
      </c>
      <c r="B142" t="e">
        <f>AND('GA55 Entry'!B479,"AAAAAE3+9gE=")</f>
        <v>#VALUE!</v>
      </c>
      <c r="C142" t="e">
        <f>AND('GA55 Entry'!#REF!,"AAAAAE3+9gI=")</f>
        <v>#REF!</v>
      </c>
      <c r="D142" t="e">
        <f>AND('GA55 Entry'!C479,"AAAAAE3+9gM=")</f>
        <v>#VALUE!</v>
      </c>
      <c r="E142" t="e">
        <f>AND('GA55 Entry'!#REF!,"AAAAAE3+9gQ=")</f>
        <v>#REF!</v>
      </c>
      <c r="F142" t="e">
        <f>AND('GA55 Entry'!#REF!,"AAAAAE3+9gU=")</f>
        <v>#REF!</v>
      </c>
      <c r="G142" t="e">
        <f>AND('GA55 Entry'!#REF!,"AAAAAE3+9gY=")</f>
        <v>#REF!</v>
      </c>
      <c r="H142" t="e">
        <f>AND('GA55 Entry'!#REF!,"AAAAAE3+9gc=")</f>
        <v>#REF!</v>
      </c>
      <c r="I142" t="e">
        <f>AND('GA55 Entry'!#REF!,"AAAAAE3+9gg=")</f>
        <v>#REF!</v>
      </c>
      <c r="J142" t="e">
        <f>AND('GA55 Entry'!D479,"AAAAAE3+9gk=")</f>
        <v>#VALUE!</v>
      </c>
      <c r="K142" t="e">
        <f>AND('GA55 Entry'!#REF!,"AAAAAE3+9go=")</f>
        <v>#REF!</v>
      </c>
      <c r="L142" t="e">
        <f>AND('GA55 Entry'!E479,"AAAAAE3+9gs=")</f>
        <v>#VALUE!</v>
      </c>
      <c r="M142" t="e">
        <f>AND('GA55 Entry'!F479,"AAAAAE3+9gw=")</f>
        <v>#VALUE!</v>
      </c>
      <c r="N142" t="e">
        <f>AND('GA55 Entry'!G479,"AAAAAE3+9g0=")</f>
        <v>#VALUE!</v>
      </c>
      <c r="O142" t="e">
        <f>AND('GA55 Entry'!H479,"AAAAAE3+9g4=")</f>
        <v>#VALUE!</v>
      </c>
      <c r="P142" t="e">
        <f>AND('GA55 Entry'!I479,"AAAAAE3+9g8=")</f>
        <v>#VALUE!</v>
      </c>
      <c r="Q142" t="e">
        <f>AND('GA55 Entry'!J479,"AAAAAE3+9hA=")</f>
        <v>#VALUE!</v>
      </c>
      <c r="R142" t="e">
        <f>AND('GA55 Entry'!#REF!,"AAAAAE3+9hE=")</f>
        <v>#REF!</v>
      </c>
      <c r="S142" t="e">
        <f>AND('GA55 Entry'!K479,"AAAAAE3+9hI=")</f>
        <v>#VALUE!</v>
      </c>
      <c r="T142" t="e">
        <f>AND('GA55 Entry'!L479,"AAAAAE3+9hM=")</f>
        <v>#VALUE!</v>
      </c>
      <c r="U142" t="e">
        <f>AND('GA55 Entry'!M479,"AAAAAE3+9hQ=")</f>
        <v>#VALUE!</v>
      </c>
      <c r="V142" t="e">
        <f>AND('GA55 Entry'!N479,"AAAAAE3+9hU=")</f>
        <v>#VALUE!</v>
      </c>
      <c r="W142" t="e">
        <f>AND('GA55 Entry'!O479,"AAAAAE3+9hY=")</f>
        <v>#VALUE!</v>
      </c>
      <c r="X142" t="e">
        <f>AND('GA55 Entry'!P479,"AAAAAE3+9hc=")</f>
        <v>#VALUE!</v>
      </c>
      <c r="Y142" t="e">
        <f>AND('GA55 Entry'!Q479,"AAAAAE3+9hg=")</f>
        <v>#VALUE!</v>
      </c>
      <c r="Z142" t="e">
        <f>AND('GA55 Entry'!S479,"AAAAAE3+9hk=")</f>
        <v>#VALUE!</v>
      </c>
      <c r="AA142" t="e">
        <f>AND('GA55 Entry'!#REF!,"AAAAAE3+9ho=")</f>
        <v>#REF!</v>
      </c>
      <c r="AB142" t="e">
        <f>AND('GA55 Entry'!T479,"AAAAAE3+9hs=")</f>
        <v>#VALUE!</v>
      </c>
      <c r="AC142" t="e">
        <f>AND('GA55 Entry'!U479,"AAAAAE3+9hw=")</f>
        <v>#VALUE!</v>
      </c>
      <c r="AD142" t="e">
        <f>AND('GA55 Entry'!V479,"AAAAAE3+9h0=")</f>
        <v>#VALUE!</v>
      </c>
      <c r="AE142" t="e">
        <f>AND('GA55 Entry'!#REF!,"AAAAAE3+9h4=")</f>
        <v>#REF!</v>
      </c>
      <c r="AF142" t="e">
        <f>AND('GA55 Entry'!#REF!,"AAAAAE3+9h8=")</f>
        <v>#REF!</v>
      </c>
      <c r="AG142" t="e">
        <f>AND('GA55 Entry'!X479,"AAAAAE3+9iA=")</f>
        <v>#VALUE!</v>
      </c>
      <c r="AH142" t="e">
        <f>AND('GA55 Entry'!Y479,"AAAAAE3+9iE=")</f>
        <v>#VALUE!</v>
      </c>
      <c r="AI142" t="e">
        <f>AND('GA55 Entry'!#REF!,"AAAAAE3+9iI=")</f>
        <v>#REF!</v>
      </c>
      <c r="AJ142" t="e">
        <f>AND('GA55 Entry'!#REF!,"AAAAAE3+9iM=")</f>
        <v>#REF!</v>
      </c>
      <c r="AK142" t="e">
        <f>AND('GA55 Entry'!#REF!,"AAAAAE3+9iQ=")</f>
        <v>#REF!</v>
      </c>
      <c r="AL142" t="e">
        <f>AND('GA55 Entry'!#REF!,"AAAAAE3+9iU=")</f>
        <v>#REF!</v>
      </c>
      <c r="AM142" t="e">
        <f>AND('GA55 Entry'!#REF!,"AAAAAE3+9iY=")</f>
        <v>#REF!</v>
      </c>
      <c r="AN142" t="e">
        <f>AND('GA55 Entry'!#REF!,"AAAAAE3+9ic=")</f>
        <v>#REF!</v>
      </c>
      <c r="AO142" t="e">
        <f>AND('GA55 Entry'!#REF!,"AAAAAE3+9ig=")</f>
        <v>#REF!</v>
      </c>
      <c r="AP142" t="e">
        <f>AND('GA55 Entry'!#REF!,"AAAAAE3+9ik=")</f>
        <v>#REF!</v>
      </c>
      <c r="AQ142" t="e">
        <f>AND('GA55 Entry'!#REF!,"AAAAAE3+9io=")</f>
        <v>#REF!</v>
      </c>
      <c r="AR142" t="e">
        <f>AND('GA55 Entry'!Z479,"AAAAAE3+9is=")</f>
        <v>#VALUE!</v>
      </c>
      <c r="AS142" t="e">
        <f>AND('GA55 Entry'!AA479,"AAAAAE3+9iw=")</f>
        <v>#VALUE!</v>
      </c>
      <c r="AT142" t="e">
        <f>AND('GA55 Entry'!#REF!,"AAAAAE3+9i0=")</f>
        <v>#REF!</v>
      </c>
      <c r="AU142" t="e">
        <f>AND('GA55 Entry'!#REF!,"AAAAAE3+9i4=")</f>
        <v>#REF!</v>
      </c>
      <c r="AV142" t="e">
        <f>AND('GA55 Entry'!#REF!,"AAAAAE3+9i8=")</f>
        <v>#REF!</v>
      </c>
      <c r="AW142" t="e">
        <f>AND('GA55 Entry'!AB479,"AAAAAE3+9jA=")</f>
        <v>#VALUE!</v>
      </c>
      <c r="AX142" t="e">
        <f>AND('GA55 Entry'!AC479,"AAAAAE3+9jE=")</f>
        <v>#VALUE!</v>
      </c>
      <c r="AY142" t="e">
        <f>AND('GA55 Entry'!#REF!,"AAAAAE3+9jI=")</f>
        <v>#REF!</v>
      </c>
      <c r="AZ142">
        <f>IF('GA55 Entry'!480:480,"AAAAAE3+9jM=",0)</f>
        <v>0</v>
      </c>
      <c r="BA142" t="e">
        <f>AND('GA55 Entry'!B480,"AAAAAE3+9jQ=")</f>
        <v>#VALUE!</v>
      </c>
      <c r="BB142" t="e">
        <f>AND('GA55 Entry'!#REF!,"AAAAAE3+9jU=")</f>
        <v>#REF!</v>
      </c>
      <c r="BC142" t="e">
        <f>AND('GA55 Entry'!C480,"AAAAAE3+9jY=")</f>
        <v>#VALUE!</v>
      </c>
      <c r="BD142" t="e">
        <f>AND('GA55 Entry'!#REF!,"AAAAAE3+9jc=")</f>
        <v>#REF!</v>
      </c>
      <c r="BE142" t="e">
        <f>AND('GA55 Entry'!#REF!,"AAAAAE3+9jg=")</f>
        <v>#REF!</v>
      </c>
      <c r="BF142" t="e">
        <f>AND('GA55 Entry'!#REF!,"AAAAAE3+9jk=")</f>
        <v>#REF!</v>
      </c>
      <c r="BG142" t="e">
        <f>AND('GA55 Entry'!#REF!,"AAAAAE3+9jo=")</f>
        <v>#REF!</v>
      </c>
      <c r="BH142" t="e">
        <f>AND('GA55 Entry'!#REF!,"AAAAAE3+9js=")</f>
        <v>#REF!</v>
      </c>
      <c r="BI142" t="e">
        <f>AND('GA55 Entry'!D480,"AAAAAE3+9jw=")</f>
        <v>#VALUE!</v>
      </c>
      <c r="BJ142" t="e">
        <f>AND('GA55 Entry'!#REF!,"AAAAAE3+9j0=")</f>
        <v>#REF!</v>
      </c>
      <c r="BK142" t="e">
        <f>AND('GA55 Entry'!E480,"AAAAAE3+9j4=")</f>
        <v>#VALUE!</v>
      </c>
      <c r="BL142" t="e">
        <f>AND('GA55 Entry'!F480,"AAAAAE3+9j8=")</f>
        <v>#VALUE!</v>
      </c>
      <c r="BM142" t="e">
        <f>AND('GA55 Entry'!G480,"AAAAAE3+9kA=")</f>
        <v>#VALUE!</v>
      </c>
      <c r="BN142" t="e">
        <f>AND('GA55 Entry'!H480,"AAAAAE3+9kE=")</f>
        <v>#VALUE!</v>
      </c>
      <c r="BO142" t="e">
        <f>AND('GA55 Entry'!I480,"AAAAAE3+9kI=")</f>
        <v>#VALUE!</v>
      </c>
      <c r="BP142" t="e">
        <f>AND('GA55 Entry'!J480,"AAAAAE3+9kM=")</f>
        <v>#VALUE!</v>
      </c>
      <c r="BQ142" t="e">
        <f>AND('GA55 Entry'!#REF!,"AAAAAE3+9kQ=")</f>
        <v>#REF!</v>
      </c>
      <c r="BR142" t="e">
        <f>AND('GA55 Entry'!K480,"AAAAAE3+9kU=")</f>
        <v>#VALUE!</v>
      </c>
      <c r="BS142" t="e">
        <f>AND('GA55 Entry'!L480,"AAAAAE3+9kY=")</f>
        <v>#VALUE!</v>
      </c>
      <c r="BT142" t="e">
        <f>AND('GA55 Entry'!M480,"AAAAAE3+9kc=")</f>
        <v>#VALUE!</v>
      </c>
      <c r="BU142" t="e">
        <f>AND('GA55 Entry'!N480,"AAAAAE3+9kg=")</f>
        <v>#VALUE!</v>
      </c>
      <c r="BV142" t="e">
        <f>AND('GA55 Entry'!O480,"AAAAAE3+9kk=")</f>
        <v>#VALUE!</v>
      </c>
      <c r="BW142" t="e">
        <f>AND('GA55 Entry'!P480,"AAAAAE3+9ko=")</f>
        <v>#VALUE!</v>
      </c>
      <c r="BX142" t="e">
        <f>AND('GA55 Entry'!Q480,"AAAAAE3+9ks=")</f>
        <v>#VALUE!</v>
      </c>
      <c r="BY142" t="e">
        <f>AND('GA55 Entry'!S480,"AAAAAE3+9kw=")</f>
        <v>#VALUE!</v>
      </c>
      <c r="BZ142" t="e">
        <f>AND('GA55 Entry'!#REF!,"AAAAAE3+9k0=")</f>
        <v>#REF!</v>
      </c>
      <c r="CA142" t="e">
        <f>AND('GA55 Entry'!T480,"AAAAAE3+9k4=")</f>
        <v>#VALUE!</v>
      </c>
      <c r="CB142" t="e">
        <f>AND('GA55 Entry'!U480,"AAAAAE3+9k8=")</f>
        <v>#VALUE!</v>
      </c>
      <c r="CC142" t="e">
        <f>AND('GA55 Entry'!V480,"AAAAAE3+9lA=")</f>
        <v>#VALUE!</v>
      </c>
      <c r="CD142" t="e">
        <f>AND('GA55 Entry'!#REF!,"AAAAAE3+9lE=")</f>
        <v>#REF!</v>
      </c>
      <c r="CE142" t="e">
        <f>AND('GA55 Entry'!#REF!,"AAAAAE3+9lI=")</f>
        <v>#REF!</v>
      </c>
      <c r="CF142" t="e">
        <f>AND('GA55 Entry'!X480,"AAAAAE3+9lM=")</f>
        <v>#VALUE!</v>
      </c>
      <c r="CG142" t="e">
        <f>AND('GA55 Entry'!Y480,"AAAAAE3+9lQ=")</f>
        <v>#VALUE!</v>
      </c>
      <c r="CH142" t="e">
        <f>AND('GA55 Entry'!#REF!,"AAAAAE3+9lU=")</f>
        <v>#REF!</v>
      </c>
      <c r="CI142" t="e">
        <f>AND('GA55 Entry'!#REF!,"AAAAAE3+9lY=")</f>
        <v>#REF!</v>
      </c>
      <c r="CJ142" t="e">
        <f>AND('GA55 Entry'!#REF!,"AAAAAE3+9lc=")</f>
        <v>#REF!</v>
      </c>
      <c r="CK142" t="e">
        <f>AND('GA55 Entry'!#REF!,"AAAAAE3+9lg=")</f>
        <v>#REF!</v>
      </c>
      <c r="CL142" t="e">
        <f>AND('GA55 Entry'!#REF!,"AAAAAE3+9lk=")</f>
        <v>#REF!</v>
      </c>
      <c r="CM142" t="e">
        <f>AND('GA55 Entry'!#REF!,"AAAAAE3+9lo=")</f>
        <v>#REF!</v>
      </c>
      <c r="CN142" t="e">
        <f>AND('GA55 Entry'!#REF!,"AAAAAE3+9ls=")</f>
        <v>#REF!</v>
      </c>
      <c r="CO142" t="e">
        <f>AND('GA55 Entry'!#REF!,"AAAAAE3+9lw=")</f>
        <v>#REF!</v>
      </c>
      <c r="CP142" t="e">
        <f>AND('GA55 Entry'!#REF!,"AAAAAE3+9l0=")</f>
        <v>#REF!</v>
      </c>
      <c r="CQ142" t="e">
        <f>AND('GA55 Entry'!Z480,"AAAAAE3+9l4=")</f>
        <v>#VALUE!</v>
      </c>
      <c r="CR142" t="e">
        <f>AND('GA55 Entry'!AA480,"AAAAAE3+9l8=")</f>
        <v>#VALUE!</v>
      </c>
      <c r="CS142" t="e">
        <f>AND('GA55 Entry'!#REF!,"AAAAAE3+9mA=")</f>
        <v>#REF!</v>
      </c>
      <c r="CT142" t="e">
        <f>AND('GA55 Entry'!#REF!,"AAAAAE3+9mE=")</f>
        <v>#REF!</v>
      </c>
      <c r="CU142" t="e">
        <f>AND('GA55 Entry'!#REF!,"AAAAAE3+9mI=")</f>
        <v>#REF!</v>
      </c>
      <c r="CV142" t="e">
        <f>AND('GA55 Entry'!AB480,"AAAAAE3+9mM=")</f>
        <v>#VALUE!</v>
      </c>
      <c r="CW142" t="e">
        <f>AND('GA55 Entry'!AC480,"AAAAAE3+9mQ=")</f>
        <v>#VALUE!</v>
      </c>
      <c r="CX142" t="e">
        <f>AND('GA55 Entry'!#REF!,"AAAAAE3+9mU=")</f>
        <v>#REF!</v>
      </c>
      <c r="CY142">
        <f>IF('GA55 Entry'!481:481,"AAAAAE3+9mY=",0)</f>
        <v>0</v>
      </c>
      <c r="CZ142" t="e">
        <f>AND('GA55 Entry'!B481,"AAAAAE3+9mc=")</f>
        <v>#VALUE!</v>
      </c>
      <c r="DA142" t="e">
        <f>AND('GA55 Entry'!#REF!,"AAAAAE3+9mg=")</f>
        <v>#REF!</v>
      </c>
      <c r="DB142" t="e">
        <f>AND('GA55 Entry'!C481,"AAAAAE3+9mk=")</f>
        <v>#VALUE!</v>
      </c>
      <c r="DC142" t="e">
        <f>AND('GA55 Entry'!#REF!,"AAAAAE3+9mo=")</f>
        <v>#REF!</v>
      </c>
      <c r="DD142" t="e">
        <f>AND('GA55 Entry'!#REF!,"AAAAAE3+9ms=")</f>
        <v>#REF!</v>
      </c>
      <c r="DE142" t="e">
        <f>AND('GA55 Entry'!#REF!,"AAAAAE3+9mw=")</f>
        <v>#REF!</v>
      </c>
      <c r="DF142" t="e">
        <f>AND('GA55 Entry'!#REF!,"AAAAAE3+9m0=")</f>
        <v>#REF!</v>
      </c>
      <c r="DG142" t="e">
        <f>AND('GA55 Entry'!#REF!,"AAAAAE3+9m4=")</f>
        <v>#REF!</v>
      </c>
      <c r="DH142" t="e">
        <f>AND('GA55 Entry'!D481,"AAAAAE3+9m8=")</f>
        <v>#VALUE!</v>
      </c>
      <c r="DI142" t="e">
        <f>AND('GA55 Entry'!#REF!,"AAAAAE3+9nA=")</f>
        <v>#REF!</v>
      </c>
      <c r="DJ142" t="e">
        <f>AND('GA55 Entry'!E481,"AAAAAE3+9nE=")</f>
        <v>#VALUE!</v>
      </c>
      <c r="DK142" t="e">
        <f>AND('GA55 Entry'!F481,"AAAAAE3+9nI=")</f>
        <v>#VALUE!</v>
      </c>
      <c r="DL142" t="e">
        <f>AND('GA55 Entry'!G481,"AAAAAE3+9nM=")</f>
        <v>#VALUE!</v>
      </c>
      <c r="DM142" t="e">
        <f>AND('GA55 Entry'!H481,"AAAAAE3+9nQ=")</f>
        <v>#VALUE!</v>
      </c>
      <c r="DN142" t="e">
        <f>AND('GA55 Entry'!I481,"AAAAAE3+9nU=")</f>
        <v>#VALUE!</v>
      </c>
      <c r="DO142" t="e">
        <f>AND('GA55 Entry'!J481,"AAAAAE3+9nY=")</f>
        <v>#VALUE!</v>
      </c>
      <c r="DP142" t="e">
        <f>AND('GA55 Entry'!#REF!,"AAAAAE3+9nc=")</f>
        <v>#REF!</v>
      </c>
      <c r="DQ142" t="e">
        <f>AND('GA55 Entry'!K481,"AAAAAE3+9ng=")</f>
        <v>#VALUE!</v>
      </c>
      <c r="DR142" t="e">
        <f>AND('GA55 Entry'!L481,"AAAAAE3+9nk=")</f>
        <v>#VALUE!</v>
      </c>
      <c r="DS142" t="e">
        <f>AND('GA55 Entry'!M481,"AAAAAE3+9no=")</f>
        <v>#VALUE!</v>
      </c>
      <c r="DT142" t="e">
        <f>AND('GA55 Entry'!N481,"AAAAAE3+9ns=")</f>
        <v>#VALUE!</v>
      </c>
      <c r="DU142" t="e">
        <f>AND('GA55 Entry'!O481,"AAAAAE3+9nw=")</f>
        <v>#VALUE!</v>
      </c>
      <c r="DV142" t="e">
        <f>AND('GA55 Entry'!P481,"AAAAAE3+9n0=")</f>
        <v>#VALUE!</v>
      </c>
      <c r="DW142" t="e">
        <f>AND('GA55 Entry'!Q481,"AAAAAE3+9n4=")</f>
        <v>#VALUE!</v>
      </c>
      <c r="DX142" t="e">
        <f>AND('GA55 Entry'!S481,"AAAAAE3+9n8=")</f>
        <v>#VALUE!</v>
      </c>
      <c r="DY142" t="e">
        <f>AND('GA55 Entry'!#REF!,"AAAAAE3+9oA=")</f>
        <v>#REF!</v>
      </c>
      <c r="DZ142" t="e">
        <f>AND('GA55 Entry'!T481,"AAAAAE3+9oE=")</f>
        <v>#VALUE!</v>
      </c>
      <c r="EA142" t="e">
        <f>AND('GA55 Entry'!U481,"AAAAAE3+9oI=")</f>
        <v>#VALUE!</v>
      </c>
      <c r="EB142" t="e">
        <f>AND('GA55 Entry'!V481,"AAAAAE3+9oM=")</f>
        <v>#VALUE!</v>
      </c>
      <c r="EC142" t="e">
        <f>AND('GA55 Entry'!#REF!,"AAAAAE3+9oQ=")</f>
        <v>#REF!</v>
      </c>
      <c r="ED142" t="e">
        <f>AND('GA55 Entry'!#REF!,"AAAAAE3+9oU=")</f>
        <v>#REF!</v>
      </c>
      <c r="EE142" t="e">
        <f>AND('GA55 Entry'!X481,"AAAAAE3+9oY=")</f>
        <v>#VALUE!</v>
      </c>
      <c r="EF142" t="e">
        <f>AND('GA55 Entry'!Y481,"AAAAAE3+9oc=")</f>
        <v>#VALUE!</v>
      </c>
      <c r="EG142" t="e">
        <f>AND('GA55 Entry'!#REF!,"AAAAAE3+9og=")</f>
        <v>#REF!</v>
      </c>
      <c r="EH142" t="e">
        <f>AND('GA55 Entry'!#REF!,"AAAAAE3+9ok=")</f>
        <v>#REF!</v>
      </c>
      <c r="EI142" t="e">
        <f>AND('GA55 Entry'!#REF!,"AAAAAE3+9oo=")</f>
        <v>#REF!</v>
      </c>
      <c r="EJ142" t="e">
        <f>AND('GA55 Entry'!#REF!,"AAAAAE3+9os=")</f>
        <v>#REF!</v>
      </c>
      <c r="EK142" t="e">
        <f>AND('GA55 Entry'!#REF!,"AAAAAE3+9ow=")</f>
        <v>#REF!</v>
      </c>
      <c r="EL142" t="e">
        <f>AND('GA55 Entry'!#REF!,"AAAAAE3+9o0=")</f>
        <v>#REF!</v>
      </c>
      <c r="EM142" t="e">
        <f>AND('GA55 Entry'!#REF!,"AAAAAE3+9o4=")</f>
        <v>#REF!</v>
      </c>
      <c r="EN142" t="e">
        <f>AND('GA55 Entry'!#REF!,"AAAAAE3+9o8=")</f>
        <v>#REF!</v>
      </c>
      <c r="EO142" t="e">
        <f>AND('GA55 Entry'!#REF!,"AAAAAE3+9pA=")</f>
        <v>#REF!</v>
      </c>
      <c r="EP142" t="e">
        <f>AND('GA55 Entry'!Z481,"AAAAAE3+9pE=")</f>
        <v>#VALUE!</v>
      </c>
      <c r="EQ142" t="e">
        <f>AND('GA55 Entry'!AA481,"AAAAAE3+9pI=")</f>
        <v>#VALUE!</v>
      </c>
      <c r="ER142" t="e">
        <f>AND('GA55 Entry'!#REF!,"AAAAAE3+9pM=")</f>
        <v>#REF!</v>
      </c>
      <c r="ES142" t="e">
        <f>AND('GA55 Entry'!#REF!,"AAAAAE3+9pQ=")</f>
        <v>#REF!</v>
      </c>
      <c r="ET142" t="e">
        <f>AND('GA55 Entry'!#REF!,"AAAAAE3+9pU=")</f>
        <v>#REF!</v>
      </c>
      <c r="EU142" t="e">
        <f>AND('GA55 Entry'!AB481,"AAAAAE3+9pY=")</f>
        <v>#VALUE!</v>
      </c>
      <c r="EV142" t="e">
        <f>AND('GA55 Entry'!AC481,"AAAAAE3+9pc=")</f>
        <v>#VALUE!</v>
      </c>
      <c r="EW142" t="e">
        <f>AND('GA55 Entry'!#REF!,"AAAAAE3+9pg=")</f>
        <v>#REF!</v>
      </c>
      <c r="EX142">
        <f>IF('GA55 Entry'!482:482,"AAAAAE3+9pk=",0)</f>
        <v>0</v>
      </c>
      <c r="EY142" t="e">
        <f>AND('GA55 Entry'!B482,"AAAAAE3+9po=")</f>
        <v>#VALUE!</v>
      </c>
      <c r="EZ142" t="e">
        <f>AND('GA55 Entry'!#REF!,"AAAAAE3+9ps=")</f>
        <v>#REF!</v>
      </c>
      <c r="FA142" t="e">
        <f>AND('GA55 Entry'!C482,"AAAAAE3+9pw=")</f>
        <v>#VALUE!</v>
      </c>
      <c r="FB142" t="e">
        <f>AND('GA55 Entry'!#REF!,"AAAAAE3+9p0=")</f>
        <v>#REF!</v>
      </c>
      <c r="FC142" t="e">
        <f>AND('GA55 Entry'!#REF!,"AAAAAE3+9p4=")</f>
        <v>#REF!</v>
      </c>
      <c r="FD142" t="e">
        <f>AND('GA55 Entry'!#REF!,"AAAAAE3+9p8=")</f>
        <v>#REF!</v>
      </c>
      <c r="FE142" t="e">
        <f>AND('GA55 Entry'!#REF!,"AAAAAE3+9qA=")</f>
        <v>#REF!</v>
      </c>
      <c r="FF142" t="e">
        <f>AND('GA55 Entry'!#REF!,"AAAAAE3+9qE=")</f>
        <v>#REF!</v>
      </c>
      <c r="FG142" t="e">
        <f>AND('GA55 Entry'!D482,"AAAAAE3+9qI=")</f>
        <v>#VALUE!</v>
      </c>
      <c r="FH142" t="e">
        <f>AND('GA55 Entry'!#REF!,"AAAAAE3+9qM=")</f>
        <v>#REF!</v>
      </c>
      <c r="FI142" t="e">
        <f>AND('GA55 Entry'!E482,"AAAAAE3+9qQ=")</f>
        <v>#VALUE!</v>
      </c>
      <c r="FJ142" t="e">
        <f>AND('GA55 Entry'!F482,"AAAAAE3+9qU=")</f>
        <v>#VALUE!</v>
      </c>
      <c r="FK142" t="e">
        <f>AND('GA55 Entry'!G482,"AAAAAE3+9qY=")</f>
        <v>#VALUE!</v>
      </c>
      <c r="FL142" t="e">
        <f>AND('GA55 Entry'!H482,"AAAAAE3+9qc=")</f>
        <v>#VALUE!</v>
      </c>
      <c r="FM142" t="e">
        <f>AND('GA55 Entry'!I482,"AAAAAE3+9qg=")</f>
        <v>#VALUE!</v>
      </c>
      <c r="FN142" t="e">
        <f>AND('GA55 Entry'!J482,"AAAAAE3+9qk=")</f>
        <v>#VALUE!</v>
      </c>
      <c r="FO142" t="e">
        <f>AND('GA55 Entry'!#REF!,"AAAAAE3+9qo=")</f>
        <v>#REF!</v>
      </c>
      <c r="FP142" t="e">
        <f>AND('GA55 Entry'!K482,"AAAAAE3+9qs=")</f>
        <v>#VALUE!</v>
      </c>
      <c r="FQ142" t="e">
        <f>AND('GA55 Entry'!L482,"AAAAAE3+9qw=")</f>
        <v>#VALUE!</v>
      </c>
      <c r="FR142" t="e">
        <f>AND('GA55 Entry'!M482,"AAAAAE3+9q0=")</f>
        <v>#VALUE!</v>
      </c>
      <c r="FS142" t="e">
        <f>AND('GA55 Entry'!N482,"AAAAAE3+9q4=")</f>
        <v>#VALUE!</v>
      </c>
      <c r="FT142" t="e">
        <f>AND('GA55 Entry'!O482,"AAAAAE3+9q8=")</f>
        <v>#VALUE!</v>
      </c>
      <c r="FU142" t="e">
        <f>AND('GA55 Entry'!P482,"AAAAAE3+9rA=")</f>
        <v>#VALUE!</v>
      </c>
      <c r="FV142" t="e">
        <f>AND('GA55 Entry'!Q482,"AAAAAE3+9rE=")</f>
        <v>#VALUE!</v>
      </c>
      <c r="FW142" t="e">
        <f>AND('GA55 Entry'!S482,"AAAAAE3+9rI=")</f>
        <v>#VALUE!</v>
      </c>
      <c r="FX142" t="e">
        <f>AND('GA55 Entry'!#REF!,"AAAAAE3+9rM=")</f>
        <v>#REF!</v>
      </c>
      <c r="FY142" t="e">
        <f>AND('GA55 Entry'!T482,"AAAAAE3+9rQ=")</f>
        <v>#VALUE!</v>
      </c>
      <c r="FZ142" t="e">
        <f>AND('GA55 Entry'!U482,"AAAAAE3+9rU=")</f>
        <v>#VALUE!</v>
      </c>
      <c r="GA142" t="e">
        <f>AND('GA55 Entry'!V482,"AAAAAE3+9rY=")</f>
        <v>#VALUE!</v>
      </c>
      <c r="GB142" t="e">
        <f>AND('GA55 Entry'!#REF!,"AAAAAE3+9rc=")</f>
        <v>#REF!</v>
      </c>
      <c r="GC142" t="e">
        <f>AND('GA55 Entry'!#REF!,"AAAAAE3+9rg=")</f>
        <v>#REF!</v>
      </c>
      <c r="GD142" t="e">
        <f>AND('GA55 Entry'!X482,"AAAAAE3+9rk=")</f>
        <v>#VALUE!</v>
      </c>
      <c r="GE142" t="e">
        <f>AND('GA55 Entry'!Y482,"AAAAAE3+9ro=")</f>
        <v>#VALUE!</v>
      </c>
      <c r="GF142" t="e">
        <f>AND('GA55 Entry'!#REF!,"AAAAAE3+9rs=")</f>
        <v>#REF!</v>
      </c>
      <c r="GG142" t="e">
        <f>AND('GA55 Entry'!#REF!,"AAAAAE3+9rw=")</f>
        <v>#REF!</v>
      </c>
      <c r="GH142" t="e">
        <f>AND('GA55 Entry'!#REF!,"AAAAAE3+9r0=")</f>
        <v>#REF!</v>
      </c>
      <c r="GI142" t="e">
        <f>AND('GA55 Entry'!#REF!,"AAAAAE3+9r4=")</f>
        <v>#REF!</v>
      </c>
      <c r="GJ142" t="e">
        <f>AND('GA55 Entry'!#REF!,"AAAAAE3+9r8=")</f>
        <v>#REF!</v>
      </c>
      <c r="GK142" t="e">
        <f>AND('GA55 Entry'!#REF!,"AAAAAE3+9sA=")</f>
        <v>#REF!</v>
      </c>
      <c r="GL142" t="e">
        <f>AND('GA55 Entry'!#REF!,"AAAAAE3+9sE=")</f>
        <v>#REF!</v>
      </c>
      <c r="GM142" t="e">
        <f>AND('GA55 Entry'!#REF!,"AAAAAE3+9sI=")</f>
        <v>#REF!</v>
      </c>
      <c r="GN142" t="e">
        <f>AND('GA55 Entry'!#REF!,"AAAAAE3+9sM=")</f>
        <v>#REF!</v>
      </c>
      <c r="GO142" t="e">
        <f>AND('GA55 Entry'!Z482,"AAAAAE3+9sQ=")</f>
        <v>#VALUE!</v>
      </c>
      <c r="GP142" t="e">
        <f>AND('GA55 Entry'!AA482,"AAAAAE3+9sU=")</f>
        <v>#VALUE!</v>
      </c>
      <c r="GQ142" t="e">
        <f>AND('GA55 Entry'!#REF!,"AAAAAE3+9sY=")</f>
        <v>#REF!</v>
      </c>
      <c r="GR142" t="e">
        <f>AND('GA55 Entry'!#REF!,"AAAAAE3+9sc=")</f>
        <v>#REF!</v>
      </c>
      <c r="GS142" t="e">
        <f>AND('GA55 Entry'!#REF!,"AAAAAE3+9sg=")</f>
        <v>#REF!</v>
      </c>
      <c r="GT142" t="e">
        <f>AND('GA55 Entry'!AB482,"AAAAAE3+9sk=")</f>
        <v>#VALUE!</v>
      </c>
      <c r="GU142" t="e">
        <f>AND('GA55 Entry'!AC482,"AAAAAE3+9so=")</f>
        <v>#VALUE!</v>
      </c>
      <c r="GV142" t="e">
        <f>AND('GA55 Entry'!#REF!,"AAAAAE3+9ss=")</f>
        <v>#REF!</v>
      </c>
      <c r="GW142">
        <f>IF('GA55 Entry'!483:483,"AAAAAE3+9sw=",0)</f>
        <v>0</v>
      </c>
      <c r="GX142" t="e">
        <f>AND('GA55 Entry'!B483,"AAAAAE3+9s0=")</f>
        <v>#VALUE!</v>
      </c>
      <c r="GY142" t="e">
        <f>AND('GA55 Entry'!#REF!,"AAAAAE3+9s4=")</f>
        <v>#REF!</v>
      </c>
      <c r="GZ142" t="e">
        <f>AND('GA55 Entry'!C483,"AAAAAE3+9s8=")</f>
        <v>#VALUE!</v>
      </c>
      <c r="HA142" t="e">
        <f>AND('GA55 Entry'!#REF!,"AAAAAE3+9tA=")</f>
        <v>#REF!</v>
      </c>
      <c r="HB142" t="e">
        <f>AND('GA55 Entry'!#REF!,"AAAAAE3+9tE=")</f>
        <v>#REF!</v>
      </c>
      <c r="HC142" t="e">
        <f>AND('GA55 Entry'!#REF!,"AAAAAE3+9tI=")</f>
        <v>#REF!</v>
      </c>
      <c r="HD142" t="e">
        <f>AND('GA55 Entry'!#REF!,"AAAAAE3+9tM=")</f>
        <v>#REF!</v>
      </c>
      <c r="HE142" t="e">
        <f>AND('GA55 Entry'!#REF!,"AAAAAE3+9tQ=")</f>
        <v>#REF!</v>
      </c>
      <c r="HF142" t="e">
        <f>AND('GA55 Entry'!D483,"AAAAAE3+9tU=")</f>
        <v>#VALUE!</v>
      </c>
      <c r="HG142" t="e">
        <f>AND('GA55 Entry'!#REF!,"AAAAAE3+9tY=")</f>
        <v>#REF!</v>
      </c>
      <c r="HH142" t="e">
        <f>AND('GA55 Entry'!E483,"AAAAAE3+9tc=")</f>
        <v>#VALUE!</v>
      </c>
      <c r="HI142" t="e">
        <f>AND('GA55 Entry'!F483,"AAAAAE3+9tg=")</f>
        <v>#VALUE!</v>
      </c>
      <c r="HJ142" t="e">
        <f>AND('GA55 Entry'!G483,"AAAAAE3+9tk=")</f>
        <v>#VALUE!</v>
      </c>
      <c r="HK142" t="e">
        <f>AND('GA55 Entry'!H483,"AAAAAE3+9to=")</f>
        <v>#VALUE!</v>
      </c>
      <c r="HL142" t="e">
        <f>AND('GA55 Entry'!I483,"AAAAAE3+9ts=")</f>
        <v>#VALUE!</v>
      </c>
      <c r="HM142" t="e">
        <f>AND('GA55 Entry'!J483,"AAAAAE3+9tw=")</f>
        <v>#VALUE!</v>
      </c>
      <c r="HN142" t="e">
        <f>AND('GA55 Entry'!#REF!,"AAAAAE3+9t0=")</f>
        <v>#REF!</v>
      </c>
      <c r="HO142" t="e">
        <f>AND('GA55 Entry'!K483,"AAAAAE3+9t4=")</f>
        <v>#VALUE!</v>
      </c>
      <c r="HP142" t="e">
        <f>AND('GA55 Entry'!L483,"AAAAAE3+9t8=")</f>
        <v>#VALUE!</v>
      </c>
      <c r="HQ142" t="e">
        <f>AND('GA55 Entry'!M483,"AAAAAE3+9uA=")</f>
        <v>#VALUE!</v>
      </c>
      <c r="HR142" t="e">
        <f>AND('GA55 Entry'!N483,"AAAAAE3+9uE=")</f>
        <v>#VALUE!</v>
      </c>
      <c r="HS142" t="e">
        <f>AND('GA55 Entry'!O483,"AAAAAE3+9uI=")</f>
        <v>#VALUE!</v>
      </c>
      <c r="HT142" t="e">
        <f>AND('GA55 Entry'!P483,"AAAAAE3+9uM=")</f>
        <v>#VALUE!</v>
      </c>
      <c r="HU142" t="e">
        <f>AND('GA55 Entry'!Q483,"AAAAAE3+9uQ=")</f>
        <v>#VALUE!</v>
      </c>
      <c r="HV142" t="e">
        <f>AND('GA55 Entry'!S483,"AAAAAE3+9uU=")</f>
        <v>#VALUE!</v>
      </c>
      <c r="HW142" t="e">
        <f>AND('GA55 Entry'!#REF!,"AAAAAE3+9uY=")</f>
        <v>#REF!</v>
      </c>
      <c r="HX142" t="e">
        <f>AND('GA55 Entry'!T483,"AAAAAE3+9uc=")</f>
        <v>#VALUE!</v>
      </c>
      <c r="HY142" t="e">
        <f>AND('GA55 Entry'!U483,"AAAAAE3+9ug=")</f>
        <v>#VALUE!</v>
      </c>
      <c r="HZ142" t="e">
        <f>AND('GA55 Entry'!V483,"AAAAAE3+9uk=")</f>
        <v>#VALUE!</v>
      </c>
      <c r="IA142" t="e">
        <f>AND('GA55 Entry'!#REF!,"AAAAAE3+9uo=")</f>
        <v>#REF!</v>
      </c>
      <c r="IB142" t="e">
        <f>AND('GA55 Entry'!#REF!,"AAAAAE3+9us=")</f>
        <v>#REF!</v>
      </c>
      <c r="IC142" t="e">
        <f>AND('GA55 Entry'!X483,"AAAAAE3+9uw=")</f>
        <v>#VALUE!</v>
      </c>
      <c r="ID142" t="e">
        <f>AND('GA55 Entry'!Y483,"AAAAAE3+9u0=")</f>
        <v>#VALUE!</v>
      </c>
      <c r="IE142" t="e">
        <f>AND('GA55 Entry'!#REF!,"AAAAAE3+9u4=")</f>
        <v>#REF!</v>
      </c>
      <c r="IF142" t="e">
        <f>AND('GA55 Entry'!#REF!,"AAAAAE3+9u8=")</f>
        <v>#REF!</v>
      </c>
      <c r="IG142" t="e">
        <f>AND('GA55 Entry'!#REF!,"AAAAAE3+9vA=")</f>
        <v>#REF!</v>
      </c>
      <c r="IH142" t="e">
        <f>AND('GA55 Entry'!#REF!,"AAAAAE3+9vE=")</f>
        <v>#REF!</v>
      </c>
      <c r="II142" t="e">
        <f>AND('GA55 Entry'!#REF!,"AAAAAE3+9vI=")</f>
        <v>#REF!</v>
      </c>
      <c r="IJ142" t="e">
        <f>AND('GA55 Entry'!#REF!,"AAAAAE3+9vM=")</f>
        <v>#REF!</v>
      </c>
      <c r="IK142" t="e">
        <f>AND('GA55 Entry'!#REF!,"AAAAAE3+9vQ=")</f>
        <v>#REF!</v>
      </c>
      <c r="IL142" t="e">
        <f>AND('GA55 Entry'!#REF!,"AAAAAE3+9vU=")</f>
        <v>#REF!</v>
      </c>
      <c r="IM142" t="e">
        <f>AND('GA55 Entry'!#REF!,"AAAAAE3+9vY=")</f>
        <v>#REF!</v>
      </c>
      <c r="IN142" t="e">
        <f>AND('GA55 Entry'!Z483,"AAAAAE3+9vc=")</f>
        <v>#VALUE!</v>
      </c>
      <c r="IO142" t="e">
        <f>AND('GA55 Entry'!AA483,"AAAAAE3+9vg=")</f>
        <v>#VALUE!</v>
      </c>
      <c r="IP142" t="e">
        <f>AND('GA55 Entry'!#REF!,"AAAAAE3+9vk=")</f>
        <v>#REF!</v>
      </c>
      <c r="IQ142" t="e">
        <f>AND('GA55 Entry'!#REF!,"AAAAAE3+9vo=")</f>
        <v>#REF!</v>
      </c>
      <c r="IR142" t="e">
        <f>AND('GA55 Entry'!#REF!,"AAAAAE3+9vs=")</f>
        <v>#REF!</v>
      </c>
      <c r="IS142" t="e">
        <f>AND('GA55 Entry'!AB483,"AAAAAE3+9vw=")</f>
        <v>#VALUE!</v>
      </c>
      <c r="IT142" t="e">
        <f>AND('GA55 Entry'!AC483,"AAAAAE3+9v0=")</f>
        <v>#VALUE!</v>
      </c>
      <c r="IU142" t="e">
        <f>AND('GA55 Entry'!#REF!,"AAAAAE3+9v4=")</f>
        <v>#REF!</v>
      </c>
      <c r="IV142">
        <f>IF('GA55 Entry'!484:484,"AAAAAE3+9v8=",0)</f>
        <v>0</v>
      </c>
    </row>
    <row r="143" spans="1:256">
      <c r="A143" t="e">
        <f>AND('GA55 Entry'!B484,"AAAAADn7swA=")</f>
        <v>#VALUE!</v>
      </c>
      <c r="B143" t="e">
        <f>AND('GA55 Entry'!#REF!,"AAAAADn7swE=")</f>
        <v>#REF!</v>
      </c>
      <c r="C143" t="e">
        <f>AND('GA55 Entry'!C484,"AAAAADn7swI=")</f>
        <v>#VALUE!</v>
      </c>
      <c r="D143" t="e">
        <f>AND('GA55 Entry'!#REF!,"AAAAADn7swM=")</f>
        <v>#REF!</v>
      </c>
      <c r="E143" t="e">
        <f>AND('GA55 Entry'!#REF!,"AAAAADn7swQ=")</f>
        <v>#REF!</v>
      </c>
      <c r="F143" t="e">
        <f>AND('GA55 Entry'!#REF!,"AAAAADn7swU=")</f>
        <v>#REF!</v>
      </c>
      <c r="G143" t="e">
        <f>AND('GA55 Entry'!#REF!,"AAAAADn7swY=")</f>
        <v>#REF!</v>
      </c>
      <c r="H143" t="e">
        <f>AND('GA55 Entry'!#REF!,"AAAAADn7swc=")</f>
        <v>#REF!</v>
      </c>
      <c r="I143" t="e">
        <f>AND('GA55 Entry'!D484,"AAAAADn7swg=")</f>
        <v>#VALUE!</v>
      </c>
      <c r="J143" t="e">
        <f>AND('GA55 Entry'!#REF!,"AAAAADn7swk=")</f>
        <v>#REF!</v>
      </c>
      <c r="K143" t="e">
        <f>AND('GA55 Entry'!E484,"AAAAADn7swo=")</f>
        <v>#VALUE!</v>
      </c>
      <c r="L143" t="e">
        <f>AND('GA55 Entry'!F484,"AAAAADn7sws=")</f>
        <v>#VALUE!</v>
      </c>
      <c r="M143" t="e">
        <f>AND('GA55 Entry'!G484,"AAAAADn7sww=")</f>
        <v>#VALUE!</v>
      </c>
      <c r="N143" t="e">
        <f>AND('GA55 Entry'!H484,"AAAAADn7sw0=")</f>
        <v>#VALUE!</v>
      </c>
      <c r="O143" t="e">
        <f>AND('GA55 Entry'!I484,"AAAAADn7sw4=")</f>
        <v>#VALUE!</v>
      </c>
      <c r="P143" t="e">
        <f>AND('GA55 Entry'!J484,"AAAAADn7sw8=")</f>
        <v>#VALUE!</v>
      </c>
      <c r="Q143" t="e">
        <f>AND('GA55 Entry'!#REF!,"AAAAADn7sxA=")</f>
        <v>#REF!</v>
      </c>
      <c r="R143" t="e">
        <f>AND('GA55 Entry'!K484,"AAAAADn7sxE=")</f>
        <v>#VALUE!</v>
      </c>
      <c r="S143" t="e">
        <f>AND('GA55 Entry'!L484,"AAAAADn7sxI=")</f>
        <v>#VALUE!</v>
      </c>
      <c r="T143" t="e">
        <f>AND('GA55 Entry'!M484,"AAAAADn7sxM=")</f>
        <v>#VALUE!</v>
      </c>
      <c r="U143" t="e">
        <f>AND('GA55 Entry'!N484,"AAAAADn7sxQ=")</f>
        <v>#VALUE!</v>
      </c>
      <c r="V143" t="e">
        <f>AND('GA55 Entry'!O484,"AAAAADn7sxU=")</f>
        <v>#VALUE!</v>
      </c>
      <c r="W143" t="e">
        <f>AND('GA55 Entry'!P484,"AAAAADn7sxY=")</f>
        <v>#VALUE!</v>
      </c>
      <c r="X143" t="e">
        <f>AND('GA55 Entry'!Q484,"AAAAADn7sxc=")</f>
        <v>#VALUE!</v>
      </c>
      <c r="Y143" t="e">
        <f>AND('GA55 Entry'!S484,"AAAAADn7sxg=")</f>
        <v>#VALUE!</v>
      </c>
      <c r="Z143" t="e">
        <f>AND('GA55 Entry'!#REF!,"AAAAADn7sxk=")</f>
        <v>#REF!</v>
      </c>
      <c r="AA143" t="e">
        <f>AND('GA55 Entry'!T484,"AAAAADn7sxo=")</f>
        <v>#VALUE!</v>
      </c>
      <c r="AB143" t="e">
        <f>AND('GA55 Entry'!U484,"AAAAADn7sxs=")</f>
        <v>#VALUE!</v>
      </c>
      <c r="AC143" t="e">
        <f>AND('GA55 Entry'!V484,"AAAAADn7sxw=")</f>
        <v>#VALUE!</v>
      </c>
      <c r="AD143" t="e">
        <f>AND('GA55 Entry'!#REF!,"AAAAADn7sx0=")</f>
        <v>#REF!</v>
      </c>
      <c r="AE143" t="e">
        <f>AND('GA55 Entry'!#REF!,"AAAAADn7sx4=")</f>
        <v>#REF!</v>
      </c>
      <c r="AF143" t="e">
        <f>AND('GA55 Entry'!X484,"AAAAADn7sx8=")</f>
        <v>#VALUE!</v>
      </c>
      <c r="AG143" t="e">
        <f>AND('GA55 Entry'!Y484,"AAAAADn7syA=")</f>
        <v>#VALUE!</v>
      </c>
      <c r="AH143" t="e">
        <f>AND('GA55 Entry'!#REF!,"AAAAADn7syE=")</f>
        <v>#REF!</v>
      </c>
      <c r="AI143" t="e">
        <f>AND('GA55 Entry'!#REF!,"AAAAADn7syI=")</f>
        <v>#REF!</v>
      </c>
      <c r="AJ143" t="e">
        <f>AND('GA55 Entry'!#REF!,"AAAAADn7syM=")</f>
        <v>#REF!</v>
      </c>
      <c r="AK143" t="e">
        <f>AND('GA55 Entry'!#REF!,"AAAAADn7syQ=")</f>
        <v>#REF!</v>
      </c>
      <c r="AL143" t="e">
        <f>AND('GA55 Entry'!#REF!,"AAAAADn7syU=")</f>
        <v>#REF!</v>
      </c>
      <c r="AM143" t="e">
        <f>AND('GA55 Entry'!#REF!,"AAAAADn7syY=")</f>
        <v>#REF!</v>
      </c>
      <c r="AN143" t="e">
        <f>AND('GA55 Entry'!#REF!,"AAAAADn7syc=")</f>
        <v>#REF!</v>
      </c>
      <c r="AO143" t="e">
        <f>AND('GA55 Entry'!#REF!,"AAAAADn7syg=")</f>
        <v>#REF!</v>
      </c>
      <c r="AP143" t="e">
        <f>AND('GA55 Entry'!#REF!,"AAAAADn7syk=")</f>
        <v>#REF!</v>
      </c>
      <c r="AQ143" t="e">
        <f>AND('GA55 Entry'!Z484,"AAAAADn7syo=")</f>
        <v>#VALUE!</v>
      </c>
      <c r="AR143" t="e">
        <f>AND('GA55 Entry'!AA484,"AAAAADn7sys=")</f>
        <v>#VALUE!</v>
      </c>
      <c r="AS143" t="e">
        <f>AND('GA55 Entry'!#REF!,"AAAAADn7syw=")</f>
        <v>#REF!</v>
      </c>
      <c r="AT143" t="e">
        <f>AND('GA55 Entry'!#REF!,"AAAAADn7sy0=")</f>
        <v>#REF!</v>
      </c>
      <c r="AU143" t="e">
        <f>AND('GA55 Entry'!#REF!,"AAAAADn7sy4=")</f>
        <v>#REF!</v>
      </c>
      <c r="AV143" t="e">
        <f>AND('GA55 Entry'!AB484,"AAAAADn7sy8=")</f>
        <v>#VALUE!</v>
      </c>
      <c r="AW143" t="e">
        <f>AND('GA55 Entry'!AC484,"AAAAADn7szA=")</f>
        <v>#VALUE!</v>
      </c>
      <c r="AX143" t="e">
        <f>AND('GA55 Entry'!#REF!,"AAAAADn7szE=")</f>
        <v>#REF!</v>
      </c>
      <c r="AY143">
        <f>IF('GA55 Entry'!485:485,"AAAAADn7szI=",0)</f>
        <v>0</v>
      </c>
      <c r="AZ143" t="e">
        <f>AND('GA55 Entry'!B485,"AAAAADn7szM=")</f>
        <v>#VALUE!</v>
      </c>
      <c r="BA143" t="e">
        <f>AND('GA55 Entry'!#REF!,"AAAAADn7szQ=")</f>
        <v>#REF!</v>
      </c>
      <c r="BB143" t="e">
        <f>AND('GA55 Entry'!C485,"AAAAADn7szU=")</f>
        <v>#VALUE!</v>
      </c>
      <c r="BC143" t="e">
        <f>AND('GA55 Entry'!#REF!,"AAAAADn7szY=")</f>
        <v>#REF!</v>
      </c>
      <c r="BD143" t="e">
        <f>AND('GA55 Entry'!#REF!,"AAAAADn7szc=")</f>
        <v>#REF!</v>
      </c>
      <c r="BE143" t="e">
        <f>AND('GA55 Entry'!#REF!,"AAAAADn7szg=")</f>
        <v>#REF!</v>
      </c>
      <c r="BF143" t="e">
        <f>AND('GA55 Entry'!#REF!,"AAAAADn7szk=")</f>
        <v>#REF!</v>
      </c>
      <c r="BG143" t="e">
        <f>AND('GA55 Entry'!#REF!,"AAAAADn7szo=")</f>
        <v>#REF!</v>
      </c>
      <c r="BH143" t="e">
        <f>AND('GA55 Entry'!D485,"AAAAADn7szs=")</f>
        <v>#VALUE!</v>
      </c>
      <c r="BI143" t="e">
        <f>AND('GA55 Entry'!#REF!,"AAAAADn7szw=")</f>
        <v>#REF!</v>
      </c>
      <c r="BJ143" t="e">
        <f>AND('GA55 Entry'!E485,"AAAAADn7sz0=")</f>
        <v>#VALUE!</v>
      </c>
      <c r="BK143" t="e">
        <f>AND('GA55 Entry'!F485,"AAAAADn7sz4=")</f>
        <v>#VALUE!</v>
      </c>
      <c r="BL143" t="e">
        <f>AND('GA55 Entry'!G485,"AAAAADn7sz8=")</f>
        <v>#VALUE!</v>
      </c>
      <c r="BM143" t="e">
        <f>AND('GA55 Entry'!H485,"AAAAADn7s0A=")</f>
        <v>#VALUE!</v>
      </c>
      <c r="BN143" t="e">
        <f>AND('GA55 Entry'!I485,"AAAAADn7s0E=")</f>
        <v>#VALUE!</v>
      </c>
      <c r="BO143" t="e">
        <f>AND('GA55 Entry'!J485,"AAAAADn7s0I=")</f>
        <v>#VALUE!</v>
      </c>
      <c r="BP143" t="e">
        <f>AND('GA55 Entry'!#REF!,"AAAAADn7s0M=")</f>
        <v>#REF!</v>
      </c>
      <c r="BQ143" t="e">
        <f>AND('GA55 Entry'!K485,"AAAAADn7s0Q=")</f>
        <v>#VALUE!</v>
      </c>
      <c r="BR143" t="e">
        <f>AND('GA55 Entry'!L485,"AAAAADn7s0U=")</f>
        <v>#VALUE!</v>
      </c>
      <c r="BS143" t="e">
        <f>AND('GA55 Entry'!M485,"AAAAADn7s0Y=")</f>
        <v>#VALUE!</v>
      </c>
      <c r="BT143" t="e">
        <f>AND('GA55 Entry'!N485,"AAAAADn7s0c=")</f>
        <v>#VALUE!</v>
      </c>
      <c r="BU143" t="e">
        <f>AND('GA55 Entry'!O485,"AAAAADn7s0g=")</f>
        <v>#VALUE!</v>
      </c>
      <c r="BV143" t="e">
        <f>AND('GA55 Entry'!P485,"AAAAADn7s0k=")</f>
        <v>#VALUE!</v>
      </c>
      <c r="BW143" t="e">
        <f>AND('GA55 Entry'!Q485,"AAAAADn7s0o=")</f>
        <v>#VALUE!</v>
      </c>
      <c r="BX143" t="e">
        <f>AND('GA55 Entry'!S485,"AAAAADn7s0s=")</f>
        <v>#VALUE!</v>
      </c>
      <c r="BY143" t="e">
        <f>AND('GA55 Entry'!#REF!,"AAAAADn7s0w=")</f>
        <v>#REF!</v>
      </c>
      <c r="BZ143" t="e">
        <f>AND('GA55 Entry'!T485,"AAAAADn7s00=")</f>
        <v>#VALUE!</v>
      </c>
      <c r="CA143" t="e">
        <f>AND('GA55 Entry'!U485,"AAAAADn7s04=")</f>
        <v>#VALUE!</v>
      </c>
      <c r="CB143" t="e">
        <f>AND('GA55 Entry'!V485,"AAAAADn7s08=")</f>
        <v>#VALUE!</v>
      </c>
      <c r="CC143" t="e">
        <f>AND('GA55 Entry'!#REF!,"AAAAADn7s1A=")</f>
        <v>#REF!</v>
      </c>
      <c r="CD143" t="e">
        <f>AND('GA55 Entry'!#REF!,"AAAAADn7s1E=")</f>
        <v>#REF!</v>
      </c>
      <c r="CE143" t="e">
        <f>AND('GA55 Entry'!X485,"AAAAADn7s1I=")</f>
        <v>#VALUE!</v>
      </c>
      <c r="CF143" t="e">
        <f>AND('GA55 Entry'!Y485,"AAAAADn7s1M=")</f>
        <v>#VALUE!</v>
      </c>
      <c r="CG143" t="e">
        <f>AND('GA55 Entry'!#REF!,"AAAAADn7s1Q=")</f>
        <v>#REF!</v>
      </c>
      <c r="CH143" t="e">
        <f>AND('GA55 Entry'!#REF!,"AAAAADn7s1U=")</f>
        <v>#REF!</v>
      </c>
      <c r="CI143" t="e">
        <f>AND('GA55 Entry'!#REF!,"AAAAADn7s1Y=")</f>
        <v>#REF!</v>
      </c>
      <c r="CJ143" t="e">
        <f>AND('GA55 Entry'!#REF!,"AAAAADn7s1c=")</f>
        <v>#REF!</v>
      </c>
      <c r="CK143" t="e">
        <f>AND('GA55 Entry'!#REF!,"AAAAADn7s1g=")</f>
        <v>#REF!</v>
      </c>
      <c r="CL143" t="e">
        <f>AND('GA55 Entry'!#REF!,"AAAAADn7s1k=")</f>
        <v>#REF!</v>
      </c>
      <c r="CM143" t="e">
        <f>AND('GA55 Entry'!#REF!,"AAAAADn7s1o=")</f>
        <v>#REF!</v>
      </c>
      <c r="CN143" t="e">
        <f>AND('GA55 Entry'!#REF!,"AAAAADn7s1s=")</f>
        <v>#REF!</v>
      </c>
      <c r="CO143" t="e">
        <f>AND('GA55 Entry'!#REF!,"AAAAADn7s1w=")</f>
        <v>#REF!</v>
      </c>
      <c r="CP143" t="e">
        <f>AND('GA55 Entry'!Z485,"AAAAADn7s10=")</f>
        <v>#VALUE!</v>
      </c>
      <c r="CQ143" t="e">
        <f>AND('GA55 Entry'!AA485,"AAAAADn7s14=")</f>
        <v>#VALUE!</v>
      </c>
      <c r="CR143" t="e">
        <f>AND('GA55 Entry'!#REF!,"AAAAADn7s18=")</f>
        <v>#REF!</v>
      </c>
      <c r="CS143" t="e">
        <f>AND('GA55 Entry'!#REF!,"AAAAADn7s2A=")</f>
        <v>#REF!</v>
      </c>
      <c r="CT143" t="e">
        <f>AND('GA55 Entry'!#REF!,"AAAAADn7s2E=")</f>
        <v>#REF!</v>
      </c>
      <c r="CU143" t="e">
        <f>AND('GA55 Entry'!AB485,"AAAAADn7s2I=")</f>
        <v>#VALUE!</v>
      </c>
      <c r="CV143" t="e">
        <f>AND('GA55 Entry'!AC485,"AAAAADn7s2M=")</f>
        <v>#VALUE!</v>
      </c>
      <c r="CW143" t="e">
        <f>AND('GA55 Entry'!#REF!,"AAAAADn7s2Q=")</f>
        <v>#REF!</v>
      </c>
      <c r="CX143">
        <f>IF('GA55 Entry'!486:486,"AAAAADn7s2U=",0)</f>
        <v>0</v>
      </c>
      <c r="CY143" t="e">
        <f>AND('GA55 Entry'!B486,"AAAAADn7s2Y=")</f>
        <v>#VALUE!</v>
      </c>
      <c r="CZ143" t="e">
        <f>AND('GA55 Entry'!#REF!,"AAAAADn7s2c=")</f>
        <v>#REF!</v>
      </c>
      <c r="DA143" t="e">
        <f>AND('GA55 Entry'!C486,"AAAAADn7s2g=")</f>
        <v>#VALUE!</v>
      </c>
      <c r="DB143" t="e">
        <f>AND('GA55 Entry'!#REF!,"AAAAADn7s2k=")</f>
        <v>#REF!</v>
      </c>
      <c r="DC143" t="e">
        <f>AND('GA55 Entry'!#REF!,"AAAAADn7s2o=")</f>
        <v>#REF!</v>
      </c>
      <c r="DD143" t="e">
        <f>AND('GA55 Entry'!#REF!,"AAAAADn7s2s=")</f>
        <v>#REF!</v>
      </c>
      <c r="DE143" t="e">
        <f>AND('GA55 Entry'!#REF!,"AAAAADn7s2w=")</f>
        <v>#REF!</v>
      </c>
      <c r="DF143" t="e">
        <f>AND('GA55 Entry'!#REF!,"AAAAADn7s20=")</f>
        <v>#REF!</v>
      </c>
      <c r="DG143" t="e">
        <f>AND('GA55 Entry'!D486,"AAAAADn7s24=")</f>
        <v>#VALUE!</v>
      </c>
      <c r="DH143" t="e">
        <f>AND('GA55 Entry'!#REF!,"AAAAADn7s28=")</f>
        <v>#REF!</v>
      </c>
      <c r="DI143" t="e">
        <f>AND('GA55 Entry'!E486,"AAAAADn7s3A=")</f>
        <v>#VALUE!</v>
      </c>
      <c r="DJ143" t="e">
        <f>AND('GA55 Entry'!F486,"AAAAADn7s3E=")</f>
        <v>#VALUE!</v>
      </c>
      <c r="DK143" t="e">
        <f>AND('GA55 Entry'!G486,"AAAAADn7s3I=")</f>
        <v>#VALUE!</v>
      </c>
      <c r="DL143" t="e">
        <f>AND('GA55 Entry'!H486,"AAAAADn7s3M=")</f>
        <v>#VALUE!</v>
      </c>
      <c r="DM143" t="e">
        <f>AND('GA55 Entry'!I486,"AAAAADn7s3Q=")</f>
        <v>#VALUE!</v>
      </c>
      <c r="DN143" t="e">
        <f>AND('GA55 Entry'!J486,"AAAAADn7s3U=")</f>
        <v>#VALUE!</v>
      </c>
      <c r="DO143" t="e">
        <f>AND('GA55 Entry'!#REF!,"AAAAADn7s3Y=")</f>
        <v>#REF!</v>
      </c>
      <c r="DP143" t="e">
        <f>AND('GA55 Entry'!K486,"AAAAADn7s3c=")</f>
        <v>#VALUE!</v>
      </c>
      <c r="DQ143" t="e">
        <f>AND('GA55 Entry'!L486,"AAAAADn7s3g=")</f>
        <v>#VALUE!</v>
      </c>
      <c r="DR143" t="e">
        <f>AND('GA55 Entry'!M486,"AAAAADn7s3k=")</f>
        <v>#VALUE!</v>
      </c>
      <c r="DS143" t="e">
        <f>AND('GA55 Entry'!N486,"AAAAADn7s3o=")</f>
        <v>#VALUE!</v>
      </c>
      <c r="DT143" t="e">
        <f>AND('GA55 Entry'!O486,"AAAAADn7s3s=")</f>
        <v>#VALUE!</v>
      </c>
      <c r="DU143" t="e">
        <f>AND('GA55 Entry'!P486,"AAAAADn7s3w=")</f>
        <v>#VALUE!</v>
      </c>
      <c r="DV143" t="e">
        <f>AND('GA55 Entry'!Q486,"AAAAADn7s30=")</f>
        <v>#VALUE!</v>
      </c>
      <c r="DW143" t="e">
        <f>AND('GA55 Entry'!S486,"AAAAADn7s34=")</f>
        <v>#VALUE!</v>
      </c>
      <c r="DX143" t="e">
        <f>AND('GA55 Entry'!#REF!,"AAAAADn7s38=")</f>
        <v>#REF!</v>
      </c>
      <c r="DY143" t="e">
        <f>AND('GA55 Entry'!T486,"AAAAADn7s4A=")</f>
        <v>#VALUE!</v>
      </c>
      <c r="DZ143" t="e">
        <f>AND('GA55 Entry'!U486,"AAAAADn7s4E=")</f>
        <v>#VALUE!</v>
      </c>
      <c r="EA143" t="e">
        <f>AND('GA55 Entry'!V486,"AAAAADn7s4I=")</f>
        <v>#VALUE!</v>
      </c>
      <c r="EB143" t="e">
        <f>AND('GA55 Entry'!#REF!,"AAAAADn7s4M=")</f>
        <v>#REF!</v>
      </c>
      <c r="EC143" t="e">
        <f>AND('GA55 Entry'!#REF!,"AAAAADn7s4Q=")</f>
        <v>#REF!</v>
      </c>
      <c r="ED143" t="e">
        <f>AND('GA55 Entry'!X486,"AAAAADn7s4U=")</f>
        <v>#VALUE!</v>
      </c>
      <c r="EE143" t="e">
        <f>AND('GA55 Entry'!Y486,"AAAAADn7s4Y=")</f>
        <v>#VALUE!</v>
      </c>
      <c r="EF143" t="e">
        <f>AND('GA55 Entry'!#REF!,"AAAAADn7s4c=")</f>
        <v>#REF!</v>
      </c>
      <c r="EG143" t="e">
        <f>AND('GA55 Entry'!#REF!,"AAAAADn7s4g=")</f>
        <v>#REF!</v>
      </c>
      <c r="EH143" t="e">
        <f>AND('GA55 Entry'!#REF!,"AAAAADn7s4k=")</f>
        <v>#REF!</v>
      </c>
      <c r="EI143" t="e">
        <f>AND('GA55 Entry'!#REF!,"AAAAADn7s4o=")</f>
        <v>#REF!</v>
      </c>
      <c r="EJ143" t="e">
        <f>AND('GA55 Entry'!#REF!,"AAAAADn7s4s=")</f>
        <v>#REF!</v>
      </c>
      <c r="EK143" t="e">
        <f>AND('GA55 Entry'!#REF!,"AAAAADn7s4w=")</f>
        <v>#REF!</v>
      </c>
      <c r="EL143" t="e">
        <f>AND('GA55 Entry'!#REF!,"AAAAADn7s40=")</f>
        <v>#REF!</v>
      </c>
      <c r="EM143" t="e">
        <f>AND('GA55 Entry'!#REF!,"AAAAADn7s44=")</f>
        <v>#REF!</v>
      </c>
      <c r="EN143" t="e">
        <f>AND('GA55 Entry'!#REF!,"AAAAADn7s48=")</f>
        <v>#REF!</v>
      </c>
      <c r="EO143" t="e">
        <f>AND('GA55 Entry'!Z486,"AAAAADn7s5A=")</f>
        <v>#VALUE!</v>
      </c>
      <c r="EP143" t="e">
        <f>AND('GA55 Entry'!AA486,"AAAAADn7s5E=")</f>
        <v>#VALUE!</v>
      </c>
      <c r="EQ143" t="e">
        <f>AND('GA55 Entry'!#REF!,"AAAAADn7s5I=")</f>
        <v>#REF!</v>
      </c>
      <c r="ER143" t="e">
        <f>AND('GA55 Entry'!#REF!,"AAAAADn7s5M=")</f>
        <v>#REF!</v>
      </c>
      <c r="ES143" t="e">
        <f>AND('GA55 Entry'!#REF!,"AAAAADn7s5Q=")</f>
        <v>#REF!</v>
      </c>
      <c r="ET143" t="e">
        <f>AND('GA55 Entry'!AB486,"AAAAADn7s5U=")</f>
        <v>#VALUE!</v>
      </c>
      <c r="EU143" t="e">
        <f>AND('GA55 Entry'!AC486,"AAAAADn7s5Y=")</f>
        <v>#VALUE!</v>
      </c>
      <c r="EV143" t="e">
        <f>AND('GA55 Entry'!#REF!,"AAAAADn7s5c=")</f>
        <v>#REF!</v>
      </c>
      <c r="EW143">
        <f>IF('GA55 Entry'!487:487,"AAAAADn7s5g=",0)</f>
        <v>0</v>
      </c>
      <c r="EX143" t="e">
        <f>AND('GA55 Entry'!B487,"AAAAADn7s5k=")</f>
        <v>#VALUE!</v>
      </c>
      <c r="EY143" t="e">
        <f>AND('GA55 Entry'!#REF!,"AAAAADn7s5o=")</f>
        <v>#REF!</v>
      </c>
      <c r="EZ143" t="e">
        <f>AND('GA55 Entry'!C487,"AAAAADn7s5s=")</f>
        <v>#VALUE!</v>
      </c>
      <c r="FA143" t="e">
        <f>AND('GA55 Entry'!#REF!,"AAAAADn7s5w=")</f>
        <v>#REF!</v>
      </c>
      <c r="FB143" t="e">
        <f>AND('GA55 Entry'!#REF!,"AAAAADn7s50=")</f>
        <v>#REF!</v>
      </c>
      <c r="FC143" t="e">
        <f>AND('GA55 Entry'!#REF!,"AAAAADn7s54=")</f>
        <v>#REF!</v>
      </c>
      <c r="FD143" t="e">
        <f>AND('GA55 Entry'!#REF!,"AAAAADn7s58=")</f>
        <v>#REF!</v>
      </c>
      <c r="FE143" t="e">
        <f>AND('GA55 Entry'!#REF!,"AAAAADn7s6A=")</f>
        <v>#REF!</v>
      </c>
      <c r="FF143" t="e">
        <f>AND('GA55 Entry'!D487,"AAAAADn7s6E=")</f>
        <v>#VALUE!</v>
      </c>
      <c r="FG143" t="e">
        <f>AND('GA55 Entry'!#REF!,"AAAAADn7s6I=")</f>
        <v>#REF!</v>
      </c>
      <c r="FH143" t="e">
        <f>AND('GA55 Entry'!E487,"AAAAADn7s6M=")</f>
        <v>#VALUE!</v>
      </c>
      <c r="FI143" t="e">
        <f>AND('GA55 Entry'!F487,"AAAAADn7s6Q=")</f>
        <v>#VALUE!</v>
      </c>
      <c r="FJ143" t="e">
        <f>AND('GA55 Entry'!G487,"AAAAADn7s6U=")</f>
        <v>#VALUE!</v>
      </c>
      <c r="FK143" t="e">
        <f>AND('GA55 Entry'!H487,"AAAAADn7s6Y=")</f>
        <v>#VALUE!</v>
      </c>
      <c r="FL143" t="e">
        <f>AND('GA55 Entry'!I487,"AAAAADn7s6c=")</f>
        <v>#VALUE!</v>
      </c>
      <c r="FM143" t="e">
        <f>AND('GA55 Entry'!J487,"AAAAADn7s6g=")</f>
        <v>#VALUE!</v>
      </c>
      <c r="FN143" t="e">
        <f>AND('GA55 Entry'!#REF!,"AAAAADn7s6k=")</f>
        <v>#REF!</v>
      </c>
      <c r="FO143" t="e">
        <f>AND('GA55 Entry'!K487,"AAAAADn7s6o=")</f>
        <v>#VALUE!</v>
      </c>
      <c r="FP143" t="e">
        <f>AND('GA55 Entry'!L487,"AAAAADn7s6s=")</f>
        <v>#VALUE!</v>
      </c>
      <c r="FQ143" t="e">
        <f>AND('GA55 Entry'!M487,"AAAAADn7s6w=")</f>
        <v>#VALUE!</v>
      </c>
      <c r="FR143" t="e">
        <f>AND('GA55 Entry'!N487,"AAAAADn7s60=")</f>
        <v>#VALUE!</v>
      </c>
      <c r="FS143" t="e">
        <f>AND('GA55 Entry'!O487,"AAAAADn7s64=")</f>
        <v>#VALUE!</v>
      </c>
      <c r="FT143" t="e">
        <f>AND('GA55 Entry'!P487,"AAAAADn7s68=")</f>
        <v>#VALUE!</v>
      </c>
      <c r="FU143" t="e">
        <f>AND('GA55 Entry'!Q487,"AAAAADn7s7A=")</f>
        <v>#VALUE!</v>
      </c>
      <c r="FV143" t="e">
        <f>AND('GA55 Entry'!S487,"AAAAADn7s7E=")</f>
        <v>#VALUE!</v>
      </c>
      <c r="FW143" t="e">
        <f>AND('GA55 Entry'!#REF!,"AAAAADn7s7I=")</f>
        <v>#REF!</v>
      </c>
      <c r="FX143" t="e">
        <f>AND('GA55 Entry'!T487,"AAAAADn7s7M=")</f>
        <v>#VALUE!</v>
      </c>
      <c r="FY143" t="e">
        <f>AND('GA55 Entry'!U487,"AAAAADn7s7Q=")</f>
        <v>#VALUE!</v>
      </c>
      <c r="FZ143" t="e">
        <f>AND('GA55 Entry'!V487,"AAAAADn7s7U=")</f>
        <v>#VALUE!</v>
      </c>
      <c r="GA143" t="e">
        <f>AND('GA55 Entry'!#REF!,"AAAAADn7s7Y=")</f>
        <v>#REF!</v>
      </c>
      <c r="GB143" t="e">
        <f>AND('GA55 Entry'!#REF!,"AAAAADn7s7c=")</f>
        <v>#REF!</v>
      </c>
      <c r="GC143" t="e">
        <f>AND('GA55 Entry'!X487,"AAAAADn7s7g=")</f>
        <v>#VALUE!</v>
      </c>
      <c r="GD143" t="e">
        <f>AND('GA55 Entry'!Y487,"AAAAADn7s7k=")</f>
        <v>#VALUE!</v>
      </c>
      <c r="GE143" t="e">
        <f>AND('GA55 Entry'!#REF!,"AAAAADn7s7o=")</f>
        <v>#REF!</v>
      </c>
      <c r="GF143" t="e">
        <f>AND('GA55 Entry'!#REF!,"AAAAADn7s7s=")</f>
        <v>#REF!</v>
      </c>
      <c r="GG143" t="e">
        <f>AND('GA55 Entry'!#REF!,"AAAAADn7s7w=")</f>
        <v>#REF!</v>
      </c>
      <c r="GH143" t="e">
        <f>AND('GA55 Entry'!#REF!,"AAAAADn7s70=")</f>
        <v>#REF!</v>
      </c>
      <c r="GI143" t="e">
        <f>AND('GA55 Entry'!#REF!,"AAAAADn7s74=")</f>
        <v>#REF!</v>
      </c>
      <c r="GJ143" t="e">
        <f>AND('GA55 Entry'!#REF!,"AAAAADn7s78=")</f>
        <v>#REF!</v>
      </c>
      <c r="GK143" t="e">
        <f>AND('GA55 Entry'!#REF!,"AAAAADn7s8A=")</f>
        <v>#REF!</v>
      </c>
      <c r="GL143" t="e">
        <f>AND('GA55 Entry'!#REF!,"AAAAADn7s8E=")</f>
        <v>#REF!</v>
      </c>
      <c r="GM143" t="e">
        <f>AND('GA55 Entry'!#REF!,"AAAAADn7s8I=")</f>
        <v>#REF!</v>
      </c>
      <c r="GN143" t="e">
        <f>AND('GA55 Entry'!Z487,"AAAAADn7s8M=")</f>
        <v>#VALUE!</v>
      </c>
      <c r="GO143" t="e">
        <f>AND('GA55 Entry'!AA487,"AAAAADn7s8Q=")</f>
        <v>#VALUE!</v>
      </c>
      <c r="GP143" t="e">
        <f>AND('GA55 Entry'!#REF!,"AAAAADn7s8U=")</f>
        <v>#REF!</v>
      </c>
      <c r="GQ143" t="e">
        <f>AND('GA55 Entry'!#REF!,"AAAAADn7s8Y=")</f>
        <v>#REF!</v>
      </c>
      <c r="GR143" t="e">
        <f>AND('GA55 Entry'!#REF!,"AAAAADn7s8c=")</f>
        <v>#REF!</v>
      </c>
      <c r="GS143" t="e">
        <f>AND('GA55 Entry'!AB487,"AAAAADn7s8g=")</f>
        <v>#VALUE!</v>
      </c>
      <c r="GT143" t="e">
        <f>AND('GA55 Entry'!AC487,"AAAAADn7s8k=")</f>
        <v>#VALUE!</v>
      </c>
      <c r="GU143" t="e">
        <f>AND('GA55 Entry'!#REF!,"AAAAADn7s8o=")</f>
        <v>#REF!</v>
      </c>
      <c r="GV143">
        <f>IF('GA55 Entry'!488:488,"AAAAADn7s8s=",0)</f>
        <v>0</v>
      </c>
      <c r="GW143" t="e">
        <f>AND('GA55 Entry'!B488,"AAAAADn7s8w=")</f>
        <v>#VALUE!</v>
      </c>
      <c r="GX143" t="e">
        <f>AND('GA55 Entry'!#REF!,"AAAAADn7s80=")</f>
        <v>#REF!</v>
      </c>
      <c r="GY143" t="e">
        <f>AND('GA55 Entry'!C488,"AAAAADn7s84=")</f>
        <v>#VALUE!</v>
      </c>
      <c r="GZ143" t="e">
        <f>AND('GA55 Entry'!#REF!,"AAAAADn7s88=")</f>
        <v>#REF!</v>
      </c>
      <c r="HA143" t="e">
        <f>AND('GA55 Entry'!#REF!,"AAAAADn7s9A=")</f>
        <v>#REF!</v>
      </c>
      <c r="HB143" t="e">
        <f>AND('GA55 Entry'!#REF!,"AAAAADn7s9E=")</f>
        <v>#REF!</v>
      </c>
      <c r="HC143" t="e">
        <f>AND('GA55 Entry'!#REF!,"AAAAADn7s9I=")</f>
        <v>#REF!</v>
      </c>
      <c r="HD143" t="e">
        <f>AND('GA55 Entry'!#REF!,"AAAAADn7s9M=")</f>
        <v>#REF!</v>
      </c>
      <c r="HE143" t="e">
        <f>AND('GA55 Entry'!D488,"AAAAADn7s9Q=")</f>
        <v>#VALUE!</v>
      </c>
      <c r="HF143" t="e">
        <f>AND('GA55 Entry'!#REF!,"AAAAADn7s9U=")</f>
        <v>#REF!</v>
      </c>
      <c r="HG143" t="e">
        <f>AND('GA55 Entry'!E488,"AAAAADn7s9Y=")</f>
        <v>#VALUE!</v>
      </c>
      <c r="HH143" t="e">
        <f>AND('GA55 Entry'!F488,"AAAAADn7s9c=")</f>
        <v>#VALUE!</v>
      </c>
      <c r="HI143" t="e">
        <f>AND('GA55 Entry'!G488,"AAAAADn7s9g=")</f>
        <v>#VALUE!</v>
      </c>
      <c r="HJ143" t="e">
        <f>AND('GA55 Entry'!H488,"AAAAADn7s9k=")</f>
        <v>#VALUE!</v>
      </c>
      <c r="HK143" t="e">
        <f>AND('GA55 Entry'!I488,"AAAAADn7s9o=")</f>
        <v>#VALUE!</v>
      </c>
      <c r="HL143" t="e">
        <f>AND('GA55 Entry'!J488,"AAAAADn7s9s=")</f>
        <v>#VALUE!</v>
      </c>
      <c r="HM143" t="e">
        <f>AND('GA55 Entry'!#REF!,"AAAAADn7s9w=")</f>
        <v>#REF!</v>
      </c>
      <c r="HN143" t="e">
        <f>AND('GA55 Entry'!K488,"AAAAADn7s90=")</f>
        <v>#VALUE!</v>
      </c>
      <c r="HO143" t="e">
        <f>AND('GA55 Entry'!L488,"AAAAADn7s94=")</f>
        <v>#VALUE!</v>
      </c>
      <c r="HP143" t="e">
        <f>AND('GA55 Entry'!M488,"AAAAADn7s98=")</f>
        <v>#VALUE!</v>
      </c>
      <c r="HQ143" t="e">
        <f>AND('GA55 Entry'!N488,"AAAAADn7s+A=")</f>
        <v>#VALUE!</v>
      </c>
      <c r="HR143" t="e">
        <f>AND('GA55 Entry'!O488,"AAAAADn7s+E=")</f>
        <v>#VALUE!</v>
      </c>
      <c r="HS143" t="e">
        <f>AND('GA55 Entry'!P488,"AAAAADn7s+I=")</f>
        <v>#VALUE!</v>
      </c>
      <c r="HT143" t="e">
        <f>AND('GA55 Entry'!Q488,"AAAAADn7s+M=")</f>
        <v>#VALUE!</v>
      </c>
      <c r="HU143" t="e">
        <f>AND('GA55 Entry'!S488,"AAAAADn7s+Q=")</f>
        <v>#VALUE!</v>
      </c>
      <c r="HV143" t="e">
        <f>AND('GA55 Entry'!#REF!,"AAAAADn7s+U=")</f>
        <v>#REF!</v>
      </c>
      <c r="HW143" t="e">
        <f>AND('GA55 Entry'!T488,"AAAAADn7s+Y=")</f>
        <v>#VALUE!</v>
      </c>
      <c r="HX143" t="e">
        <f>AND('GA55 Entry'!U488,"AAAAADn7s+c=")</f>
        <v>#VALUE!</v>
      </c>
      <c r="HY143" t="e">
        <f>AND('GA55 Entry'!V488,"AAAAADn7s+g=")</f>
        <v>#VALUE!</v>
      </c>
      <c r="HZ143" t="e">
        <f>AND('GA55 Entry'!#REF!,"AAAAADn7s+k=")</f>
        <v>#REF!</v>
      </c>
      <c r="IA143" t="e">
        <f>AND('GA55 Entry'!#REF!,"AAAAADn7s+o=")</f>
        <v>#REF!</v>
      </c>
      <c r="IB143" t="e">
        <f>AND('GA55 Entry'!X488,"AAAAADn7s+s=")</f>
        <v>#VALUE!</v>
      </c>
      <c r="IC143" t="e">
        <f>AND('GA55 Entry'!Y488,"AAAAADn7s+w=")</f>
        <v>#VALUE!</v>
      </c>
      <c r="ID143" t="e">
        <f>AND('GA55 Entry'!#REF!,"AAAAADn7s+0=")</f>
        <v>#REF!</v>
      </c>
      <c r="IE143" t="e">
        <f>AND('GA55 Entry'!#REF!,"AAAAADn7s+4=")</f>
        <v>#REF!</v>
      </c>
      <c r="IF143" t="e">
        <f>AND('GA55 Entry'!#REF!,"AAAAADn7s+8=")</f>
        <v>#REF!</v>
      </c>
      <c r="IG143" t="e">
        <f>AND('GA55 Entry'!#REF!,"AAAAADn7s/A=")</f>
        <v>#REF!</v>
      </c>
      <c r="IH143" t="e">
        <f>AND('GA55 Entry'!#REF!,"AAAAADn7s/E=")</f>
        <v>#REF!</v>
      </c>
      <c r="II143" t="e">
        <f>AND('GA55 Entry'!#REF!,"AAAAADn7s/I=")</f>
        <v>#REF!</v>
      </c>
      <c r="IJ143" t="e">
        <f>AND('GA55 Entry'!#REF!,"AAAAADn7s/M=")</f>
        <v>#REF!</v>
      </c>
      <c r="IK143" t="e">
        <f>AND('GA55 Entry'!#REF!,"AAAAADn7s/Q=")</f>
        <v>#REF!</v>
      </c>
      <c r="IL143" t="e">
        <f>AND('GA55 Entry'!#REF!,"AAAAADn7s/U=")</f>
        <v>#REF!</v>
      </c>
      <c r="IM143" t="e">
        <f>AND('GA55 Entry'!Z488,"AAAAADn7s/Y=")</f>
        <v>#VALUE!</v>
      </c>
      <c r="IN143" t="e">
        <f>AND('GA55 Entry'!AA488,"AAAAADn7s/c=")</f>
        <v>#VALUE!</v>
      </c>
      <c r="IO143" t="e">
        <f>AND('GA55 Entry'!#REF!,"AAAAADn7s/g=")</f>
        <v>#REF!</v>
      </c>
      <c r="IP143" t="e">
        <f>AND('GA55 Entry'!#REF!,"AAAAADn7s/k=")</f>
        <v>#REF!</v>
      </c>
      <c r="IQ143" t="e">
        <f>AND('GA55 Entry'!#REF!,"AAAAADn7s/o=")</f>
        <v>#REF!</v>
      </c>
      <c r="IR143" t="e">
        <f>AND('GA55 Entry'!AB488,"AAAAADn7s/s=")</f>
        <v>#VALUE!</v>
      </c>
      <c r="IS143" t="e">
        <f>AND('GA55 Entry'!AC488,"AAAAADn7s/w=")</f>
        <v>#VALUE!</v>
      </c>
      <c r="IT143" t="e">
        <f>AND('GA55 Entry'!#REF!,"AAAAADn7s/0=")</f>
        <v>#REF!</v>
      </c>
      <c r="IU143">
        <f>IF('GA55 Entry'!489:489,"AAAAADn7s/4=",0)</f>
        <v>0</v>
      </c>
      <c r="IV143" t="e">
        <f>AND('GA55 Entry'!B489,"AAAAADn7s/8=")</f>
        <v>#VALUE!</v>
      </c>
    </row>
    <row r="144" spans="1:256">
      <c r="A144" t="e">
        <f>AND('GA55 Entry'!#REF!,"AAAAAE7PjgA=")</f>
        <v>#REF!</v>
      </c>
      <c r="B144" t="e">
        <f>AND('GA55 Entry'!C489,"AAAAAE7PjgE=")</f>
        <v>#VALUE!</v>
      </c>
      <c r="C144" t="e">
        <f>AND('GA55 Entry'!#REF!,"AAAAAE7PjgI=")</f>
        <v>#REF!</v>
      </c>
      <c r="D144" t="e">
        <f>AND('GA55 Entry'!#REF!,"AAAAAE7PjgM=")</f>
        <v>#REF!</v>
      </c>
      <c r="E144" t="e">
        <f>AND('GA55 Entry'!#REF!,"AAAAAE7PjgQ=")</f>
        <v>#REF!</v>
      </c>
      <c r="F144" t="e">
        <f>AND('GA55 Entry'!#REF!,"AAAAAE7PjgU=")</f>
        <v>#REF!</v>
      </c>
      <c r="G144" t="e">
        <f>AND('GA55 Entry'!#REF!,"AAAAAE7PjgY=")</f>
        <v>#REF!</v>
      </c>
      <c r="H144" t="e">
        <f>AND('GA55 Entry'!D489,"AAAAAE7Pjgc=")</f>
        <v>#VALUE!</v>
      </c>
      <c r="I144" t="e">
        <f>AND('GA55 Entry'!#REF!,"AAAAAE7Pjgg=")</f>
        <v>#REF!</v>
      </c>
      <c r="J144" t="e">
        <f>AND('GA55 Entry'!E489,"AAAAAE7Pjgk=")</f>
        <v>#VALUE!</v>
      </c>
      <c r="K144" t="e">
        <f>AND('GA55 Entry'!F489,"AAAAAE7Pjgo=")</f>
        <v>#VALUE!</v>
      </c>
      <c r="L144" t="e">
        <f>AND('GA55 Entry'!G489,"AAAAAE7Pjgs=")</f>
        <v>#VALUE!</v>
      </c>
      <c r="M144" t="e">
        <f>AND('GA55 Entry'!H489,"AAAAAE7Pjgw=")</f>
        <v>#VALUE!</v>
      </c>
      <c r="N144" t="e">
        <f>AND('GA55 Entry'!I489,"AAAAAE7Pjg0=")</f>
        <v>#VALUE!</v>
      </c>
      <c r="O144" t="e">
        <f>AND('GA55 Entry'!J489,"AAAAAE7Pjg4=")</f>
        <v>#VALUE!</v>
      </c>
      <c r="P144" t="e">
        <f>AND('GA55 Entry'!#REF!,"AAAAAE7Pjg8=")</f>
        <v>#REF!</v>
      </c>
      <c r="Q144" t="e">
        <f>AND('GA55 Entry'!K489,"AAAAAE7PjhA=")</f>
        <v>#VALUE!</v>
      </c>
      <c r="R144" t="e">
        <f>AND('GA55 Entry'!L489,"AAAAAE7PjhE=")</f>
        <v>#VALUE!</v>
      </c>
      <c r="S144" t="e">
        <f>AND('GA55 Entry'!M489,"AAAAAE7PjhI=")</f>
        <v>#VALUE!</v>
      </c>
      <c r="T144" t="e">
        <f>AND('GA55 Entry'!N489,"AAAAAE7PjhM=")</f>
        <v>#VALUE!</v>
      </c>
      <c r="U144" t="e">
        <f>AND('GA55 Entry'!O489,"AAAAAE7PjhQ=")</f>
        <v>#VALUE!</v>
      </c>
      <c r="V144" t="e">
        <f>AND('GA55 Entry'!P489,"AAAAAE7PjhU=")</f>
        <v>#VALUE!</v>
      </c>
      <c r="W144" t="e">
        <f>AND('GA55 Entry'!Q489,"AAAAAE7PjhY=")</f>
        <v>#VALUE!</v>
      </c>
      <c r="X144" t="e">
        <f>AND('GA55 Entry'!S489,"AAAAAE7Pjhc=")</f>
        <v>#VALUE!</v>
      </c>
      <c r="Y144" t="e">
        <f>AND('GA55 Entry'!#REF!,"AAAAAE7Pjhg=")</f>
        <v>#REF!</v>
      </c>
      <c r="Z144" t="e">
        <f>AND('GA55 Entry'!T489,"AAAAAE7Pjhk=")</f>
        <v>#VALUE!</v>
      </c>
      <c r="AA144" t="e">
        <f>AND('GA55 Entry'!U489,"AAAAAE7Pjho=")</f>
        <v>#VALUE!</v>
      </c>
      <c r="AB144" t="e">
        <f>AND('GA55 Entry'!V489,"AAAAAE7Pjhs=")</f>
        <v>#VALUE!</v>
      </c>
      <c r="AC144" t="e">
        <f>AND('GA55 Entry'!#REF!,"AAAAAE7Pjhw=")</f>
        <v>#REF!</v>
      </c>
      <c r="AD144" t="e">
        <f>AND('GA55 Entry'!#REF!,"AAAAAE7Pjh0=")</f>
        <v>#REF!</v>
      </c>
      <c r="AE144" t="e">
        <f>AND('GA55 Entry'!X489,"AAAAAE7Pjh4=")</f>
        <v>#VALUE!</v>
      </c>
      <c r="AF144" t="e">
        <f>AND('GA55 Entry'!Y489,"AAAAAE7Pjh8=")</f>
        <v>#VALUE!</v>
      </c>
      <c r="AG144" t="e">
        <f>AND('GA55 Entry'!#REF!,"AAAAAE7PjiA=")</f>
        <v>#REF!</v>
      </c>
      <c r="AH144" t="e">
        <f>AND('GA55 Entry'!#REF!,"AAAAAE7PjiE=")</f>
        <v>#REF!</v>
      </c>
      <c r="AI144" t="e">
        <f>AND('GA55 Entry'!#REF!,"AAAAAE7PjiI=")</f>
        <v>#REF!</v>
      </c>
      <c r="AJ144" t="e">
        <f>AND('GA55 Entry'!#REF!,"AAAAAE7PjiM=")</f>
        <v>#REF!</v>
      </c>
      <c r="AK144" t="e">
        <f>AND('GA55 Entry'!#REF!,"AAAAAE7PjiQ=")</f>
        <v>#REF!</v>
      </c>
      <c r="AL144" t="e">
        <f>AND('GA55 Entry'!#REF!,"AAAAAE7PjiU=")</f>
        <v>#REF!</v>
      </c>
      <c r="AM144" t="e">
        <f>AND('GA55 Entry'!#REF!,"AAAAAE7PjiY=")</f>
        <v>#REF!</v>
      </c>
      <c r="AN144" t="e">
        <f>AND('GA55 Entry'!#REF!,"AAAAAE7Pjic=")</f>
        <v>#REF!</v>
      </c>
      <c r="AO144" t="e">
        <f>AND('GA55 Entry'!#REF!,"AAAAAE7Pjig=")</f>
        <v>#REF!</v>
      </c>
      <c r="AP144" t="e">
        <f>AND('GA55 Entry'!Z489,"AAAAAE7Pjik=")</f>
        <v>#VALUE!</v>
      </c>
      <c r="AQ144" t="e">
        <f>AND('GA55 Entry'!AA489,"AAAAAE7Pjio=")</f>
        <v>#VALUE!</v>
      </c>
      <c r="AR144" t="e">
        <f>AND('GA55 Entry'!#REF!,"AAAAAE7Pjis=")</f>
        <v>#REF!</v>
      </c>
      <c r="AS144" t="e">
        <f>AND('GA55 Entry'!#REF!,"AAAAAE7Pjiw=")</f>
        <v>#REF!</v>
      </c>
      <c r="AT144" t="e">
        <f>AND('GA55 Entry'!#REF!,"AAAAAE7Pji0=")</f>
        <v>#REF!</v>
      </c>
      <c r="AU144" t="e">
        <f>AND('GA55 Entry'!AB489,"AAAAAE7Pji4=")</f>
        <v>#VALUE!</v>
      </c>
      <c r="AV144" t="e">
        <f>AND('GA55 Entry'!AC489,"AAAAAE7Pji8=")</f>
        <v>#VALUE!</v>
      </c>
      <c r="AW144" t="e">
        <f>AND('GA55 Entry'!#REF!,"AAAAAE7PjjA=")</f>
        <v>#REF!</v>
      </c>
      <c r="AX144">
        <f>IF('GA55 Entry'!490:490,"AAAAAE7PjjE=",0)</f>
        <v>0</v>
      </c>
      <c r="AY144" t="e">
        <f>AND('GA55 Entry'!B490,"AAAAAE7PjjI=")</f>
        <v>#VALUE!</v>
      </c>
      <c r="AZ144" t="e">
        <f>AND('GA55 Entry'!#REF!,"AAAAAE7PjjM=")</f>
        <v>#REF!</v>
      </c>
      <c r="BA144" t="e">
        <f>AND('GA55 Entry'!C490,"AAAAAE7PjjQ=")</f>
        <v>#VALUE!</v>
      </c>
      <c r="BB144" t="e">
        <f>AND('GA55 Entry'!#REF!,"AAAAAE7PjjU=")</f>
        <v>#REF!</v>
      </c>
      <c r="BC144" t="e">
        <f>AND('GA55 Entry'!#REF!,"AAAAAE7PjjY=")</f>
        <v>#REF!</v>
      </c>
      <c r="BD144" t="e">
        <f>AND('GA55 Entry'!#REF!,"AAAAAE7Pjjc=")</f>
        <v>#REF!</v>
      </c>
      <c r="BE144" t="e">
        <f>AND('GA55 Entry'!#REF!,"AAAAAE7Pjjg=")</f>
        <v>#REF!</v>
      </c>
      <c r="BF144" t="e">
        <f>AND('GA55 Entry'!#REF!,"AAAAAE7Pjjk=")</f>
        <v>#REF!</v>
      </c>
      <c r="BG144" t="e">
        <f>AND('GA55 Entry'!D490,"AAAAAE7Pjjo=")</f>
        <v>#VALUE!</v>
      </c>
      <c r="BH144" t="e">
        <f>AND('GA55 Entry'!#REF!,"AAAAAE7Pjjs=")</f>
        <v>#REF!</v>
      </c>
      <c r="BI144" t="e">
        <f>AND('GA55 Entry'!E490,"AAAAAE7Pjjw=")</f>
        <v>#VALUE!</v>
      </c>
      <c r="BJ144" t="e">
        <f>AND('GA55 Entry'!F490,"AAAAAE7Pjj0=")</f>
        <v>#VALUE!</v>
      </c>
      <c r="BK144" t="e">
        <f>AND('GA55 Entry'!G490,"AAAAAE7Pjj4=")</f>
        <v>#VALUE!</v>
      </c>
      <c r="BL144" t="e">
        <f>AND('GA55 Entry'!H490,"AAAAAE7Pjj8=")</f>
        <v>#VALUE!</v>
      </c>
      <c r="BM144" t="e">
        <f>AND('GA55 Entry'!I490,"AAAAAE7PjkA=")</f>
        <v>#VALUE!</v>
      </c>
      <c r="BN144" t="e">
        <f>AND('GA55 Entry'!J490,"AAAAAE7PjkE=")</f>
        <v>#VALUE!</v>
      </c>
      <c r="BO144" t="e">
        <f>AND('GA55 Entry'!#REF!,"AAAAAE7PjkI=")</f>
        <v>#REF!</v>
      </c>
      <c r="BP144" t="e">
        <f>AND('GA55 Entry'!K490,"AAAAAE7PjkM=")</f>
        <v>#VALUE!</v>
      </c>
      <c r="BQ144" t="e">
        <f>AND('GA55 Entry'!L490,"AAAAAE7PjkQ=")</f>
        <v>#VALUE!</v>
      </c>
      <c r="BR144" t="e">
        <f>AND('GA55 Entry'!M490,"AAAAAE7PjkU=")</f>
        <v>#VALUE!</v>
      </c>
      <c r="BS144" t="e">
        <f>AND('GA55 Entry'!N490,"AAAAAE7PjkY=")</f>
        <v>#VALUE!</v>
      </c>
      <c r="BT144" t="e">
        <f>AND('GA55 Entry'!O490,"AAAAAE7Pjkc=")</f>
        <v>#VALUE!</v>
      </c>
      <c r="BU144" t="e">
        <f>AND('GA55 Entry'!P490,"AAAAAE7Pjkg=")</f>
        <v>#VALUE!</v>
      </c>
      <c r="BV144" t="e">
        <f>AND('GA55 Entry'!Q490,"AAAAAE7Pjkk=")</f>
        <v>#VALUE!</v>
      </c>
      <c r="BW144" t="e">
        <f>AND('GA55 Entry'!S490,"AAAAAE7Pjko=")</f>
        <v>#VALUE!</v>
      </c>
      <c r="BX144" t="e">
        <f>AND('GA55 Entry'!#REF!,"AAAAAE7Pjks=")</f>
        <v>#REF!</v>
      </c>
      <c r="BY144" t="e">
        <f>AND('GA55 Entry'!T490,"AAAAAE7Pjkw=")</f>
        <v>#VALUE!</v>
      </c>
      <c r="BZ144" t="e">
        <f>AND('GA55 Entry'!U490,"AAAAAE7Pjk0=")</f>
        <v>#VALUE!</v>
      </c>
      <c r="CA144" t="e">
        <f>AND('GA55 Entry'!V490,"AAAAAE7Pjk4=")</f>
        <v>#VALUE!</v>
      </c>
      <c r="CB144" t="e">
        <f>AND('GA55 Entry'!#REF!,"AAAAAE7Pjk8=")</f>
        <v>#REF!</v>
      </c>
      <c r="CC144" t="e">
        <f>AND('GA55 Entry'!#REF!,"AAAAAE7PjlA=")</f>
        <v>#REF!</v>
      </c>
      <c r="CD144" t="e">
        <f>AND('GA55 Entry'!X490,"AAAAAE7PjlE=")</f>
        <v>#VALUE!</v>
      </c>
      <c r="CE144" t="e">
        <f>AND('GA55 Entry'!Y490,"AAAAAE7PjlI=")</f>
        <v>#VALUE!</v>
      </c>
      <c r="CF144" t="e">
        <f>AND('GA55 Entry'!#REF!,"AAAAAE7PjlM=")</f>
        <v>#REF!</v>
      </c>
      <c r="CG144" t="e">
        <f>AND('GA55 Entry'!#REF!,"AAAAAE7PjlQ=")</f>
        <v>#REF!</v>
      </c>
      <c r="CH144" t="e">
        <f>AND('GA55 Entry'!#REF!,"AAAAAE7PjlU=")</f>
        <v>#REF!</v>
      </c>
      <c r="CI144" t="e">
        <f>AND('GA55 Entry'!#REF!,"AAAAAE7PjlY=")</f>
        <v>#REF!</v>
      </c>
      <c r="CJ144" t="e">
        <f>AND('GA55 Entry'!#REF!,"AAAAAE7Pjlc=")</f>
        <v>#REF!</v>
      </c>
      <c r="CK144" t="e">
        <f>AND('GA55 Entry'!#REF!,"AAAAAE7Pjlg=")</f>
        <v>#REF!</v>
      </c>
      <c r="CL144" t="e">
        <f>AND('GA55 Entry'!#REF!,"AAAAAE7Pjlk=")</f>
        <v>#REF!</v>
      </c>
      <c r="CM144" t="e">
        <f>AND('GA55 Entry'!#REF!,"AAAAAE7Pjlo=")</f>
        <v>#REF!</v>
      </c>
      <c r="CN144" t="e">
        <f>AND('GA55 Entry'!#REF!,"AAAAAE7Pjls=")</f>
        <v>#REF!</v>
      </c>
      <c r="CO144" t="e">
        <f>AND('GA55 Entry'!Z490,"AAAAAE7Pjlw=")</f>
        <v>#VALUE!</v>
      </c>
      <c r="CP144" t="e">
        <f>AND('GA55 Entry'!AA490,"AAAAAE7Pjl0=")</f>
        <v>#VALUE!</v>
      </c>
      <c r="CQ144" t="e">
        <f>AND('GA55 Entry'!#REF!,"AAAAAE7Pjl4=")</f>
        <v>#REF!</v>
      </c>
      <c r="CR144" t="e">
        <f>AND('GA55 Entry'!#REF!,"AAAAAE7Pjl8=")</f>
        <v>#REF!</v>
      </c>
      <c r="CS144" t="e">
        <f>AND('GA55 Entry'!#REF!,"AAAAAE7PjmA=")</f>
        <v>#REF!</v>
      </c>
      <c r="CT144" t="e">
        <f>AND('GA55 Entry'!AB490,"AAAAAE7PjmE=")</f>
        <v>#VALUE!</v>
      </c>
      <c r="CU144" t="e">
        <f>AND('GA55 Entry'!AC490,"AAAAAE7PjmI=")</f>
        <v>#VALUE!</v>
      </c>
      <c r="CV144" t="e">
        <f>AND('GA55 Entry'!#REF!,"AAAAAE7PjmM=")</f>
        <v>#REF!</v>
      </c>
      <c r="CW144">
        <f>IF('GA55 Entry'!491:491,"AAAAAE7PjmQ=",0)</f>
        <v>0</v>
      </c>
      <c r="CX144" t="e">
        <f>AND('GA55 Entry'!B491,"AAAAAE7PjmU=")</f>
        <v>#VALUE!</v>
      </c>
      <c r="CY144" t="e">
        <f>AND('GA55 Entry'!#REF!,"AAAAAE7PjmY=")</f>
        <v>#REF!</v>
      </c>
      <c r="CZ144" t="e">
        <f>AND('GA55 Entry'!C491,"AAAAAE7Pjmc=")</f>
        <v>#VALUE!</v>
      </c>
      <c r="DA144" t="e">
        <f>AND('GA55 Entry'!#REF!,"AAAAAE7Pjmg=")</f>
        <v>#REF!</v>
      </c>
      <c r="DB144" t="e">
        <f>AND('GA55 Entry'!#REF!,"AAAAAE7Pjmk=")</f>
        <v>#REF!</v>
      </c>
      <c r="DC144" t="e">
        <f>AND('GA55 Entry'!#REF!,"AAAAAE7Pjmo=")</f>
        <v>#REF!</v>
      </c>
      <c r="DD144" t="e">
        <f>AND('GA55 Entry'!#REF!,"AAAAAE7Pjms=")</f>
        <v>#REF!</v>
      </c>
      <c r="DE144" t="e">
        <f>AND('GA55 Entry'!#REF!,"AAAAAE7Pjmw=")</f>
        <v>#REF!</v>
      </c>
      <c r="DF144" t="e">
        <f>AND('GA55 Entry'!D491,"AAAAAE7Pjm0=")</f>
        <v>#VALUE!</v>
      </c>
      <c r="DG144" t="e">
        <f>AND('GA55 Entry'!#REF!,"AAAAAE7Pjm4=")</f>
        <v>#REF!</v>
      </c>
      <c r="DH144" t="e">
        <f>AND('GA55 Entry'!E491,"AAAAAE7Pjm8=")</f>
        <v>#VALUE!</v>
      </c>
      <c r="DI144" t="e">
        <f>AND('GA55 Entry'!F491,"AAAAAE7PjnA=")</f>
        <v>#VALUE!</v>
      </c>
      <c r="DJ144" t="e">
        <f>AND('GA55 Entry'!G491,"AAAAAE7PjnE=")</f>
        <v>#VALUE!</v>
      </c>
      <c r="DK144" t="e">
        <f>AND('GA55 Entry'!H491,"AAAAAE7PjnI=")</f>
        <v>#VALUE!</v>
      </c>
      <c r="DL144" t="e">
        <f>AND('GA55 Entry'!I491,"AAAAAE7PjnM=")</f>
        <v>#VALUE!</v>
      </c>
      <c r="DM144" t="e">
        <f>AND('GA55 Entry'!J491,"AAAAAE7PjnQ=")</f>
        <v>#VALUE!</v>
      </c>
      <c r="DN144" t="e">
        <f>AND('GA55 Entry'!#REF!,"AAAAAE7PjnU=")</f>
        <v>#REF!</v>
      </c>
      <c r="DO144" t="e">
        <f>AND('GA55 Entry'!K491,"AAAAAE7PjnY=")</f>
        <v>#VALUE!</v>
      </c>
      <c r="DP144" t="e">
        <f>AND('GA55 Entry'!L491,"AAAAAE7Pjnc=")</f>
        <v>#VALUE!</v>
      </c>
      <c r="DQ144" t="e">
        <f>AND('GA55 Entry'!M491,"AAAAAE7Pjng=")</f>
        <v>#VALUE!</v>
      </c>
      <c r="DR144" t="e">
        <f>AND('GA55 Entry'!N491,"AAAAAE7Pjnk=")</f>
        <v>#VALUE!</v>
      </c>
      <c r="DS144" t="e">
        <f>AND('GA55 Entry'!O491,"AAAAAE7Pjno=")</f>
        <v>#VALUE!</v>
      </c>
      <c r="DT144" t="e">
        <f>AND('GA55 Entry'!P491,"AAAAAE7Pjns=")</f>
        <v>#VALUE!</v>
      </c>
      <c r="DU144" t="e">
        <f>AND('GA55 Entry'!Q491,"AAAAAE7Pjnw=")</f>
        <v>#VALUE!</v>
      </c>
      <c r="DV144" t="e">
        <f>AND('GA55 Entry'!S491,"AAAAAE7Pjn0=")</f>
        <v>#VALUE!</v>
      </c>
      <c r="DW144" t="e">
        <f>AND('GA55 Entry'!#REF!,"AAAAAE7Pjn4=")</f>
        <v>#REF!</v>
      </c>
      <c r="DX144" t="e">
        <f>AND('GA55 Entry'!T491,"AAAAAE7Pjn8=")</f>
        <v>#VALUE!</v>
      </c>
      <c r="DY144" t="e">
        <f>AND('GA55 Entry'!U491,"AAAAAE7PjoA=")</f>
        <v>#VALUE!</v>
      </c>
      <c r="DZ144" t="e">
        <f>AND('GA55 Entry'!V491,"AAAAAE7PjoE=")</f>
        <v>#VALUE!</v>
      </c>
      <c r="EA144" t="e">
        <f>AND('GA55 Entry'!#REF!,"AAAAAE7PjoI=")</f>
        <v>#REF!</v>
      </c>
      <c r="EB144" t="e">
        <f>AND('GA55 Entry'!#REF!,"AAAAAE7PjoM=")</f>
        <v>#REF!</v>
      </c>
      <c r="EC144" t="e">
        <f>AND('GA55 Entry'!X491,"AAAAAE7PjoQ=")</f>
        <v>#VALUE!</v>
      </c>
      <c r="ED144" t="e">
        <f>AND('GA55 Entry'!Y491,"AAAAAE7PjoU=")</f>
        <v>#VALUE!</v>
      </c>
      <c r="EE144" t="e">
        <f>AND('GA55 Entry'!#REF!,"AAAAAE7PjoY=")</f>
        <v>#REF!</v>
      </c>
      <c r="EF144" t="e">
        <f>AND('GA55 Entry'!#REF!,"AAAAAE7Pjoc=")</f>
        <v>#REF!</v>
      </c>
      <c r="EG144" t="e">
        <f>AND('GA55 Entry'!#REF!,"AAAAAE7Pjog=")</f>
        <v>#REF!</v>
      </c>
      <c r="EH144" t="e">
        <f>AND('GA55 Entry'!#REF!,"AAAAAE7Pjok=")</f>
        <v>#REF!</v>
      </c>
      <c r="EI144" t="e">
        <f>AND('GA55 Entry'!#REF!,"AAAAAE7Pjoo=")</f>
        <v>#REF!</v>
      </c>
      <c r="EJ144" t="e">
        <f>AND('GA55 Entry'!#REF!,"AAAAAE7Pjos=")</f>
        <v>#REF!</v>
      </c>
      <c r="EK144" t="e">
        <f>AND('GA55 Entry'!#REF!,"AAAAAE7Pjow=")</f>
        <v>#REF!</v>
      </c>
      <c r="EL144" t="e">
        <f>AND('GA55 Entry'!#REF!,"AAAAAE7Pjo0=")</f>
        <v>#REF!</v>
      </c>
      <c r="EM144" t="e">
        <f>AND('GA55 Entry'!#REF!,"AAAAAE7Pjo4=")</f>
        <v>#REF!</v>
      </c>
      <c r="EN144" t="e">
        <f>AND('GA55 Entry'!Z491,"AAAAAE7Pjo8=")</f>
        <v>#VALUE!</v>
      </c>
      <c r="EO144" t="e">
        <f>AND('GA55 Entry'!AA491,"AAAAAE7PjpA=")</f>
        <v>#VALUE!</v>
      </c>
      <c r="EP144" t="e">
        <f>AND('GA55 Entry'!#REF!,"AAAAAE7PjpE=")</f>
        <v>#REF!</v>
      </c>
      <c r="EQ144" t="e">
        <f>AND('GA55 Entry'!#REF!,"AAAAAE7PjpI=")</f>
        <v>#REF!</v>
      </c>
      <c r="ER144" t="e">
        <f>AND('GA55 Entry'!#REF!,"AAAAAE7PjpM=")</f>
        <v>#REF!</v>
      </c>
      <c r="ES144" t="e">
        <f>AND('GA55 Entry'!AB491,"AAAAAE7PjpQ=")</f>
        <v>#VALUE!</v>
      </c>
      <c r="ET144" t="e">
        <f>AND('GA55 Entry'!AC491,"AAAAAE7PjpU=")</f>
        <v>#VALUE!</v>
      </c>
      <c r="EU144" t="e">
        <f>AND('GA55 Entry'!#REF!,"AAAAAE7PjpY=")</f>
        <v>#REF!</v>
      </c>
      <c r="EV144">
        <f>IF('GA55 Entry'!492:492,"AAAAAE7Pjpc=",0)</f>
        <v>0</v>
      </c>
      <c r="EW144" t="e">
        <f>AND('GA55 Entry'!B492,"AAAAAE7Pjpg=")</f>
        <v>#VALUE!</v>
      </c>
      <c r="EX144" t="e">
        <f>AND('GA55 Entry'!#REF!,"AAAAAE7Pjpk=")</f>
        <v>#REF!</v>
      </c>
      <c r="EY144" t="e">
        <f>AND('GA55 Entry'!C492,"AAAAAE7Pjpo=")</f>
        <v>#VALUE!</v>
      </c>
      <c r="EZ144" t="e">
        <f>AND('GA55 Entry'!#REF!,"AAAAAE7Pjps=")</f>
        <v>#REF!</v>
      </c>
      <c r="FA144" t="e">
        <f>AND('GA55 Entry'!#REF!,"AAAAAE7Pjpw=")</f>
        <v>#REF!</v>
      </c>
      <c r="FB144" t="e">
        <f>AND('GA55 Entry'!#REF!,"AAAAAE7Pjp0=")</f>
        <v>#REF!</v>
      </c>
      <c r="FC144" t="e">
        <f>AND('GA55 Entry'!#REF!,"AAAAAE7Pjp4=")</f>
        <v>#REF!</v>
      </c>
      <c r="FD144" t="e">
        <f>AND('GA55 Entry'!#REF!,"AAAAAE7Pjp8=")</f>
        <v>#REF!</v>
      </c>
      <c r="FE144" t="e">
        <f>AND('GA55 Entry'!D492,"AAAAAE7PjqA=")</f>
        <v>#VALUE!</v>
      </c>
      <c r="FF144" t="e">
        <f>AND('GA55 Entry'!#REF!,"AAAAAE7PjqE=")</f>
        <v>#REF!</v>
      </c>
      <c r="FG144" t="e">
        <f>AND('GA55 Entry'!E492,"AAAAAE7PjqI=")</f>
        <v>#VALUE!</v>
      </c>
      <c r="FH144" t="e">
        <f>AND('GA55 Entry'!F492,"AAAAAE7PjqM=")</f>
        <v>#VALUE!</v>
      </c>
      <c r="FI144" t="e">
        <f>AND('GA55 Entry'!G492,"AAAAAE7PjqQ=")</f>
        <v>#VALUE!</v>
      </c>
      <c r="FJ144" t="e">
        <f>AND('GA55 Entry'!H492,"AAAAAE7PjqU=")</f>
        <v>#VALUE!</v>
      </c>
      <c r="FK144" t="e">
        <f>AND('GA55 Entry'!I492,"AAAAAE7PjqY=")</f>
        <v>#VALUE!</v>
      </c>
      <c r="FL144" t="e">
        <f>AND('GA55 Entry'!J492,"AAAAAE7Pjqc=")</f>
        <v>#VALUE!</v>
      </c>
      <c r="FM144" t="e">
        <f>AND('GA55 Entry'!#REF!,"AAAAAE7Pjqg=")</f>
        <v>#REF!</v>
      </c>
      <c r="FN144" t="e">
        <f>AND('GA55 Entry'!K492,"AAAAAE7Pjqk=")</f>
        <v>#VALUE!</v>
      </c>
      <c r="FO144" t="e">
        <f>AND('GA55 Entry'!L492,"AAAAAE7Pjqo=")</f>
        <v>#VALUE!</v>
      </c>
      <c r="FP144" t="e">
        <f>AND('GA55 Entry'!M492,"AAAAAE7Pjqs=")</f>
        <v>#VALUE!</v>
      </c>
      <c r="FQ144" t="e">
        <f>AND('GA55 Entry'!N492,"AAAAAE7Pjqw=")</f>
        <v>#VALUE!</v>
      </c>
      <c r="FR144" t="e">
        <f>AND('GA55 Entry'!O492,"AAAAAE7Pjq0=")</f>
        <v>#VALUE!</v>
      </c>
      <c r="FS144" t="e">
        <f>AND('GA55 Entry'!P492,"AAAAAE7Pjq4=")</f>
        <v>#VALUE!</v>
      </c>
      <c r="FT144" t="e">
        <f>AND('GA55 Entry'!Q492,"AAAAAE7Pjq8=")</f>
        <v>#VALUE!</v>
      </c>
      <c r="FU144" t="e">
        <f>AND('GA55 Entry'!S492,"AAAAAE7PjrA=")</f>
        <v>#VALUE!</v>
      </c>
      <c r="FV144" t="e">
        <f>AND('GA55 Entry'!#REF!,"AAAAAE7PjrE=")</f>
        <v>#REF!</v>
      </c>
      <c r="FW144" t="e">
        <f>AND('GA55 Entry'!T492,"AAAAAE7PjrI=")</f>
        <v>#VALUE!</v>
      </c>
      <c r="FX144" t="e">
        <f>AND('GA55 Entry'!U492,"AAAAAE7PjrM=")</f>
        <v>#VALUE!</v>
      </c>
      <c r="FY144" t="e">
        <f>AND('GA55 Entry'!V492,"AAAAAE7PjrQ=")</f>
        <v>#VALUE!</v>
      </c>
      <c r="FZ144" t="e">
        <f>AND('GA55 Entry'!#REF!,"AAAAAE7PjrU=")</f>
        <v>#REF!</v>
      </c>
      <c r="GA144" t="e">
        <f>AND('GA55 Entry'!#REF!,"AAAAAE7PjrY=")</f>
        <v>#REF!</v>
      </c>
      <c r="GB144" t="e">
        <f>AND('GA55 Entry'!X492,"AAAAAE7Pjrc=")</f>
        <v>#VALUE!</v>
      </c>
      <c r="GC144" t="e">
        <f>AND('GA55 Entry'!Y492,"AAAAAE7Pjrg=")</f>
        <v>#VALUE!</v>
      </c>
      <c r="GD144" t="e">
        <f>AND('GA55 Entry'!#REF!,"AAAAAE7Pjrk=")</f>
        <v>#REF!</v>
      </c>
      <c r="GE144" t="e">
        <f>AND('GA55 Entry'!#REF!,"AAAAAE7Pjro=")</f>
        <v>#REF!</v>
      </c>
      <c r="GF144" t="e">
        <f>AND('GA55 Entry'!#REF!,"AAAAAE7Pjrs=")</f>
        <v>#REF!</v>
      </c>
      <c r="GG144" t="e">
        <f>AND('GA55 Entry'!#REF!,"AAAAAE7Pjrw=")</f>
        <v>#REF!</v>
      </c>
      <c r="GH144" t="e">
        <f>AND('GA55 Entry'!#REF!,"AAAAAE7Pjr0=")</f>
        <v>#REF!</v>
      </c>
      <c r="GI144" t="e">
        <f>AND('GA55 Entry'!#REF!,"AAAAAE7Pjr4=")</f>
        <v>#REF!</v>
      </c>
      <c r="GJ144" t="e">
        <f>AND('GA55 Entry'!#REF!,"AAAAAE7Pjr8=")</f>
        <v>#REF!</v>
      </c>
      <c r="GK144" t="e">
        <f>AND('GA55 Entry'!#REF!,"AAAAAE7PjsA=")</f>
        <v>#REF!</v>
      </c>
      <c r="GL144" t="e">
        <f>AND('GA55 Entry'!#REF!,"AAAAAE7PjsE=")</f>
        <v>#REF!</v>
      </c>
      <c r="GM144" t="e">
        <f>AND('GA55 Entry'!Z492,"AAAAAE7PjsI=")</f>
        <v>#VALUE!</v>
      </c>
      <c r="GN144" t="e">
        <f>AND('GA55 Entry'!AA492,"AAAAAE7PjsM=")</f>
        <v>#VALUE!</v>
      </c>
      <c r="GO144" t="e">
        <f>AND('GA55 Entry'!#REF!,"AAAAAE7PjsQ=")</f>
        <v>#REF!</v>
      </c>
      <c r="GP144" t="e">
        <f>AND('GA55 Entry'!#REF!,"AAAAAE7PjsU=")</f>
        <v>#REF!</v>
      </c>
      <c r="GQ144" t="e">
        <f>AND('GA55 Entry'!#REF!,"AAAAAE7PjsY=")</f>
        <v>#REF!</v>
      </c>
      <c r="GR144" t="e">
        <f>AND('GA55 Entry'!AB492,"AAAAAE7Pjsc=")</f>
        <v>#VALUE!</v>
      </c>
      <c r="GS144" t="e">
        <f>AND('GA55 Entry'!AC492,"AAAAAE7Pjsg=")</f>
        <v>#VALUE!</v>
      </c>
      <c r="GT144" t="e">
        <f>AND('GA55 Entry'!#REF!,"AAAAAE7Pjsk=")</f>
        <v>#REF!</v>
      </c>
      <c r="GU144">
        <f>IF('GA55 Entry'!493:493,"AAAAAE7Pjso=",0)</f>
        <v>0</v>
      </c>
      <c r="GV144" t="e">
        <f>AND('GA55 Entry'!B493,"AAAAAE7Pjss=")</f>
        <v>#VALUE!</v>
      </c>
      <c r="GW144" t="e">
        <f>AND('GA55 Entry'!#REF!,"AAAAAE7Pjsw=")</f>
        <v>#REF!</v>
      </c>
      <c r="GX144" t="e">
        <f>AND('GA55 Entry'!C493,"AAAAAE7Pjs0=")</f>
        <v>#VALUE!</v>
      </c>
      <c r="GY144" t="e">
        <f>AND('GA55 Entry'!#REF!,"AAAAAE7Pjs4=")</f>
        <v>#REF!</v>
      </c>
      <c r="GZ144" t="e">
        <f>AND('GA55 Entry'!#REF!,"AAAAAE7Pjs8=")</f>
        <v>#REF!</v>
      </c>
      <c r="HA144" t="e">
        <f>AND('GA55 Entry'!#REF!,"AAAAAE7PjtA=")</f>
        <v>#REF!</v>
      </c>
      <c r="HB144" t="e">
        <f>AND('GA55 Entry'!#REF!,"AAAAAE7PjtE=")</f>
        <v>#REF!</v>
      </c>
      <c r="HC144" t="e">
        <f>AND('GA55 Entry'!#REF!,"AAAAAE7PjtI=")</f>
        <v>#REF!</v>
      </c>
      <c r="HD144" t="e">
        <f>AND('GA55 Entry'!D493,"AAAAAE7PjtM=")</f>
        <v>#VALUE!</v>
      </c>
      <c r="HE144" t="e">
        <f>AND('GA55 Entry'!#REF!,"AAAAAE7PjtQ=")</f>
        <v>#REF!</v>
      </c>
      <c r="HF144" t="e">
        <f>AND('GA55 Entry'!E493,"AAAAAE7PjtU=")</f>
        <v>#VALUE!</v>
      </c>
      <c r="HG144" t="e">
        <f>AND('GA55 Entry'!F493,"AAAAAE7PjtY=")</f>
        <v>#VALUE!</v>
      </c>
      <c r="HH144" t="e">
        <f>AND('GA55 Entry'!G493,"AAAAAE7Pjtc=")</f>
        <v>#VALUE!</v>
      </c>
      <c r="HI144" t="e">
        <f>AND('GA55 Entry'!H493,"AAAAAE7Pjtg=")</f>
        <v>#VALUE!</v>
      </c>
      <c r="HJ144" t="e">
        <f>AND('GA55 Entry'!I493,"AAAAAE7Pjtk=")</f>
        <v>#VALUE!</v>
      </c>
      <c r="HK144" t="e">
        <f>AND('GA55 Entry'!J493,"AAAAAE7Pjto=")</f>
        <v>#VALUE!</v>
      </c>
      <c r="HL144" t="e">
        <f>AND('GA55 Entry'!#REF!,"AAAAAE7Pjts=")</f>
        <v>#REF!</v>
      </c>
      <c r="HM144" t="e">
        <f>AND('GA55 Entry'!K493,"AAAAAE7Pjtw=")</f>
        <v>#VALUE!</v>
      </c>
      <c r="HN144" t="e">
        <f>AND('GA55 Entry'!L493,"AAAAAE7Pjt0=")</f>
        <v>#VALUE!</v>
      </c>
      <c r="HO144" t="e">
        <f>AND('GA55 Entry'!M493,"AAAAAE7Pjt4=")</f>
        <v>#VALUE!</v>
      </c>
      <c r="HP144" t="e">
        <f>AND('GA55 Entry'!N493,"AAAAAE7Pjt8=")</f>
        <v>#VALUE!</v>
      </c>
      <c r="HQ144" t="e">
        <f>AND('GA55 Entry'!O493,"AAAAAE7PjuA=")</f>
        <v>#VALUE!</v>
      </c>
      <c r="HR144" t="e">
        <f>AND('GA55 Entry'!P493,"AAAAAE7PjuE=")</f>
        <v>#VALUE!</v>
      </c>
      <c r="HS144" t="e">
        <f>AND('GA55 Entry'!Q493,"AAAAAE7PjuI=")</f>
        <v>#VALUE!</v>
      </c>
      <c r="HT144" t="e">
        <f>AND('GA55 Entry'!S493,"AAAAAE7PjuM=")</f>
        <v>#VALUE!</v>
      </c>
      <c r="HU144" t="e">
        <f>AND('GA55 Entry'!#REF!,"AAAAAE7PjuQ=")</f>
        <v>#REF!</v>
      </c>
      <c r="HV144" t="e">
        <f>AND('GA55 Entry'!T493,"AAAAAE7PjuU=")</f>
        <v>#VALUE!</v>
      </c>
      <c r="HW144" t="e">
        <f>AND('GA55 Entry'!U493,"AAAAAE7PjuY=")</f>
        <v>#VALUE!</v>
      </c>
      <c r="HX144" t="e">
        <f>AND('GA55 Entry'!V493,"AAAAAE7Pjuc=")</f>
        <v>#VALUE!</v>
      </c>
      <c r="HY144" t="e">
        <f>AND('GA55 Entry'!#REF!,"AAAAAE7Pjug=")</f>
        <v>#REF!</v>
      </c>
      <c r="HZ144" t="e">
        <f>AND('GA55 Entry'!#REF!,"AAAAAE7Pjuk=")</f>
        <v>#REF!</v>
      </c>
      <c r="IA144" t="e">
        <f>AND('GA55 Entry'!X493,"AAAAAE7Pjuo=")</f>
        <v>#VALUE!</v>
      </c>
      <c r="IB144" t="e">
        <f>AND('GA55 Entry'!Y493,"AAAAAE7Pjus=")</f>
        <v>#VALUE!</v>
      </c>
      <c r="IC144" t="e">
        <f>AND('GA55 Entry'!#REF!,"AAAAAE7Pjuw=")</f>
        <v>#REF!</v>
      </c>
      <c r="ID144" t="e">
        <f>AND('GA55 Entry'!#REF!,"AAAAAE7Pju0=")</f>
        <v>#REF!</v>
      </c>
      <c r="IE144" t="e">
        <f>AND('GA55 Entry'!#REF!,"AAAAAE7Pju4=")</f>
        <v>#REF!</v>
      </c>
      <c r="IF144" t="e">
        <f>AND('GA55 Entry'!#REF!,"AAAAAE7Pju8=")</f>
        <v>#REF!</v>
      </c>
      <c r="IG144" t="e">
        <f>AND('GA55 Entry'!#REF!,"AAAAAE7PjvA=")</f>
        <v>#REF!</v>
      </c>
      <c r="IH144" t="e">
        <f>AND('GA55 Entry'!#REF!,"AAAAAE7PjvE=")</f>
        <v>#REF!</v>
      </c>
      <c r="II144" t="e">
        <f>AND('GA55 Entry'!#REF!,"AAAAAE7PjvI=")</f>
        <v>#REF!</v>
      </c>
      <c r="IJ144" t="e">
        <f>AND('GA55 Entry'!#REF!,"AAAAAE7PjvM=")</f>
        <v>#REF!</v>
      </c>
      <c r="IK144" t="e">
        <f>AND('GA55 Entry'!#REF!,"AAAAAE7PjvQ=")</f>
        <v>#REF!</v>
      </c>
      <c r="IL144" t="e">
        <f>AND('GA55 Entry'!Z493,"AAAAAE7PjvU=")</f>
        <v>#VALUE!</v>
      </c>
      <c r="IM144" t="e">
        <f>AND('GA55 Entry'!AA493,"AAAAAE7PjvY=")</f>
        <v>#VALUE!</v>
      </c>
      <c r="IN144" t="e">
        <f>AND('GA55 Entry'!#REF!,"AAAAAE7Pjvc=")</f>
        <v>#REF!</v>
      </c>
      <c r="IO144" t="e">
        <f>AND('GA55 Entry'!#REF!,"AAAAAE7Pjvg=")</f>
        <v>#REF!</v>
      </c>
      <c r="IP144" t="e">
        <f>AND('GA55 Entry'!#REF!,"AAAAAE7Pjvk=")</f>
        <v>#REF!</v>
      </c>
      <c r="IQ144" t="e">
        <f>AND('GA55 Entry'!AB493,"AAAAAE7Pjvo=")</f>
        <v>#VALUE!</v>
      </c>
      <c r="IR144" t="e">
        <f>AND('GA55 Entry'!AC493,"AAAAAE7Pjvs=")</f>
        <v>#VALUE!</v>
      </c>
      <c r="IS144" t="e">
        <f>AND('GA55 Entry'!#REF!,"AAAAAE7Pjvw=")</f>
        <v>#REF!</v>
      </c>
      <c r="IT144">
        <f>IF('GA55 Entry'!494:494,"AAAAAE7Pjv0=",0)</f>
        <v>0</v>
      </c>
      <c r="IU144" t="e">
        <f>AND('GA55 Entry'!B494,"AAAAAE7Pjv4=")</f>
        <v>#VALUE!</v>
      </c>
      <c r="IV144" t="e">
        <f>AND('GA55 Entry'!#REF!,"AAAAAE7Pjv8=")</f>
        <v>#REF!</v>
      </c>
    </row>
    <row r="145" spans="1:256">
      <c r="A145" t="e">
        <f>AND('GA55 Entry'!C494,"AAAAAH/efQA=")</f>
        <v>#VALUE!</v>
      </c>
      <c r="B145" t="e">
        <f>AND('GA55 Entry'!#REF!,"AAAAAH/efQE=")</f>
        <v>#REF!</v>
      </c>
      <c r="C145" t="e">
        <f>AND('GA55 Entry'!#REF!,"AAAAAH/efQI=")</f>
        <v>#REF!</v>
      </c>
      <c r="D145" t="e">
        <f>AND('GA55 Entry'!#REF!,"AAAAAH/efQM=")</f>
        <v>#REF!</v>
      </c>
      <c r="E145" t="e">
        <f>AND('GA55 Entry'!#REF!,"AAAAAH/efQQ=")</f>
        <v>#REF!</v>
      </c>
      <c r="F145" t="e">
        <f>AND('GA55 Entry'!#REF!,"AAAAAH/efQU=")</f>
        <v>#REF!</v>
      </c>
      <c r="G145" t="e">
        <f>AND('GA55 Entry'!D494,"AAAAAH/efQY=")</f>
        <v>#VALUE!</v>
      </c>
      <c r="H145" t="e">
        <f>AND('GA55 Entry'!#REF!,"AAAAAH/efQc=")</f>
        <v>#REF!</v>
      </c>
      <c r="I145" t="e">
        <f>AND('GA55 Entry'!E494,"AAAAAH/efQg=")</f>
        <v>#VALUE!</v>
      </c>
      <c r="J145" t="e">
        <f>AND('GA55 Entry'!F494,"AAAAAH/efQk=")</f>
        <v>#VALUE!</v>
      </c>
      <c r="K145" t="e">
        <f>AND('GA55 Entry'!G494,"AAAAAH/efQo=")</f>
        <v>#VALUE!</v>
      </c>
      <c r="L145" t="e">
        <f>AND('GA55 Entry'!H494,"AAAAAH/efQs=")</f>
        <v>#VALUE!</v>
      </c>
      <c r="M145" t="e">
        <f>AND('GA55 Entry'!I494,"AAAAAH/efQw=")</f>
        <v>#VALUE!</v>
      </c>
      <c r="N145" t="e">
        <f>AND('GA55 Entry'!J494,"AAAAAH/efQ0=")</f>
        <v>#VALUE!</v>
      </c>
      <c r="O145" t="e">
        <f>AND('GA55 Entry'!#REF!,"AAAAAH/efQ4=")</f>
        <v>#REF!</v>
      </c>
      <c r="P145" t="e">
        <f>AND('GA55 Entry'!K494,"AAAAAH/efQ8=")</f>
        <v>#VALUE!</v>
      </c>
      <c r="Q145" t="e">
        <f>AND('GA55 Entry'!L494,"AAAAAH/efRA=")</f>
        <v>#VALUE!</v>
      </c>
      <c r="R145" t="e">
        <f>AND('GA55 Entry'!M494,"AAAAAH/efRE=")</f>
        <v>#VALUE!</v>
      </c>
      <c r="S145" t="e">
        <f>AND('GA55 Entry'!N494,"AAAAAH/efRI=")</f>
        <v>#VALUE!</v>
      </c>
      <c r="T145" t="e">
        <f>AND('GA55 Entry'!O494,"AAAAAH/efRM=")</f>
        <v>#VALUE!</v>
      </c>
      <c r="U145" t="e">
        <f>AND('GA55 Entry'!P494,"AAAAAH/efRQ=")</f>
        <v>#VALUE!</v>
      </c>
      <c r="V145" t="e">
        <f>AND('GA55 Entry'!Q494,"AAAAAH/efRU=")</f>
        <v>#VALUE!</v>
      </c>
      <c r="W145" t="e">
        <f>AND('GA55 Entry'!S494,"AAAAAH/efRY=")</f>
        <v>#VALUE!</v>
      </c>
      <c r="X145" t="e">
        <f>AND('GA55 Entry'!#REF!,"AAAAAH/efRc=")</f>
        <v>#REF!</v>
      </c>
      <c r="Y145" t="e">
        <f>AND('GA55 Entry'!T494,"AAAAAH/efRg=")</f>
        <v>#VALUE!</v>
      </c>
      <c r="Z145" t="e">
        <f>AND('GA55 Entry'!U494,"AAAAAH/efRk=")</f>
        <v>#VALUE!</v>
      </c>
      <c r="AA145" t="e">
        <f>AND('GA55 Entry'!V494,"AAAAAH/efRo=")</f>
        <v>#VALUE!</v>
      </c>
      <c r="AB145" t="e">
        <f>AND('GA55 Entry'!#REF!,"AAAAAH/efRs=")</f>
        <v>#REF!</v>
      </c>
      <c r="AC145" t="e">
        <f>AND('GA55 Entry'!#REF!,"AAAAAH/efRw=")</f>
        <v>#REF!</v>
      </c>
      <c r="AD145" t="e">
        <f>AND('GA55 Entry'!X494,"AAAAAH/efR0=")</f>
        <v>#VALUE!</v>
      </c>
      <c r="AE145" t="e">
        <f>AND('GA55 Entry'!Y494,"AAAAAH/efR4=")</f>
        <v>#VALUE!</v>
      </c>
      <c r="AF145" t="e">
        <f>AND('GA55 Entry'!#REF!,"AAAAAH/efR8=")</f>
        <v>#REF!</v>
      </c>
      <c r="AG145" t="e">
        <f>AND('GA55 Entry'!#REF!,"AAAAAH/efSA=")</f>
        <v>#REF!</v>
      </c>
      <c r="AH145" t="e">
        <f>AND('GA55 Entry'!#REF!,"AAAAAH/efSE=")</f>
        <v>#REF!</v>
      </c>
      <c r="AI145" t="e">
        <f>AND('GA55 Entry'!#REF!,"AAAAAH/efSI=")</f>
        <v>#REF!</v>
      </c>
      <c r="AJ145" t="e">
        <f>AND('GA55 Entry'!#REF!,"AAAAAH/efSM=")</f>
        <v>#REF!</v>
      </c>
      <c r="AK145" t="e">
        <f>AND('GA55 Entry'!#REF!,"AAAAAH/efSQ=")</f>
        <v>#REF!</v>
      </c>
      <c r="AL145" t="e">
        <f>AND('GA55 Entry'!#REF!,"AAAAAH/efSU=")</f>
        <v>#REF!</v>
      </c>
      <c r="AM145" t="e">
        <f>AND('GA55 Entry'!#REF!,"AAAAAH/efSY=")</f>
        <v>#REF!</v>
      </c>
      <c r="AN145" t="e">
        <f>AND('GA55 Entry'!#REF!,"AAAAAH/efSc=")</f>
        <v>#REF!</v>
      </c>
      <c r="AO145" t="e">
        <f>AND('GA55 Entry'!Z494,"AAAAAH/efSg=")</f>
        <v>#VALUE!</v>
      </c>
      <c r="AP145" t="e">
        <f>AND('GA55 Entry'!AA494,"AAAAAH/efSk=")</f>
        <v>#VALUE!</v>
      </c>
      <c r="AQ145" t="e">
        <f>AND('GA55 Entry'!#REF!,"AAAAAH/efSo=")</f>
        <v>#REF!</v>
      </c>
      <c r="AR145" t="e">
        <f>AND('GA55 Entry'!#REF!,"AAAAAH/efSs=")</f>
        <v>#REF!</v>
      </c>
      <c r="AS145" t="e">
        <f>AND('GA55 Entry'!#REF!,"AAAAAH/efSw=")</f>
        <v>#REF!</v>
      </c>
      <c r="AT145" t="e">
        <f>AND('GA55 Entry'!AB494,"AAAAAH/efS0=")</f>
        <v>#VALUE!</v>
      </c>
      <c r="AU145" t="e">
        <f>AND('GA55 Entry'!AC494,"AAAAAH/efS4=")</f>
        <v>#VALUE!</v>
      </c>
      <c r="AV145" t="e">
        <f>AND('GA55 Entry'!#REF!,"AAAAAH/efS8=")</f>
        <v>#REF!</v>
      </c>
      <c r="AW145">
        <f>IF('GA55 Entry'!495:495,"AAAAAH/efTA=",0)</f>
        <v>0</v>
      </c>
      <c r="AX145" t="e">
        <f>AND('GA55 Entry'!B495,"AAAAAH/efTE=")</f>
        <v>#VALUE!</v>
      </c>
      <c r="AY145" t="e">
        <f>AND('GA55 Entry'!#REF!,"AAAAAH/efTI=")</f>
        <v>#REF!</v>
      </c>
      <c r="AZ145" t="e">
        <f>AND('GA55 Entry'!C495,"AAAAAH/efTM=")</f>
        <v>#VALUE!</v>
      </c>
      <c r="BA145" t="e">
        <f>AND('GA55 Entry'!#REF!,"AAAAAH/efTQ=")</f>
        <v>#REF!</v>
      </c>
      <c r="BB145" t="e">
        <f>AND('GA55 Entry'!#REF!,"AAAAAH/efTU=")</f>
        <v>#REF!</v>
      </c>
      <c r="BC145" t="e">
        <f>AND('GA55 Entry'!#REF!,"AAAAAH/efTY=")</f>
        <v>#REF!</v>
      </c>
      <c r="BD145" t="e">
        <f>AND('GA55 Entry'!#REF!,"AAAAAH/efTc=")</f>
        <v>#REF!</v>
      </c>
      <c r="BE145" t="e">
        <f>AND('GA55 Entry'!#REF!,"AAAAAH/efTg=")</f>
        <v>#REF!</v>
      </c>
      <c r="BF145" t="e">
        <f>AND('GA55 Entry'!D495,"AAAAAH/efTk=")</f>
        <v>#VALUE!</v>
      </c>
      <c r="BG145" t="e">
        <f>AND('GA55 Entry'!#REF!,"AAAAAH/efTo=")</f>
        <v>#REF!</v>
      </c>
      <c r="BH145" t="e">
        <f>AND('GA55 Entry'!E495,"AAAAAH/efTs=")</f>
        <v>#VALUE!</v>
      </c>
      <c r="BI145" t="e">
        <f>AND('GA55 Entry'!F495,"AAAAAH/efTw=")</f>
        <v>#VALUE!</v>
      </c>
      <c r="BJ145" t="e">
        <f>AND('GA55 Entry'!G495,"AAAAAH/efT0=")</f>
        <v>#VALUE!</v>
      </c>
      <c r="BK145" t="e">
        <f>AND('GA55 Entry'!H495,"AAAAAH/efT4=")</f>
        <v>#VALUE!</v>
      </c>
      <c r="BL145" t="e">
        <f>AND('GA55 Entry'!I495,"AAAAAH/efT8=")</f>
        <v>#VALUE!</v>
      </c>
      <c r="BM145" t="e">
        <f>AND('GA55 Entry'!J495,"AAAAAH/efUA=")</f>
        <v>#VALUE!</v>
      </c>
      <c r="BN145" t="e">
        <f>AND('GA55 Entry'!#REF!,"AAAAAH/efUE=")</f>
        <v>#REF!</v>
      </c>
      <c r="BO145" t="e">
        <f>AND('GA55 Entry'!K495,"AAAAAH/efUI=")</f>
        <v>#VALUE!</v>
      </c>
      <c r="BP145" t="e">
        <f>AND('GA55 Entry'!L495,"AAAAAH/efUM=")</f>
        <v>#VALUE!</v>
      </c>
      <c r="BQ145" t="e">
        <f>AND('GA55 Entry'!M495,"AAAAAH/efUQ=")</f>
        <v>#VALUE!</v>
      </c>
      <c r="BR145" t="e">
        <f>AND('GA55 Entry'!N495,"AAAAAH/efUU=")</f>
        <v>#VALUE!</v>
      </c>
      <c r="BS145" t="e">
        <f>AND('GA55 Entry'!O495,"AAAAAH/efUY=")</f>
        <v>#VALUE!</v>
      </c>
      <c r="BT145" t="e">
        <f>AND('GA55 Entry'!P495,"AAAAAH/efUc=")</f>
        <v>#VALUE!</v>
      </c>
      <c r="BU145" t="e">
        <f>AND('GA55 Entry'!Q495,"AAAAAH/efUg=")</f>
        <v>#VALUE!</v>
      </c>
      <c r="BV145" t="e">
        <f>AND('GA55 Entry'!S495,"AAAAAH/efUk=")</f>
        <v>#VALUE!</v>
      </c>
      <c r="BW145" t="e">
        <f>AND('GA55 Entry'!#REF!,"AAAAAH/efUo=")</f>
        <v>#REF!</v>
      </c>
      <c r="BX145" t="e">
        <f>AND('GA55 Entry'!T495,"AAAAAH/efUs=")</f>
        <v>#VALUE!</v>
      </c>
      <c r="BY145" t="e">
        <f>AND('GA55 Entry'!U495,"AAAAAH/efUw=")</f>
        <v>#VALUE!</v>
      </c>
      <c r="BZ145" t="e">
        <f>AND('GA55 Entry'!V495,"AAAAAH/efU0=")</f>
        <v>#VALUE!</v>
      </c>
      <c r="CA145" t="e">
        <f>AND('GA55 Entry'!#REF!,"AAAAAH/efU4=")</f>
        <v>#REF!</v>
      </c>
      <c r="CB145" t="e">
        <f>AND('GA55 Entry'!#REF!,"AAAAAH/efU8=")</f>
        <v>#REF!</v>
      </c>
      <c r="CC145" t="e">
        <f>AND('GA55 Entry'!X495,"AAAAAH/efVA=")</f>
        <v>#VALUE!</v>
      </c>
      <c r="CD145" t="e">
        <f>AND('GA55 Entry'!Y495,"AAAAAH/efVE=")</f>
        <v>#VALUE!</v>
      </c>
      <c r="CE145" t="e">
        <f>AND('GA55 Entry'!#REF!,"AAAAAH/efVI=")</f>
        <v>#REF!</v>
      </c>
      <c r="CF145" t="e">
        <f>AND('GA55 Entry'!#REF!,"AAAAAH/efVM=")</f>
        <v>#REF!</v>
      </c>
      <c r="CG145" t="e">
        <f>AND('GA55 Entry'!#REF!,"AAAAAH/efVQ=")</f>
        <v>#REF!</v>
      </c>
      <c r="CH145" t="e">
        <f>AND('GA55 Entry'!#REF!,"AAAAAH/efVU=")</f>
        <v>#REF!</v>
      </c>
      <c r="CI145" t="e">
        <f>AND('GA55 Entry'!#REF!,"AAAAAH/efVY=")</f>
        <v>#REF!</v>
      </c>
      <c r="CJ145" t="e">
        <f>AND('GA55 Entry'!#REF!,"AAAAAH/efVc=")</f>
        <v>#REF!</v>
      </c>
      <c r="CK145" t="e">
        <f>AND('GA55 Entry'!#REF!,"AAAAAH/efVg=")</f>
        <v>#REF!</v>
      </c>
      <c r="CL145" t="e">
        <f>AND('GA55 Entry'!#REF!,"AAAAAH/efVk=")</f>
        <v>#REF!</v>
      </c>
      <c r="CM145" t="e">
        <f>AND('GA55 Entry'!#REF!,"AAAAAH/efVo=")</f>
        <v>#REF!</v>
      </c>
      <c r="CN145" t="e">
        <f>AND('GA55 Entry'!Z495,"AAAAAH/efVs=")</f>
        <v>#VALUE!</v>
      </c>
      <c r="CO145" t="e">
        <f>AND('GA55 Entry'!AA495,"AAAAAH/efVw=")</f>
        <v>#VALUE!</v>
      </c>
      <c r="CP145" t="e">
        <f>AND('GA55 Entry'!#REF!,"AAAAAH/efV0=")</f>
        <v>#REF!</v>
      </c>
      <c r="CQ145" t="e">
        <f>AND('GA55 Entry'!#REF!,"AAAAAH/efV4=")</f>
        <v>#REF!</v>
      </c>
      <c r="CR145" t="e">
        <f>AND('GA55 Entry'!#REF!,"AAAAAH/efV8=")</f>
        <v>#REF!</v>
      </c>
      <c r="CS145" t="e">
        <f>AND('GA55 Entry'!AB495,"AAAAAH/efWA=")</f>
        <v>#VALUE!</v>
      </c>
      <c r="CT145" t="e">
        <f>AND('GA55 Entry'!AC495,"AAAAAH/efWE=")</f>
        <v>#VALUE!</v>
      </c>
      <c r="CU145" t="e">
        <f>AND('GA55 Entry'!#REF!,"AAAAAH/efWI=")</f>
        <v>#REF!</v>
      </c>
      <c r="CV145">
        <f>IF('GA55 Entry'!496:496,"AAAAAH/efWM=",0)</f>
        <v>0</v>
      </c>
      <c r="CW145" t="e">
        <f>AND('GA55 Entry'!B496,"AAAAAH/efWQ=")</f>
        <v>#VALUE!</v>
      </c>
      <c r="CX145" t="e">
        <f>AND('GA55 Entry'!#REF!,"AAAAAH/efWU=")</f>
        <v>#REF!</v>
      </c>
      <c r="CY145" t="e">
        <f>AND('GA55 Entry'!C496,"AAAAAH/efWY=")</f>
        <v>#VALUE!</v>
      </c>
      <c r="CZ145" t="e">
        <f>AND('GA55 Entry'!#REF!,"AAAAAH/efWc=")</f>
        <v>#REF!</v>
      </c>
      <c r="DA145" t="e">
        <f>AND('GA55 Entry'!#REF!,"AAAAAH/efWg=")</f>
        <v>#REF!</v>
      </c>
      <c r="DB145" t="e">
        <f>AND('GA55 Entry'!#REF!,"AAAAAH/efWk=")</f>
        <v>#REF!</v>
      </c>
      <c r="DC145" t="e">
        <f>AND('GA55 Entry'!#REF!,"AAAAAH/efWo=")</f>
        <v>#REF!</v>
      </c>
      <c r="DD145" t="e">
        <f>AND('GA55 Entry'!#REF!,"AAAAAH/efWs=")</f>
        <v>#REF!</v>
      </c>
      <c r="DE145" t="e">
        <f>AND('GA55 Entry'!D496,"AAAAAH/efWw=")</f>
        <v>#VALUE!</v>
      </c>
      <c r="DF145" t="e">
        <f>AND('GA55 Entry'!#REF!,"AAAAAH/efW0=")</f>
        <v>#REF!</v>
      </c>
      <c r="DG145" t="e">
        <f>AND('GA55 Entry'!E496,"AAAAAH/efW4=")</f>
        <v>#VALUE!</v>
      </c>
      <c r="DH145" t="e">
        <f>AND('GA55 Entry'!F496,"AAAAAH/efW8=")</f>
        <v>#VALUE!</v>
      </c>
      <c r="DI145" t="e">
        <f>AND('GA55 Entry'!G496,"AAAAAH/efXA=")</f>
        <v>#VALUE!</v>
      </c>
      <c r="DJ145" t="e">
        <f>AND('GA55 Entry'!H496,"AAAAAH/efXE=")</f>
        <v>#VALUE!</v>
      </c>
      <c r="DK145" t="e">
        <f>AND('GA55 Entry'!I496,"AAAAAH/efXI=")</f>
        <v>#VALUE!</v>
      </c>
      <c r="DL145" t="e">
        <f>AND('GA55 Entry'!J496,"AAAAAH/efXM=")</f>
        <v>#VALUE!</v>
      </c>
      <c r="DM145" t="e">
        <f>AND('GA55 Entry'!#REF!,"AAAAAH/efXQ=")</f>
        <v>#REF!</v>
      </c>
      <c r="DN145" t="e">
        <f>AND('GA55 Entry'!K496,"AAAAAH/efXU=")</f>
        <v>#VALUE!</v>
      </c>
      <c r="DO145" t="e">
        <f>AND('GA55 Entry'!L496,"AAAAAH/efXY=")</f>
        <v>#VALUE!</v>
      </c>
      <c r="DP145" t="e">
        <f>AND('GA55 Entry'!M496,"AAAAAH/efXc=")</f>
        <v>#VALUE!</v>
      </c>
      <c r="DQ145" t="e">
        <f>AND('GA55 Entry'!N496,"AAAAAH/efXg=")</f>
        <v>#VALUE!</v>
      </c>
      <c r="DR145" t="e">
        <f>AND('GA55 Entry'!O496,"AAAAAH/efXk=")</f>
        <v>#VALUE!</v>
      </c>
      <c r="DS145" t="e">
        <f>AND('GA55 Entry'!P496,"AAAAAH/efXo=")</f>
        <v>#VALUE!</v>
      </c>
      <c r="DT145" t="e">
        <f>AND('GA55 Entry'!Q496,"AAAAAH/efXs=")</f>
        <v>#VALUE!</v>
      </c>
      <c r="DU145" t="e">
        <f>AND('GA55 Entry'!S496,"AAAAAH/efXw=")</f>
        <v>#VALUE!</v>
      </c>
      <c r="DV145" t="e">
        <f>AND('GA55 Entry'!#REF!,"AAAAAH/efX0=")</f>
        <v>#REF!</v>
      </c>
      <c r="DW145" t="e">
        <f>AND('GA55 Entry'!T496,"AAAAAH/efX4=")</f>
        <v>#VALUE!</v>
      </c>
      <c r="DX145" t="e">
        <f>AND('GA55 Entry'!U496,"AAAAAH/efX8=")</f>
        <v>#VALUE!</v>
      </c>
      <c r="DY145" t="e">
        <f>AND('GA55 Entry'!V496,"AAAAAH/efYA=")</f>
        <v>#VALUE!</v>
      </c>
      <c r="DZ145" t="e">
        <f>AND('GA55 Entry'!#REF!,"AAAAAH/efYE=")</f>
        <v>#REF!</v>
      </c>
      <c r="EA145" t="e">
        <f>AND('GA55 Entry'!#REF!,"AAAAAH/efYI=")</f>
        <v>#REF!</v>
      </c>
      <c r="EB145" t="e">
        <f>AND('GA55 Entry'!X496,"AAAAAH/efYM=")</f>
        <v>#VALUE!</v>
      </c>
      <c r="EC145" t="e">
        <f>AND('GA55 Entry'!Y496,"AAAAAH/efYQ=")</f>
        <v>#VALUE!</v>
      </c>
      <c r="ED145" t="e">
        <f>AND('GA55 Entry'!#REF!,"AAAAAH/efYU=")</f>
        <v>#REF!</v>
      </c>
      <c r="EE145" t="e">
        <f>AND('GA55 Entry'!#REF!,"AAAAAH/efYY=")</f>
        <v>#REF!</v>
      </c>
      <c r="EF145" t="e">
        <f>AND('GA55 Entry'!#REF!,"AAAAAH/efYc=")</f>
        <v>#REF!</v>
      </c>
      <c r="EG145" t="e">
        <f>AND('GA55 Entry'!#REF!,"AAAAAH/efYg=")</f>
        <v>#REF!</v>
      </c>
      <c r="EH145" t="e">
        <f>AND('GA55 Entry'!#REF!,"AAAAAH/efYk=")</f>
        <v>#REF!</v>
      </c>
      <c r="EI145" t="e">
        <f>AND('GA55 Entry'!#REF!,"AAAAAH/efYo=")</f>
        <v>#REF!</v>
      </c>
      <c r="EJ145" t="e">
        <f>AND('GA55 Entry'!#REF!,"AAAAAH/efYs=")</f>
        <v>#REF!</v>
      </c>
      <c r="EK145" t="e">
        <f>AND('GA55 Entry'!#REF!,"AAAAAH/efYw=")</f>
        <v>#REF!</v>
      </c>
      <c r="EL145" t="e">
        <f>AND('GA55 Entry'!#REF!,"AAAAAH/efY0=")</f>
        <v>#REF!</v>
      </c>
      <c r="EM145" t="e">
        <f>AND('GA55 Entry'!Z496,"AAAAAH/efY4=")</f>
        <v>#VALUE!</v>
      </c>
      <c r="EN145" t="e">
        <f>AND('GA55 Entry'!AA496,"AAAAAH/efY8=")</f>
        <v>#VALUE!</v>
      </c>
      <c r="EO145" t="e">
        <f>AND('GA55 Entry'!#REF!,"AAAAAH/efZA=")</f>
        <v>#REF!</v>
      </c>
      <c r="EP145" t="e">
        <f>AND('GA55 Entry'!#REF!,"AAAAAH/efZE=")</f>
        <v>#REF!</v>
      </c>
      <c r="EQ145" t="e">
        <f>AND('GA55 Entry'!#REF!,"AAAAAH/efZI=")</f>
        <v>#REF!</v>
      </c>
      <c r="ER145" t="e">
        <f>AND('GA55 Entry'!AB496,"AAAAAH/efZM=")</f>
        <v>#VALUE!</v>
      </c>
      <c r="ES145" t="e">
        <f>AND('GA55 Entry'!AC496,"AAAAAH/efZQ=")</f>
        <v>#VALUE!</v>
      </c>
      <c r="ET145" t="e">
        <f>AND('GA55 Entry'!#REF!,"AAAAAH/efZU=")</f>
        <v>#REF!</v>
      </c>
      <c r="EU145">
        <f>IF('GA55 Entry'!497:497,"AAAAAH/efZY=",0)</f>
        <v>0</v>
      </c>
      <c r="EV145" t="e">
        <f>AND('GA55 Entry'!B497,"AAAAAH/efZc=")</f>
        <v>#VALUE!</v>
      </c>
      <c r="EW145" t="e">
        <f>AND('GA55 Entry'!#REF!,"AAAAAH/efZg=")</f>
        <v>#REF!</v>
      </c>
      <c r="EX145" t="e">
        <f>AND('GA55 Entry'!C497,"AAAAAH/efZk=")</f>
        <v>#VALUE!</v>
      </c>
      <c r="EY145" t="e">
        <f>AND('GA55 Entry'!#REF!,"AAAAAH/efZo=")</f>
        <v>#REF!</v>
      </c>
      <c r="EZ145" t="e">
        <f>AND('GA55 Entry'!#REF!,"AAAAAH/efZs=")</f>
        <v>#REF!</v>
      </c>
      <c r="FA145" t="e">
        <f>AND('GA55 Entry'!#REF!,"AAAAAH/efZw=")</f>
        <v>#REF!</v>
      </c>
      <c r="FB145" t="e">
        <f>AND('GA55 Entry'!#REF!,"AAAAAH/efZ0=")</f>
        <v>#REF!</v>
      </c>
      <c r="FC145" t="e">
        <f>AND('GA55 Entry'!#REF!,"AAAAAH/efZ4=")</f>
        <v>#REF!</v>
      </c>
      <c r="FD145" t="e">
        <f>AND('GA55 Entry'!D497,"AAAAAH/efZ8=")</f>
        <v>#VALUE!</v>
      </c>
      <c r="FE145" t="e">
        <f>AND('GA55 Entry'!#REF!,"AAAAAH/efaA=")</f>
        <v>#REF!</v>
      </c>
      <c r="FF145" t="e">
        <f>AND('GA55 Entry'!E497,"AAAAAH/efaE=")</f>
        <v>#VALUE!</v>
      </c>
      <c r="FG145" t="e">
        <f>AND('GA55 Entry'!F497,"AAAAAH/efaI=")</f>
        <v>#VALUE!</v>
      </c>
      <c r="FH145" t="e">
        <f>AND('GA55 Entry'!G497,"AAAAAH/efaM=")</f>
        <v>#VALUE!</v>
      </c>
      <c r="FI145" t="e">
        <f>AND('GA55 Entry'!H497,"AAAAAH/efaQ=")</f>
        <v>#VALUE!</v>
      </c>
      <c r="FJ145" t="e">
        <f>AND('GA55 Entry'!I497,"AAAAAH/efaU=")</f>
        <v>#VALUE!</v>
      </c>
      <c r="FK145" t="e">
        <f>AND('GA55 Entry'!J497,"AAAAAH/efaY=")</f>
        <v>#VALUE!</v>
      </c>
      <c r="FL145" t="e">
        <f>AND('GA55 Entry'!#REF!,"AAAAAH/efac=")</f>
        <v>#REF!</v>
      </c>
      <c r="FM145" t="e">
        <f>AND('GA55 Entry'!K497,"AAAAAH/efag=")</f>
        <v>#VALUE!</v>
      </c>
      <c r="FN145" t="e">
        <f>AND('GA55 Entry'!L497,"AAAAAH/efak=")</f>
        <v>#VALUE!</v>
      </c>
      <c r="FO145" t="e">
        <f>AND('GA55 Entry'!M497,"AAAAAH/efao=")</f>
        <v>#VALUE!</v>
      </c>
      <c r="FP145" t="e">
        <f>AND('GA55 Entry'!N497,"AAAAAH/efas=")</f>
        <v>#VALUE!</v>
      </c>
      <c r="FQ145" t="e">
        <f>AND('GA55 Entry'!O497,"AAAAAH/efaw=")</f>
        <v>#VALUE!</v>
      </c>
      <c r="FR145" t="e">
        <f>AND('GA55 Entry'!P497,"AAAAAH/efa0=")</f>
        <v>#VALUE!</v>
      </c>
      <c r="FS145" t="e">
        <f>AND('GA55 Entry'!Q497,"AAAAAH/efa4=")</f>
        <v>#VALUE!</v>
      </c>
      <c r="FT145" t="e">
        <f>AND('GA55 Entry'!S497,"AAAAAH/efa8=")</f>
        <v>#VALUE!</v>
      </c>
      <c r="FU145" t="e">
        <f>AND('GA55 Entry'!#REF!,"AAAAAH/efbA=")</f>
        <v>#REF!</v>
      </c>
      <c r="FV145" t="e">
        <f>AND('GA55 Entry'!T497,"AAAAAH/efbE=")</f>
        <v>#VALUE!</v>
      </c>
      <c r="FW145" t="e">
        <f>AND('GA55 Entry'!U497,"AAAAAH/efbI=")</f>
        <v>#VALUE!</v>
      </c>
      <c r="FX145" t="e">
        <f>AND('GA55 Entry'!V497,"AAAAAH/efbM=")</f>
        <v>#VALUE!</v>
      </c>
      <c r="FY145" t="e">
        <f>AND('GA55 Entry'!#REF!,"AAAAAH/efbQ=")</f>
        <v>#REF!</v>
      </c>
      <c r="FZ145" t="e">
        <f>AND('GA55 Entry'!#REF!,"AAAAAH/efbU=")</f>
        <v>#REF!</v>
      </c>
      <c r="GA145" t="e">
        <f>AND('GA55 Entry'!X497,"AAAAAH/efbY=")</f>
        <v>#VALUE!</v>
      </c>
      <c r="GB145" t="e">
        <f>AND('GA55 Entry'!Y497,"AAAAAH/efbc=")</f>
        <v>#VALUE!</v>
      </c>
      <c r="GC145" t="e">
        <f>AND('GA55 Entry'!#REF!,"AAAAAH/efbg=")</f>
        <v>#REF!</v>
      </c>
      <c r="GD145" t="e">
        <f>AND('GA55 Entry'!#REF!,"AAAAAH/efbk=")</f>
        <v>#REF!</v>
      </c>
      <c r="GE145" t="e">
        <f>AND('GA55 Entry'!#REF!,"AAAAAH/efbo=")</f>
        <v>#REF!</v>
      </c>
      <c r="GF145" t="e">
        <f>AND('GA55 Entry'!#REF!,"AAAAAH/efbs=")</f>
        <v>#REF!</v>
      </c>
      <c r="GG145" t="e">
        <f>AND('GA55 Entry'!#REF!,"AAAAAH/efbw=")</f>
        <v>#REF!</v>
      </c>
      <c r="GH145" t="e">
        <f>AND('GA55 Entry'!#REF!,"AAAAAH/efb0=")</f>
        <v>#REF!</v>
      </c>
      <c r="GI145" t="e">
        <f>AND('GA55 Entry'!#REF!,"AAAAAH/efb4=")</f>
        <v>#REF!</v>
      </c>
      <c r="GJ145" t="e">
        <f>AND('GA55 Entry'!#REF!,"AAAAAH/efb8=")</f>
        <v>#REF!</v>
      </c>
      <c r="GK145" t="e">
        <f>AND('GA55 Entry'!#REF!,"AAAAAH/efcA=")</f>
        <v>#REF!</v>
      </c>
      <c r="GL145" t="e">
        <f>AND('GA55 Entry'!Z497,"AAAAAH/efcE=")</f>
        <v>#VALUE!</v>
      </c>
      <c r="GM145" t="e">
        <f>AND('GA55 Entry'!AA497,"AAAAAH/efcI=")</f>
        <v>#VALUE!</v>
      </c>
      <c r="GN145" t="e">
        <f>AND('GA55 Entry'!#REF!,"AAAAAH/efcM=")</f>
        <v>#REF!</v>
      </c>
      <c r="GO145" t="e">
        <f>AND('GA55 Entry'!#REF!,"AAAAAH/efcQ=")</f>
        <v>#REF!</v>
      </c>
      <c r="GP145" t="e">
        <f>AND('GA55 Entry'!#REF!,"AAAAAH/efcU=")</f>
        <v>#REF!</v>
      </c>
      <c r="GQ145" t="e">
        <f>AND('GA55 Entry'!AB497,"AAAAAH/efcY=")</f>
        <v>#VALUE!</v>
      </c>
      <c r="GR145" t="e">
        <f>AND('GA55 Entry'!AC497,"AAAAAH/efcc=")</f>
        <v>#VALUE!</v>
      </c>
      <c r="GS145" t="e">
        <f>AND('GA55 Entry'!#REF!,"AAAAAH/efcg=")</f>
        <v>#REF!</v>
      </c>
      <c r="GT145">
        <f>IF('GA55 Entry'!498:498,"AAAAAH/efck=",0)</f>
        <v>0</v>
      </c>
      <c r="GU145" t="e">
        <f>AND('GA55 Entry'!B498,"AAAAAH/efco=")</f>
        <v>#VALUE!</v>
      </c>
      <c r="GV145" t="e">
        <f>AND('GA55 Entry'!#REF!,"AAAAAH/efcs=")</f>
        <v>#REF!</v>
      </c>
      <c r="GW145" t="e">
        <f>AND('GA55 Entry'!C498,"AAAAAH/efcw=")</f>
        <v>#VALUE!</v>
      </c>
      <c r="GX145" t="e">
        <f>AND('GA55 Entry'!#REF!,"AAAAAH/efc0=")</f>
        <v>#REF!</v>
      </c>
      <c r="GY145" t="e">
        <f>AND('GA55 Entry'!#REF!,"AAAAAH/efc4=")</f>
        <v>#REF!</v>
      </c>
      <c r="GZ145" t="e">
        <f>AND('GA55 Entry'!#REF!,"AAAAAH/efc8=")</f>
        <v>#REF!</v>
      </c>
      <c r="HA145" t="e">
        <f>AND('GA55 Entry'!#REF!,"AAAAAH/efdA=")</f>
        <v>#REF!</v>
      </c>
      <c r="HB145" t="e">
        <f>AND('GA55 Entry'!#REF!,"AAAAAH/efdE=")</f>
        <v>#REF!</v>
      </c>
      <c r="HC145" t="e">
        <f>AND('GA55 Entry'!D498,"AAAAAH/efdI=")</f>
        <v>#VALUE!</v>
      </c>
      <c r="HD145" t="e">
        <f>AND('GA55 Entry'!#REF!,"AAAAAH/efdM=")</f>
        <v>#REF!</v>
      </c>
      <c r="HE145" t="e">
        <f>AND('GA55 Entry'!E498,"AAAAAH/efdQ=")</f>
        <v>#VALUE!</v>
      </c>
      <c r="HF145" t="e">
        <f>AND('GA55 Entry'!F498,"AAAAAH/efdU=")</f>
        <v>#VALUE!</v>
      </c>
      <c r="HG145" t="e">
        <f>AND('GA55 Entry'!G498,"AAAAAH/efdY=")</f>
        <v>#VALUE!</v>
      </c>
      <c r="HH145" t="e">
        <f>AND('GA55 Entry'!H498,"AAAAAH/efdc=")</f>
        <v>#VALUE!</v>
      </c>
      <c r="HI145" t="e">
        <f>AND('GA55 Entry'!I498,"AAAAAH/efdg=")</f>
        <v>#VALUE!</v>
      </c>
      <c r="HJ145" t="e">
        <f>AND('GA55 Entry'!J498,"AAAAAH/efdk=")</f>
        <v>#VALUE!</v>
      </c>
      <c r="HK145" t="e">
        <f>AND('GA55 Entry'!#REF!,"AAAAAH/efdo=")</f>
        <v>#REF!</v>
      </c>
      <c r="HL145" t="e">
        <f>AND('GA55 Entry'!K498,"AAAAAH/efds=")</f>
        <v>#VALUE!</v>
      </c>
      <c r="HM145" t="e">
        <f>AND('GA55 Entry'!L498,"AAAAAH/efdw=")</f>
        <v>#VALUE!</v>
      </c>
      <c r="HN145" t="e">
        <f>AND('GA55 Entry'!M498,"AAAAAH/efd0=")</f>
        <v>#VALUE!</v>
      </c>
      <c r="HO145" t="e">
        <f>AND('GA55 Entry'!N498,"AAAAAH/efd4=")</f>
        <v>#VALUE!</v>
      </c>
      <c r="HP145" t="e">
        <f>AND('GA55 Entry'!O498,"AAAAAH/efd8=")</f>
        <v>#VALUE!</v>
      </c>
      <c r="HQ145" t="e">
        <f>AND('GA55 Entry'!P498,"AAAAAH/efeA=")</f>
        <v>#VALUE!</v>
      </c>
      <c r="HR145" t="e">
        <f>AND('GA55 Entry'!Q498,"AAAAAH/efeE=")</f>
        <v>#VALUE!</v>
      </c>
      <c r="HS145" t="e">
        <f>AND('GA55 Entry'!S498,"AAAAAH/efeI=")</f>
        <v>#VALUE!</v>
      </c>
      <c r="HT145" t="e">
        <f>AND('GA55 Entry'!#REF!,"AAAAAH/efeM=")</f>
        <v>#REF!</v>
      </c>
      <c r="HU145" t="e">
        <f>AND('GA55 Entry'!T498,"AAAAAH/efeQ=")</f>
        <v>#VALUE!</v>
      </c>
      <c r="HV145" t="e">
        <f>AND('GA55 Entry'!U498,"AAAAAH/efeU=")</f>
        <v>#VALUE!</v>
      </c>
      <c r="HW145" t="e">
        <f>AND('GA55 Entry'!V498,"AAAAAH/efeY=")</f>
        <v>#VALUE!</v>
      </c>
      <c r="HX145" t="e">
        <f>AND('GA55 Entry'!#REF!,"AAAAAH/efec=")</f>
        <v>#REF!</v>
      </c>
      <c r="HY145" t="e">
        <f>AND('GA55 Entry'!#REF!,"AAAAAH/efeg=")</f>
        <v>#REF!</v>
      </c>
      <c r="HZ145" t="e">
        <f>AND('GA55 Entry'!X498,"AAAAAH/efek=")</f>
        <v>#VALUE!</v>
      </c>
      <c r="IA145" t="e">
        <f>AND('GA55 Entry'!Y498,"AAAAAH/efeo=")</f>
        <v>#VALUE!</v>
      </c>
      <c r="IB145" t="e">
        <f>AND('GA55 Entry'!#REF!,"AAAAAH/efes=")</f>
        <v>#REF!</v>
      </c>
      <c r="IC145" t="e">
        <f>AND('GA55 Entry'!#REF!,"AAAAAH/efew=")</f>
        <v>#REF!</v>
      </c>
      <c r="ID145" t="e">
        <f>AND('GA55 Entry'!#REF!,"AAAAAH/efe0=")</f>
        <v>#REF!</v>
      </c>
      <c r="IE145" t="e">
        <f>AND('GA55 Entry'!#REF!,"AAAAAH/efe4=")</f>
        <v>#REF!</v>
      </c>
      <c r="IF145" t="e">
        <f>AND('GA55 Entry'!#REF!,"AAAAAH/efe8=")</f>
        <v>#REF!</v>
      </c>
      <c r="IG145" t="e">
        <f>AND('GA55 Entry'!#REF!,"AAAAAH/effA=")</f>
        <v>#REF!</v>
      </c>
      <c r="IH145" t="e">
        <f>AND('GA55 Entry'!#REF!,"AAAAAH/effE=")</f>
        <v>#REF!</v>
      </c>
      <c r="II145" t="e">
        <f>AND('GA55 Entry'!#REF!,"AAAAAH/effI=")</f>
        <v>#REF!</v>
      </c>
      <c r="IJ145" t="e">
        <f>AND('GA55 Entry'!#REF!,"AAAAAH/effM=")</f>
        <v>#REF!</v>
      </c>
      <c r="IK145" t="e">
        <f>AND('GA55 Entry'!Z498,"AAAAAH/effQ=")</f>
        <v>#VALUE!</v>
      </c>
      <c r="IL145" t="e">
        <f>AND('GA55 Entry'!AA498,"AAAAAH/effU=")</f>
        <v>#VALUE!</v>
      </c>
      <c r="IM145" t="e">
        <f>AND('GA55 Entry'!#REF!,"AAAAAH/effY=")</f>
        <v>#REF!</v>
      </c>
      <c r="IN145" t="e">
        <f>AND('GA55 Entry'!#REF!,"AAAAAH/effc=")</f>
        <v>#REF!</v>
      </c>
      <c r="IO145" t="e">
        <f>AND('GA55 Entry'!#REF!,"AAAAAH/effg=")</f>
        <v>#REF!</v>
      </c>
      <c r="IP145" t="e">
        <f>AND('GA55 Entry'!AB498,"AAAAAH/effk=")</f>
        <v>#VALUE!</v>
      </c>
      <c r="IQ145" t="e">
        <f>AND('GA55 Entry'!AC498,"AAAAAH/effo=")</f>
        <v>#VALUE!</v>
      </c>
      <c r="IR145" t="e">
        <f>AND('GA55 Entry'!#REF!,"AAAAAH/effs=")</f>
        <v>#REF!</v>
      </c>
      <c r="IS145">
        <f>IF('GA55 Entry'!499:499,"AAAAAH/effw=",0)</f>
        <v>0</v>
      </c>
      <c r="IT145" t="e">
        <f>AND('GA55 Entry'!B499,"AAAAAH/eff0=")</f>
        <v>#VALUE!</v>
      </c>
      <c r="IU145" t="e">
        <f>AND('GA55 Entry'!#REF!,"AAAAAH/eff4=")</f>
        <v>#REF!</v>
      </c>
      <c r="IV145" t="e">
        <f>AND('GA55 Entry'!C499,"AAAAAH/eff8=")</f>
        <v>#VALUE!</v>
      </c>
    </row>
    <row r="146" spans="1:256">
      <c r="A146" t="e">
        <f>AND('GA55 Entry'!#REF!,"AAAAADmnNQA=")</f>
        <v>#REF!</v>
      </c>
      <c r="B146" t="e">
        <f>AND('GA55 Entry'!#REF!,"AAAAADmnNQE=")</f>
        <v>#REF!</v>
      </c>
      <c r="C146" t="e">
        <f>AND('GA55 Entry'!#REF!,"AAAAADmnNQI=")</f>
        <v>#REF!</v>
      </c>
      <c r="D146" t="e">
        <f>AND('GA55 Entry'!#REF!,"AAAAADmnNQM=")</f>
        <v>#REF!</v>
      </c>
      <c r="E146" t="e">
        <f>AND('GA55 Entry'!#REF!,"AAAAADmnNQQ=")</f>
        <v>#REF!</v>
      </c>
      <c r="F146" t="e">
        <f>AND('GA55 Entry'!D499,"AAAAADmnNQU=")</f>
        <v>#VALUE!</v>
      </c>
      <c r="G146" t="e">
        <f>AND('GA55 Entry'!#REF!,"AAAAADmnNQY=")</f>
        <v>#REF!</v>
      </c>
      <c r="H146" t="e">
        <f>AND('GA55 Entry'!E499,"AAAAADmnNQc=")</f>
        <v>#VALUE!</v>
      </c>
      <c r="I146" t="e">
        <f>AND('GA55 Entry'!F499,"AAAAADmnNQg=")</f>
        <v>#VALUE!</v>
      </c>
      <c r="J146" t="e">
        <f>AND('GA55 Entry'!G499,"AAAAADmnNQk=")</f>
        <v>#VALUE!</v>
      </c>
      <c r="K146" t="e">
        <f>AND('GA55 Entry'!H499,"AAAAADmnNQo=")</f>
        <v>#VALUE!</v>
      </c>
      <c r="L146" t="e">
        <f>AND('GA55 Entry'!I499,"AAAAADmnNQs=")</f>
        <v>#VALUE!</v>
      </c>
      <c r="M146" t="e">
        <f>AND('GA55 Entry'!J499,"AAAAADmnNQw=")</f>
        <v>#VALUE!</v>
      </c>
      <c r="N146" t="e">
        <f>AND('GA55 Entry'!#REF!,"AAAAADmnNQ0=")</f>
        <v>#REF!</v>
      </c>
      <c r="O146" t="e">
        <f>AND('GA55 Entry'!K499,"AAAAADmnNQ4=")</f>
        <v>#VALUE!</v>
      </c>
      <c r="P146" t="e">
        <f>AND('GA55 Entry'!L499,"AAAAADmnNQ8=")</f>
        <v>#VALUE!</v>
      </c>
      <c r="Q146" t="e">
        <f>AND('GA55 Entry'!M499,"AAAAADmnNRA=")</f>
        <v>#VALUE!</v>
      </c>
      <c r="R146" t="e">
        <f>AND('GA55 Entry'!N499,"AAAAADmnNRE=")</f>
        <v>#VALUE!</v>
      </c>
      <c r="S146" t="e">
        <f>AND('GA55 Entry'!O499,"AAAAADmnNRI=")</f>
        <v>#VALUE!</v>
      </c>
      <c r="T146" t="e">
        <f>AND('GA55 Entry'!P499,"AAAAADmnNRM=")</f>
        <v>#VALUE!</v>
      </c>
      <c r="U146" t="e">
        <f>AND('GA55 Entry'!Q499,"AAAAADmnNRQ=")</f>
        <v>#VALUE!</v>
      </c>
      <c r="V146" t="e">
        <f>AND('GA55 Entry'!S499,"AAAAADmnNRU=")</f>
        <v>#VALUE!</v>
      </c>
      <c r="W146" t="e">
        <f>AND('GA55 Entry'!#REF!,"AAAAADmnNRY=")</f>
        <v>#REF!</v>
      </c>
      <c r="X146" t="e">
        <f>AND('GA55 Entry'!T499,"AAAAADmnNRc=")</f>
        <v>#VALUE!</v>
      </c>
      <c r="Y146" t="e">
        <f>AND('GA55 Entry'!U499,"AAAAADmnNRg=")</f>
        <v>#VALUE!</v>
      </c>
      <c r="Z146" t="e">
        <f>AND('GA55 Entry'!V499,"AAAAADmnNRk=")</f>
        <v>#VALUE!</v>
      </c>
      <c r="AA146" t="e">
        <f>AND('GA55 Entry'!#REF!,"AAAAADmnNRo=")</f>
        <v>#REF!</v>
      </c>
      <c r="AB146" t="e">
        <f>AND('GA55 Entry'!#REF!,"AAAAADmnNRs=")</f>
        <v>#REF!</v>
      </c>
      <c r="AC146" t="e">
        <f>AND('GA55 Entry'!X499,"AAAAADmnNRw=")</f>
        <v>#VALUE!</v>
      </c>
      <c r="AD146" t="e">
        <f>AND('GA55 Entry'!Y499,"AAAAADmnNR0=")</f>
        <v>#VALUE!</v>
      </c>
      <c r="AE146" t="e">
        <f>AND('GA55 Entry'!#REF!,"AAAAADmnNR4=")</f>
        <v>#REF!</v>
      </c>
      <c r="AF146" t="e">
        <f>AND('GA55 Entry'!#REF!,"AAAAADmnNR8=")</f>
        <v>#REF!</v>
      </c>
      <c r="AG146" t="e">
        <f>AND('GA55 Entry'!#REF!,"AAAAADmnNSA=")</f>
        <v>#REF!</v>
      </c>
      <c r="AH146" t="e">
        <f>AND('GA55 Entry'!#REF!,"AAAAADmnNSE=")</f>
        <v>#REF!</v>
      </c>
      <c r="AI146" t="e">
        <f>AND('GA55 Entry'!#REF!,"AAAAADmnNSI=")</f>
        <v>#REF!</v>
      </c>
      <c r="AJ146" t="e">
        <f>AND('GA55 Entry'!#REF!,"AAAAADmnNSM=")</f>
        <v>#REF!</v>
      </c>
      <c r="AK146" t="e">
        <f>AND('GA55 Entry'!#REF!,"AAAAADmnNSQ=")</f>
        <v>#REF!</v>
      </c>
      <c r="AL146" t="e">
        <f>AND('GA55 Entry'!#REF!,"AAAAADmnNSU=")</f>
        <v>#REF!</v>
      </c>
      <c r="AM146" t="e">
        <f>AND('GA55 Entry'!#REF!,"AAAAADmnNSY=")</f>
        <v>#REF!</v>
      </c>
      <c r="AN146" t="e">
        <f>AND('GA55 Entry'!Z499,"AAAAADmnNSc=")</f>
        <v>#VALUE!</v>
      </c>
      <c r="AO146" t="e">
        <f>AND('GA55 Entry'!AA499,"AAAAADmnNSg=")</f>
        <v>#VALUE!</v>
      </c>
      <c r="AP146" t="e">
        <f>AND('GA55 Entry'!#REF!,"AAAAADmnNSk=")</f>
        <v>#REF!</v>
      </c>
      <c r="AQ146" t="e">
        <f>AND('GA55 Entry'!#REF!,"AAAAADmnNSo=")</f>
        <v>#REF!</v>
      </c>
      <c r="AR146" t="e">
        <f>AND('GA55 Entry'!#REF!,"AAAAADmnNSs=")</f>
        <v>#REF!</v>
      </c>
      <c r="AS146" t="e">
        <f>AND('GA55 Entry'!AB499,"AAAAADmnNSw=")</f>
        <v>#VALUE!</v>
      </c>
      <c r="AT146" t="e">
        <f>AND('GA55 Entry'!AC499,"AAAAADmnNS0=")</f>
        <v>#VALUE!</v>
      </c>
      <c r="AU146" t="e">
        <f>AND('GA55 Entry'!#REF!,"AAAAADmnNS4=")</f>
        <v>#REF!</v>
      </c>
      <c r="AV146">
        <f>IF('GA55 Entry'!500:500,"AAAAADmnNS8=",0)</f>
        <v>0</v>
      </c>
      <c r="AW146" t="e">
        <f>AND('GA55 Entry'!B500,"AAAAADmnNTA=")</f>
        <v>#VALUE!</v>
      </c>
      <c r="AX146" t="e">
        <f>AND('GA55 Entry'!#REF!,"AAAAADmnNTE=")</f>
        <v>#REF!</v>
      </c>
      <c r="AY146" t="e">
        <f>AND('GA55 Entry'!C500,"AAAAADmnNTI=")</f>
        <v>#VALUE!</v>
      </c>
      <c r="AZ146" t="e">
        <f>AND('GA55 Entry'!#REF!,"AAAAADmnNTM=")</f>
        <v>#REF!</v>
      </c>
      <c r="BA146" t="e">
        <f>AND('GA55 Entry'!#REF!,"AAAAADmnNTQ=")</f>
        <v>#REF!</v>
      </c>
      <c r="BB146" t="e">
        <f>AND('GA55 Entry'!#REF!,"AAAAADmnNTU=")</f>
        <v>#REF!</v>
      </c>
      <c r="BC146" t="e">
        <f>AND('GA55 Entry'!#REF!,"AAAAADmnNTY=")</f>
        <v>#REF!</v>
      </c>
      <c r="BD146" t="e">
        <f>AND('GA55 Entry'!#REF!,"AAAAADmnNTc=")</f>
        <v>#REF!</v>
      </c>
      <c r="BE146" t="e">
        <f>AND('GA55 Entry'!D500,"AAAAADmnNTg=")</f>
        <v>#VALUE!</v>
      </c>
      <c r="BF146" t="e">
        <f>AND('GA55 Entry'!#REF!,"AAAAADmnNTk=")</f>
        <v>#REF!</v>
      </c>
      <c r="BG146" t="e">
        <f>AND('GA55 Entry'!E500,"AAAAADmnNTo=")</f>
        <v>#VALUE!</v>
      </c>
      <c r="BH146" t="e">
        <f>AND('GA55 Entry'!F500,"AAAAADmnNTs=")</f>
        <v>#VALUE!</v>
      </c>
      <c r="BI146" t="e">
        <f>AND('GA55 Entry'!G500,"AAAAADmnNTw=")</f>
        <v>#VALUE!</v>
      </c>
      <c r="BJ146" t="e">
        <f>AND('GA55 Entry'!H500,"AAAAADmnNT0=")</f>
        <v>#VALUE!</v>
      </c>
      <c r="BK146" t="e">
        <f>AND('GA55 Entry'!I500,"AAAAADmnNT4=")</f>
        <v>#VALUE!</v>
      </c>
      <c r="BL146" t="e">
        <f>AND('GA55 Entry'!J500,"AAAAADmnNT8=")</f>
        <v>#VALUE!</v>
      </c>
      <c r="BM146" t="e">
        <f>AND('GA55 Entry'!#REF!,"AAAAADmnNUA=")</f>
        <v>#REF!</v>
      </c>
      <c r="BN146" t="e">
        <f>AND('GA55 Entry'!K500,"AAAAADmnNUE=")</f>
        <v>#VALUE!</v>
      </c>
      <c r="BO146" t="e">
        <f>AND('GA55 Entry'!L500,"AAAAADmnNUI=")</f>
        <v>#VALUE!</v>
      </c>
      <c r="BP146" t="e">
        <f>AND('GA55 Entry'!M500,"AAAAADmnNUM=")</f>
        <v>#VALUE!</v>
      </c>
      <c r="BQ146" t="e">
        <f>AND('GA55 Entry'!N500,"AAAAADmnNUQ=")</f>
        <v>#VALUE!</v>
      </c>
      <c r="BR146" t="e">
        <f>AND('GA55 Entry'!O500,"AAAAADmnNUU=")</f>
        <v>#VALUE!</v>
      </c>
      <c r="BS146" t="e">
        <f>AND('GA55 Entry'!P500,"AAAAADmnNUY=")</f>
        <v>#VALUE!</v>
      </c>
      <c r="BT146" t="e">
        <f>AND('GA55 Entry'!Q500,"AAAAADmnNUc=")</f>
        <v>#VALUE!</v>
      </c>
      <c r="BU146" t="e">
        <f>AND('GA55 Entry'!S500,"AAAAADmnNUg=")</f>
        <v>#VALUE!</v>
      </c>
      <c r="BV146" t="e">
        <f>AND('GA55 Entry'!#REF!,"AAAAADmnNUk=")</f>
        <v>#REF!</v>
      </c>
      <c r="BW146" t="e">
        <f>AND('GA55 Entry'!T500,"AAAAADmnNUo=")</f>
        <v>#VALUE!</v>
      </c>
      <c r="BX146" t="e">
        <f>AND('GA55 Entry'!U500,"AAAAADmnNUs=")</f>
        <v>#VALUE!</v>
      </c>
      <c r="BY146" t="e">
        <f>AND('GA55 Entry'!V500,"AAAAADmnNUw=")</f>
        <v>#VALUE!</v>
      </c>
      <c r="BZ146" t="e">
        <f>AND('GA55 Entry'!#REF!,"AAAAADmnNU0=")</f>
        <v>#REF!</v>
      </c>
      <c r="CA146" t="e">
        <f>AND('GA55 Entry'!#REF!,"AAAAADmnNU4=")</f>
        <v>#REF!</v>
      </c>
      <c r="CB146" t="e">
        <f>AND('GA55 Entry'!X500,"AAAAADmnNU8=")</f>
        <v>#VALUE!</v>
      </c>
      <c r="CC146" t="e">
        <f>AND('GA55 Entry'!Y500,"AAAAADmnNVA=")</f>
        <v>#VALUE!</v>
      </c>
      <c r="CD146" t="e">
        <f>AND('GA55 Entry'!#REF!,"AAAAADmnNVE=")</f>
        <v>#REF!</v>
      </c>
      <c r="CE146" t="e">
        <f>AND('GA55 Entry'!#REF!,"AAAAADmnNVI=")</f>
        <v>#REF!</v>
      </c>
      <c r="CF146" t="e">
        <f>AND('GA55 Entry'!#REF!,"AAAAADmnNVM=")</f>
        <v>#REF!</v>
      </c>
      <c r="CG146" t="e">
        <f>AND('GA55 Entry'!#REF!,"AAAAADmnNVQ=")</f>
        <v>#REF!</v>
      </c>
      <c r="CH146" t="e">
        <f>AND('GA55 Entry'!#REF!,"AAAAADmnNVU=")</f>
        <v>#REF!</v>
      </c>
      <c r="CI146" t="e">
        <f>AND('GA55 Entry'!#REF!,"AAAAADmnNVY=")</f>
        <v>#REF!</v>
      </c>
      <c r="CJ146" t="e">
        <f>AND('GA55 Entry'!#REF!,"AAAAADmnNVc=")</f>
        <v>#REF!</v>
      </c>
      <c r="CK146" t="e">
        <f>AND('GA55 Entry'!#REF!,"AAAAADmnNVg=")</f>
        <v>#REF!</v>
      </c>
      <c r="CL146" t="e">
        <f>AND('GA55 Entry'!#REF!,"AAAAADmnNVk=")</f>
        <v>#REF!</v>
      </c>
      <c r="CM146" t="e">
        <f>AND('GA55 Entry'!Z500,"AAAAADmnNVo=")</f>
        <v>#VALUE!</v>
      </c>
      <c r="CN146" t="e">
        <f>AND('GA55 Entry'!AA500,"AAAAADmnNVs=")</f>
        <v>#VALUE!</v>
      </c>
      <c r="CO146" t="e">
        <f>AND('GA55 Entry'!#REF!,"AAAAADmnNVw=")</f>
        <v>#REF!</v>
      </c>
      <c r="CP146" t="e">
        <f>AND('GA55 Entry'!#REF!,"AAAAADmnNV0=")</f>
        <v>#REF!</v>
      </c>
      <c r="CQ146" t="e">
        <f>AND('GA55 Entry'!#REF!,"AAAAADmnNV4=")</f>
        <v>#REF!</v>
      </c>
      <c r="CR146" t="e">
        <f>AND('GA55 Entry'!AB500,"AAAAADmnNV8=")</f>
        <v>#VALUE!</v>
      </c>
      <c r="CS146" t="e">
        <f>AND('GA55 Entry'!AC500,"AAAAADmnNWA=")</f>
        <v>#VALUE!</v>
      </c>
      <c r="CT146" t="e">
        <f>AND('GA55 Entry'!#REF!,"AAAAADmnNWE=")</f>
        <v>#REF!</v>
      </c>
      <c r="CU146">
        <f>IF('GA55 Entry'!501:501,"AAAAADmnNWI=",0)</f>
        <v>0</v>
      </c>
      <c r="CV146" t="e">
        <f>AND('GA55 Entry'!B501,"AAAAADmnNWM=")</f>
        <v>#VALUE!</v>
      </c>
      <c r="CW146" t="e">
        <f>AND('GA55 Entry'!#REF!,"AAAAADmnNWQ=")</f>
        <v>#REF!</v>
      </c>
      <c r="CX146" t="e">
        <f>AND('GA55 Entry'!C501,"AAAAADmnNWU=")</f>
        <v>#VALUE!</v>
      </c>
      <c r="CY146" t="e">
        <f>AND('GA55 Entry'!#REF!,"AAAAADmnNWY=")</f>
        <v>#REF!</v>
      </c>
      <c r="CZ146" t="e">
        <f>AND('GA55 Entry'!#REF!,"AAAAADmnNWc=")</f>
        <v>#REF!</v>
      </c>
      <c r="DA146" t="e">
        <f>AND('GA55 Entry'!#REF!,"AAAAADmnNWg=")</f>
        <v>#REF!</v>
      </c>
      <c r="DB146" t="e">
        <f>AND('GA55 Entry'!#REF!,"AAAAADmnNWk=")</f>
        <v>#REF!</v>
      </c>
      <c r="DC146" t="e">
        <f>AND('GA55 Entry'!#REF!,"AAAAADmnNWo=")</f>
        <v>#REF!</v>
      </c>
      <c r="DD146" t="e">
        <f>AND('GA55 Entry'!D501,"AAAAADmnNWs=")</f>
        <v>#VALUE!</v>
      </c>
      <c r="DE146" t="e">
        <f>AND('GA55 Entry'!#REF!,"AAAAADmnNWw=")</f>
        <v>#REF!</v>
      </c>
      <c r="DF146" t="e">
        <f>AND('GA55 Entry'!E501,"AAAAADmnNW0=")</f>
        <v>#VALUE!</v>
      </c>
      <c r="DG146" t="e">
        <f>AND('GA55 Entry'!F501,"AAAAADmnNW4=")</f>
        <v>#VALUE!</v>
      </c>
      <c r="DH146" t="e">
        <f>AND('GA55 Entry'!G501,"AAAAADmnNW8=")</f>
        <v>#VALUE!</v>
      </c>
      <c r="DI146" t="e">
        <f>AND('GA55 Entry'!H501,"AAAAADmnNXA=")</f>
        <v>#VALUE!</v>
      </c>
      <c r="DJ146" t="e">
        <f>AND('GA55 Entry'!I501,"AAAAADmnNXE=")</f>
        <v>#VALUE!</v>
      </c>
      <c r="DK146" t="e">
        <f>AND('GA55 Entry'!J501,"AAAAADmnNXI=")</f>
        <v>#VALUE!</v>
      </c>
      <c r="DL146" t="e">
        <f>AND('GA55 Entry'!#REF!,"AAAAADmnNXM=")</f>
        <v>#REF!</v>
      </c>
      <c r="DM146" t="e">
        <f>AND('GA55 Entry'!K501,"AAAAADmnNXQ=")</f>
        <v>#VALUE!</v>
      </c>
      <c r="DN146" t="e">
        <f>AND('GA55 Entry'!L501,"AAAAADmnNXU=")</f>
        <v>#VALUE!</v>
      </c>
      <c r="DO146" t="e">
        <f>AND('GA55 Entry'!M501,"AAAAADmnNXY=")</f>
        <v>#VALUE!</v>
      </c>
      <c r="DP146" t="e">
        <f>AND('GA55 Entry'!N501,"AAAAADmnNXc=")</f>
        <v>#VALUE!</v>
      </c>
      <c r="DQ146" t="e">
        <f>AND('GA55 Entry'!O501,"AAAAADmnNXg=")</f>
        <v>#VALUE!</v>
      </c>
      <c r="DR146" t="e">
        <f>AND('GA55 Entry'!P501,"AAAAADmnNXk=")</f>
        <v>#VALUE!</v>
      </c>
      <c r="DS146" t="e">
        <f>AND('GA55 Entry'!Q501,"AAAAADmnNXo=")</f>
        <v>#VALUE!</v>
      </c>
      <c r="DT146" t="e">
        <f>AND('GA55 Entry'!S501,"AAAAADmnNXs=")</f>
        <v>#VALUE!</v>
      </c>
      <c r="DU146" t="e">
        <f>AND('GA55 Entry'!#REF!,"AAAAADmnNXw=")</f>
        <v>#REF!</v>
      </c>
      <c r="DV146" t="e">
        <f>AND('GA55 Entry'!T501,"AAAAADmnNX0=")</f>
        <v>#VALUE!</v>
      </c>
      <c r="DW146" t="e">
        <f>AND('GA55 Entry'!U501,"AAAAADmnNX4=")</f>
        <v>#VALUE!</v>
      </c>
      <c r="DX146" t="e">
        <f>AND('GA55 Entry'!V501,"AAAAADmnNX8=")</f>
        <v>#VALUE!</v>
      </c>
      <c r="DY146" t="e">
        <f>AND('GA55 Entry'!#REF!,"AAAAADmnNYA=")</f>
        <v>#REF!</v>
      </c>
      <c r="DZ146" t="e">
        <f>AND('GA55 Entry'!#REF!,"AAAAADmnNYE=")</f>
        <v>#REF!</v>
      </c>
      <c r="EA146" t="e">
        <f>AND('GA55 Entry'!X501,"AAAAADmnNYI=")</f>
        <v>#VALUE!</v>
      </c>
      <c r="EB146" t="e">
        <f>AND('GA55 Entry'!Y501,"AAAAADmnNYM=")</f>
        <v>#VALUE!</v>
      </c>
      <c r="EC146" t="e">
        <f>AND('GA55 Entry'!#REF!,"AAAAADmnNYQ=")</f>
        <v>#REF!</v>
      </c>
      <c r="ED146" t="e">
        <f>AND('GA55 Entry'!#REF!,"AAAAADmnNYU=")</f>
        <v>#REF!</v>
      </c>
      <c r="EE146" t="e">
        <f>AND('GA55 Entry'!#REF!,"AAAAADmnNYY=")</f>
        <v>#REF!</v>
      </c>
      <c r="EF146" t="e">
        <f>AND('GA55 Entry'!#REF!,"AAAAADmnNYc=")</f>
        <v>#REF!</v>
      </c>
      <c r="EG146" t="e">
        <f>AND('GA55 Entry'!#REF!,"AAAAADmnNYg=")</f>
        <v>#REF!</v>
      </c>
      <c r="EH146" t="e">
        <f>AND('GA55 Entry'!#REF!,"AAAAADmnNYk=")</f>
        <v>#REF!</v>
      </c>
      <c r="EI146" t="e">
        <f>AND('GA55 Entry'!#REF!,"AAAAADmnNYo=")</f>
        <v>#REF!</v>
      </c>
      <c r="EJ146" t="e">
        <f>AND('GA55 Entry'!#REF!,"AAAAADmnNYs=")</f>
        <v>#REF!</v>
      </c>
      <c r="EK146" t="e">
        <f>AND('GA55 Entry'!#REF!,"AAAAADmnNYw=")</f>
        <v>#REF!</v>
      </c>
      <c r="EL146" t="e">
        <f>AND('GA55 Entry'!Z501,"AAAAADmnNY0=")</f>
        <v>#VALUE!</v>
      </c>
      <c r="EM146" t="e">
        <f>AND('GA55 Entry'!AA501,"AAAAADmnNY4=")</f>
        <v>#VALUE!</v>
      </c>
      <c r="EN146" t="e">
        <f>AND('GA55 Entry'!#REF!,"AAAAADmnNY8=")</f>
        <v>#REF!</v>
      </c>
      <c r="EO146" t="e">
        <f>AND('GA55 Entry'!#REF!,"AAAAADmnNZA=")</f>
        <v>#REF!</v>
      </c>
      <c r="EP146" t="e">
        <f>AND('GA55 Entry'!#REF!,"AAAAADmnNZE=")</f>
        <v>#REF!</v>
      </c>
      <c r="EQ146" t="e">
        <f>AND('GA55 Entry'!AB501,"AAAAADmnNZI=")</f>
        <v>#VALUE!</v>
      </c>
      <c r="ER146" t="e">
        <f>AND('GA55 Entry'!AC501,"AAAAADmnNZM=")</f>
        <v>#VALUE!</v>
      </c>
      <c r="ES146" t="e">
        <f>AND('GA55 Entry'!#REF!,"AAAAADmnNZQ=")</f>
        <v>#REF!</v>
      </c>
      <c r="ET146">
        <f>IF('GA55 Entry'!502:502,"AAAAADmnNZU=",0)</f>
        <v>0</v>
      </c>
      <c r="EU146" t="e">
        <f>AND('GA55 Entry'!B502,"AAAAADmnNZY=")</f>
        <v>#VALUE!</v>
      </c>
      <c r="EV146" t="e">
        <f>AND('GA55 Entry'!#REF!,"AAAAADmnNZc=")</f>
        <v>#REF!</v>
      </c>
      <c r="EW146" t="e">
        <f>AND('GA55 Entry'!C502,"AAAAADmnNZg=")</f>
        <v>#VALUE!</v>
      </c>
      <c r="EX146" t="e">
        <f>AND('GA55 Entry'!#REF!,"AAAAADmnNZk=")</f>
        <v>#REF!</v>
      </c>
      <c r="EY146" t="e">
        <f>AND('GA55 Entry'!#REF!,"AAAAADmnNZo=")</f>
        <v>#REF!</v>
      </c>
      <c r="EZ146" t="e">
        <f>AND('GA55 Entry'!#REF!,"AAAAADmnNZs=")</f>
        <v>#REF!</v>
      </c>
      <c r="FA146" t="e">
        <f>AND('GA55 Entry'!#REF!,"AAAAADmnNZw=")</f>
        <v>#REF!</v>
      </c>
      <c r="FB146" t="e">
        <f>AND('GA55 Entry'!#REF!,"AAAAADmnNZ0=")</f>
        <v>#REF!</v>
      </c>
      <c r="FC146" t="e">
        <f>AND('GA55 Entry'!D502,"AAAAADmnNZ4=")</f>
        <v>#VALUE!</v>
      </c>
      <c r="FD146" t="e">
        <f>AND('GA55 Entry'!#REF!,"AAAAADmnNZ8=")</f>
        <v>#REF!</v>
      </c>
      <c r="FE146" t="e">
        <f>AND('GA55 Entry'!E502,"AAAAADmnNaA=")</f>
        <v>#VALUE!</v>
      </c>
      <c r="FF146" t="e">
        <f>AND('GA55 Entry'!F502,"AAAAADmnNaE=")</f>
        <v>#VALUE!</v>
      </c>
      <c r="FG146" t="e">
        <f>AND('GA55 Entry'!G502,"AAAAADmnNaI=")</f>
        <v>#VALUE!</v>
      </c>
      <c r="FH146" t="e">
        <f>AND('GA55 Entry'!H502,"AAAAADmnNaM=")</f>
        <v>#VALUE!</v>
      </c>
      <c r="FI146" t="e">
        <f>AND('GA55 Entry'!I502,"AAAAADmnNaQ=")</f>
        <v>#VALUE!</v>
      </c>
      <c r="FJ146" t="e">
        <f>AND('GA55 Entry'!J502,"AAAAADmnNaU=")</f>
        <v>#VALUE!</v>
      </c>
      <c r="FK146" t="e">
        <f>AND('GA55 Entry'!#REF!,"AAAAADmnNaY=")</f>
        <v>#REF!</v>
      </c>
      <c r="FL146" t="e">
        <f>AND('GA55 Entry'!K502,"AAAAADmnNac=")</f>
        <v>#VALUE!</v>
      </c>
      <c r="FM146" t="e">
        <f>AND('GA55 Entry'!L502,"AAAAADmnNag=")</f>
        <v>#VALUE!</v>
      </c>
      <c r="FN146" t="e">
        <f>AND('GA55 Entry'!M502,"AAAAADmnNak=")</f>
        <v>#VALUE!</v>
      </c>
      <c r="FO146" t="e">
        <f>AND('GA55 Entry'!N502,"AAAAADmnNao=")</f>
        <v>#VALUE!</v>
      </c>
      <c r="FP146" t="e">
        <f>AND('GA55 Entry'!O502,"AAAAADmnNas=")</f>
        <v>#VALUE!</v>
      </c>
      <c r="FQ146" t="e">
        <f>AND('GA55 Entry'!P502,"AAAAADmnNaw=")</f>
        <v>#VALUE!</v>
      </c>
      <c r="FR146" t="e">
        <f>AND('GA55 Entry'!Q502,"AAAAADmnNa0=")</f>
        <v>#VALUE!</v>
      </c>
      <c r="FS146" t="e">
        <f>AND('GA55 Entry'!S502,"AAAAADmnNa4=")</f>
        <v>#VALUE!</v>
      </c>
      <c r="FT146" t="e">
        <f>AND('GA55 Entry'!#REF!,"AAAAADmnNa8=")</f>
        <v>#REF!</v>
      </c>
      <c r="FU146" t="e">
        <f>AND('GA55 Entry'!T502,"AAAAADmnNbA=")</f>
        <v>#VALUE!</v>
      </c>
      <c r="FV146" t="e">
        <f>AND('GA55 Entry'!U502,"AAAAADmnNbE=")</f>
        <v>#VALUE!</v>
      </c>
      <c r="FW146" t="e">
        <f>AND('GA55 Entry'!V502,"AAAAADmnNbI=")</f>
        <v>#VALUE!</v>
      </c>
      <c r="FX146" t="e">
        <f>AND('GA55 Entry'!#REF!,"AAAAADmnNbM=")</f>
        <v>#REF!</v>
      </c>
      <c r="FY146" t="e">
        <f>AND('GA55 Entry'!#REF!,"AAAAADmnNbQ=")</f>
        <v>#REF!</v>
      </c>
      <c r="FZ146" t="e">
        <f>AND('GA55 Entry'!X502,"AAAAADmnNbU=")</f>
        <v>#VALUE!</v>
      </c>
      <c r="GA146" t="e">
        <f>AND('GA55 Entry'!Y502,"AAAAADmnNbY=")</f>
        <v>#VALUE!</v>
      </c>
      <c r="GB146" t="e">
        <f>AND('GA55 Entry'!#REF!,"AAAAADmnNbc=")</f>
        <v>#REF!</v>
      </c>
      <c r="GC146" t="e">
        <f>AND('GA55 Entry'!#REF!,"AAAAADmnNbg=")</f>
        <v>#REF!</v>
      </c>
      <c r="GD146" t="e">
        <f>AND('GA55 Entry'!#REF!,"AAAAADmnNbk=")</f>
        <v>#REF!</v>
      </c>
      <c r="GE146" t="e">
        <f>AND('GA55 Entry'!#REF!,"AAAAADmnNbo=")</f>
        <v>#REF!</v>
      </c>
      <c r="GF146" t="e">
        <f>AND('GA55 Entry'!#REF!,"AAAAADmnNbs=")</f>
        <v>#REF!</v>
      </c>
      <c r="GG146" t="e">
        <f>AND('GA55 Entry'!#REF!,"AAAAADmnNbw=")</f>
        <v>#REF!</v>
      </c>
      <c r="GH146" t="e">
        <f>AND('GA55 Entry'!#REF!,"AAAAADmnNb0=")</f>
        <v>#REF!</v>
      </c>
      <c r="GI146" t="e">
        <f>AND('GA55 Entry'!#REF!,"AAAAADmnNb4=")</f>
        <v>#REF!</v>
      </c>
      <c r="GJ146" t="e">
        <f>AND('GA55 Entry'!#REF!,"AAAAADmnNb8=")</f>
        <v>#REF!</v>
      </c>
      <c r="GK146" t="e">
        <f>AND('GA55 Entry'!Z502,"AAAAADmnNcA=")</f>
        <v>#VALUE!</v>
      </c>
      <c r="GL146" t="e">
        <f>AND('GA55 Entry'!AA502,"AAAAADmnNcE=")</f>
        <v>#VALUE!</v>
      </c>
      <c r="GM146" t="e">
        <f>AND('GA55 Entry'!#REF!,"AAAAADmnNcI=")</f>
        <v>#REF!</v>
      </c>
      <c r="GN146" t="e">
        <f>AND('GA55 Entry'!#REF!,"AAAAADmnNcM=")</f>
        <v>#REF!</v>
      </c>
      <c r="GO146" t="e">
        <f>AND('GA55 Entry'!#REF!,"AAAAADmnNcQ=")</f>
        <v>#REF!</v>
      </c>
      <c r="GP146" t="e">
        <f>AND('GA55 Entry'!AB502,"AAAAADmnNcU=")</f>
        <v>#VALUE!</v>
      </c>
      <c r="GQ146" t="e">
        <f>AND('GA55 Entry'!AC502,"AAAAADmnNcY=")</f>
        <v>#VALUE!</v>
      </c>
      <c r="GR146" t="e">
        <f>AND('GA55 Entry'!#REF!,"AAAAADmnNcc=")</f>
        <v>#REF!</v>
      </c>
      <c r="GS146">
        <f>IF('GA55 Entry'!503:503,"AAAAADmnNcg=",0)</f>
        <v>0</v>
      </c>
      <c r="GT146" t="e">
        <f>AND('GA55 Entry'!B503,"AAAAADmnNck=")</f>
        <v>#VALUE!</v>
      </c>
      <c r="GU146" t="e">
        <f>AND('GA55 Entry'!#REF!,"AAAAADmnNco=")</f>
        <v>#REF!</v>
      </c>
      <c r="GV146" t="e">
        <f>AND('GA55 Entry'!C503,"AAAAADmnNcs=")</f>
        <v>#VALUE!</v>
      </c>
      <c r="GW146" t="e">
        <f>AND('GA55 Entry'!#REF!,"AAAAADmnNcw=")</f>
        <v>#REF!</v>
      </c>
      <c r="GX146" t="e">
        <f>AND('GA55 Entry'!#REF!,"AAAAADmnNc0=")</f>
        <v>#REF!</v>
      </c>
      <c r="GY146" t="e">
        <f>AND('GA55 Entry'!#REF!,"AAAAADmnNc4=")</f>
        <v>#REF!</v>
      </c>
      <c r="GZ146" t="e">
        <f>AND('GA55 Entry'!#REF!,"AAAAADmnNc8=")</f>
        <v>#REF!</v>
      </c>
      <c r="HA146" t="e">
        <f>AND('GA55 Entry'!#REF!,"AAAAADmnNdA=")</f>
        <v>#REF!</v>
      </c>
      <c r="HB146" t="e">
        <f>AND('GA55 Entry'!D503,"AAAAADmnNdE=")</f>
        <v>#VALUE!</v>
      </c>
      <c r="HC146" t="e">
        <f>AND('GA55 Entry'!#REF!,"AAAAADmnNdI=")</f>
        <v>#REF!</v>
      </c>
      <c r="HD146" t="e">
        <f>AND('GA55 Entry'!E503,"AAAAADmnNdM=")</f>
        <v>#VALUE!</v>
      </c>
      <c r="HE146" t="e">
        <f>AND('GA55 Entry'!F503,"AAAAADmnNdQ=")</f>
        <v>#VALUE!</v>
      </c>
      <c r="HF146" t="e">
        <f>AND('GA55 Entry'!G503,"AAAAADmnNdU=")</f>
        <v>#VALUE!</v>
      </c>
      <c r="HG146" t="e">
        <f>AND('GA55 Entry'!H503,"AAAAADmnNdY=")</f>
        <v>#VALUE!</v>
      </c>
      <c r="HH146" t="e">
        <f>AND('GA55 Entry'!I503,"AAAAADmnNdc=")</f>
        <v>#VALUE!</v>
      </c>
      <c r="HI146" t="e">
        <f>AND('GA55 Entry'!J503,"AAAAADmnNdg=")</f>
        <v>#VALUE!</v>
      </c>
      <c r="HJ146" t="e">
        <f>AND('GA55 Entry'!#REF!,"AAAAADmnNdk=")</f>
        <v>#REF!</v>
      </c>
      <c r="HK146" t="e">
        <f>AND('GA55 Entry'!K503,"AAAAADmnNdo=")</f>
        <v>#VALUE!</v>
      </c>
      <c r="HL146" t="e">
        <f>AND('GA55 Entry'!L503,"AAAAADmnNds=")</f>
        <v>#VALUE!</v>
      </c>
      <c r="HM146" t="e">
        <f>AND('GA55 Entry'!M503,"AAAAADmnNdw=")</f>
        <v>#VALUE!</v>
      </c>
      <c r="HN146" t="e">
        <f>AND('GA55 Entry'!N503,"AAAAADmnNd0=")</f>
        <v>#VALUE!</v>
      </c>
      <c r="HO146" t="e">
        <f>AND('GA55 Entry'!O503,"AAAAADmnNd4=")</f>
        <v>#VALUE!</v>
      </c>
      <c r="HP146" t="e">
        <f>AND('GA55 Entry'!P503,"AAAAADmnNd8=")</f>
        <v>#VALUE!</v>
      </c>
      <c r="HQ146" t="e">
        <f>AND('GA55 Entry'!Q503,"AAAAADmnNeA=")</f>
        <v>#VALUE!</v>
      </c>
      <c r="HR146" t="e">
        <f>AND('GA55 Entry'!S503,"AAAAADmnNeE=")</f>
        <v>#VALUE!</v>
      </c>
      <c r="HS146" t="e">
        <f>AND('GA55 Entry'!#REF!,"AAAAADmnNeI=")</f>
        <v>#REF!</v>
      </c>
      <c r="HT146" t="e">
        <f>AND('GA55 Entry'!T503,"AAAAADmnNeM=")</f>
        <v>#VALUE!</v>
      </c>
      <c r="HU146" t="e">
        <f>AND('GA55 Entry'!U503,"AAAAADmnNeQ=")</f>
        <v>#VALUE!</v>
      </c>
      <c r="HV146" t="e">
        <f>AND('GA55 Entry'!V503,"AAAAADmnNeU=")</f>
        <v>#VALUE!</v>
      </c>
      <c r="HW146" t="e">
        <f>AND('GA55 Entry'!#REF!,"AAAAADmnNeY=")</f>
        <v>#REF!</v>
      </c>
      <c r="HX146" t="e">
        <f>AND('GA55 Entry'!#REF!,"AAAAADmnNec=")</f>
        <v>#REF!</v>
      </c>
      <c r="HY146" t="e">
        <f>AND('GA55 Entry'!X503,"AAAAADmnNeg=")</f>
        <v>#VALUE!</v>
      </c>
      <c r="HZ146" t="e">
        <f>AND('GA55 Entry'!Y503,"AAAAADmnNek=")</f>
        <v>#VALUE!</v>
      </c>
      <c r="IA146" t="e">
        <f>AND('GA55 Entry'!#REF!,"AAAAADmnNeo=")</f>
        <v>#REF!</v>
      </c>
      <c r="IB146" t="e">
        <f>AND('GA55 Entry'!#REF!,"AAAAADmnNes=")</f>
        <v>#REF!</v>
      </c>
      <c r="IC146" t="e">
        <f>AND('GA55 Entry'!#REF!,"AAAAADmnNew=")</f>
        <v>#REF!</v>
      </c>
      <c r="ID146" t="e">
        <f>AND('GA55 Entry'!#REF!,"AAAAADmnNe0=")</f>
        <v>#REF!</v>
      </c>
      <c r="IE146" t="e">
        <f>AND('GA55 Entry'!#REF!,"AAAAADmnNe4=")</f>
        <v>#REF!</v>
      </c>
      <c r="IF146" t="e">
        <f>AND('GA55 Entry'!#REF!,"AAAAADmnNe8=")</f>
        <v>#REF!</v>
      </c>
      <c r="IG146" t="e">
        <f>AND('GA55 Entry'!#REF!,"AAAAADmnNfA=")</f>
        <v>#REF!</v>
      </c>
      <c r="IH146" t="e">
        <f>AND('GA55 Entry'!#REF!,"AAAAADmnNfE=")</f>
        <v>#REF!</v>
      </c>
      <c r="II146" t="e">
        <f>AND('GA55 Entry'!#REF!,"AAAAADmnNfI=")</f>
        <v>#REF!</v>
      </c>
      <c r="IJ146" t="e">
        <f>AND('GA55 Entry'!Z503,"AAAAADmnNfM=")</f>
        <v>#VALUE!</v>
      </c>
      <c r="IK146" t="e">
        <f>AND('GA55 Entry'!AA503,"AAAAADmnNfQ=")</f>
        <v>#VALUE!</v>
      </c>
      <c r="IL146" t="e">
        <f>AND('GA55 Entry'!#REF!,"AAAAADmnNfU=")</f>
        <v>#REF!</v>
      </c>
      <c r="IM146" t="e">
        <f>AND('GA55 Entry'!#REF!,"AAAAADmnNfY=")</f>
        <v>#REF!</v>
      </c>
      <c r="IN146" t="e">
        <f>AND('GA55 Entry'!#REF!,"AAAAADmnNfc=")</f>
        <v>#REF!</v>
      </c>
      <c r="IO146" t="e">
        <f>AND('GA55 Entry'!AB503,"AAAAADmnNfg=")</f>
        <v>#VALUE!</v>
      </c>
      <c r="IP146" t="e">
        <f>AND('GA55 Entry'!AC503,"AAAAADmnNfk=")</f>
        <v>#VALUE!</v>
      </c>
      <c r="IQ146" t="e">
        <f>AND('GA55 Entry'!#REF!,"AAAAADmnNfo=")</f>
        <v>#REF!</v>
      </c>
      <c r="IR146">
        <f>IF('GA55 Entry'!504:504,"AAAAADmnNfs=",0)</f>
        <v>0</v>
      </c>
      <c r="IS146" t="e">
        <f>AND('GA55 Entry'!B504,"AAAAADmnNfw=")</f>
        <v>#VALUE!</v>
      </c>
      <c r="IT146" t="e">
        <f>AND('GA55 Entry'!#REF!,"AAAAADmnNf0=")</f>
        <v>#REF!</v>
      </c>
      <c r="IU146" t="e">
        <f>AND('GA55 Entry'!C504,"AAAAADmnNf4=")</f>
        <v>#VALUE!</v>
      </c>
      <c r="IV146" t="e">
        <f>AND('GA55 Entry'!#REF!,"AAAAADmnNf8=")</f>
        <v>#REF!</v>
      </c>
    </row>
    <row r="147" spans="1:256">
      <c r="A147" t="e">
        <f>AND('GA55 Entry'!#REF!,"AAAAAGzM+QA=")</f>
        <v>#REF!</v>
      </c>
      <c r="B147" t="e">
        <f>AND('GA55 Entry'!#REF!,"AAAAAGzM+QE=")</f>
        <v>#REF!</v>
      </c>
      <c r="C147" t="e">
        <f>AND('GA55 Entry'!#REF!,"AAAAAGzM+QI=")</f>
        <v>#REF!</v>
      </c>
      <c r="D147" t="e">
        <f>AND('GA55 Entry'!#REF!,"AAAAAGzM+QM=")</f>
        <v>#REF!</v>
      </c>
      <c r="E147" t="e">
        <f>AND('GA55 Entry'!D504,"AAAAAGzM+QQ=")</f>
        <v>#VALUE!</v>
      </c>
      <c r="F147" t="e">
        <f>AND('GA55 Entry'!#REF!,"AAAAAGzM+QU=")</f>
        <v>#REF!</v>
      </c>
      <c r="G147" t="e">
        <f>AND('GA55 Entry'!E504,"AAAAAGzM+QY=")</f>
        <v>#VALUE!</v>
      </c>
      <c r="H147" t="e">
        <f>AND('GA55 Entry'!F504,"AAAAAGzM+Qc=")</f>
        <v>#VALUE!</v>
      </c>
      <c r="I147" t="e">
        <f>AND('GA55 Entry'!G504,"AAAAAGzM+Qg=")</f>
        <v>#VALUE!</v>
      </c>
      <c r="J147" t="e">
        <f>AND('GA55 Entry'!H504,"AAAAAGzM+Qk=")</f>
        <v>#VALUE!</v>
      </c>
      <c r="K147" t="e">
        <f>AND('GA55 Entry'!I504,"AAAAAGzM+Qo=")</f>
        <v>#VALUE!</v>
      </c>
      <c r="L147" t="e">
        <f>AND('GA55 Entry'!J504,"AAAAAGzM+Qs=")</f>
        <v>#VALUE!</v>
      </c>
      <c r="M147" t="e">
        <f>AND('GA55 Entry'!#REF!,"AAAAAGzM+Qw=")</f>
        <v>#REF!</v>
      </c>
      <c r="N147" t="e">
        <f>AND('GA55 Entry'!K504,"AAAAAGzM+Q0=")</f>
        <v>#VALUE!</v>
      </c>
      <c r="O147" t="e">
        <f>AND('GA55 Entry'!L504,"AAAAAGzM+Q4=")</f>
        <v>#VALUE!</v>
      </c>
      <c r="P147" t="e">
        <f>AND('GA55 Entry'!M504,"AAAAAGzM+Q8=")</f>
        <v>#VALUE!</v>
      </c>
      <c r="Q147" t="e">
        <f>AND('GA55 Entry'!N504,"AAAAAGzM+RA=")</f>
        <v>#VALUE!</v>
      </c>
      <c r="R147" t="e">
        <f>AND('GA55 Entry'!O504,"AAAAAGzM+RE=")</f>
        <v>#VALUE!</v>
      </c>
      <c r="S147" t="e">
        <f>AND('GA55 Entry'!P504,"AAAAAGzM+RI=")</f>
        <v>#VALUE!</v>
      </c>
      <c r="T147" t="e">
        <f>AND('GA55 Entry'!Q504,"AAAAAGzM+RM=")</f>
        <v>#VALUE!</v>
      </c>
      <c r="U147" t="e">
        <f>AND('GA55 Entry'!S504,"AAAAAGzM+RQ=")</f>
        <v>#VALUE!</v>
      </c>
      <c r="V147" t="e">
        <f>AND('GA55 Entry'!#REF!,"AAAAAGzM+RU=")</f>
        <v>#REF!</v>
      </c>
      <c r="W147" t="e">
        <f>AND('GA55 Entry'!T504,"AAAAAGzM+RY=")</f>
        <v>#VALUE!</v>
      </c>
      <c r="X147" t="e">
        <f>AND('GA55 Entry'!U504,"AAAAAGzM+Rc=")</f>
        <v>#VALUE!</v>
      </c>
      <c r="Y147" t="e">
        <f>AND('GA55 Entry'!V504,"AAAAAGzM+Rg=")</f>
        <v>#VALUE!</v>
      </c>
      <c r="Z147" t="e">
        <f>AND('GA55 Entry'!#REF!,"AAAAAGzM+Rk=")</f>
        <v>#REF!</v>
      </c>
      <c r="AA147" t="e">
        <f>AND('GA55 Entry'!#REF!,"AAAAAGzM+Ro=")</f>
        <v>#REF!</v>
      </c>
      <c r="AB147" t="e">
        <f>AND('GA55 Entry'!X504,"AAAAAGzM+Rs=")</f>
        <v>#VALUE!</v>
      </c>
      <c r="AC147" t="e">
        <f>AND('GA55 Entry'!Y504,"AAAAAGzM+Rw=")</f>
        <v>#VALUE!</v>
      </c>
      <c r="AD147" t="e">
        <f>AND('GA55 Entry'!#REF!,"AAAAAGzM+R0=")</f>
        <v>#REF!</v>
      </c>
      <c r="AE147" t="e">
        <f>AND('GA55 Entry'!#REF!,"AAAAAGzM+R4=")</f>
        <v>#REF!</v>
      </c>
      <c r="AF147" t="e">
        <f>AND('GA55 Entry'!#REF!,"AAAAAGzM+R8=")</f>
        <v>#REF!</v>
      </c>
      <c r="AG147" t="e">
        <f>AND('GA55 Entry'!#REF!,"AAAAAGzM+SA=")</f>
        <v>#REF!</v>
      </c>
      <c r="AH147" t="e">
        <f>AND('GA55 Entry'!#REF!,"AAAAAGzM+SE=")</f>
        <v>#REF!</v>
      </c>
      <c r="AI147" t="e">
        <f>AND('GA55 Entry'!#REF!,"AAAAAGzM+SI=")</f>
        <v>#REF!</v>
      </c>
      <c r="AJ147" t="e">
        <f>AND('GA55 Entry'!#REF!,"AAAAAGzM+SM=")</f>
        <v>#REF!</v>
      </c>
      <c r="AK147" t="e">
        <f>AND('GA55 Entry'!#REF!,"AAAAAGzM+SQ=")</f>
        <v>#REF!</v>
      </c>
      <c r="AL147" t="e">
        <f>AND('GA55 Entry'!#REF!,"AAAAAGzM+SU=")</f>
        <v>#REF!</v>
      </c>
      <c r="AM147" t="e">
        <f>AND('GA55 Entry'!Z504,"AAAAAGzM+SY=")</f>
        <v>#VALUE!</v>
      </c>
      <c r="AN147" t="e">
        <f>AND('GA55 Entry'!AA504,"AAAAAGzM+Sc=")</f>
        <v>#VALUE!</v>
      </c>
      <c r="AO147" t="e">
        <f>AND('GA55 Entry'!#REF!,"AAAAAGzM+Sg=")</f>
        <v>#REF!</v>
      </c>
      <c r="AP147" t="e">
        <f>AND('GA55 Entry'!#REF!,"AAAAAGzM+Sk=")</f>
        <v>#REF!</v>
      </c>
      <c r="AQ147" t="e">
        <f>AND('GA55 Entry'!#REF!,"AAAAAGzM+So=")</f>
        <v>#REF!</v>
      </c>
      <c r="AR147" t="e">
        <f>AND('GA55 Entry'!AB504,"AAAAAGzM+Ss=")</f>
        <v>#VALUE!</v>
      </c>
      <c r="AS147" t="e">
        <f>AND('GA55 Entry'!AC504,"AAAAAGzM+Sw=")</f>
        <v>#VALUE!</v>
      </c>
      <c r="AT147" t="e">
        <f>AND('GA55 Entry'!#REF!,"AAAAAGzM+S0=")</f>
        <v>#REF!</v>
      </c>
      <c r="AU147">
        <f>IF('GA55 Entry'!505:505,"AAAAAGzM+S4=",0)</f>
        <v>0</v>
      </c>
      <c r="AV147" t="e">
        <f>AND('GA55 Entry'!B505,"AAAAAGzM+S8=")</f>
        <v>#VALUE!</v>
      </c>
      <c r="AW147" t="e">
        <f>AND('GA55 Entry'!#REF!,"AAAAAGzM+TA=")</f>
        <v>#REF!</v>
      </c>
      <c r="AX147" t="e">
        <f>AND('GA55 Entry'!C505,"AAAAAGzM+TE=")</f>
        <v>#VALUE!</v>
      </c>
      <c r="AY147" t="e">
        <f>AND('GA55 Entry'!#REF!,"AAAAAGzM+TI=")</f>
        <v>#REF!</v>
      </c>
      <c r="AZ147" t="e">
        <f>AND('GA55 Entry'!#REF!,"AAAAAGzM+TM=")</f>
        <v>#REF!</v>
      </c>
      <c r="BA147" t="e">
        <f>AND('GA55 Entry'!#REF!,"AAAAAGzM+TQ=")</f>
        <v>#REF!</v>
      </c>
      <c r="BB147" t="e">
        <f>AND('GA55 Entry'!#REF!,"AAAAAGzM+TU=")</f>
        <v>#REF!</v>
      </c>
      <c r="BC147" t="e">
        <f>AND('GA55 Entry'!#REF!,"AAAAAGzM+TY=")</f>
        <v>#REF!</v>
      </c>
      <c r="BD147" t="e">
        <f>AND('GA55 Entry'!D505,"AAAAAGzM+Tc=")</f>
        <v>#VALUE!</v>
      </c>
      <c r="BE147" t="e">
        <f>AND('GA55 Entry'!#REF!,"AAAAAGzM+Tg=")</f>
        <v>#REF!</v>
      </c>
      <c r="BF147" t="e">
        <f>AND('GA55 Entry'!E505,"AAAAAGzM+Tk=")</f>
        <v>#VALUE!</v>
      </c>
      <c r="BG147" t="e">
        <f>AND('GA55 Entry'!F505,"AAAAAGzM+To=")</f>
        <v>#VALUE!</v>
      </c>
      <c r="BH147" t="e">
        <f>AND('GA55 Entry'!G505,"AAAAAGzM+Ts=")</f>
        <v>#VALUE!</v>
      </c>
      <c r="BI147" t="e">
        <f>AND('GA55 Entry'!H505,"AAAAAGzM+Tw=")</f>
        <v>#VALUE!</v>
      </c>
      <c r="BJ147" t="e">
        <f>AND('GA55 Entry'!I505,"AAAAAGzM+T0=")</f>
        <v>#VALUE!</v>
      </c>
      <c r="BK147" t="e">
        <f>AND('GA55 Entry'!J505,"AAAAAGzM+T4=")</f>
        <v>#VALUE!</v>
      </c>
      <c r="BL147" t="e">
        <f>AND('GA55 Entry'!#REF!,"AAAAAGzM+T8=")</f>
        <v>#REF!</v>
      </c>
      <c r="BM147" t="e">
        <f>AND('GA55 Entry'!K505,"AAAAAGzM+UA=")</f>
        <v>#VALUE!</v>
      </c>
      <c r="BN147" t="e">
        <f>AND('GA55 Entry'!L505,"AAAAAGzM+UE=")</f>
        <v>#VALUE!</v>
      </c>
      <c r="BO147" t="e">
        <f>AND('GA55 Entry'!M505,"AAAAAGzM+UI=")</f>
        <v>#VALUE!</v>
      </c>
      <c r="BP147" t="e">
        <f>AND('GA55 Entry'!N505,"AAAAAGzM+UM=")</f>
        <v>#VALUE!</v>
      </c>
      <c r="BQ147" t="e">
        <f>AND('GA55 Entry'!O505,"AAAAAGzM+UQ=")</f>
        <v>#VALUE!</v>
      </c>
      <c r="BR147" t="e">
        <f>AND('GA55 Entry'!P505,"AAAAAGzM+UU=")</f>
        <v>#VALUE!</v>
      </c>
      <c r="BS147" t="e">
        <f>AND('GA55 Entry'!Q505,"AAAAAGzM+UY=")</f>
        <v>#VALUE!</v>
      </c>
      <c r="BT147" t="e">
        <f>AND('GA55 Entry'!S505,"AAAAAGzM+Uc=")</f>
        <v>#VALUE!</v>
      </c>
      <c r="BU147" t="e">
        <f>AND('GA55 Entry'!#REF!,"AAAAAGzM+Ug=")</f>
        <v>#REF!</v>
      </c>
      <c r="BV147" t="e">
        <f>AND('GA55 Entry'!T505,"AAAAAGzM+Uk=")</f>
        <v>#VALUE!</v>
      </c>
      <c r="BW147" t="e">
        <f>AND('GA55 Entry'!U505,"AAAAAGzM+Uo=")</f>
        <v>#VALUE!</v>
      </c>
      <c r="BX147" t="e">
        <f>AND('GA55 Entry'!V505,"AAAAAGzM+Us=")</f>
        <v>#VALUE!</v>
      </c>
      <c r="BY147" t="e">
        <f>AND('GA55 Entry'!#REF!,"AAAAAGzM+Uw=")</f>
        <v>#REF!</v>
      </c>
      <c r="BZ147" t="e">
        <f>AND('GA55 Entry'!#REF!,"AAAAAGzM+U0=")</f>
        <v>#REF!</v>
      </c>
      <c r="CA147" t="e">
        <f>AND('GA55 Entry'!X505,"AAAAAGzM+U4=")</f>
        <v>#VALUE!</v>
      </c>
      <c r="CB147" t="e">
        <f>AND('GA55 Entry'!Y505,"AAAAAGzM+U8=")</f>
        <v>#VALUE!</v>
      </c>
      <c r="CC147" t="e">
        <f>AND('GA55 Entry'!#REF!,"AAAAAGzM+VA=")</f>
        <v>#REF!</v>
      </c>
      <c r="CD147" t="e">
        <f>AND('GA55 Entry'!#REF!,"AAAAAGzM+VE=")</f>
        <v>#REF!</v>
      </c>
      <c r="CE147" t="e">
        <f>AND('GA55 Entry'!#REF!,"AAAAAGzM+VI=")</f>
        <v>#REF!</v>
      </c>
      <c r="CF147" t="e">
        <f>AND('GA55 Entry'!#REF!,"AAAAAGzM+VM=")</f>
        <v>#REF!</v>
      </c>
      <c r="CG147" t="e">
        <f>AND('GA55 Entry'!#REF!,"AAAAAGzM+VQ=")</f>
        <v>#REF!</v>
      </c>
      <c r="CH147" t="e">
        <f>AND('GA55 Entry'!#REF!,"AAAAAGzM+VU=")</f>
        <v>#REF!</v>
      </c>
      <c r="CI147" t="e">
        <f>AND('GA55 Entry'!#REF!,"AAAAAGzM+VY=")</f>
        <v>#REF!</v>
      </c>
      <c r="CJ147" t="e">
        <f>AND('GA55 Entry'!#REF!,"AAAAAGzM+Vc=")</f>
        <v>#REF!</v>
      </c>
      <c r="CK147" t="e">
        <f>AND('GA55 Entry'!#REF!,"AAAAAGzM+Vg=")</f>
        <v>#REF!</v>
      </c>
      <c r="CL147" t="e">
        <f>AND('GA55 Entry'!Z505,"AAAAAGzM+Vk=")</f>
        <v>#VALUE!</v>
      </c>
      <c r="CM147" t="e">
        <f>AND('GA55 Entry'!AA505,"AAAAAGzM+Vo=")</f>
        <v>#VALUE!</v>
      </c>
      <c r="CN147" t="e">
        <f>AND('GA55 Entry'!#REF!,"AAAAAGzM+Vs=")</f>
        <v>#REF!</v>
      </c>
      <c r="CO147" t="e">
        <f>AND('GA55 Entry'!#REF!,"AAAAAGzM+Vw=")</f>
        <v>#REF!</v>
      </c>
      <c r="CP147" t="e">
        <f>AND('GA55 Entry'!#REF!,"AAAAAGzM+V0=")</f>
        <v>#REF!</v>
      </c>
      <c r="CQ147" t="e">
        <f>AND('GA55 Entry'!AB505,"AAAAAGzM+V4=")</f>
        <v>#VALUE!</v>
      </c>
      <c r="CR147" t="e">
        <f>AND('GA55 Entry'!AC505,"AAAAAGzM+V8=")</f>
        <v>#VALUE!</v>
      </c>
      <c r="CS147" t="e">
        <f>AND('GA55 Entry'!#REF!,"AAAAAGzM+WA=")</f>
        <v>#REF!</v>
      </c>
      <c r="CT147">
        <f>IF('GA55 Entry'!506:506,"AAAAAGzM+WE=",0)</f>
        <v>0</v>
      </c>
      <c r="CU147" t="e">
        <f>AND('GA55 Entry'!B506,"AAAAAGzM+WI=")</f>
        <v>#VALUE!</v>
      </c>
      <c r="CV147" t="e">
        <f>AND('GA55 Entry'!#REF!,"AAAAAGzM+WM=")</f>
        <v>#REF!</v>
      </c>
      <c r="CW147" t="e">
        <f>AND('GA55 Entry'!C506,"AAAAAGzM+WQ=")</f>
        <v>#VALUE!</v>
      </c>
      <c r="CX147" t="e">
        <f>AND('GA55 Entry'!#REF!,"AAAAAGzM+WU=")</f>
        <v>#REF!</v>
      </c>
      <c r="CY147" t="e">
        <f>AND('GA55 Entry'!#REF!,"AAAAAGzM+WY=")</f>
        <v>#REF!</v>
      </c>
      <c r="CZ147" t="e">
        <f>AND('GA55 Entry'!#REF!,"AAAAAGzM+Wc=")</f>
        <v>#REF!</v>
      </c>
      <c r="DA147" t="e">
        <f>AND('GA55 Entry'!#REF!,"AAAAAGzM+Wg=")</f>
        <v>#REF!</v>
      </c>
      <c r="DB147" t="e">
        <f>AND('GA55 Entry'!#REF!,"AAAAAGzM+Wk=")</f>
        <v>#REF!</v>
      </c>
      <c r="DC147" t="e">
        <f>AND('GA55 Entry'!D506,"AAAAAGzM+Wo=")</f>
        <v>#VALUE!</v>
      </c>
      <c r="DD147" t="e">
        <f>AND('GA55 Entry'!#REF!,"AAAAAGzM+Ws=")</f>
        <v>#REF!</v>
      </c>
      <c r="DE147" t="e">
        <f>AND('GA55 Entry'!E506,"AAAAAGzM+Ww=")</f>
        <v>#VALUE!</v>
      </c>
      <c r="DF147" t="e">
        <f>AND('GA55 Entry'!F506,"AAAAAGzM+W0=")</f>
        <v>#VALUE!</v>
      </c>
      <c r="DG147" t="e">
        <f>AND('GA55 Entry'!G506,"AAAAAGzM+W4=")</f>
        <v>#VALUE!</v>
      </c>
      <c r="DH147" t="e">
        <f>AND('GA55 Entry'!H506,"AAAAAGzM+W8=")</f>
        <v>#VALUE!</v>
      </c>
      <c r="DI147" t="e">
        <f>AND('GA55 Entry'!I506,"AAAAAGzM+XA=")</f>
        <v>#VALUE!</v>
      </c>
      <c r="DJ147" t="e">
        <f>AND('GA55 Entry'!J506,"AAAAAGzM+XE=")</f>
        <v>#VALUE!</v>
      </c>
      <c r="DK147" t="e">
        <f>AND('GA55 Entry'!#REF!,"AAAAAGzM+XI=")</f>
        <v>#REF!</v>
      </c>
      <c r="DL147" t="e">
        <f>AND('GA55 Entry'!K506,"AAAAAGzM+XM=")</f>
        <v>#VALUE!</v>
      </c>
      <c r="DM147" t="e">
        <f>AND('GA55 Entry'!L506,"AAAAAGzM+XQ=")</f>
        <v>#VALUE!</v>
      </c>
      <c r="DN147" t="e">
        <f>AND('GA55 Entry'!M506,"AAAAAGzM+XU=")</f>
        <v>#VALUE!</v>
      </c>
      <c r="DO147" t="e">
        <f>AND('GA55 Entry'!N506,"AAAAAGzM+XY=")</f>
        <v>#VALUE!</v>
      </c>
      <c r="DP147" t="e">
        <f>AND('GA55 Entry'!O506,"AAAAAGzM+Xc=")</f>
        <v>#VALUE!</v>
      </c>
      <c r="DQ147" t="e">
        <f>AND('GA55 Entry'!P506,"AAAAAGzM+Xg=")</f>
        <v>#VALUE!</v>
      </c>
      <c r="DR147" t="e">
        <f>AND('GA55 Entry'!Q506,"AAAAAGzM+Xk=")</f>
        <v>#VALUE!</v>
      </c>
      <c r="DS147" t="e">
        <f>AND('GA55 Entry'!S506,"AAAAAGzM+Xo=")</f>
        <v>#VALUE!</v>
      </c>
      <c r="DT147" t="e">
        <f>AND('GA55 Entry'!#REF!,"AAAAAGzM+Xs=")</f>
        <v>#REF!</v>
      </c>
      <c r="DU147" t="e">
        <f>AND('GA55 Entry'!T506,"AAAAAGzM+Xw=")</f>
        <v>#VALUE!</v>
      </c>
      <c r="DV147" t="e">
        <f>AND('GA55 Entry'!U506,"AAAAAGzM+X0=")</f>
        <v>#VALUE!</v>
      </c>
      <c r="DW147" t="e">
        <f>AND('GA55 Entry'!V506,"AAAAAGzM+X4=")</f>
        <v>#VALUE!</v>
      </c>
      <c r="DX147" t="e">
        <f>AND('GA55 Entry'!#REF!,"AAAAAGzM+X8=")</f>
        <v>#REF!</v>
      </c>
      <c r="DY147" t="e">
        <f>AND('GA55 Entry'!#REF!,"AAAAAGzM+YA=")</f>
        <v>#REF!</v>
      </c>
      <c r="DZ147" t="e">
        <f>AND('GA55 Entry'!X506,"AAAAAGzM+YE=")</f>
        <v>#VALUE!</v>
      </c>
      <c r="EA147" t="e">
        <f>AND('GA55 Entry'!Y506,"AAAAAGzM+YI=")</f>
        <v>#VALUE!</v>
      </c>
      <c r="EB147" t="e">
        <f>AND('GA55 Entry'!#REF!,"AAAAAGzM+YM=")</f>
        <v>#REF!</v>
      </c>
      <c r="EC147" t="e">
        <f>AND('GA55 Entry'!#REF!,"AAAAAGzM+YQ=")</f>
        <v>#REF!</v>
      </c>
      <c r="ED147" t="e">
        <f>AND('GA55 Entry'!#REF!,"AAAAAGzM+YU=")</f>
        <v>#REF!</v>
      </c>
      <c r="EE147" t="e">
        <f>AND('GA55 Entry'!#REF!,"AAAAAGzM+YY=")</f>
        <v>#REF!</v>
      </c>
      <c r="EF147" t="e">
        <f>AND('GA55 Entry'!#REF!,"AAAAAGzM+Yc=")</f>
        <v>#REF!</v>
      </c>
      <c r="EG147" t="e">
        <f>AND('GA55 Entry'!#REF!,"AAAAAGzM+Yg=")</f>
        <v>#REF!</v>
      </c>
      <c r="EH147" t="e">
        <f>AND('GA55 Entry'!#REF!,"AAAAAGzM+Yk=")</f>
        <v>#REF!</v>
      </c>
      <c r="EI147" t="e">
        <f>AND('GA55 Entry'!#REF!,"AAAAAGzM+Yo=")</f>
        <v>#REF!</v>
      </c>
      <c r="EJ147" t="e">
        <f>AND('GA55 Entry'!#REF!,"AAAAAGzM+Ys=")</f>
        <v>#REF!</v>
      </c>
      <c r="EK147" t="e">
        <f>AND('GA55 Entry'!Z506,"AAAAAGzM+Yw=")</f>
        <v>#VALUE!</v>
      </c>
      <c r="EL147" t="e">
        <f>AND('GA55 Entry'!AA506,"AAAAAGzM+Y0=")</f>
        <v>#VALUE!</v>
      </c>
      <c r="EM147" t="e">
        <f>AND('GA55 Entry'!#REF!,"AAAAAGzM+Y4=")</f>
        <v>#REF!</v>
      </c>
      <c r="EN147" t="e">
        <f>AND('GA55 Entry'!#REF!,"AAAAAGzM+Y8=")</f>
        <v>#REF!</v>
      </c>
      <c r="EO147" t="e">
        <f>AND('GA55 Entry'!#REF!,"AAAAAGzM+ZA=")</f>
        <v>#REF!</v>
      </c>
      <c r="EP147" t="e">
        <f>AND('GA55 Entry'!AB506,"AAAAAGzM+ZE=")</f>
        <v>#VALUE!</v>
      </c>
      <c r="EQ147" t="e">
        <f>AND('GA55 Entry'!AC506,"AAAAAGzM+ZI=")</f>
        <v>#VALUE!</v>
      </c>
      <c r="ER147" t="e">
        <f>AND('GA55 Entry'!#REF!,"AAAAAGzM+ZM=")</f>
        <v>#REF!</v>
      </c>
      <c r="ES147">
        <f>IF('GA55 Entry'!507:507,"AAAAAGzM+ZQ=",0)</f>
        <v>0</v>
      </c>
      <c r="ET147" t="e">
        <f>AND('GA55 Entry'!B507,"AAAAAGzM+ZU=")</f>
        <v>#VALUE!</v>
      </c>
      <c r="EU147" t="e">
        <f>AND('GA55 Entry'!#REF!,"AAAAAGzM+ZY=")</f>
        <v>#REF!</v>
      </c>
      <c r="EV147" t="e">
        <f>AND('GA55 Entry'!C507,"AAAAAGzM+Zc=")</f>
        <v>#VALUE!</v>
      </c>
      <c r="EW147" t="e">
        <f>AND('GA55 Entry'!#REF!,"AAAAAGzM+Zg=")</f>
        <v>#REF!</v>
      </c>
      <c r="EX147" t="e">
        <f>AND('GA55 Entry'!#REF!,"AAAAAGzM+Zk=")</f>
        <v>#REF!</v>
      </c>
      <c r="EY147" t="e">
        <f>AND('GA55 Entry'!#REF!,"AAAAAGzM+Zo=")</f>
        <v>#REF!</v>
      </c>
      <c r="EZ147" t="e">
        <f>AND('GA55 Entry'!#REF!,"AAAAAGzM+Zs=")</f>
        <v>#REF!</v>
      </c>
      <c r="FA147" t="e">
        <f>AND('GA55 Entry'!#REF!,"AAAAAGzM+Zw=")</f>
        <v>#REF!</v>
      </c>
      <c r="FB147" t="e">
        <f>AND('GA55 Entry'!D507,"AAAAAGzM+Z0=")</f>
        <v>#VALUE!</v>
      </c>
      <c r="FC147" t="e">
        <f>AND('GA55 Entry'!#REF!,"AAAAAGzM+Z4=")</f>
        <v>#REF!</v>
      </c>
      <c r="FD147" t="e">
        <f>AND('GA55 Entry'!E507,"AAAAAGzM+Z8=")</f>
        <v>#VALUE!</v>
      </c>
      <c r="FE147" t="e">
        <f>AND('GA55 Entry'!F507,"AAAAAGzM+aA=")</f>
        <v>#VALUE!</v>
      </c>
      <c r="FF147" t="e">
        <f>AND('GA55 Entry'!G507,"AAAAAGzM+aE=")</f>
        <v>#VALUE!</v>
      </c>
      <c r="FG147" t="e">
        <f>AND('GA55 Entry'!H507,"AAAAAGzM+aI=")</f>
        <v>#VALUE!</v>
      </c>
      <c r="FH147" t="e">
        <f>AND('GA55 Entry'!I507,"AAAAAGzM+aM=")</f>
        <v>#VALUE!</v>
      </c>
      <c r="FI147" t="e">
        <f>AND('GA55 Entry'!J507,"AAAAAGzM+aQ=")</f>
        <v>#VALUE!</v>
      </c>
      <c r="FJ147" t="e">
        <f>AND('GA55 Entry'!#REF!,"AAAAAGzM+aU=")</f>
        <v>#REF!</v>
      </c>
      <c r="FK147" t="e">
        <f>AND('GA55 Entry'!K507,"AAAAAGzM+aY=")</f>
        <v>#VALUE!</v>
      </c>
      <c r="FL147" t="e">
        <f>AND('GA55 Entry'!L507,"AAAAAGzM+ac=")</f>
        <v>#VALUE!</v>
      </c>
      <c r="FM147" t="e">
        <f>AND('GA55 Entry'!M507,"AAAAAGzM+ag=")</f>
        <v>#VALUE!</v>
      </c>
      <c r="FN147" t="e">
        <f>AND('GA55 Entry'!N507,"AAAAAGzM+ak=")</f>
        <v>#VALUE!</v>
      </c>
      <c r="FO147" t="e">
        <f>AND('GA55 Entry'!O507,"AAAAAGzM+ao=")</f>
        <v>#VALUE!</v>
      </c>
      <c r="FP147" t="e">
        <f>AND('GA55 Entry'!P507,"AAAAAGzM+as=")</f>
        <v>#VALUE!</v>
      </c>
      <c r="FQ147" t="e">
        <f>AND('GA55 Entry'!Q507,"AAAAAGzM+aw=")</f>
        <v>#VALUE!</v>
      </c>
      <c r="FR147" t="e">
        <f>AND('GA55 Entry'!S507,"AAAAAGzM+a0=")</f>
        <v>#VALUE!</v>
      </c>
      <c r="FS147" t="e">
        <f>AND('GA55 Entry'!#REF!,"AAAAAGzM+a4=")</f>
        <v>#REF!</v>
      </c>
      <c r="FT147" t="e">
        <f>AND('GA55 Entry'!T507,"AAAAAGzM+a8=")</f>
        <v>#VALUE!</v>
      </c>
      <c r="FU147" t="e">
        <f>AND('GA55 Entry'!U507,"AAAAAGzM+bA=")</f>
        <v>#VALUE!</v>
      </c>
      <c r="FV147" t="e">
        <f>AND('GA55 Entry'!V507,"AAAAAGzM+bE=")</f>
        <v>#VALUE!</v>
      </c>
      <c r="FW147" t="e">
        <f>AND('GA55 Entry'!#REF!,"AAAAAGzM+bI=")</f>
        <v>#REF!</v>
      </c>
      <c r="FX147" t="e">
        <f>AND('GA55 Entry'!#REF!,"AAAAAGzM+bM=")</f>
        <v>#REF!</v>
      </c>
      <c r="FY147" t="e">
        <f>AND('GA55 Entry'!X507,"AAAAAGzM+bQ=")</f>
        <v>#VALUE!</v>
      </c>
      <c r="FZ147" t="e">
        <f>AND('GA55 Entry'!Y507,"AAAAAGzM+bU=")</f>
        <v>#VALUE!</v>
      </c>
      <c r="GA147" t="e">
        <f>AND('GA55 Entry'!#REF!,"AAAAAGzM+bY=")</f>
        <v>#REF!</v>
      </c>
      <c r="GB147" t="e">
        <f>AND('GA55 Entry'!#REF!,"AAAAAGzM+bc=")</f>
        <v>#REF!</v>
      </c>
      <c r="GC147" t="e">
        <f>AND('GA55 Entry'!#REF!,"AAAAAGzM+bg=")</f>
        <v>#REF!</v>
      </c>
      <c r="GD147" t="e">
        <f>AND('GA55 Entry'!#REF!,"AAAAAGzM+bk=")</f>
        <v>#REF!</v>
      </c>
      <c r="GE147" t="e">
        <f>AND('GA55 Entry'!#REF!,"AAAAAGzM+bo=")</f>
        <v>#REF!</v>
      </c>
      <c r="GF147" t="e">
        <f>AND('GA55 Entry'!#REF!,"AAAAAGzM+bs=")</f>
        <v>#REF!</v>
      </c>
      <c r="GG147" t="e">
        <f>AND('GA55 Entry'!#REF!,"AAAAAGzM+bw=")</f>
        <v>#REF!</v>
      </c>
      <c r="GH147" t="e">
        <f>AND('GA55 Entry'!#REF!,"AAAAAGzM+b0=")</f>
        <v>#REF!</v>
      </c>
      <c r="GI147" t="e">
        <f>AND('GA55 Entry'!#REF!,"AAAAAGzM+b4=")</f>
        <v>#REF!</v>
      </c>
      <c r="GJ147" t="e">
        <f>AND('GA55 Entry'!Z507,"AAAAAGzM+b8=")</f>
        <v>#VALUE!</v>
      </c>
      <c r="GK147" t="e">
        <f>AND('GA55 Entry'!AA507,"AAAAAGzM+cA=")</f>
        <v>#VALUE!</v>
      </c>
      <c r="GL147" t="e">
        <f>AND('GA55 Entry'!#REF!,"AAAAAGzM+cE=")</f>
        <v>#REF!</v>
      </c>
      <c r="GM147" t="e">
        <f>AND('GA55 Entry'!#REF!,"AAAAAGzM+cI=")</f>
        <v>#REF!</v>
      </c>
      <c r="GN147" t="e">
        <f>AND('GA55 Entry'!#REF!,"AAAAAGzM+cM=")</f>
        <v>#REF!</v>
      </c>
      <c r="GO147" t="e">
        <f>AND('GA55 Entry'!AB507,"AAAAAGzM+cQ=")</f>
        <v>#VALUE!</v>
      </c>
      <c r="GP147" t="e">
        <f>AND('GA55 Entry'!AC507,"AAAAAGzM+cU=")</f>
        <v>#VALUE!</v>
      </c>
      <c r="GQ147" t="e">
        <f>AND('GA55 Entry'!#REF!,"AAAAAGzM+cY=")</f>
        <v>#REF!</v>
      </c>
      <c r="GR147">
        <f>IF('GA55 Entry'!508:508,"AAAAAGzM+cc=",0)</f>
        <v>0</v>
      </c>
      <c r="GS147" t="e">
        <f>AND('GA55 Entry'!B508,"AAAAAGzM+cg=")</f>
        <v>#VALUE!</v>
      </c>
      <c r="GT147" t="e">
        <f>AND('GA55 Entry'!#REF!,"AAAAAGzM+ck=")</f>
        <v>#REF!</v>
      </c>
      <c r="GU147" t="e">
        <f>AND('GA55 Entry'!C508,"AAAAAGzM+co=")</f>
        <v>#VALUE!</v>
      </c>
      <c r="GV147" t="e">
        <f>AND('GA55 Entry'!#REF!,"AAAAAGzM+cs=")</f>
        <v>#REF!</v>
      </c>
      <c r="GW147" t="e">
        <f>AND('GA55 Entry'!#REF!,"AAAAAGzM+cw=")</f>
        <v>#REF!</v>
      </c>
      <c r="GX147" t="e">
        <f>AND('GA55 Entry'!#REF!,"AAAAAGzM+c0=")</f>
        <v>#REF!</v>
      </c>
      <c r="GY147" t="e">
        <f>AND('GA55 Entry'!#REF!,"AAAAAGzM+c4=")</f>
        <v>#REF!</v>
      </c>
      <c r="GZ147" t="e">
        <f>AND('GA55 Entry'!#REF!,"AAAAAGzM+c8=")</f>
        <v>#REF!</v>
      </c>
      <c r="HA147" t="e">
        <f>AND('GA55 Entry'!D508,"AAAAAGzM+dA=")</f>
        <v>#VALUE!</v>
      </c>
      <c r="HB147" t="e">
        <f>AND('GA55 Entry'!#REF!,"AAAAAGzM+dE=")</f>
        <v>#REF!</v>
      </c>
      <c r="HC147" t="e">
        <f>AND('GA55 Entry'!E508,"AAAAAGzM+dI=")</f>
        <v>#VALUE!</v>
      </c>
      <c r="HD147" t="e">
        <f>AND('GA55 Entry'!F508,"AAAAAGzM+dM=")</f>
        <v>#VALUE!</v>
      </c>
      <c r="HE147" t="e">
        <f>AND('GA55 Entry'!G508,"AAAAAGzM+dQ=")</f>
        <v>#VALUE!</v>
      </c>
      <c r="HF147" t="e">
        <f>AND('GA55 Entry'!H508,"AAAAAGzM+dU=")</f>
        <v>#VALUE!</v>
      </c>
      <c r="HG147" t="e">
        <f>AND('GA55 Entry'!I508,"AAAAAGzM+dY=")</f>
        <v>#VALUE!</v>
      </c>
      <c r="HH147" t="e">
        <f>AND('GA55 Entry'!J508,"AAAAAGzM+dc=")</f>
        <v>#VALUE!</v>
      </c>
      <c r="HI147" t="e">
        <f>AND('GA55 Entry'!#REF!,"AAAAAGzM+dg=")</f>
        <v>#REF!</v>
      </c>
      <c r="HJ147" t="e">
        <f>AND('GA55 Entry'!K508,"AAAAAGzM+dk=")</f>
        <v>#VALUE!</v>
      </c>
      <c r="HK147" t="e">
        <f>AND('GA55 Entry'!L508,"AAAAAGzM+do=")</f>
        <v>#VALUE!</v>
      </c>
      <c r="HL147" t="e">
        <f>AND('GA55 Entry'!M508,"AAAAAGzM+ds=")</f>
        <v>#VALUE!</v>
      </c>
      <c r="HM147" t="e">
        <f>AND('GA55 Entry'!N508,"AAAAAGzM+dw=")</f>
        <v>#VALUE!</v>
      </c>
      <c r="HN147" t="e">
        <f>AND('GA55 Entry'!O508,"AAAAAGzM+d0=")</f>
        <v>#VALUE!</v>
      </c>
      <c r="HO147" t="e">
        <f>AND('GA55 Entry'!P508,"AAAAAGzM+d4=")</f>
        <v>#VALUE!</v>
      </c>
      <c r="HP147" t="e">
        <f>AND('GA55 Entry'!Q508,"AAAAAGzM+d8=")</f>
        <v>#VALUE!</v>
      </c>
      <c r="HQ147" t="e">
        <f>AND('GA55 Entry'!S508,"AAAAAGzM+eA=")</f>
        <v>#VALUE!</v>
      </c>
      <c r="HR147" t="e">
        <f>AND('GA55 Entry'!#REF!,"AAAAAGzM+eE=")</f>
        <v>#REF!</v>
      </c>
      <c r="HS147" t="e">
        <f>AND('GA55 Entry'!T508,"AAAAAGzM+eI=")</f>
        <v>#VALUE!</v>
      </c>
      <c r="HT147" t="e">
        <f>AND('GA55 Entry'!U508,"AAAAAGzM+eM=")</f>
        <v>#VALUE!</v>
      </c>
      <c r="HU147" t="e">
        <f>AND('GA55 Entry'!V508,"AAAAAGzM+eQ=")</f>
        <v>#VALUE!</v>
      </c>
      <c r="HV147" t="e">
        <f>AND('GA55 Entry'!#REF!,"AAAAAGzM+eU=")</f>
        <v>#REF!</v>
      </c>
      <c r="HW147" t="e">
        <f>AND('GA55 Entry'!#REF!,"AAAAAGzM+eY=")</f>
        <v>#REF!</v>
      </c>
      <c r="HX147" t="e">
        <f>AND('GA55 Entry'!X508,"AAAAAGzM+ec=")</f>
        <v>#VALUE!</v>
      </c>
      <c r="HY147" t="e">
        <f>AND('GA55 Entry'!Y508,"AAAAAGzM+eg=")</f>
        <v>#VALUE!</v>
      </c>
      <c r="HZ147" t="e">
        <f>AND('GA55 Entry'!#REF!,"AAAAAGzM+ek=")</f>
        <v>#REF!</v>
      </c>
      <c r="IA147" t="e">
        <f>AND('GA55 Entry'!#REF!,"AAAAAGzM+eo=")</f>
        <v>#REF!</v>
      </c>
      <c r="IB147" t="e">
        <f>AND('GA55 Entry'!#REF!,"AAAAAGzM+es=")</f>
        <v>#REF!</v>
      </c>
      <c r="IC147" t="e">
        <f>AND('GA55 Entry'!#REF!,"AAAAAGzM+ew=")</f>
        <v>#REF!</v>
      </c>
      <c r="ID147" t="e">
        <f>AND('GA55 Entry'!#REF!,"AAAAAGzM+e0=")</f>
        <v>#REF!</v>
      </c>
      <c r="IE147" t="e">
        <f>AND('GA55 Entry'!#REF!,"AAAAAGzM+e4=")</f>
        <v>#REF!</v>
      </c>
      <c r="IF147" t="e">
        <f>AND('GA55 Entry'!#REF!,"AAAAAGzM+e8=")</f>
        <v>#REF!</v>
      </c>
      <c r="IG147" t="e">
        <f>AND('GA55 Entry'!#REF!,"AAAAAGzM+fA=")</f>
        <v>#REF!</v>
      </c>
      <c r="IH147" t="e">
        <f>AND('GA55 Entry'!#REF!,"AAAAAGzM+fE=")</f>
        <v>#REF!</v>
      </c>
      <c r="II147" t="e">
        <f>AND('GA55 Entry'!Z508,"AAAAAGzM+fI=")</f>
        <v>#VALUE!</v>
      </c>
      <c r="IJ147" t="e">
        <f>AND('GA55 Entry'!AA508,"AAAAAGzM+fM=")</f>
        <v>#VALUE!</v>
      </c>
      <c r="IK147" t="e">
        <f>AND('GA55 Entry'!#REF!,"AAAAAGzM+fQ=")</f>
        <v>#REF!</v>
      </c>
      <c r="IL147" t="e">
        <f>AND('GA55 Entry'!#REF!,"AAAAAGzM+fU=")</f>
        <v>#REF!</v>
      </c>
      <c r="IM147" t="e">
        <f>AND('GA55 Entry'!#REF!,"AAAAAGzM+fY=")</f>
        <v>#REF!</v>
      </c>
      <c r="IN147" t="e">
        <f>AND('GA55 Entry'!AB508,"AAAAAGzM+fc=")</f>
        <v>#VALUE!</v>
      </c>
      <c r="IO147" t="e">
        <f>AND('GA55 Entry'!AC508,"AAAAAGzM+fg=")</f>
        <v>#VALUE!</v>
      </c>
      <c r="IP147" t="e">
        <f>AND('GA55 Entry'!#REF!,"AAAAAGzM+fk=")</f>
        <v>#REF!</v>
      </c>
      <c r="IQ147">
        <f>IF('GA55 Entry'!509:509,"AAAAAGzM+fo=",0)</f>
        <v>0</v>
      </c>
      <c r="IR147" t="e">
        <f>AND('GA55 Entry'!B509,"AAAAAGzM+fs=")</f>
        <v>#VALUE!</v>
      </c>
      <c r="IS147" t="e">
        <f>AND('GA55 Entry'!#REF!,"AAAAAGzM+fw=")</f>
        <v>#REF!</v>
      </c>
      <c r="IT147" t="e">
        <f>AND('GA55 Entry'!C509,"AAAAAGzM+f0=")</f>
        <v>#VALUE!</v>
      </c>
      <c r="IU147" t="e">
        <f>AND('GA55 Entry'!#REF!,"AAAAAGzM+f4=")</f>
        <v>#REF!</v>
      </c>
      <c r="IV147" t="e">
        <f>AND('GA55 Entry'!#REF!,"AAAAAGzM+f8=")</f>
        <v>#REF!</v>
      </c>
    </row>
    <row r="148" spans="1:256">
      <c r="A148" t="e">
        <f>AND('GA55 Entry'!#REF!,"AAAAAHvfvwA=")</f>
        <v>#REF!</v>
      </c>
      <c r="B148" t="e">
        <f>AND('GA55 Entry'!#REF!,"AAAAAHvfvwE=")</f>
        <v>#REF!</v>
      </c>
      <c r="C148" t="e">
        <f>AND('GA55 Entry'!#REF!,"AAAAAHvfvwI=")</f>
        <v>#REF!</v>
      </c>
      <c r="D148" t="e">
        <f>AND('GA55 Entry'!D509,"AAAAAHvfvwM=")</f>
        <v>#VALUE!</v>
      </c>
      <c r="E148" t="e">
        <f>AND('GA55 Entry'!#REF!,"AAAAAHvfvwQ=")</f>
        <v>#REF!</v>
      </c>
      <c r="F148" t="e">
        <f>AND('GA55 Entry'!E509,"AAAAAHvfvwU=")</f>
        <v>#VALUE!</v>
      </c>
      <c r="G148" t="e">
        <f>AND('GA55 Entry'!F509,"AAAAAHvfvwY=")</f>
        <v>#VALUE!</v>
      </c>
      <c r="H148" t="e">
        <f>AND('GA55 Entry'!G509,"AAAAAHvfvwc=")</f>
        <v>#VALUE!</v>
      </c>
      <c r="I148" t="e">
        <f>AND('GA55 Entry'!H509,"AAAAAHvfvwg=")</f>
        <v>#VALUE!</v>
      </c>
      <c r="J148" t="e">
        <f>AND('GA55 Entry'!I509,"AAAAAHvfvwk=")</f>
        <v>#VALUE!</v>
      </c>
      <c r="K148" t="e">
        <f>AND('GA55 Entry'!J509,"AAAAAHvfvwo=")</f>
        <v>#VALUE!</v>
      </c>
      <c r="L148" t="e">
        <f>AND('GA55 Entry'!#REF!,"AAAAAHvfvws=")</f>
        <v>#REF!</v>
      </c>
      <c r="M148" t="e">
        <f>AND('GA55 Entry'!K509,"AAAAAHvfvww=")</f>
        <v>#VALUE!</v>
      </c>
      <c r="N148" t="e">
        <f>AND('GA55 Entry'!L509,"AAAAAHvfvw0=")</f>
        <v>#VALUE!</v>
      </c>
      <c r="O148" t="e">
        <f>AND('GA55 Entry'!M509,"AAAAAHvfvw4=")</f>
        <v>#VALUE!</v>
      </c>
      <c r="P148" t="e">
        <f>AND('GA55 Entry'!N509,"AAAAAHvfvw8=")</f>
        <v>#VALUE!</v>
      </c>
      <c r="Q148" t="e">
        <f>AND('GA55 Entry'!O509,"AAAAAHvfvxA=")</f>
        <v>#VALUE!</v>
      </c>
      <c r="R148" t="e">
        <f>AND('GA55 Entry'!P509,"AAAAAHvfvxE=")</f>
        <v>#VALUE!</v>
      </c>
      <c r="S148" t="e">
        <f>AND('GA55 Entry'!Q509,"AAAAAHvfvxI=")</f>
        <v>#VALUE!</v>
      </c>
      <c r="T148" t="e">
        <f>AND('GA55 Entry'!S509,"AAAAAHvfvxM=")</f>
        <v>#VALUE!</v>
      </c>
      <c r="U148" t="e">
        <f>AND('GA55 Entry'!#REF!,"AAAAAHvfvxQ=")</f>
        <v>#REF!</v>
      </c>
      <c r="V148" t="e">
        <f>AND('GA55 Entry'!T509,"AAAAAHvfvxU=")</f>
        <v>#VALUE!</v>
      </c>
      <c r="W148" t="e">
        <f>AND('GA55 Entry'!U509,"AAAAAHvfvxY=")</f>
        <v>#VALUE!</v>
      </c>
      <c r="X148" t="e">
        <f>AND('GA55 Entry'!V509,"AAAAAHvfvxc=")</f>
        <v>#VALUE!</v>
      </c>
      <c r="Y148" t="e">
        <f>AND('GA55 Entry'!#REF!,"AAAAAHvfvxg=")</f>
        <v>#REF!</v>
      </c>
      <c r="Z148" t="e">
        <f>AND('GA55 Entry'!#REF!,"AAAAAHvfvxk=")</f>
        <v>#REF!</v>
      </c>
      <c r="AA148" t="e">
        <f>AND('GA55 Entry'!X509,"AAAAAHvfvxo=")</f>
        <v>#VALUE!</v>
      </c>
      <c r="AB148" t="e">
        <f>AND('GA55 Entry'!Y509,"AAAAAHvfvxs=")</f>
        <v>#VALUE!</v>
      </c>
      <c r="AC148" t="e">
        <f>AND('GA55 Entry'!#REF!,"AAAAAHvfvxw=")</f>
        <v>#REF!</v>
      </c>
      <c r="AD148" t="e">
        <f>AND('GA55 Entry'!#REF!,"AAAAAHvfvx0=")</f>
        <v>#REF!</v>
      </c>
      <c r="AE148" t="e">
        <f>AND('GA55 Entry'!#REF!,"AAAAAHvfvx4=")</f>
        <v>#REF!</v>
      </c>
      <c r="AF148" t="e">
        <f>AND('GA55 Entry'!#REF!,"AAAAAHvfvx8=")</f>
        <v>#REF!</v>
      </c>
      <c r="AG148" t="e">
        <f>AND('GA55 Entry'!#REF!,"AAAAAHvfvyA=")</f>
        <v>#REF!</v>
      </c>
      <c r="AH148" t="e">
        <f>AND('GA55 Entry'!#REF!,"AAAAAHvfvyE=")</f>
        <v>#REF!</v>
      </c>
      <c r="AI148" t="e">
        <f>AND('GA55 Entry'!#REF!,"AAAAAHvfvyI=")</f>
        <v>#REF!</v>
      </c>
      <c r="AJ148" t="e">
        <f>AND('GA55 Entry'!#REF!,"AAAAAHvfvyM=")</f>
        <v>#REF!</v>
      </c>
      <c r="AK148" t="e">
        <f>AND('GA55 Entry'!#REF!,"AAAAAHvfvyQ=")</f>
        <v>#REF!</v>
      </c>
      <c r="AL148" t="e">
        <f>AND('GA55 Entry'!Z509,"AAAAAHvfvyU=")</f>
        <v>#VALUE!</v>
      </c>
      <c r="AM148" t="e">
        <f>AND('GA55 Entry'!AA509,"AAAAAHvfvyY=")</f>
        <v>#VALUE!</v>
      </c>
      <c r="AN148" t="e">
        <f>AND('GA55 Entry'!#REF!,"AAAAAHvfvyc=")</f>
        <v>#REF!</v>
      </c>
      <c r="AO148" t="e">
        <f>AND('GA55 Entry'!#REF!,"AAAAAHvfvyg=")</f>
        <v>#REF!</v>
      </c>
      <c r="AP148" t="e">
        <f>AND('GA55 Entry'!#REF!,"AAAAAHvfvyk=")</f>
        <v>#REF!</v>
      </c>
      <c r="AQ148" t="e">
        <f>AND('GA55 Entry'!AB509,"AAAAAHvfvyo=")</f>
        <v>#VALUE!</v>
      </c>
      <c r="AR148" t="e">
        <f>AND('GA55 Entry'!AC509,"AAAAAHvfvys=")</f>
        <v>#VALUE!</v>
      </c>
      <c r="AS148" t="e">
        <f>AND('GA55 Entry'!#REF!,"AAAAAHvfvyw=")</f>
        <v>#REF!</v>
      </c>
      <c r="AT148">
        <f>IF('GA55 Entry'!510:510,"AAAAAHvfvy0=",0)</f>
        <v>0</v>
      </c>
      <c r="AU148" t="e">
        <f>AND('GA55 Entry'!B510,"AAAAAHvfvy4=")</f>
        <v>#VALUE!</v>
      </c>
      <c r="AV148" t="e">
        <f>AND('GA55 Entry'!#REF!,"AAAAAHvfvy8=")</f>
        <v>#REF!</v>
      </c>
      <c r="AW148" t="e">
        <f>AND('GA55 Entry'!C510,"AAAAAHvfvzA=")</f>
        <v>#VALUE!</v>
      </c>
      <c r="AX148" t="e">
        <f>AND('GA55 Entry'!#REF!,"AAAAAHvfvzE=")</f>
        <v>#REF!</v>
      </c>
      <c r="AY148" t="e">
        <f>AND('GA55 Entry'!#REF!,"AAAAAHvfvzI=")</f>
        <v>#REF!</v>
      </c>
      <c r="AZ148" t="e">
        <f>AND('GA55 Entry'!#REF!,"AAAAAHvfvzM=")</f>
        <v>#REF!</v>
      </c>
      <c r="BA148" t="e">
        <f>AND('GA55 Entry'!#REF!,"AAAAAHvfvzQ=")</f>
        <v>#REF!</v>
      </c>
      <c r="BB148" t="e">
        <f>AND('GA55 Entry'!#REF!,"AAAAAHvfvzU=")</f>
        <v>#REF!</v>
      </c>
      <c r="BC148" t="e">
        <f>AND('GA55 Entry'!D510,"AAAAAHvfvzY=")</f>
        <v>#VALUE!</v>
      </c>
      <c r="BD148" t="e">
        <f>AND('GA55 Entry'!#REF!,"AAAAAHvfvzc=")</f>
        <v>#REF!</v>
      </c>
      <c r="BE148" t="e">
        <f>AND('GA55 Entry'!E510,"AAAAAHvfvzg=")</f>
        <v>#VALUE!</v>
      </c>
      <c r="BF148" t="e">
        <f>AND('GA55 Entry'!F510,"AAAAAHvfvzk=")</f>
        <v>#VALUE!</v>
      </c>
      <c r="BG148" t="e">
        <f>AND('GA55 Entry'!G510,"AAAAAHvfvzo=")</f>
        <v>#VALUE!</v>
      </c>
      <c r="BH148" t="e">
        <f>AND('GA55 Entry'!H510,"AAAAAHvfvzs=")</f>
        <v>#VALUE!</v>
      </c>
      <c r="BI148" t="e">
        <f>AND('GA55 Entry'!I510,"AAAAAHvfvzw=")</f>
        <v>#VALUE!</v>
      </c>
      <c r="BJ148" t="e">
        <f>AND('GA55 Entry'!J510,"AAAAAHvfvz0=")</f>
        <v>#VALUE!</v>
      </c>
      <c r="BK148" t="e">
        <f>AND('GA55 Entry'!#REF!,"AAAAAHvfvz4=")</f>
        <v>#REF!</v>
      </c>
      <c r="BL148" t="e">
        <f>AND('GA55 Entry'!K510,"AAAAAHvfvz8=")</f>
        <v>#VALUE!</v>
      </c>
      <c r="BM148" t="e">
        <f>AND('GA55 Entry'!L510,"AAAAAHvfv0A=")</f>
        <v>#VALUE!</v>
      </c>
      <c r="BN148" t="e">
        <f>AND('GA55 Entry'!M510,"AAAAAHvfv0E=")</f>
        <v>#VALUE!</v>
      </c>
      <c r="BO148" t="e">
        <f>AND('GA55 Entry'!N510,"AAAAAHvfv0I=")</f>
        <v>#VALUE!</v>
      </c>
      <c r="BP148" t="e">
        <f>AND('GA55 Entry'!O510,"AAAAAHvfv0M=")</f>
        <v>#VALUE!</v>
      </c>
      <c r="BQ148" t="e">
        <f>AND('GA55 Entry'!P510,"AAAAAHvfv0Q=")</f>
        <v>#VALUE!</v>
      </c>
      <c r="BR148" t="e">
        <f>AND('GA55 Entry'!Q510,"AAAAAHvfv0U=")</f>
        <v>#VALUE!</v>
      </c>
      <c r="BS148" t="e">
        <f>AND('GA55 Entry'!S510,"AAAAAHvfv0Y=")</f>
        <v>#VALUE!</v>
      </c>
      <c r="BT148" t="e">
        <f>AND('GA55 Entry'!#REF!,"AAAAAHvfv0c=")</f>
        <v>#REF!</v>
      </c>
      <c r="BU148" t="e">
        <f>AND('GA55 Entry'!T510,"AAAAAHvfv0g=")</f>
        <v>#VALUE!</v>
      </c>
      <c r="BV148" t="e">
        <f>AND('GA55 Entry'!U510,"AAAAAHvfv0k=")</f>
        <v>#VALUE!</v>
      </c>
      <c r="BW148" t="e">
        <f>AND('GA55 Entry'!V510,"AAAAAHvfv0o=")</f>
        <v>#VALUE!</v>
      </c>
      <c r="BX148" t="e">
        <f>AND('GA55 Entry'!#REF!,"AAAAAHvfv0s=")</f>
        <v>#REF!</v>
      </c>
      <c r="BY148" t="e">
        <f>AND('GA55 Entry'!#REF!,"AAAAAHvfv0w=")</f>
        <v>#REF!</v>
      </c>
      <c r="BZ148" t="e">
        <f>AND('GA55 Entry'!X510,"AAAAAHvfv00=")</f>
        <v>#VALUE!</v>
      </c>
      <c r="CA148" t="e">
        <f>AND('GA55 Entry'!Y510,"AAAAAHvfv04=")</f>
        <v>#VALUE!</v>
      </c>
      <c r="CB148" t="e">
        <f>AND('GA55 Entry'!#REF!,"AAAAAHvfv08=")</f>
        <v>#REF!</v>
      </c>
      <c r="CC148" t="e">
        <f>AND('GA55 Entry'!#REF!,"AAAAAHvfv1A=")</f>
        <v>#REF!</v>
      </c>
      <c r="CD148" t="e">
        <f>AND('GA55 Entry'!#REF!,"AAAAAHvfv1E=")</f>
        <v>#REF!</v>
      </c>
      <c r="CE148" t="e">
        <f>AND('GA55 Entry'!#REF!,"AAAAAHvfv1I=")</f>
        <v>#REF!</v>
      </c>
      <c r="CF148" t="e">
        <f>AND('GA55 Entry'!#REF!,"AAAAAHvfv1M=")</f>
        <v>#REF!</v>
      </c>
      <c r="CG148" t="e">
        <f>AND('GA55 Entry'!#REF!,"AAAAAHvfv1Q=")</f>
        <v>#REF!</v>
      </c>
      <c r="CH148" t="e">
        <f>AND('GA55 Entry'!#REF!,"AAAAAHvfv1U=")</f>
        <v>#REF!</v>
      </c>
      <c r="CI148" t="e">
        <f>AND('GA55 Entry'!#REF!,"AAAAAHvfv1Y=")</f>
        <v>#REF!</v>
      </c>
      <c r="CJ148" t="e">
        <f>AND('GA55 Entry'!#REF!,"AAAAAHvfv1c=")</f>
        <v>#REF!</v>
      </c>
      <c r="CK148" t="e">
        <f>AND('GA55 Entry'!Z510,"AAAAAHvfv1g=")</f>
        <v>#VALUE!</v>
      </c>
      <c r="CL148" t="e">
        <f>AND('GA55 Entry'!AA510,"AAAAAHvfv1k=")</f>
        <v>#VALUE!</v>
      </c>
      <c r="CM148" t="e">
        <f>AND('GA55 Entry'!#REF!,"AAAAAHvfv1o=")</f>
        <v>#REF!</v>
      </c>
      <c r="CN148" t="e">
        <f>AND('GA55 Entry'!#REF!,"AAAAAHvfv1s=")</f>
        <v>#REF!</v>
      </c>
      <c r="CO148" t="e">
        <f>AND('GA55 Entry'!#REF!,"AAAAAHvfv1w=")</f>
        <v>#REF!</v>
      </c>
      <c r="CP148" t="e">
        <f>AND('GA55 Entry'!AB510,"AAAAAHvfv10=")</f>
        <v>#VALUE!</v>
      </c>
      <c r="CQ148" t="e">
        <f>AND('GA55 Entry'!AC510,"AAAAAHvfv14=")</f>
        <v>#VALUE!</v>
      </c>
      <c r="CR148" t="e">
        <f>AND('GA55 Entry'!#REF!,"AAAAAHvfv18=")</f>
        <v>#REF!</v>
      </c>
      <c r="CS148">
        <f>IF('GA55 Entry'!511:511,"AAAAAHvfv2A=",0)</f>
        <v>0</v>
      </c>
      <c r="CT148" t="e">
        <f>AND('GA55 Entry'!B511,"AAAAAHvfv2E=")</f>
        <v>#VALUE!</v>
      </c>
      <c r="CU148" t="e">
        <f>AND('GA55 Entry'!#REF!,"AAAAAHvfv2I=")</f>
        <v>#REF!</v>
      </c>
      <c r="CV148" t="e">
        <f>AND('GA55 Entry'!C511,"AAAAAHvfv2M=")</f>
        <v>#VALUE!</v>
      </c>
      <c r="CW148" t="e">
        <f>AND('GA55 Entry'!#REF!,"AAAAAHvfv2Q=")</f>
        <v>#REF!</v>
      </c>
      <c r="CX148" t="e">
        <f>AND('GA55 Entry'!#REF!,"AAAAAHvfv2U=")</f>
        <v>#REF!</v>
      </c>
      <c r="CY148" t="e">
        <f>AND('GA55 Entry'!#REF!,"AAAAAHvfv2Y=")</f>
        <v>#REF!</v>
      </c>
      <c r="CZ148" t="e">
        <f>AND('GA55 Entry'!#REF!,"AAAAAHvfv2c=")</f>
        <v>#REF!</v>
      </c>
      <c r="DA148" t="e">
        <f>AND('GA55 Entry'!#REF!,"AAAAAHvfv2g=")</f>
        <v>#REF!</v>
      </c>
      <c r="DB148" t="e">
        <f>AND('GA55 Entry'!D511,"AAAAAHvfv2k=")</f>
        <v>#VALUE!</v>
      </c>
      <c r="DC148" t="e">
        <f>AND('GA55 Entry'!#REF!,"AAAAAHvfv2o=")</f>
        <v>#REF!</v>
      </c>
      <c r="DD148" t="e">
        <f>AND('GA55 Entry'!E511,"AAAAAHvfv2s=")</f>
        <v>#VALUE!</v>
      </c>
      <c r="DE148" t="e">
        <f>AND('GA55 Entry'!F511,"AAAAAHvfv2w=")</f>
        <v>#VALUE!</v>
      </c>
      <c r="DF148" t="e">
        <f>AND('GA55 Entry'!G511,"AAAAAHvfv20=")</f>
        <v>#VALUE!</v>
      </c>
      <c r="DG148" t="e">
        <f>AND('GA55 Entry'!H511,"AAAAAHvfv24=")</f>
        <v>#VALUE!</v>
      </c>
      <c r="DH148" t="e">
        <f>AND('GA55 Entry'!I511,"AAAAAHvfv28=")</f>
        <v>#VALUE!</v>
      </c>
      <c r="DI148" t="e">
        <f>AND('GA55 Entry'!J511,"AAAAAHvfv3A=")</f>
        <v>#VALUE!</v>
      </c>
      <c r="DJ148" t="e">
        <f>AND('GA55 Entry'!#REF!,"AAAAAHvfv3E=")</f>
        <v>#REF!</v>
      </c>
      <c r="DK148" t="e">
        <f>AND('GA55 Entry'!K511,"AAAAAHvfv3I=")</f>
        <v>#VALUE!</v>
      </c>
      <c r="DL148" t="e">
        <f>AND('GA55 Entry'!L511,"AAAAAHvfv3M=")</f>
        <v>#VALUE!</v>
      </c>
      <c r="DM148" t="e">
        <f>AND('GA55 Entry'!M511,"AAAAAHvfv3Q=")</f>
        <v>#VALUE!</v>
      </c>
      <c r="DN148" t="e">
        <f>AND('GA55 Entry'!N511,"AAAAAHvfv3U=")</f>
        <v>#VALUE!</v>
      </c>
      <c r="DO148" t="e">
        <f>AND('GA55 Entry'!O511,"AAAAAHvfv3Y=")</f>
        <v>#VALUE!</v>
      </c>
      <c r="DP148" t="e">
        <f>AND('GA55 Entry'!P511,"AAAAAHvfv3c=")</f>
        <v>#VALUE!</v>
      </c>
      <c r="DQ148" t="e">
        <f>AND('GA55 Entry'!Q511,"AAAAAHvfv3g=")</f>
        <v>#VALUE!</v>
      </c>
      <c r="DR148" t="e">
        <f>AND('GA55 Entry'!S511,"AAAAAHvfv3k=")</f>
        <v>#VALUE!</v>
      </c>
      <c r="DS148" t="e">
        <f>AND('GA55 Entry'!#REF!,"AAAAAHvfv3o=")</f>
        <v>#REF!</v>
      </c>
      <c r="DT148" t="e">
        <f>AND('GA55 Entry'!T511,"AAAAAHvfv3s=")</f>
        <v>#VALUE!</v>
      </c>
      <c r="DU148" t="e">
        <f>AND('GA55 Entry'!U511,"AAAAAHvfv3w=")</f>
        <v>#VALUE!</v>
      </c>
      <c r="DV148" t="e">
        <f>AND('GA55 Entry'!V511,"AAAAAHvfv30=")</f>
        <v>#VALUE!</v>
      </c>
      <c r="DW148" t="e">
        <f>AND('GA55 Entry'!#REF!,"AAAAAHvfv34=")</f>
        <v>#REF!</v>
      </c>
      <c r="DX148" t="e">
        <f>AND('GA55 Entry'!#REF!,"AAAAAHvfv38=")</f>
        <v>#REF!</v>
      </c>
      <c r="DY148" t="e">
        <f>AND('GA55 Entry'!X511,"AAAAAHvfv4A=")</f>
        <v>#VALUE!</v>
      </c>
      <c r="DZ148" t="e">
        <f>AND('GA55 Entry'!Y511,"AAAAAHvfv4E=")</f>
        <v>#VALUE!</v>
      </c>
      <c r="EA148" t="e">
        <f>AND('GA55 Entry'!#REF!,"AAAAAHvfv4I=")</f>
        <v>#REF!</v>
      </c>
      <c r="EB148" t="e">
        <f>AND('GA55 Entry'!#REF!,"AAAAAHvfv4M=")</f>
        <v>#REF!</v>
      </c>
      <c r="EC148" t="e">
        <f>AND('GA55 Entry'!#REF!,"AAAAAHvfv4Q=")</f>
        <v>#REF!</v>
      </c>
      <c r="ED148" t="e">
        <f>AND('GA55 Entry'!#REF!,"AAAAAHvfv4U=")</f>
        <v>#REF!</v>
      </c>
      <c r="EE148" t="e">
        <f>AND('GA55 Entry'!#REF!,"AAAAAHvfv4Y=")</f>
        <v>#REF!</v>
      </c>
      <c r="EF148" t="e">
        <f>AND('GA55 Entry'!#REF!,"AAAAAHvfv4c=")</f>
        <v>#REF!</v>
      </c>
      <c r="EG148" t="e">
        <f>AND('GA55 Entry'!#REF!,"AAAAAHvfv4g=")</f>
        <v>#REF!</v>
      </c>
      <c r="EH148" t="e">
        <f>AND('GA55 Entry'!#REF!,"AAAAAHvfv4k=")</f>
        <v>#REF!</v>
      </c>
      <c r="EI148" t="e">
        <f>AND('GA55 Entry'!#REF!,"AAAAAHvfv4o=")</f>
        <v>#REF!</v>
      </c>
      <c r="EJ148" t="e">
        <f>AND('GA55 Entry'!Z511,"AAAAAHvfv4s=")</f>
        <v>#VALUE!</v>
      </c>
      <c r="EK148" t="e">
        <f>AND('GA55 Entry'!AA511,"AAAAAHvfv4w=")</f>
        <v>#VALUE!</v>
      </c>
      <c r="EL148" t="e">
        <f>AND('GA55 Entry'!#REF!,"AAAAAHvfv40=")</f>
        <v>#REF!</v>
      </c>
      <c r="EM148" t="e">
        <f>AND('GA55 Entry'!#REF!,"AAAAAHvfv44=")</f>
        <v>#REF!</v>
      </c>
      <c r="EN148" t="e">
        <f>AND('GA55 Entry'!#REF!,"AAAAAHvfv48=")</f>
        <v>#REF!</v>
      </c>
      <c r="EO148" t="e">
        <f>AND('GA55 Entry'!AB511,"AAAAAHvfv5A=")</f>
        <v>#VALUE!</v>
      </c>
      <c r="EP148" t="e">
        <f>AND('GA55 Entry'!AC511,"AAAAAHvfv5E=")</f>
        <v>#VALUE!</v>
      </c>
      <c r="EQ148" t="e">
        <f>AND('GA55 Entry'!#REF!,"AAAAAHvfv5I=")</f>
        <v>#REF!</v>
      </c>
      <c r="ER148">
        <f>IF('GA55 Entry'!512:512,"AAAAAHvfv5M=",0)</f>
        <v>0</v>
      </c>
      <c r="ES148" t="e">
        <f>AND('GA55 Entry'!B512,"AAAAAHvfv5Q=")</f>
        <v>#VALUE!</v>
      </c>
      <c r="ET148" t="e">
        <f>AND('GA55 Entry'!#REF!,"AAAAAHvfv5U=")</f>
        <v>#REF!</v>
      </c>
      <c r="EU148" t="e">
        <f>AND('GA55 Entry'!C512,"AAAAAHvfv5Y=")</f>
        <v>#VALUE!</v>
      </c>
      <c r="EV148" t="e">
        <f>AND('GA55 Entry'!#REF!,"AAAAAHvfv5c=")</f>
        <v>#REF!</v>
      </c>
      <c r="EW148" t="e">
        <f>AND('GA55 Entry'!#REF!,"AAAAAHvfv5g=")</f>
        <v>#REF!</v>
      </c>
      <c r="EX148" t="e">
        <f>AND('GA55 Entry'!#REF!,"AAAAAHvfv5k=")</f>
        <v>#REF!</v>
      </c>
      <c r="EY148" t="e">
        <f>AND('GA55 Entry'!#REF!,"AAAAAHvfv5o=")</f>
        <v>#REF!</v>
      </c>
      <c r="EZ148" t="e">
        <f>AND('GA55 Entry'!#REF!,"AAAAAHvfv5s=")</f>
        <v>#REF!</v>
      </c>
      <c r="FA148" t="e">
        <f>AND('GA55 Entry'!D512,"AAAAAHvfv5w=")</f>
        <v>#VALUE!</v>
      </c>
      <c r="FB148" t="e">
        <f>AND('GA55 Entry'!#REF!,"AAAAAHvfv50=")</f>
        <v>#REF!</v>
      </c>
      <c r="FC148" t="e">
        <f>AND('GA55 Entry'!E512,"AAAAAHvfv54=")</f>
        <v>#VALUE!</v>
      </c>
      <c r="FD148" t="e">
        <f>AND('GA55 Entry'!F512,"AAAAAHvfv58=")</f>
        <v>#VALUE!</v>
      </c>
      <c r="FE148" t="e">
        <f>AND('GA55 Entry'!G512,"AAAAAHvfv6A=")</f>
        <v>#VALUE!</v>
      </c>
      <c r="FF148" t="e">
        <f>AND('GA55 Entry'!H512,"AAAAAHvfv6E=")</f>
        <v>#VALUE!</v>
      </c>
      <c r="FG148" t="e">
        <f>AND('GA55 Entry'!I512,"AAAAAHvfv6I=")</f>
        <v>#VALUE!</v>
      </c>
      <c r="FH148" t="e">
        <f>AND('GA55 Entry'!J512,"AAAAAHvfv6M=")</f>
        <v>#VALUE!</v>
      </c>
      <c r="FI148" t="e">
        <f>AND('GA55 Entry'!#REF!,"AAAAAHvfv6Q=")</f>
        <v>#REF!</v>
      </c>
      <c r="FJ148" t="e">
        <f>AND('GA55 Entry'!K512,"AAAAAHvfv6U=")</f>
        <v>#VALUE!</v>
      </c>
      <c r="FK148" t="e">
        <f>AND('GA55 Entry'!L512,"AAAAAHvfv6Y=")</f>
        <v>#VALUE!</v>
      </c>
      <c r="FL148" t="e">
        <f>AND('GA55 Entry'!M512,"AAAAAHvfv6c=")</f>
        <v>#VALUE!</v>
      </c>
      <c r="FM148" t="e">
        <f>AND('GA55 Entry'!N512,"AAAAAHvfv6g=")</f>
        <v>#VALUE!</v>
      </c>
      <c r="FN148" t="e">
        <f>AND('GA55 Entry'!O512,"AAAAAHvfv6k=")</f>
        <v>#VALUE!</v>
      </c>
      <c r="FO148" t="e">
        <f>AND('GA55 Entry'!P512,"AAAAAHvfv6o=")</f>
        <v>#VALUE!</v>
      </c>
      <c r="FP148" t="e">
        <f>AND('GA55 Entry'!Q512,"AAAAAHvfv6s=")</f>
        <v>#VALUE!</v>
      </c>
      <c r="FQ148" t="e">
        <f>AND('GA55 Entry'!S512,"AAAAAHvfv6w=")</f>
        <v>#VALUE!</v>
      </c>
      <c r="FR148" t="e">
        <f>AND('GA55 Entry'!#REF!,"AAAAAHvfv60=")</f>
        <v>#REF!</v>
      </c>
      <c r="FS148" t="e">
        <f>AND('GA55 Entry'!T512,"AAAAAHvfv64=")</f>
        <v>#VALUE!</v>
      </c>
      <c r="FT148" t="e">
        <f>AND('GA55 Entry'!U512,"AAAAAHvfv68=")</f>
        <v>#VALUE!</v>
      </c>
      <c r="FU148" t="e">
        <f>AND('GA55 Entry'!V512,"AAAAAHvfv7A=")</f>
        <v>#VALUE!</v>
      </c>
      <c r="FV148" t="e">
        <f>AND('GA55 Entry'!#REF!,"AAAAAHvfv7E=")</f>
        <v>#REF!</v>
      </c>
      <c r="FW148" t="e">
        <f>AND('GA55 Entry'!#REF!,"AAAAAHvfv7I=")</f>
        <v>#REF!</v>
      </c>
      <c r="FX148" t="e">
        <f>AND('GA55 Entry'!X512,"AAAAAHvfv7M=")</f>
        <v>#VALUE!</v>
      </c>
      <c r="FY148" t="e">
        <f>AND('GA55 Entry'!Y512,"AAAAAHvfv7Q=")</f>
        <v>#VALUE!</v>
      </c>
      <c r="FZ148" t="e">
        <f>AND('GA55 Entry'!#REF!,"AAAAAHvfv7U=")</f>
        <v>#REF!</v>
      </c>
      <c r="GA148" t="e">
        <f>AND('GA55 Entry'!#REF!,"AAAAAHvfv7Y=")</f>
        <v>#REF!</v>
      </c>
      <c r="GB148" t="e">
        <f>AND('GA55 Entry'!#REF!,"AAAAAHvfv7c=")</f>
        <v>#REF!</v>
      </c>
      <c r="GC148" t="e">
        <f>AND('GA55 Entry'!#REF!,"AAAAAHvfv7g=")</f>
        <v>#REF!</v>
      </c>
      <c r="GD148" t="e">
        <f>AND('GA55 Entry'!#REF!,"AAAAAHvfv7k=")</f>
        <v>#REF!</v>
      </c>
      <c r="GE148" t="e">
        <f>AND('GA55 Entry'!#REF!,"AAAAAHvfv7o=")</f>
        <v>#REF!</v>
      </c>
      <c r="GF148" t="e">
        <f>AND('GA55 Entry'!#REF!,"AAAAAHvfv7s=")</f>
        <v>#REF!</v>
      </c>
      <c r="GG148" t="e">
        <f>AND('GA55 Entry'!#REF!,"AAAAAHvfv7w=")</f>
        <v>#REF!</v>
      </c>
      <c r="GH148" t="e">
        <f>AND('GA55 Entry'!#REF!,"AAAAAHvfv70=")</f>
        <v>#REF!</v>
      </c>
      <c r="GI148" t="e">
        <f>AND('GA55 Entry'!Z512,"AAAAAHvfv74=")</f>
        <v>#VALUE!</v>
      </c>
      <c r="GJ148" t="e">
        <f>AND('GA55 Entry'!AA512,"AAAAAHvfv78=")</f>
        <v>#VALUE!</v>
      </c>
      <c r="GK148" t="e">
        <f>AND('GA55 Entry'!#REF!,"AAAAAHvfv8A=")</f>
        <v>#REF!</v>
      </c>
      <c r="GL148" t="e">
        <f>AND('GA55 Entry'!#REF!,"AAAAAHvfv8E=")</f>
        <v>#REF!</v>
      </c>
      <c r="GM148" t="e">
        <f>AND('GA55 Entry'!#REF!,"AAAAAHvfv8I=")</f>
        <v>#REF!</v>
      </c>
      <c r="GN148" t="e">
        <f>AND('GA55 Entry'!AB512,"AAAAAHvfv8M=")</f>
        <v>#VALUE!</v>
      </c>
      <c r="GO148" t="e">
        <f>AND('GA55 Entry'!AC512,"AAAAAHvfv8Q=")</f>
        <v>#VALUE!</v>
      </c>
      <c r="GP148" t="e">
        <f>AND('GA55 Entry'!#REF!,"AAAAAHvfv8U=")</f>
        <v>#REF!</v>
      </c>
      <c r="GQ148">
        <f>IF('GA55 Entry'!513:513,"AAAAAHvfv8Y=",0)</f>
        <v>0</v>
      </c>
      <c r="GR148" t="e">
        <f>AND('GA55 Entry'!B513,"AAAAAHvfv8c=")</f>
        <v>#VALUE!</v>
      </c>
      <c r="GS148" t="e">
        <f>AND('GA55 Entry'!#REF!,"AAAAAHvfv8g=")</f>
        <v>#REF!</v>
      </c>
      <c r="GT148" t="e">
        <f>AND('GA55 Entry'!C513,"AAAAAHvfv8k=")</f>
        <v>#VALUE!</v>
      </c>
      <c r="GU148" t="e">
        <f>AND('GA55 Entry'!#REF!,"AAAAAHvfv8o=")</f>
        <v>#REF!</v>
      </c>
      <c r="GV148" t="e">
        <f>AND('GA55 Entry'!#REF!,"AAAAAHvfv8s=")</f>
        <v>#REF!</v>
      </c>
      <c r="GW148" t="e">
        <f>AND('GA55 Entry'!#REF!,"AAAAAHvfv8w=")</f>
        <v>#REF!</v>
      </c>
      <c r="GX148" t="e">
        <f>AND('GA55 Entry'!#REF!,"AAAAAHvfv80=")</f>
        <v>#REF!</v>
      </c>
      <c r="GY148" t="e">
        <f>AND('GA55 Entry'!#REF!,"AAAAAHvfv84=")</f>
        <v>#REF!</v>
      </c>
      <c r="GZ148" t="e">
        <f>AND('GA55 Entry'!D513,"AAAAAHvfv88=")</f>
        <v>#VALUE!</v>
      </c>
      <c r="HA148" t="e">
        <f>AND('GA55 Entry'!#REF!,"AAAAAHvfv9A=")</f>
        <v>#REF!</v>
      </c>
      <c r="HB148" t="e">
        <f>AND('GA55 Entry'!E513,"AAAAAHvfv9E=")</f>
        <v>#VALUE!</v>
      </c>
      <c r="HC148" t="e">
        <f>AND('GA55 Entry'!F513,"AAAAAHvfv9I=")</f>
        <v>#VALUE!</v>
      </c>
      <c r="HD148" t="e">
        <f>AND('GA55 Entry'!G513,"AAAAAHvfv9M=")</f>
        <v>#VALUE!</v>
      </c>
      <c r="HE148" t="e">
        <f>AND('GA55 Entry'!H513,"AAAAAHvfv9Q=")</f>
        <v>#VALUE!</v>
      </c>
      <c r="HF148" t="e">
        <f>AND('GA55 Entry'!I513,"AAAAAHvfv9U=")</f>
        <v>#VALUE!</v>
      </c>
      <c r="HG148" t="e">
        <f>AND('GA55 Entry'!J513,"AAAAAHvfv9Y=")</f>
        <v>#VALUE!</v>
      </c>
      <c r="HH148" t="e">
        <f>AND('GA55 Entry'!#REF!,"AAAAAHvfv9c=")</f>
        <v>#REF!</v>
      </c>
      <c r="HI148" t="e">
        <f>AND('GA55 Entry'!K513,"AAAAAHvfv9g=")</f>
        <v>#VALUE!</v>
      </c>
      <c r="HJ148" t="e">
        <f>AND('GA55 Entry'!L513,"AAAAAHvfv9k=")</f>
        <v>#VALUE!</v>
      </c>
      <c r="HK148" t="e">
        <f>AND('GA55 Entry'!M513,"AAAAAHvfv9o=")</f>
        <v>#VALUE!</v>
      </c>
      <c r="HL148" t="e">
        <f>AND('GA55 Entry'!N513,"AAAAAHvfv9s=")</f>
        <v>#VALUE!</v>
      </c>
      <c r="HM148" t="e">
        <f>AND('GA55 Entry'!O513,"AAAAAHvfv9w=")</f>
        <v>#VALUE!</v>
      </c>
      <c r="HN148" t="e">
        <f>AND('GA55 Entry'!P513,"AAAAAHvfv90=")</f>
        <v>#VALUE!</v>
      </c>
      <c r="HO148" t="e">
        <f>AND('GA55 Entry'!Q513,"AAAAAHvfv94=")</f>
        <v>#VALUE!</v>
      </c>
      <c r="HP148" t="e">
        <f>AND('GA55 Entry'!S513,"AAAAAHvfv98=")</f>
        <v>#VALUE!</v>
      </c>
      <c r="HQ148" t="e">
        <f>AND('GA55 Entry'!#REF!,"AAAAAHvfv+A=")</f>
        <v>#REF!</v>
      </c>
      <c r="HR148" t="e">
        <f>AND('GA55 Entry'!T513,"AAAAAHvfv+E=")</f>
        <v>#VALUE!</v>
      </c>
      <c r="HS148" t="e">
        <f>AND('GA55 Entry'!U513,"AAAAAHvfv+I=")</f>
        <v>#VALUE!</v>
      </c>
      <c r="HT148" t="e">
        <f>AND('GA55 Entry'!V513,"AAAAAHvfv+M=")</f>
        <v>#VALUE!</v>
      </c>
      <c r="HU148" t="e">
        <f>AND('GA55 Entry'!#REF!,"AAAAAHvfv+Q=")</f>
        <v>#REF!</v>
      </c>
      <c r="HV148" t="e">
        <f>AND('GA55 Entry'!#REF!,"AAAAAHvfv+U=")</f>
        <v>#REF!</v>
      </c>
      <c r="HW148" t="e">
        <f>AND('GA55 Entry'!X513,"AAAAAHvfv+Y=")</f>
        <v>#VALUE!</v>
      </c>
      <c r="HX148" t="e">
        <f>AND('GA55 Entry'!Y513,"AAAAAHvfv+c=")</f>
        <v>#VALUE!</v>
      </c>
      <c r="HY148" t="e">
        <f>AND('GA55 Entry'!#REF!,"AAAAAHvfv+g=")</f>
        <v>#REF!</v>
      </c>
      <c r="HZ148" t="e">
        <f>AND('GA55 Entry'!#REF!,"AAAAAHvfv+k=")</f>
        <v>#REF!</v>
      </c>
      <c r="IA148" t="e">
        <f>AND('GA55 Entry'!#REF!,"AAAAAHvfv+o=")</f>
        <v>#REF!</v>
      </c>
      <c r="IB148" t="e">
        <f>AND('GA55 Entry'!#REF!,"AAAAAHvfv+s=")</f>
        <v>#REF!</v>
      </c>
      <c r="IC148" t="e">
        <f>AND('GA55 Entry'!#REF!,"AAAAAHvfv+w=")</f>
        <v>#REF!</v>
      </c>
      <c r="ID148" t="e">
        <f>AND('GA55 Entry'!#REF!,"AAAAAHvfv+0=")</f>
        <v>#REF!</v>
      </c>
      <c r="IE148" t="e">
        <f>AND('GA55 Entry'!#REF!,"AAAAAHvfv+4=")</f>
        <v>#REF!</v>
      </c>
      <c r="IF148" t="e">
        <f>AND('GA55 Entry'!#REF!,"AAAAAHvfv+8=")</f>
        <v>#REF!</v>
      </c>
      <c r="IG148" t="e">
        <f>AND('GA55 Entry'!#REF!,"AAAAAHvfv/A=")</f>
        <v>#REF!</v>
      </c>
      <c r="IH148" t="e">
        <f>AND('GA55 Entry'!Z513,"AAAAAHvfv/E=")</f>
        <v>#VALUE!</v>
      </c>
      <c r="II148" t="e">
        <f>AND('GA55 Entry'!AA513,"AAAAAHvfv/I=")</f>
        <v>#VALUE!</v>
      </c>
      <c r="IJ148" t="e">
        <f>AND('GA55 Entry'!#REF!,"AAAAAHvfv/M=")</f>
        <v>#REF!</v>
      </c>
      <c r="IK148" t="e">
        <f>AND('GA55 Entry'!#REF!,"AAAAAHvfv/Q=")</f>
        <v>#REF!</v>
      </c>
      <c r="IL148" t="e">
        <f>AND('GA55 Entry'!#REF!,"AAAAAHvfv/U=")</f>
        <v>#REF!</v>
      </c>
      <c r="IM148" t="e">
        <f>AND('GA55 Entry'!AB513,"AAAAAHvfv/Y=")</f>
        <v>#VALUE!</v>
      </c>
      <c r="IN148" t="e">
        <f>AND('GA55 Entry'!AC513,"AAAAAHvfv/c=")</f>
        <v>#VALUE!</v>
      </c>
      <c r="IO148" t="e">
        <f>AND('GA55 Entry'!#REF!,"AAAAAHvfv/g=")</f>
        <v>#REF!</v>
      </c>
      <c r="IP148">
        <f>IF('GA55 Entry'!514:514,"AAAAAHvfv/k=",0)</f>
        <v>0</v>
      </c>
      <c r="IQ148" t="e">
        <f>AND('GA55 Entry'!B514,"AAAAAHvfv/o=")</f>
        <v>#VALUE!</v>
      </c>
      <c r="IR148" t="e">
        <f>AND('GA55 Entry'!#REF!,"AAAAAHvfv/s=")</f>
        <v>#REF!</v>
      </c>
      <c r="IS148" t="e">
        <f>AND('GA55 Entry'!C514,"AAAAAHvfv/w=")</f>
        <v>#VALUE!</v>
      </c>
      <c r="IT148" t="e">
        <f>AND('GA55 Entry'!#REF!,"AAAAAHvfv/0=")</f>
        <v>#REF!</v>
      </c>
      <c r="IU148" t="e">
        <f>AND('GA55 Entry'!#REF!,"AAAAAHvfv/4=")</f>
        <v>#REF!</v>
      </c>
      <c r="IV148" t="e">
        <f>AND('GA55 Entry'!#REF!,"AAAAAHvfv/8=")</f>
        <v>#REF!</v>
      </c>
    </row>
    <row r="149" spans="1:256">
      <c r="A149" t="e">
        <f>AND('GA55 Entry'!#REF!,"AAAAAH/z3gA=")</f>
        <v>#REF!</v>
      </c>
      <c r="B149" t="e">
        <f>AND('GA55 Entry'!#REF!,"AAAAAH/z3gE=")</f>
        <v>#REF!</v>
      </c>
      <c r="C149" t="e">
        <f>AND('GA55 Entry'!D514,"AAAAAH/z3gI=")</f>
        <v>#VALUE!</v>
      </c>
      <c r="D149" t="e">
        <f>AND('GA55 Entry'!#REF!,"AAAAAH/z3gM=")</f>
        <v>#REF!</v>
      </c>
      <c r="E149" t="e">
        <f>AND('GA55 Entry'!E514,"AAAAAH/z3gQ=")</f>
        <v>#VALUE!</v>
      </c>
      <c r="F149" t="e">
        <f>AND('GA55 Entry'!F514,"AAAAAH/z3gU=")</f>
        <v>#VALUE!</v>
      </c>
      <c r="G149" t="e">
        <f>AND('GA55 Entry'!G514,"AAAAAH/z3gY=")</f>
        <v>#VALUE!</v>
      </c>
      <c r="H149" t="e">
        <f>AND('GA55 Entry'!H514,"AAAAAH/z3gc=")</f>
        <v>#VALUE!</v>
      </c>
      <c r="I149" t="e">
        <f>AND('GA55 Entry'!I514,"AAAAAH/z3gg=")</f>
        <v>#VALUE!</v>
      </c>
      <c r="J149" t="e">
        <f>AND('GA55 Entry'!J514,"AAAAAH/z3gk=")</f>
        <v>#VALUE!</v>
      </c>
      <c r="K149" t="e">
        <f>AND('GA55 Entry'!#REF!,"AAAAAH/z3go=")</f>
        <v>#REF!</v>
      </c>
      <c r="L149" t="e">
        <f>AND('GA55 Entry'!K514,"AAAAAH/z3gs=")</f>
        <v>#VALUE!</v>
      </c>
      <c r="M149" t="e">
        <f>AND('GA55 Entry'!L514,"AAAAAH/z3gw=")</f>
        <v>#VALUE!</v>
      </c>
      <c r="N149" t="e">
        <f>AND('GA55 Entry'!M514,"AAAAAH/z3g0=")</f>
        <v>#VALUE!</v>
      </c>
      <c r="O149" t="e">
        <f>AND('GA55 Entry'!N514,"AAAAAH/z3g4=")</f>
        <v>#VALUE!</v>
      </c>
      <c r="P149" t="e">
        <f>AND('GA55 Entry'!O514,"AAAAAH/z3g8=")</f>
        <v>#VALUE!</v>
      </c>
      <c r="Q149" t="e">
        <f>AND('GA55 Entry'!P514,"AAAAAH/z3hA=")</f>
        <v>#VALUE!</v>
      </c>
      <c r="R149" t="e">
        <f>AND('GA55 Entry'!Q514,"AAAAAH/z3hE=")</f>
        <v>#VALUE!</v>
      </c>
      <c r="S149" t="e">
        <f>AND('GA55 Entry'!S514,"AAAAAH/z3hI=")</f>
        <v>#VALUE!</v>
      </c>
      <c r="T149" t="e">
        <f>AND('GA55 Entry'!#REF!,"AAAAAH/z3hM=")</f>
        <v>#REF!</v>
      </c>
      <c r="U149" t="e">
        <f>AND('GA55 Entry'!T514,"AAAAAH/z3hQ=")</f>
        <v>#VALUE!</v>
      </c>
      <c r="V149" t="e">
        <f>AND('GA55 Entry'!U514,"AAAAAH/z3hU=")</f>
        <v>#VALUE!</v>
      </c>
      <c r="W149" t="e">
        <f>AND('GA55 Entry'!V514,"AAAAAH/z3hY=")</f>
        <v>#VALUE!</v>
      </c>
      <c r="X149" t="e">
        <f>AND('GA55 Entry'!#REF!,"AAAAAH/z3hc=")</f>
        <v>#REF!</v>
      </c>
      <c r="Y149" t="e">
        <f>AND('GA55 Entry'!#REF!,"AAAAAH/z3hg=")</f>
        <v>#REF!</v>
      </c>
      <c r="Z149" t="e">
        <f>AND('GA55 Entry'!X514,"AAAAAH/z3hk=")</f>
        <v>#VALUE!</v>
      </c>
      <c r="AA149" t="e">
        <f>AND('GA55 Entry'!Y514,"AAAAAH/z3ho=")</f>
        <v>#VALUE!</v>
      </c>
      <c r="AB149" t="e">
        <f>AND('GA55 Entry'!#REF!,"AAAAAH/z3hs=")</f>
        <v>#REF!</v>
      </c>
      <c r="AC149" t="e">
        <f>AND('GA55 Entry'!#REF!,"AAAAAH/z3hw=")</f>
        <v>#REF!</v>
      </c>
      <c r="AD149" t="e">
        <f>AND('GA55 Entry'!#REF!,"AAAAAH/z3h0=")</f>
        <v>#REF!</v>
      </c>
      <c r="AE149" t="e">
        <f>AND('GA55 Entry'!#REF!,"AAAAAH/z3h4=")</f>
        <v>#REF!</v>
      </c>
      <c r="AF149" t="e">
        <f>AND('GA55 Entry'!#REF!,"AAAAAH/z3h8=")</f>
        <v>#REF!</v>
      </c>
      <c r="AG149" t="e">
        <f>AND('GA55 Entry'!#REF!,"AAAAAH/z3iA=")</f>
        <v>#REF!</v>
      </c>
      <c r="AH149" t="e">
        <f>AND('GA55 Entry'!#REF!,"AAAAAH/z3iE=")</f>
        <v>#REF!</v>
      </c>
      <c r="AI149" t="e">
        <f>AND('GA55 Entry'!#REF!,"AAAAAH/z3iI=")</f>
        <v>#REF!</v>
      </c>
      <c r="AJ149" t="e">
        <f>AND('GA55 Entry'!#REF!,"AAAAAH/z3iM=")</f>
        <v>#REF!</v>
      </c>
      <c r="AK149" t="e">
        <f>AND('GA55 Entry'!Z514,"AAAAAH/z3iQ=")</f>
        <v>#VALUE!</v>
      </c>
      <c r="AL149" t="e">
        <f>AND('GA55 Entry'!AA514,"AAAAAH/z3iU=")</f>
        <v>#VALUE!</v>
      </c>
      <c r="AM149" t="e">
        <f>AND('GA55 Entry'!#REF!,"AAAAAH/z3iY=")</f>
        <v>#REF!</v>
      </c>
      <c r="AN149" t="e">
        <f>AND('GA55 Entry'!#REF!,"AAAAAH/z3ic=")</f>
        <v>#REF!</v>
      </c>
      <c r="AO149" t="e">
        <f>AND('GA55 Entry'!#REF!,"AAAAAH/z3ig=")</f>
        <v>#REF!</v>
      </c>
      <c r="AP149" t="e">
        <f>AND('GA55 Entry'!AB514,"AAAAAH/z3ik=")</f>
        <v>#VALUE!</v>
      </c>
      <c r="AQ149" t="e">
        <f>AND('GA55 Entry'!AC514,"AAAAAH/z3io=")</f>
        <v>#VALUE!</v>
      </c>
      <c r="AR149" t="e">
        <f>AND('GA55 Entry'!#REF!,"AAAAAH/z3is=")</f>
        <v>#REF!</v>
      </c>
      <c r="AS149">
        <f>IF('GA55 Entry'!515:515,"AAAAAH/z3iw=",0)</f>
        <v>0</v>
      </c>
      <c r="AT149" t="e">
        <f>AND('GA55 Entry'!B515,"AAAAAH/z3i0=")</f>
        <v>#VALUE!</v>
      </c>
      <c r="AU149" t="e">
        <f>AND('GA55 Entry'!#REF!,"AAAAAH/z3i4=")</f>
        <v>#REF!</v>
      </c>
      <c r="AV149" t="e">
        <f>AND('GA55 Entry'!C515,"AAAAAH/z3i8=")</f>
        <v>#VALUE!</v>
      </c>
      <c r="AW149" t="e">
        <f>AND('GA55 Entry'!#REF!,"AAAAAH/z3jA=")</f>
        <v>#REF!</v>
      </c>
      <c r="AX149" t="e">
        <f>AND('GA55 Entry'!#REF!,"AAAAAH/z3jE=")</f>
        <v>#REF!</v>
      </c>
      <c r="AY149" t="e">
        <f>AND('GA55 Entry'!#REF!,"AAAAAH/z3jI=")</f>
        <v>#REF!</v>
      </c>
      <c r="AZ149" t="e">
        <f>AND('GA55 Entry'!#REF!,"AAAAAH/z3jM=")</f>
        <v>#REF!</v>
      </c>
      <c r="BA149" t="e">
        <f>AND('GA55 Entry'!#REF!,"AAAAAH/z3jQ=")</f>
        <v>#REF!</v>
      </c>
      <c r="BB149" t="e">
        <f>AND('GA55 Entry'!D515,"AAAAAH/z3jU=")</f>
        <v>#VALUE!</v>
      </c>
      <c r="BC149" t="e">
        <f>AND('GA55 Entry'!#REF!,"AAAAAH/z3jY=")</f>
        <v>#REF!</v>
      </c>
      <c r="BD149" t="e">
        <f>AND('GA55 Entry'!E515,"AAAAAH/z3jc=")</f>
        <v>#VALUE!</v>
      </c>
      <c r="BE149" t="e">
        <f>AND('GA55 Entry'!F515,"AAAAAH/z3jg=")</f>
        <v>#VALUE!</v>
      </c>
      <c r="BF149" t="e">
        <f>AND('GA55 Entry'!G515,"AAAAAH/z3jk=")</f>
        <v>#VALUE!</v>
      </c>
      <c r="BG149" t="e">
        <f>AND('GA55 Entry'!H515,"AAAAAH/z3jo=")</f>
        <v>#VALUE!</v>
      </c>
      <c r="BH149" t="e">
        <f>AND('GA55 Entry'!I515,"AAAAAH/z3js=")</f>
        <v>#VALUE!</v>
      </c>
      <c r="BI149" t="e">
        <f>AND('GA55 Entry'!J515,"AAAAAH/z3jw=")</f>
        <v>#VALUE!</v>
      </c>
      <c r="BJ149" t="e">
        <f>AND('GA55 Entry'!#REF!,"AAAAAH/z3j0=")</f>
        <v>#REF!</v>
      </c>
      <c r="BK149" t="e">
        <f>AND('GA55 Entry'!K515,"AAAAAH/z3j4=")</f>
        <v>#VALUE!</v>
      </c>
      <c r="BL149" t="e">
        <f>AND('GA55 Entry'!L515,"AAAAAH/z3j8=")</f>
        <v>#VALUE!</v>
      </c>
      <c r="BM149" t="e">
        <f>AND('GA55 Entry'!M515,"AAAAAH/z3kA=")</f>
        <v>#VALUE!</v>
      </c>
      <c r="BN149" t="e">
        <f>AND('GA55 Entry'!N515,"AAAAAH/z3kE=")</f>
        <v>#VALUE!</v>
      </c>
      <c r="BO149" t="e">
        <f>AND('GA55 Entry'!O515,"AAAAAH/z3kI=")</f>
        <v>#VALUE!</v>
      </c>
      <c r="BP149" t="e">
        <f>AND('GA55 Entry'!P515,"AAAAAH/z3kM=")</f>
        <v>#VALUE!</v>
      </c>
      <c r="BQ149" t="e">
        <f>AND('GA55 Entry'!Q515,"AAAAAH/z3kQ=")</f>
        <v>#VALUE!</v>
      </c>
      <c r="BR149" t="e">
        <f>AND('GA55 Entry'!S515,"AAAAAH/z3kU=")</f>
        <v>#VALUE!</v>
      </c>
      <c r="BS149" t="e">
        <f>AND('GA55 Entry'!#REF!,"AAAAAH/z3kY=")</f>
        <v>#REF!</v>
      </c>
      <c r="BT149" t="e">
        <f>AND('GA55 Entry'!T515,"AAAAAH/z3kc=")</f>
        <v>#VALUE!</v>
      </c>
      <c r="BU149" t="e">
        <f>AND('GA55 Entry'!U515,"AAAAAH/z3kg=")</f>
        <v>#VALUE!</v>
      </c>
      <c r="BV149" t="e">
        <f>AND('GA55 Entry'!V515,"AAAAAH/z3kk=")</f>
        <v>#VALUE!</v>
      </c>
      <c r="BW149" t="e">
        <f>AND('GA55 Entry'!#REF!,"AAAAAH/z3ko=")</f>
        <v>#REF!</v>
      </c>
      <c r="BX149" t="e">
        <f>AND('GA55 Entry'!#REF!,"AAAAAH/z3ks=")</f>
        <v>#REF!</v>
      </c>
      <c r="BY149" t="e">
        <f>AND('GA55 Entry'!X515,"AAAAAH/z3kw=")</f>
        <v>#VALUE!</v>
      </c>
      <c r="BZ149" t="e">
        <f>AND('GA55 Entry'!Y515,"AAAAAH/z3k0=")</f>
        <v>#VALUE!</v>
      </c>
      <c r="CA149" t="e">
        <f>AND('GA55 Entry'!#REF!,"AAAAAH/z3k4=")</f>
        <v>#REF!</v>
      </c>
      <c r="CB149" t="e">
        <f>AND('GA55 Entry'!#REF!,"AAAAAH/z3k8=")</f>
        <v>#REF!</v>
      </c>
      <c r="CC149" t="e">
        <f>AND('GA55 Entry'!#REF!,"AAAAAH/z3lA=")</f>
        <v>#REF!</v>
      </c>
      <c r="CD149" t="e">
        <f>AND('GA55 Entry'!#REF!,"AAAAAH/z3lE=")</f>
        <v>#REF!</v>
      </c>
      <c r="CE149" t="e">
        <f>AND('GA55 Entry'!#REF!,"AAAAAH/z3lI=")</f>
        <v>#REF!</v>
      </c>
      <c r="CF149" t="e">
        <f>AND('GA55 Entry'!#REF!,"AAAAAH/z3lM=")</f>
        <v>#REF!</v>
      </c>
      <c r="CG149" t="e">
        <f>AND('GA55 Entry'!#REF!,"AAAAAH/z3lQ=")</f>
        <v>#REF!</v>
      </c>
      <c r="CH149" t="e">
        <f>AND('GA55 Entry'!#REF!,"AAAAAH/z3lU=")</f>
        <v>#REF!</v>
      </c>
      <c r="CI149" t="e">
        <f>AND('GA55 Entry'!#REF!,"AAAAAH/z3lY=")</f>
        <v>#REF!</v>
      </c>
      <c r="CJ149" t="e">
        <f>AND('GA55 Entry'!Z515,"AAAAAH/z3lc=")</f>
        <v>#VALUE!</v>
      </c>
      <c r="CK149" t="e">
        <f>AND('GA55 Entry'!AA515,"AAAAAH/z3lg=")</f>
        <v>#VALUE!</v>
      </c>
      <c r="CL149" t="e">
        <f>AND('GA55 Entry'!#REF!,"AAAAAH/z3lk=")</f>
        <v>#REF!</v>
      </c>
      <c r="CM149" t="e">
        <f>AND('GA55 Entry'!#REF!,"AAAAAH/z3lo=")</f>
        <v>#REF!</v>
      </c>
      <c r="CN149" t="e">
        <f>AND('GA55 Entry'!#REF!,"AAAAAH/z3ls=")</f>
        <v>#REF!</v>
      </c>
      <c r="CO149" t="e">
        <f>AND('GA55 Entry'!AB515,"AAAAAH/z3lw=")</f>
        <v>#VALUE!</v>
      </c>
      <c r="CP149" t="e">
        <f>AND('GA55 Entry'!AC515,"AAAAAH/z3l0=")</f>
        <v>#VALUE!</v>
      </c>
      <c r="CQ149" t="e">
        <f>AND('GA55 Entry'!#REF!,"AAAAAH/z3l4=")</f>
        <v>#REF!</v>
      </c>
      <c r="CR149">
        <f>IF('GA55 Entry'!516:516,"AAAAAH/z3l8=",0)</f>
        <v>0</v>
      </c>
      <c r="CS149" t="e">
        <f>AND('GA55 Entry'!B516,"AAAAAH/z3mA=")</f>
        <v>#VALUE!</v>
      </c>
      <c r="CT149" t="e">
        <f>AND('GA55 Entry'!#REF!,"AAAAAH/z3mE=")</f>
        <v>#REF!</v>
      </c>
      <c r="CU149" t="e">
        <f>AND('GA55 Entry'!C516,"AAAAAH/z3mI=")</f>
        <v>#VALUE!</v>
      </c>
      <c r="CV149" t="e">
        <f>AND('GA55 Entry'!#REF!,"AAAAAH/z3mM=")</f>
        <v>#REF!</v>
      </c>
      <c r="CW149" t="e">
        <f>AND('GA55 Entry'!#REF!,"AAAAAH/z3mQ=")</f>
        <v>#REF!</v>
      </c>
      <c r="CX149" t="e">
        <f>AND('GA55 Entry'!#REF!,"AAAAAH/z3mU=")</f>
        <v>#REF!</v>
      </c>
      <c r="CY149" t="e">
        <f>AND('GA55 Entry'!#REF!,"AAAAAH/z3mY=")</f>
        <v>#REF!</v>
      </c>
      <c r="CZ149" t="e">
        <f>AND('GA55 Entry'!#REF!,"AAAAAH/z3mc=")</f>
        <v>#REF!</v>
      </c>
      <c r="DA149" t="e">
        <f>AND('GA55 Entry'!D516,"AAAAAH/z3mg=")</f>
        <v>#VALUE!</v>
      </c>
      <c r="DB149" t="e">
        <f>AND('GA55 Entry'!#REF!,"AAAAAH/z3mk=")</f>
        <v>#REF!</v>
      </c>
      <c r="DC149" t="e">
        <f>AND('GA55 Entry'!E516,"AAAAAH/z3mo=")</f>
        <v>#VALUE!</v>
      </c>
      <c r="DD149" t="e">
        <f>AND('GA55 Entry'!F516,"AAAAAH/z3ms=")</f>
        <v>#VALUE!</v>
      </c>
      <c r="DE149" t="e">
        <f>AND('GA55 Entry'!G516,"AAAAAH/z3mw=")</f>
        <v>#VALUE!</v>
      </c>
      <c r="DF149" t="e">
        <f>AND('GA55 Entry'!H516,"AAAAAH/z3m0=")</f>
        <v>#VALUE!</v>
      </c>
      <c r="DG149" t="e">
        <f>AND('GA55 Entry'!I516,"AAAAAH/z3m4=")</f>
        <v>#VALUE!</v>
      </c>
      <c r="DH149" t="e">
        <f>AND('GA55 Entry'!J516,"AAAAAH/z3m8=")</f>
        <v>#VALUE!</v>
      </c>
      <c r="DI149" t="e">
        <f>AND('GA55 Entry'!#REF!,"AAAAAH/z3nA=")</f>
        <v>#REF!</v>
      </c>
      <c r="DJ149" t="e">
        <f>AND('GA55 Entry'!K516,"AAAAAH/z3nE=")</f>
        <v>#VALUE!</v>
      </c>
      <c r="DK149" t="e">
        <f>AND('GA55 Entry'!L516,"AAAAAH/z3nI=")</f>
        <v>#VALUE!</v>
      </c>
      <c r="DL149" t="e">
        <f>AND('GA55 Entry'!M516,"AAAAAH/z3nM=")</f>
        <v>#VALUE!</v>
      </c>
      <c r="DM149" t="e">
        <f>AND('GA55 Entry'!N516,"AAAAAH/z3nQ=")</f>
        <v>#VALUE!</v>
      </c>
      <c r="DN149" t="e">
        <f>AND('GA55 Entry'!O516,"AAAAAH/z3nU=")</f>
        <v>#VALUE!</v>
      </c>
      <c r="DO149" t="e">
        <f>AND('GA55 Entry'!P516,"AAAAAH/z3nY=")</f>
        <v>#VALUE!</v>
      </c>
      <c r="DP149" t="e">
        <f>AND('GA55 Entry'!Q516,"AAAAAH/z3nc=")</f>
        <v>#VALUE!</v>
      </c>
      <c r="DQ149" t="e">
        <f>AND('GA55 Entry'!S516,"AAAAAH/z3ng=")</f>
        <v>#VALUE!</v>
      </c>
      <c r="DR149" t="e">
        <f>AND('GA55 Entry'!#REF!,"AAAAAH/z3nk=")</f>
        <v>#REF!</v>
      </c>
      <c r="DS149" t="e">
        <f>AND('GA55 Entry'!T516,"AAAAAH/z3no=")</f>
        <v>#VALUE!</v>
      </c>
      <c r="DT149" t="e">
        <f>AND('GA55 Entry'!U516,"AAAAAH/z3ns=")</f>
        <v>#VALUE!</v>
      </c>
      <c r="DU149" t="e">
        <f>AND('GA55 Entry'!V516,"AAAAAH/z3nw=")</f>
        <v>#VALUE!</v>
      </c>
      <c r="DV149" t="e">
        <f>AND('GA55 Entry'!#REF!,"AAAAAH/z3n0=")</f>
        <v>#REF!</v>
      </c>
      <c r="DW149" t="e">
        <f>AND('GA55 Entry'!#REF!,"AAAAAH/z3n4=")</f>
        <v>#REF!</v>
      </c>
      <c r="DX149" t="e">
        <f>AND('GA55 Entry'!X516,"AAAAAH/z3n8=")</f>
        <v>#VALUE!</v>
      </c>
      <c r="DY149" t="e">
        <f>AND('GA55 Entry'!Y516,"AAAAAH/z3oA=")</f>
        <v>#VALUE!</v>
      </c>
      <c r="DZ149" t="e">
        <f>AND('GA55 Entry'!#REF!,"AAAAAH/z3oE=")</f>
        <v>#REF!</v>
      </c>
      <c r="EA149" t="e">
        <f>AND('GA55 Entry'!#REF!,"AAAAAH/z3oI=")</f>
        <v>#REF!</v>
      </c>
      <c r="EB149" t="e">
        <f>AND('GA55 Entry'!#REF!,"AAAAAH/z3oM=")</f>
        <v>#REF!</v>
      </c>
      <c r="EC149" t="e">
        <f>AND('GA55 Entry'!#REF!,"AAAAAH/z3oQ=")</f>
        <v>#REF!</v>
      </c>
      <c r="ED149" t="e">
        <f>AND('GA55 Entry'!#REF!,"AAAAAH/z3oU=")</f>
        <v>#REF!</v>
      </c>
      <c r="EE149" t="e">
        <f>AND('GA55 Entry'!#REF!,"AAAAAH/z3oY=")</f>
        <v>#REF!</v>
      </c>
      <c r="EF149" t="e">
        <f>AND('GA55 Entry'!#REF!,"AAAAAH/z3oc=")</f>
        <v>#REF!</v>
      </c>
      <c r="EG149" t="e">
        <f>AND('GA55 Entry'!#REF!,"AAAAAH/z3og=")</f>
        <v>#REF!</v>
      </c>
      <c r="EH149" t="e">
        <f>AND('GA55 Entry'!#REF!,"AAAAAH/z3ok=")</f>
        <v>#REF!</v>
      </c>
      <c r="EI149" t="e">
        <f>AND('GA55 Entry'!Z516,"AAAAAH/z3oo=")</f>
        <v>#VALUE!</v>
      </c>
      <c r="EJ149" t="e">
        <f>AND('GA55 Entry'!AA516,"AAAAAH/z3os=")</f>
        <v>#VALUE!</v>
      </c>
      <c r="EK149" t="e">
        <f>AND('GA55 Entry'!#REF!,"AAAAAH/z3ow=")</f>
        <v>#REF!</v>
      </c>
      <c r="EL149" t="e">
        <f>AND('GA55 Entry'!#REF!,"AAAAAH/z3o0=")</f>
        <v>#REF!</v>
      </c>
      <c r="EM149" t="e">
        <f>AND('GA55 Entry'!#REF!,"AAAAAH/z3o4=")</f>
        <v>#REF!</v>
      </c>
      <c r="EN149" t="e">
        <f>AND('GA55 Entry'!AB516,"AAAAAH/z3o8=")</f>
        <v>#VALUE!</v>
      </c>
      <c r="EO149" t="e">
        <f>AND('GA55 Entry'!AC516,"AAAAAH/z3pA=")</f>
        <v>#VALUE!</v>
      </c>
      <c r="EP149" t="e">
        <f>AND('GA55 Entry'!#REF!,"AAAAAH/z3pE=")</f>
        <v>#REF!</v>
      </c>
      <c r="EQ149">
        <f>IF('GA55 Entry'!517:517,"AAAAAH/z3pI=",0)</f>
        <v>0</v>
      </c>
      <c r="ER149" t="e">
        <f>AND('GA55 Entry'!B517,"AAAAAH/z3pM=")</f>
        <v>#VALUE!</v>
      </c>
      <c r="ES149" t="e">
        <f>AND('GA55 Entry'!#REF!,"AAAAAH/z3pQ=")</f>
        <v>#REF!</v>
      </c>
      <c r="ET149" t="e">
        <f>AND('GA55 Entry'!C517,"AAAAAH/z3pU=")</f>
        <v>#VALUE!</v>
      </c>
      <c r="EU149" t="e">
        <f>AND('GA55 Entry'!#REF!,"AAAAAH/z3pY=")</f>
        <v>#REF!</v>
      </c>
      <c r="EV149" t="e">
        <f>AND('GA55 Entry'!#REF!,"AAAAAH/z3pc=")</f>
        <v>#REF!</v>
      </c>
      <c r="EW149" t="e">
        <f>AND('GA55 Entry'!#REF!,"AAAAAH/z3pg=")</f>
        <v>#REF!</v>
      </c>
      <c r="EX149" t="e">
        <f>AND('GA55 Entry'!#REF!,"AAAAAH/z3pk=")</f>
        <v>#REF!</v>
      </c>
      <c r="EY149" t="e">
        <f>AND('GA55 Entry'!#REF!,"AAAAAH/z3po=")</f>
        <v>#REF!</v>
      </c>
      <c r="EZ149" t="e">
        <f>AND('GA55 Entry'!D517,"AAAAAH/z3ps=")</f>
        <v>#VALUE!</v>
      </c>
      <c r="FA149" t="e">
        <f>AND('GA55 Entry'!#REF!,"AAAAAH/z3pw=")</f>
        <v>#REF!</v>
      </c>
      <c r="FB149" t="e">
        <f>AND('GA55 Entry'!E517,"AAAAAH/z3p0=")</f>
        <v>#VALUE!</v>
      </c>
      <c r="FC149" t="e">
        <f>AND('GA55 Entry'!F517,"AAAAAH/z3p4=")</f>
        <v>#VALUE!</v>
      </c>
      <c r="FD149" t="e">
        <f>AND('GA55 Entry'!G517,"AAAAAH/z3p8=")</f>
        <v>#VALUE!</v>
      </c>
      <c r="FE149" t="e">
        <f>AND('GA55 Entry'!H517,"AAAAAH/z3qA=")</f>
        <v>#VALUE!</v>
      </c>
      <c r="FF149" t="e">
        <f>AND('GA55 Entry'!I517,"AAAAAH/z3qE=")</f>
        <v>#VALUE!</v>
      </c>
      <c r="FG149" t="e">
        <f>AND('GA55 Entry'!J517,"AAAAAH/z3qI=")</f>
        <v>#VALUE!</v>
      </c>
      <c r="FH149" t="e">
        <f>AND('GA55 Entry'!#REF!,"AAAAAH/z3qM=")</f>
        <v>#REF!</v>
      </c>
      <c r="FI149" t="e">
        <f>AND('GA55 Entry'!K517,"AAAAAH/z3qQ=")</f>
        <v>#VALUE!</v>
      </c>
      <c r="FJ149" t="e">
        <f>AND('GA55 Entry'!L517,"AAAAAH/z3qU=")</f>
        <v>#VALUE!</v>
      </c>
      <c r="FK149" t="e">
        <f>AND('GA55 Entry'!M517,"AAAAAH/z3qY=")</f>
        <v>#VALUE!</v>
      </c>
      <c r="FL149" t="e">
        <f>AND('GA55 Entry'!N517,"AAAAAH/z3qc=")</f>
        <v>#VALUE!</v>
      </c>
      <c r="FM149" t="e">
        <f>AND('GA55 Entry'!O517,"AAAAAH/z3qg=")</f>
        <v>#VALUE!</v>
      </c>
      <c r="FN149" t="e">
        <f>AND('GA55 Entry'!P517,"AAAAAH/z3qk=")</f>
        <v>#VALUE!</v>
      </c>
      <c r="FO149" t="e">
        <f>AND('GA55 Entry'!Q517,"AAAAAH/z3qo=")</f>
        <v>#VALUE!</v>
      </c>
      <c r="FP149" t="e">
        <f>AND('GA55 Entry'!S517,"AAAAAH/z3qs=")</f>
        <v>#VALUE!</v>
      </c>
      <c r="FQ149" t="e">
        <f>AND('GA55 Entry'!#REF!,"AAAAAH/z3qw=")</f>
        <v>#REF!</v>
      </c>
      <c r="FR149" t="e">
        <f>AND('GA55 Entry'!T517,"AAAAAH/z3q0=")</f>
        <v>#VALUE!</v>
      </c>
      <c r="FS149" t="e">
        <f>AND('GA55 Entry'!U517,"AAAAAH/z3q4=")</f>
        <v>#VALUE!</v>
      </c>
      <c r="FT149" t="e">
        <f>AND('GA55 Entry'!V517,"AAAAAH/z3q8=")</f>
        <v>#VALUE!</v>
      </c>
      <c r="FU149" t="e">
        <f>AND('GA55 Entry'!#REF!,"AAAAAH/z3rA=")</f>
        <v>#REF!</v>
      </c>
      <c r="FV149" t="e">
        <f>AND('GA55 Entry'!#REF!,"AAAAAH/z3rE=")</f>
        <v>#REF!</v>
      </c>
      <c r="FW149" t="e">
        <f>AND('GA55 Entry'!X517,"AAAAAH/z3rI=")</f>
        <v>#VALUE!</v>
      </c>
      <c r="FX149" t="e">
        <f>AND('GA55 Entry'!Y517,"AAAAAH/z3rM=")</f>
        <v>#VALUE!</v>
      </c>
      <c r="FY149" t="e">
        <f>AND('GA55 Entry'!#REF!,"AAAAAH/z3rQ=")</f>
        <v>#REF!</v>
      </c>
      <c r="FZ149" t="e">
        <f>AND('GA55 Entry'!#REF!,"AAAAAH/z3rU=")</f>
        <v>#REF!</v>
      </c>
      <c r="GA149" t="e">
        <f>AND('GA55 Entry'!#REF!,"AAAAAH/z3rY=")</f>
        <v>#REF!</v>
      </c>
      <c r="GB149" t="e">
        <f>AND('GA55 Entry'!#REF!,"AAAAAH/z3rc=")</f>
        <v>#REF!</v>
      </c>
      <c r="GC149" t="e">
        <f>AND('GA55 Entry'!#REF!,"AAAAAH/z3rg=")</f>
        <v>#REF!</v>
      </c>
      <c r="GD149" t="e">
        <f>AND('GA55 Entry'!#REF!,"AAAAAH/z3rk=")</f>
        <v>#REF!</v>
      </c>
      <c r="GE149" t="e">
        <f>AND('GA55 Entry'!#REF!,"AAAAAH/z3ro=")</f>
        <v>#REF!</v>
      </c>
      <c r="GF149" t="e">
        <f>AND('GA55 Entry'!#REF!,"AAAAAH/z3rs=")</f>
        <v>#REF!</v>
      </c>
      <c r="GG149" t="e">
        <f>AND('GA55 Entry'!#REF!,"AAAAAH/z3rw=")</f>
        <v>#REF!</v>
      </c>
      <c r="GH149" t="e">
        <f>AND('GA55 Entry'!Z517,"AAAAAH/z3r0=")</f>
        <v>#VALUE!</v>
      </c>
      <c r="GI149" t="e">
        <f>AND('GA55 Entry'!AA517,"AAAAAH/z3r4=")</f>
        <v>#VALUE!</v>
      </c>
      <c r="GJ149" t="e">
        <f>AND('GA55 Entry'!#REF!,"AAAAAH/z3r8=")</f>
        <v>#REF!</v>
      </c>
      <c r="GK149" t="e">
        <f>AND('GA55 Entry'!#REF!,"AAAAAH/z3sA=")</f>
        <v>#REF!</v>
      </c>
      <c r="GL149" t="e">
        <f>AND('GA55 Entry'!#REF!,"AAAAAH/z3sE=")</f>
        <v>#REF!</v>
      </c>
      <c r="GM149" t="e">
        <f>AND('GA55 Entry'!AB517,"AAAAAH/z3sI=")</f>
        <v>#VALUE!</v>
      </c>
      <c r="GN149" t="e">
        <f>AND('GA55 Entry'!AC517,"AAAAAH/z3sM=")</f>
        <v>#VALUE!</v>
      </c>
      <c r="GO149" t="e">
        <f>AND('GA55 Entry'!#REF!,"AAAAAH/z3sQ=")</f>
        <v>#REF!</v>
      </c>
      <c r="GP149">
        <f>IF('GA55 Entry'!518:518,"AAAAAH/z3sU=",0)</f>
        <v>0</v>
      </c>
      <c r="GQ149" t="e">
        <f>AND('GA55 Entry'!B518,"AAAAAH/z3sY=")</f>
        <v>#VALUE!</v>
      </c>
      <c r="GR149" t="e">
        <f>AND('GA55 Entry'!#REF!,"AAAAAH/z3sc=")</f>
        <v>#REF!</v>
      </c>
      <c r="GS149" t="e">
        <f>AND('GA55 Entry'!C518,"AAAAAH/z3sg=")</f>
        <v>#VALUE!</v>
      </c>
      <c r="GT149" t="e">
        <f>AND('GA55 Entry'!#REF!,"AAAAAH/z3sk=")</f>
        <v>#REF!</v>
      </c>
      <c r="GU149" t="e">
        <f>AND('GA55 Entry'!#REF!,"AAAAAH/z3so=")</f>
        <v>#REF!</v>
      </c>
      <c r="GV149" t="e">
        <f>AND('GA55 Entry'!#REF!,"AAAAAH/z3ss=")</f>
        <v>#REF!</v>
      </c>
      <c r="GW149" t="e">
        <f>AND('GA55 Entry'!#REF!,"AAAAAH/z3sw=")</f>
        <v>#REF!</v>
      </c>
      <c r="GX149" t="e">
        <f>AND('GA55 Entry'!#REF!,"AAAAAH/z3s0=")</f>
        <v>#REF!</v>
      </c>
      <c r="GY149" t="e">
        <f>AND('GA55 Entry'!D518,"AAAAAH/z3s4=")</f>
        <v>#VALUE!</v>
      </c>
      <c r="GZ149" t="e">
        <f>AND('GA55 Entry'!#REF!,"AAAAAH/z3s8=")</f>
        <v>#REF!</v>
      </c>
      <c r="HA149" t="e">
        <f>AND('GA55 Entry'!E518,"AAAAAH/z3tA=")</f>
        <v>#VALUE!</v>
      </c>
      <c r="HB149" t="e">
        <f>AND('GA55 Entry'!F518,"AAAAAH/z3tE=")</f>
        <v>#VALUE!</v>
      </c>
      <c r="HC149" t="e">
        <f>AND('GA55 Entry'!G518,"AAAAAH/z3tI=")</f>
        <v>#VALUE!</v>
      </c>
      <c r="HD149" t="e">
        <f>AND('GA55 Entry'!H518,"AAAAAH/z3tM=")</f>
        <v>#VALUE!</v>
      </c>
      <c r="HE149" t="e">
        <f>AND('GA55 Entry'!I518,"AAAAAH/z3tQ=")</f>
        <v>#VALUE!</v>
      </c>
      <c r="HF149" t="e">
        <f>AND('GA55 Entry'!J518,"AAAAAH/z3tU=")</f>
        <v>#VALUE!</v>
      </c>
      <c r="HG149" t="e">
        <f>AND('GA55 Entry'!#REF!,"AAAAAH/z3tY=")</f>
        <v>#REF!</v>
      </c>
      <c r="HH149" t="e">
        <f>AND('GA55 Entry'!K518,"AAAAAH/z3tc=")</f>
        <v>#VALUE!</v>
      </c>
      <c r="HI149" t="e">
        <f>AND('GA55 Entry'!L518,"AAAAAH/z3tg=")</f>
        <v>#VALUE!</v>
      </c>
      <c r="HJ149" t="e">
        <f>AND('GA55 Entry'!M518,"AAAAAH/z3tk=")</f>
        <v>#VALUE!</v>
      </c>
      <c r="HK149" t="e">
        <f>AND('GA55 Entry'!N518,"AAAAAH/z3to=")</f>
        <v>#VALUE!</v>
      </c>
      <c r="HL149" t="e">
        <f>AND('GA55 Entry'!O518,"AAAAAH/z3ts=")</f>
        <v>#VALUE!</v>
      </c>
      <c r="HM149" t="e">
        <f>AND('GA55 Entry'!P518,"AAAAAH/z3tw=")</f>
        <v>#VALUE!</v>
      </c>
      <c r="HN149" t="e">
        <f>AND('GA55 Entry'!Q518,"AAAAAH/z3t0=")</f>
        <v>#VALUE!</v>
      </c>
      <c r="HO149" t="e">
        <f>AND('GA55 Entry'!S518,"AAAAAH/z3t4=")</f>
        <v>#VALUE!</v>
      </c>
      <c r="HP149" t="e">
        <f>AND('GA55 Entry'!#REF!,"AAAAAH/z3t8=")</f>
        <v>#REF!</v>
      </c>
      <c r="HQ149" t="e">
        <f>AND('GA55 Entry'!T518,"AAAAAH/z3uA=")</f>
        <v>#VALUE!</v>
      </c>
      <c r="HR149" t="e">
        <f>AND('GA55 Entry'!U518,"AAAAAH/z3uE=")</f>
        <v>#VALUE!</v>
      </c>
      <c r="HS149" t="e">
        <f>AND('GA55 Entry'!V518,"AAAAAH/z3uI=")</f>
        <v>#VALUE!</v>
      </c>
      <c r="HT149" t="e">
        <f>AND('GA55 Entry'!#REF!,"AAAAAH/z3uM=")</f>
        <v>#REF!</v>
      </c>
      <c r="HU149" t="e">
        <f>AND('GA55 Entry'!#REF!,"AAAAAH/z3uQ=")</f>
        <v>#REF!</v>
      </c>
      <c r="HV149" t="e">
        <f>AND('GA55 Entry'!X518,"AAAAAH/z3uU=")</f>
        <v>#VALUE!</v>
      </c>
      <c r="HW149" t="e">
        <f>AND('GA55 Entry'!Y518,"AAAAAH/z3uY=")</f>
        <v>#VALUE!</v>
      </c>
      <c r="HX149" t="e">
        <f>AND('GA55 Entry'!#REF!,"AAAAAH/z3uc=")</f>
        <v>#REF!</v>
      </c>
      <c r="HY149" t="e">
        <f>AND('GA55 Entry'!#REF!,"AAAAAH/z3ug=")</f>
        <v>#REF!</v>
      </c>
      <c r="HZ149" t="e">
        <f>AND('GA55 Entry'!#REF!,"AAAAAH/z3uk=")</f>
        <v>#REF!</v>
      </c>
      <c r="IA149" t="e">
        <f>AND('GA55 Entry'!#REF!,"AAAAAH/z3uo=")</f>
        <v>#REF!</v>
      </c>
      <c r="IB149" t="e">
        <f>AND('GA55 Entry'!#REF!,"AAAAAH/z3us=")</f>
        <v>#REF!</v>
      </c>
      <c r="IC149" t="e">
        <f>AND('GA55 Entry'!#REF!,"AAAAAH/z3uw=")</f>
        <v>#REF!</v>
      </c>
      <c r="ID149" t="e">
        <f>AND('GA55 Entry'!#REF!,"AAAAAH/z3u0=")</f>
        <v>#REF!</v>
      </c>
      <c r="IE149" t="e">
        <f>AND('GA55 Entry'!#REF!,"AAAAAH/z3u4=")</f>
        <v>#REF!</v>
      </c>
      <c r="IF149" t="e">
        <f>AND('GA55 Entry'!#REF!,"AAAAAH/z3u8=")</f>
        <v>#REF!</v>
      </c>
      <c r="IG149" t="e">
        <f>AND('GA55 Entry'!Z518,"AAAAAH/z3vA=")</f>
        <v>#VALUE!</v>
      </c>
      <c r="IH149" t="e">
        <f>AND('GA55 Entry'!AA518,"AAAAAH/z3vE=")</f>
        <v>#VALUE!</v>
      </c>
      <c r="II149" t="e">
        <f>AND('GA55 Entry'!#REF!,"AAAAAH/z3vI=")</f>
        <v>#REF!</v>
      </c>
      <c r="IJ149" t="e">
        <f>AND('GA55 Entry'!#REF!,"AAAAAH/z3vM=")</f>
        <v>#REF!</v>
      </c>
      <c r="IK149" t="e">
        <f>AND('GA55 Entry'!#REF!,"AAAAAH/z3vQ=")</f>
        <v>#REF!</v>
      </c>
      <c r="IL149" t="e">
        <f>AND('GA55 Entry'!AB518,"AAAAAH/z3vU=")</f>
        <v>#VALUE!</v>
      </c>
      <c r="IM149" t="e">
        <f>AND('GA55 Entry'!AC518,"AAAAAH/z3vY=")</f>
        <v>#VALUE!</v>
      </c>
      <c r="IN149" t="e">
        <f>AND('GA55 Entry'!#REF!,"AAAAAH/z3vc=")</f>
        <v>#REF!</v>
      </c>
      <c r="IO149">
        <f>IF('GA55 Entry'!519:519,"AAAAAH/z3vg=",0)</f>
        <v>0</v>
      </c>
      <c r="IP149" t="e">
        <f>AND('GA55 Entry'!B519,"AAAAAH/z3vk=")</f>
        <v>#VALUE!</v>
      </c>
      <c r="IQ149" t="e">
        <f>AND('GA55 Entry'!#REF!,"AAAAAH/z3vo=")</f>
        <v>#REF!</v>
      </c>
      <c r="IR149" t="e">
        <f>AND('GA55 Entry'!C519,"AAAAAH/z3vs=")</f>
        <v>#VALUE!</v>
      </c>
      <c r="IS149" t="e">
        <f>AND('GA55 Entry'!#REF!,"AAAAAH/z3vw=")</f>
        <v>#REF!</v>
      </c>
      <c r="IT149" t="e">
        <f>AND('GA55 Entry'!#REF!,"AAAAAH/z3v0=")</f>
        <v>#REF!</v>
      </c>
      <c r="IU149" t="e">
        <f>AND('GA55 Entry'!#REF!,"AAAAAH/z3v4=")</f>
        <v>#REF!</v>
      </c>
      <c r="IV149" t="e">
        <f>AND('GA55 Entry'!#REF!,"AAAAAH/z3v8=")</f>
        <v>#REF!</v>
      </c>
    </row>
    <row r="150" spans="1:256">
      <c r="A150" t="e">
        <f>AND('GA55 Entry'!#REF!,"AAAAACqO6wA=")</f>
        <v>#REF!</v>
      </c>
      <c r="B150" t="e">
        <f>AND('GA55 Entry'!D519,"AAAAACqO6wE=")</f>
        <v>#VALUE!</v>
      </c>
      <c r="C150" t="e">
        <f>AND('GA55 Entry'!#REF!,"AAAAACqO6wI=")</f>
        <v>#REF!</v>
      </c>
      <c r="D150" t="e">
        <f>AND('GA55 Entry'!E519,"AAAAACqO6wM=")</f>
        <v>#VALUE!</v>
      </c>
      <c r="E150" t="e">
        <f>AND('GA55 Entry'!F519,"AAAAACqO6wQ=")</f>
        <v>#VALUE!</v>
      </c>
      <c r="F150" t="e">
        <f>AND('GA55 Entry'!G519,"AAAAACqO6wU=")</f>
        <v>#VALUE!</v>
      </c>
      <c r="G150" t="e">
        <f>AND('GA55 Entry'!H519,"AAAAACqO6wY=")</f>
        <v>#VALUE!</v>
      </c>
      <c r="H150" t="e">
        <f>AND('GA55 Entry'!I519,"AAAAACqO6wc=")</f>
        <v>#VALUE!</v>
      </c>
      <c r="I150" t="e">
        <f>AND('GA55 Entry'!J519,"AAAAACqO6wg=")</f>
        <v>#VALUE!</v>
      </c>
      <c r="J150" t="e">
        <f>AND('GA55 Entry'!#REF!,"AAAAACqO6wk=")</f>
        <v>#REF!</v>
      </c>
      <c r="K150" t="e">
        <f>AND('GA55 Entry'!K519,"AAAAACqO6wo=")</f>
        <v>#VALUE!</v>
      </c>
      <c r="L150" t="e">
        <f>AND('GA55 Entry'!L519,"AAAAACqO6ws=")</f>
        <v>#VALUE!</v>
      </c>
      <c r="M150" t="e">
        <f>AND('GA55 Entry'!M519,"AAAAACqO6ww=")</f>
        <v>#VALUE!</v>
      </c>
      <c r="N150" t="e">
        <f>AND('GA55 Entry'!N519,"AAAAACqO6w0=")</f>
        <v>#VALUE!</v>
      </c>
      <c r="O150" t="e">
        <f>AND('GA55 Entry'!O519,"AAAAACqO6w4=")</f>
        <v>#VALUE!</v>
      </c>
      <c r="P150" t="e">
        <f>AND('GA55 Entry'!P519,"AAAAACqO6w8=")</f>
        <v>#VALUE!</v>
      </c>
      <c r="Q150" t="e">
        <f>AND('GA55 Entry'!Q519,"AAAAACqO6xA=")</f>
        <v>#VALUE!</v>
      </c>
      <c r="R150" t="e">
        <f>AND('GA55 Entry'!S519,"AAAAACqO6xE=")</f>
        <v>#VALUE!</v>
      </c>
      <c r="S150" t="e">
        <f>AND('GA55 Entry'!#REF!,"AAAAACqO6xI=")</f>
        <v>#REF!</v>
      </c>
      <c r="T150" t="e">
        <f>AND('GA55 Entry'!T519,"AAAAACqO6xM=")</f>
        <v>#VALUE!</v>
      </c>
      <c r="U150" t="e">
        <f>AND('GA55 Entry'!U519,"AAAAACqO6xQ=")</f>
        <v>#VALUE!</v>
      </c>
      <c r="V150" t="e">
        <f>AND('GA55 Entry'!V519,"AAAAACqO6xU=")</f>
        <v>#VALUE!</v>
      </c>
      <c r="W150" t="e">
        <f>AND('GA55 Entry'!#REF!,"AAAAACqO6xY=")</f>
        <v>#REF!</v>
      </c>
      <c r="X150" t="e">
        <f>AND('GA55 Entry'!#REF!,"AAAAACqO6xc=")</f>
        <v>#REF!</v>
      </c>
      <c r="Y150" t="e">
        <f>AND('GA55 Entry'!X519,"AAAAACqO6xg=")</f>
        <v>#VALUE!</v>
      </c>
      <c r="Z150" t="e">
        <f>AND('GA55 Entry'!Y519,"AAAAACqO6xk=")</f>
        <v>#VALUE!</v>
      </c>
      <c r="AA150" t="e">
        <f>AND('GA55 Entry'!#REF!,"AAAAACqO6xo=")</f>
        <v>#REF!</v>
      </c>
      <c r="AB150" t="e">
        <f>AND('GA55 Entry'!#REF!,"AAAAACqO6xs=")</f>
        <v>#REF!</v>
      </c>
      <c r="AC150" t="e">
        <f>AND('GA55 Entry'!#REF!,"AAAAACqO6xw=")</f>
        <v>#REF!</v>
      </c>
      <c r="AD150" t="e">
        <f>AND('GA55 Entry'!#REF!,"AAAAACqO6x0=")</f>
        <v>#REF!</v>
      </c>
      <c r="AE150" t="e">
        <f>AND('GA55 Entry'!#REF!,"AAAAACqO6x4=")</f>
        <v>#REF!</v>
      </c>
      <c r="AF150" t="e">
        <f>AND('GA55 Entry'!#REF!,"AAAAACqO6x8=")</f>
        <v>#REF!</v>
      </c>
      <c r="AG150" t="e">
        <f>AND('GA55 Entry'!#REF!,"AAAAACqO6yA=")</f>
        <v>#REF!</v>
      </c>
      <c r="AH150" t="e">
        <f>AND('GA55 Entry'!#REF!,"AAAAACqO6yE=")</f>
        <v>#REF!</v>
      </c>
      <c r="AI150" t="e">
        <f>AND('GA55 Entry'!#REF!,"AAAAACqO6yI=")</f>
        <v>#REF!</v>
      </c>
      <c r="AJ150" t="e">
        <f>AND('GA55 Entry'!Z519,"AAAAACqO6yM=")</f>
        <v>#VALUE!</v>
      </c>
      <c r="AK150" t="e">
        <f>AND('GA55 Entry'!AA519,"AAAAACqO6yQ=")</f>
        <v>#VALUE!</v>
      </c>
      <c r="AL150" t="e">
        <f>AND('GA55 Entry'!#REF!,"AAAAACqO6yU=")</f>
        <v>#REF!</v>
      </c>
      <c r="AM150" t="e">
        <f>AND('GA55 Entry'!#REF!,"AAAAACqO6yY=")</f>
        <v>#REF!</v>
      </c>
      <c r="AN150" t="e">
        <f>AND('GA55 Entry'!#REF!,"AAAAACqO6yc=")</f>
        <v>#REF!</v>
      </c>
      <c r="AO150" t="e">
        <f>AND('GA55 Entry'!AB519,"AAAAACqO6yg=")</f>
        <v>#VALUE!</v>
      </c>
      <c r="AP150" t="e">
        <f>AND('GA55 Entry'!AC519,"AAAAACqO6yk=")</f>
        <v>#VALUE!</v>
      </c>
      <c r="AQ150" t="e">
        <f>AND('GA55 Entry'!#REF!,"AAAAACqO6yo=")</f>
        <v>#REF!</v>
      </c>
      <c r="AR150">
        <f>IF('GA55 Entry'!520:520,"AAAAACqO6ys=",0)</f>
        <v>0</v>
      </c>
      <c r="AS150" t="e">
        <f>AND('GA55 Entry'!B520,"AAAAACqO6yw=")</f>
        <v>#VALUE!</v>
      </c>
      <c r="AT150" t="e">
        <f>AND('GA55 Entry'!#REF!,"AAAAACqO6y0=")</f>
        <v>#REF!</v>
      </c>
      <c r="AU150" t="e">
        <f>AND('GA55 Entry'!C520,"AAAAACqO6y4=")</f>
        <v>#VALUE!</v>
      </c>
      <c r="AV150" t="e">
        <f>AND('GA55 Entry'!#REF!,"AAAAACqO6y8=")</f>
        <v>#REF!</v>
      </c>
      <c r="AW150" t="e">
        <f>AND('GA55 Entry'!#REF!,"AAAAACqO6zA=")</f>
        <v>#REF!</v>
      </c>
      <c r="AX150" t="e">
        <f>AND('GA55 Entry'!#REF!,"AAAAACqO6zE=")</f>
        <v>#REF!</v>
      </c>
      <c r="AY150" t="e">
        <f>AND('GA55 Entry'!#REF!,"AAAAACqO6zI=")</f>
        <v>#REF!</v>
      </c>
      <c r="AZ150" t="e">
        <f>AND('GA55 Entry'!#REF!,"AAAAACqO6zM=")</f>
        <v>#REF!</v>
      </c>
      <c r="BA150" t="e">
        <f>AND('GA55 Entry'!D520,"AAAAACqO6zQ=")</f>
        <v>#VALUE!</v>
      </c>
      <c r="BB150" t="e">
        <f>AND('GA55 Entry'!#REF!,"AAAAACqO6zU=")</f>
        <v>#REF!</v>
      </c>
      <c r="BC150" t="e">
        <f>AND('GA55 Entry'!E520,"AAAAACqO6zY=")</f>
        <v>#VALUE!</v>
      </c>
      <c r="BD150" t="e">
        <f>AND('GA55 Entry'!F520,"AAAAACqO6zc=")</f>
        <v>#VALUE!</v>
      </c>
      <c r="BE150" t="e">
        <f>AND('GA55 Entry'!G520,"AAAAACqO6zg=")</f>
        <v>#VALUE!</v>
      </c>
      <c r="BF150" t="e">
        <f>AND('GA55 Entry'!H520,"AAAAACqO6zk=")</f>
        <v>#VALUE!</v>
      </c>
      <c r="BG150" t="e">
        <f>AND('GA55 Entry'!I520,"AAAAACqO6zo=")</f>
        <v>#VALUE!</v>
      </c>
      <c r="BH150" t="e">
        <f>AND('GA55 Entry'!J520,"AAAAACqO6zs=")</f>
        <v>#VALUE!</v>
      </c>
      <c r="BI150" t="e">
        <f>AND('GA55 Entry'!#REF!,"AAAAACqO6zw=")</f>
        <v>#REF!</v>
      </c>
      <c r="BJ150" t="e">
        <f>AND('GA55 Entry'!K520,"AAAAACqO6z0=")</f>
        <v>#VALUE!</v>
      </c>
      <c r="BK150" t="e">
        <f>AND('GA55 Entry'!L520,"AAAAACqO6z4=")</f>
        <v>#VALUE!</v>
      </c>
      <c r="BL150" t="e">
        <f>AND('GA55 Entry'!M520,"AAAAACqO6z8=")</f>
        <v>#VALUE!</v>
      </c>
      <c r="BM150" t="e">
        <f>AND('GA55 Entry'!N520,"AAAAACqO60A=")</f>
        <v>#VALUE!</v>
      </c>
      <c r="BN150" t="e">
        <f>AND('GA55 Entry'!O520,"AAAAACqO60E=")</f>
        <v>#VALUE!</v>
      </c>
      <c r="BO150" t="e">
        <f>AND('GA55 Entry'!P520,"AAAAACqO60I=")</f>
        <v>#VALUE!</v>
      </c>
      <c r="BP150" t="e">
        <f>AND('GA55 Entry'!Q520,"AAAAACqO60M=")</f>
        <v>#VALUE!</v>
      </c>
      <c r="BQ150" t="e">
        <f>AND('GA55 Entry'!S520,"AAAAACqO60Q=")</f>
        <v>#VALUE!</v>
      </c>
      <c r="BR150" t="e">
        <f>AND('GA55 Entry'!#REF!,"AAAAACqO60U=")</f>
        <v>#REF!</v>
      </c>
      <c r="BS150" t="e">
        <f>AND('GA55 Entry'!T520,"AAAAACqO60Y=")</f>
        <v>#VALUE!</v>
      </c>
      <c r="BT150" t="e">
        <f>AND('GA55 Entry'!U520,"AAAAACqO60c=")</f>
        <v>#VALUE!</v>
      </c>
      <c r="BU150" t="e">
        <f>AND('GA55 Entry'!V520,"AAAAACqO60g=")</f>
        <v>#VALUE!</v>
      </c>
      <c r="BV150" t="e">
        <f>AND('GA55 Entry'!#REF!,"AAAAACqO60k=")</f>
        <v>#REF!</v>
      </c>
      <c r="BW150" t="e">
        <f>AND('GA55 Entry'!#REF!,"AAAAACqO60o=")</f>
        <v>#REF!</v>
      </c>
      <c r="BX150" t="e">
        <f>AND('GA55 Entry'!X520,"AAAAACqO60s=")</f>
        <v>#VALUE!</v>
      </c>
      <c r="BY150" t="e">
        <f>AND('GA55 Entry'!Y520,"AAAAACqO60w=")</f>
        <v>#VALUE!</v>
      </c>
      <c r="BZ150" t="e">
        <f>AND('GA55 Entry'!#REF!,"AAAAACqO600=")</f>
        <v>#REF!</v>
      </c>
      <c r="CA150" t="e">
        <f>AND('GA55 Entry'!#REF!,"AAAAACqO604=")</f>
        <v>#REF!</v>
      </c>
      <c r="CB150" t="e">
        <f>AND('GA55 Entry'!#REF!,"AAAAACqO608=")</f>
        <v>#REF!</v>
      </c>
      <c r="CC150" t="e">
        <f>AND('GA55 Entry'!#REF!,"AAAAACqO61A=")</f>
        <v>#REF!</v>
      </c>
      <c r="CD150" t="e">
        <f>AND('GA55 Entry'!#REF!,"AAAAACqO61E=")</f>
        <v>#REF!</v>
      </c>
      <c r="CE150" t="e">
        <f>AND('GA55 Entry'!#REF!,"AAAAACqO61I=")</f>
        <v>#REF!</v>
      </c>
      <c r="CF150" t="e">
        <f>AND('GA55 Entry'!#REF!,"AAAAACqO61M=")</f>
        <v>#REF!</v>
      </c>
      <c r="CG150" t="e">
        <f>AND('GA55 Entry'!#REF!,"AAAAACqO61Q=")</f>
        <v>#REF!</v>
      </c>
      <c r="CH150" t="e">
        <f>AND('GA55 Entry'!#REF!,"AAAAACqO61U=")</f>
        <v>#REF!</v>
      </c>
      <c r="CI150" t="e">
        <f>AND('GA55 Entry'!Z520,"AAAAACqO61Y=")</f>
        <v>#VALUE!</v>
      </c>
      <c r="CJ150" t="e">
        <f>AND('GA55 Entry'!AA520,"AAAAACqO61c=")</f>
        <v>#VALUE!</v>
      </c>
      <c r="CK150" t="e">
        <f>AND('GA55 Entry'!#REF!,"AAAAACqO61g=")</f>
        <v>#REF!</v>
      </c>
      <c r="CL150" t="e">
        <f>AND('GA55 Entry'!#REF!,"AAAAACqO61k=")</f>
        <v>#REF!</v>
      </c>
      <c r="CM150" t="e">
        <f>AND('GA55 Entry'!#REF!,"AAAAACqO61o=")</f>
        <v>#REF!</v>
      </c>
      <c r="CN150" t="e">
        <f>AND('GA55 Entry'!AB520,"AAAAACqO61s=")</f>
        <v>#VALUE!</v>
      </c>
      <c r="CO150" t="e">
        <f>AND('GA55 Entry'!AC520,"AAAAACqO61w=")</f>
        <v>#VALUE!</v>
      </c>
      <c r="CP150" t="e">
        <f>AND('GA55 Entry'!#REF!,"AAAAACqO610=")</f>
        <v>#REF!</v>
      </c>
      <c r="CQ150">
        <f>IF('GA55 Entry'!521:521,"AAAAACqO614=",0)</f>
        <v>0</v>
      </c>
      <c r="CR150" t="e">
        <f>AND('GA55 Entry'!B521,"AAAAACqO618=")</f>
        <v>#VALUE!</v>
      </c>
      <c r="CS150" t="e">
        <f>AND('GA55 Entry'!#REF!,"AAAAACqO62A=")</f>
        <v>#REF!</v>
      </c>
      <c r="CT150" t="e">
        <f>AND('GA55 Entry'!C521,"AAAAACqO62E=")</f>
        <v>#VALUE!</v>
      </c>
      <c r="CU150" t="e">
        <f>AND('GA55 Entry'!#REF!,"AAAAACqO62I=")</f>
        <v>#REF!</v>
      </c>
      <c r="CV150" t="e">
        <f>AND('GA55 Entry'!#REF!,"AAAAACqO62M=")</f>
        <v>#REF!</v>
      </c>
      <c r="CW150" t="e">
        <f>AND('GA55 Entry'!#REF!,"AAAAACqO62Q=")</f>
        <v>#REF!</v>
      </c>
      <c r="CX150" t="e">
        <f>AND('GA55 Entry'!#REF!,"AAAAACqO62U=")</f>
        <v>#REF!</v>
      </c>
      <c r="CY150" t="e">
        <f>AND('GA55 Entry'!#REF!,"AAAAACqO62Y=")</f>
        <v>#REF!</v>
      </c>
      <c r="CZ150" t="e">
        <f>AND('GA55 Entry'!D521,"AAAAACqO62c=")</f>
        <v>#VALUE!</v>
      </c>
      <c r="DA150" t="e">
        <f>AND('GA55 Entry'!#REF!,"AAAAACqO62g=")</f>
        <v>#REF!</v>
      </c>
      <c r="DB150" t="e">
        <f>AND('GA55 Entry'!E521,"AAAAACqO62k=")</f>
        <v>#VALUE!</v>
      </c>
      <c r="DC150" t="e">
        <f>AND('GA55 Entry'!F521,"AAAAACqO62o=")</f>
        <v>#VALUE!</v>
      </c>
      <c r="DD150" t="e">
        <f>AND('GA55 Entry'!G521,"AAAAACqO62s=")</f>
        <v>#VALUE!</v>
      </c>
      <c r="DE150" t="e">
        <f>AND('GA55 Entry'!H521,"AAAAACqO62w=")</f>
        <v>#VALUE!</v>
      </c>
      <c r="DF150" t="e">
        <f>AND('GA55 Entry'!I521,"AAAAACqO620=")</f>
        <v>#VALUE!</v>
      </c>
      <c r="DG150" t="e">
        <f>AND('GA55 Entry'!J521,"AAAAACqO624=")</f>
        <v>#VALUE!</v>
      </c>
      <c r="DH150" t="e">
        <f>AND('GA55 Entry'!#REF!,"AAAAACqO628=")</f>
        <v>#REF!</v>
      </c>
      <c r="DI150" t="e">
        <f>AND('GA55 Entry'!K521,"AAAAACqO63A=")</f>
        <v>#VALUE!</v>
      </c>
      <c r="DJ150" t="e">
        <f>AND('GA55 Entry'!L521,"AAAAACqO63E=")</f>
        <v>#VALUE!</v>
      </c>
      <c r="DK150" t="e">
        <f>AND('GA55 Entry'!M521,"AAAAACqO63I=")</f>
        <v>#VALUE!</v>
      </c>
      <c r="DL150" t="e">
        <f>AND('GA55 Entry'!N521,"AAAAACqO63M=")</f>
        <v>#VALUE!</v>
      </c>
      <c r="DM150" t="e">
        <f>AND('GA55 Entry'!O521,"AAAAACqO63Q=")</f>
        <v>#VALUE!</v>
      </c>
      <c r="DN150" t="e">
        <f>AND('GA55 Entry'!P521,"AAAAACqO63U=")</f>
        <v>#VALUE!</v>
      </c>
      <c r="DO150" t="e">
        <f>AND('GA55 Entry'!Q521,"AAAAACqO63Y=")</f>
        <v>#VALUE!</v>
      </c>
      <c r="DP150" t="e">
        <f>AND('GA55 Entry'!S521,"AAAAACqO63c=")</f>
        <v>#VALUE!</v>
      </c>
      <c r="DQ150" t="e">
        <f>AND('GA55 Entry'!#REF!,"AAAAACqO63g=")</f>
        <v>#REF!</v>
      </c>
      <c r="DR150" t="e">
        <f>AND('GA55 Entry'!T521,"AAAAACqO63k=")</f>
        <v>#VALUE!</v>
      </c>
      <c r="DS150" t="e">
        <f>AND('GA55 Entry'!U521,"AAAAACqO63o=")</f>
        <v>#VALUE!</v>
      </c>
      <c r="DT150" t="e">
        <f>AND('GA55 Entry'!V521,"AAAAACqO63s=")</f>
        <v>#VALUE!</v>
      </c>
      <c r="DU150" t="e">
        <f>AND('GA55 Entry'!#REF!,"AAAAACqO63w=")</f>
        <v>#REF!</v>
      </c>
      <c r="DV150" t="e">
        <f>AND('GA55 Entry'!#REF!,"AAAAACqO630=")</f>
        <v>#REF!</v>
      </c>
      <c r="DW150" t="e">
        <f>AND('GA55 Entry'!X521,"AAAAACqO634=")</f>
        <v>#VALUE!</v>
      </c>
      <c r="DX150" t="e">
        <f>AND('GA55 Entry'!Y521,"AAAAACqO638=")</f>
        <v>#VALUE!</v>
      </c>
      <c r="DY150" t="e">
        <f>AND('GA55 Entry'!#REF!,"AAAAACqO64A=")</f>
        <v>#REF!</v>
      </c>
      <c r="DZ150" t="e">
        <f>AND('GA55 Entry'!#REF!,"AAAAACqO64E=")</f>
        <v>#REF!</v>
      </c>
      <c r="EA150" t="e">
        <f>AND('GA55 Entry'!#REF!,"AAAAACqO64I=")</f>
        <v>#REF!</v>
      </c>
      <c r="EB150" t="e">
        <f>AND('GA55 Entry'!#REF!,"AAAAACqO64M=")</f>
        <v>#REF!</v>
      </c>
      <c r="EC150" t="e">
        <f>AND('GA55 Entry'!#REF!,"AAAAACqO64Q=")</f>
        <v>#REF!</v>
      </c>
      <c r="ED150" t="e">
        <f>AND('GA55 Entry'!#REF!,"AAAAACqO64U=")</f>
        <v>#REF!</v>
      </c>
      <c r="EE150" t="e">
        <f>AND('GA55 Entry'!#REF!,"AAAAACqO64Y=")</f>
        <v>#REF!</v>
      </c>
      <c r="EF150" t="e">
        <f>AND('GA55 Entry'!#REF!,"AAAAACqO64c=")</f>
        <v>#REF!</v>
      </c>
      <c r="EG150" t="e">
        <f>AND('GA55 Entry'!#REF!,"AAAAACqO64g=")</f>
        <v>#REF!</v>
      </c>
      <c r="EH150" t="e">
        <f>AND('GA55 Entry'!Z521,"AAAAACqO64k=")</f>
        <v>#VALUE!</v>
      </c>
      <c r="EI150" t="e">
        <f>AND('GA55 Entry'!AA521,"AAAAACqO64o=")</f>
        <v>#VALUE!</v>
      </c>
      <c r="EJ150" t="e">
        <f>AND('GA55 Entry'!#REF!,"AAAAACqO64s=")</f>
        <v>#REF!</v>
      </c>
      <c r="EK150" t="e">
        <f>AND('GA55 Entry'!#REF!,"AAAAACqO64w=")</f>
        <v>#REF!</v>
      </c>
      <c r="EL150" t="e">
        <f>AND('GA55 Entry'!#REF!,"AAAAACqO640=")</f>
        <v>#REF!</v>
      </c>
      <c r="EM150" t="e">
        <f>AND('GA55 Entry'!AB521,"AAAAACqO644=")</f>
        <v>#VALUE!</v>
      </c>
      <c r="EN150" t="e">
        <f>AND('GA55 Entry'!AC521,"AAAAACqO648=")</f>
        <v>#VALUE!</v>
      </c>
      <c r="EO150" t="e">
        <f>AND('GA55 Entry'!#REF!,"AAAAACqO65A=")</f>
        <v>#REF!</v>
      </c>
      <c r="EP150">
        <f>IF('GA55 Entry'!522:522,"AAAAACqO65E=",0)</f>
        <v>0</v>
      </c>
      <c r="EQ150" t="e">
        <f>AND('GA55 Entry'!B522,"AAAAACqO65I=")</f>
        <v>#VALUE!</v>
      </c>
      <c r="ER150" t="e">
        <f>AND('GA55 Entry'!#REF!,"AAAAACqO65M=")</f>
        <v>#REF!</v>
      </c>
      <c r="ES150" t="e">
        <f>AND('GA55 Entry'!C522,"AAAAACqO65Q=")</f>
        <v>#VALUE!</v>
      </c>
      <c r="ET150" t="e">
        <f>AND('GA55 Entry'!#REF!,"AAAAACqO65U=")</f>
        <v>#REF!</v>
      </c>
      <c r="EU150" t="e">
        <f>AND('GA55 Entry'!#REF!,"AAAAACqO65Y=")</f>
        <v>#REF!</v>
      </c>
      <c r="EV150" t="e">
        <f>AND('GA55 Entry'!#REF!,"AAAAACqO65c=")</f>
        <v>#REF!</v>
      </c>
      <c r="EW150" t="e">
        <f>AND('GA55 Entry'!#REF!,"AAAAACqO65g=")</f>
        <v>#REF!</v>
      </c>
      <c r="EX150" t="e">
        <f>AND('GA55 Entry'!#REF!,"AAAAACqO65k=")</f>
        <v>#REF!</v>
      </c>
      <c r="EY150" t="e">
        <f>AND('GA55 Entry'!D522,"AAAAACqO65o=")</f>
        <v>#VALUE!</v>
      </c>
      <c r="EZ150" t="e">
        <f>AND('GA55 Entry'!#REF!,"AAAAACqO65s=")</f>
        <v>#REF!</v>
      </c>
      <c r="FA150" t="e">
        <f>AND('GA55 Entry'!E522,"AAAAACqO65w=")</f>
        <v>#VALUE!</v>
      </c>
      <c r="FB150" t="e">
        <f>AND('GA55 Entry'!F522,"AAAAACqO650=")</f>
        <v>#VALUE!</v>
      </c>
      <c r="FC150" t="e">
        <f>AND('GA55 Entry'!G522,"AAAAACqO654=")</f>
        <v>#VALUE!</v>
      </c>
      <c r="FD150" t="e">
        <f>AND('GA55 Entry'!H522,"AAAAACqO658=")</f>
        <v>#VALUE!</v>
      </c>
      <c r="FE150" t="e">
        <f>AND('GA55 Entry'!I522,"AAAAACqO66A=")</f>
        <v>#VALUE!</v>
      </c>
      <c r="FF150" t="e">
        <f>AND('GA55 Entry'!J522,"AAAAACqO66E=")</f>
        <v>#VALUE!</v>
      </c>
      <c r="FG150" t="e">
        <f>AND('GA55 Entry'!#REF!,"AAAAACqO66I=")</f>
        <v>#REF!</v>
      </c>
      <c r="FH150" t="e">
        <f>AND('GA55 Entry'!K522,"AAAAACqO66M=")</f>
        <v>#VALUE!</v>
      </c>
      <c r="FI150" t="e">
        <f>AND('GA55 Entry'!L522,"AAAAACqO66Q=")</f>
        <v>#VALUE!</v>
      </c>
      <c r="FJ150" t="e">
        <f>AND('GA55 Entry'!M522,"AAAAACqO66U=")</f>
        <v>#VALUE!</v>
      </c>
      <c r="FK150" t="e">
        <f>AND('GA55 Entry'!N522,"AAAAACqO66Y=")</f>
        <v>#VALUE!</v>
      </c>
      <c r="FL150" t="e">
        <f>AND('GA55 Entry'!O522,"AAAAACqO66c=")</f>
        <v>#VALUE!</v>
      </c>
      <c r="FM150" t="e">
        <f>AND('GA55 Entry'!P522,"AAAAACqO66g=")</f>
        <v>#VALUE!</v>
      </c>
      <c r="FN150" t="e">
        <f>AND('GA55 Entry'!Q522,"AAAAACqO66k=")</f>
        <v>#VALUE!</v>
      </c>
      <c r="FO150" t="e">
        <f>AND('GA55 Entry'!S522,"AAAAACqO66o=")</f>
        <v>#VALUE!</v>
      </c>
      <c r="FP150" t="e">
        <f>AND('GA55 Entry'!#REF!,"AAAAACqO66s=")</f>
        <v>#REF!</v>
      </c>
      <c r="FQ150" t="e">
        <f>AND('GA55 Entry'!T522,"AAAAACqO66w=")</f>
        <v>#VALUE!</v>
      </c>
      <c r="FR150" t="e">
        <f>AND('GA55 Entry'!U522,"AAAAACqO660=")</f>
        <v>#VALUE!</v>
      </c>
      <c r="FS150" t="e">
        <f>AND('GA55 Entry'!V522,"AAAAACqO664=")</f>
        <v>#VALUE!</v>
      </c>
      <c r="FT150" t="e">
        <f>AND('GA55 Entry'!#REF!,"AAAAACqO668=")</f>
        <v>#REF!</v>
      </c>
      <c r="FU150" t="e">
        <f>AND('GA55 Entry'!#REF!,"AAAAACqO67A=")</f>
        <v>#REF!</v>
      </c>
      <c r="FV150" t="e">
        <f>AND('GA55 Entry'!X522,"AAAAACqO67E=")</f>
        <v>#VALUE!</v>
      </c>
      <c r="FW150" t="e">
        <f>AND('GA55 Entry'!Y522,"AAAAACqO67I=")</f>
        <v>#VALUE!</v>
      </c>
      <c r="FX150" t="e">
        <f>AND('GA55 Entry'!#REF!,"AAAAACqO67M=")</f>
        <v>#REF!</v>
      </c>
      <c r="FY150" t="e">
        <f>AND('GA55 Entry'!#REF!,"AAAAACqO67Q=")</f>
        <v>#REF!</v>
      </c>
      <c r="FZ150" t="e">
        <f>AND('GA55 Entry'!#REF!,"AAAAACqO67U=")</f>
        <v>#REF!</v>
      </c>
      <c r="GA150" t="e">
        <f>AND('GA55 Entry'!#REF!,"AAAAACqO67Y=")</f>
        <v>#REF!</v>
      </c>
      <c r="GB150" t="e">
        <f>AND('GA55 Entry'!#REF!,"AAAAACqO67c=")</f>
        <v>#REF!</v>
      </c>
      <c r="GC150" t="e">
        <f>AND('GA55 Entry'!#REF!,"AAAAACqO67g=")</f>
        <v>#REF!</v>
      </c>
      <c r="GD150" t="e">
        <f>AND('GA55 Entry'!#REF!,"AAAAACqO67k=")</f>
        <v>#REF!</v>
      </c>
      <c r="GE150" t="e">
        <f>AND('GA55 Entry'!#REF!,"AAAAACqO67o=")</f>
        <v>#REF!</v>
      </c>
      <c r="GF150" t="e">
        <f>AND('GA55 Entry'!#REF!,"AAAAACqO67s=")</f>
        <v>#REF!</v>
      </c>
      <c r="GG150" t="e">
        <f>AND('GA55 Entry'!Z522,"AAAAACqO67w=")</f>
        <v>#VALUE!</v>
      </c>
      <c r="GH150" t="e">
        <f>AND('GA55 Entry'!AA522,"AAAAACqO670=")</f>
        <v>#VALUE!</v>
      </c>
      <c r="GI150" t="e">
        <f>AND('GA55 Entry'!#REF!,"AAAAACqO674=")</f>
        <v>#REF!</v>
      </c>
      <c r="GJ150" t="e">
        <f>AND('GA55 Entry'!#REF!,"AAAAACqO678=")</f>
        <v>#REF!</v>
      </c>
      <c r="GK150" t="e">
        <f>AND('GA55 Entry'!#REF!,"AAAAACqO68A=")</f>
        <v>#REF!</v>
      </c>
      <c r="GL150" t="e">
        <f>AND('GA55 Entry'!AB522,"AAAAACqO68E=")</f>
        <v>#VALUE!</v>
      </c>
      <c r="GM150" t="e">
        <f>AND('GA55 Entry'!AC522,"AAAAACqO68I=")</f>
        <v>#VALUE!</v>
      </c>
      <c r="GN150" t="e">
        <f>AND('GA55 Entry'!#REF!,"AAAAACqO68M=")</f>
        <v>#REF!</v>
      </c>
      <c r="GO150">
        <f>IF('GA55 Entry'!523:523,"AAAAACqO68Q=",0)</f>
        <v>0</v>
      </c>
      <c r="GP150" t="e">
        <f>AND('GA55 Entry'!B523,"AAAAACqO68U=")</f>
        <v>#VALUE!</v>
      </c>
      <c r="GQ150" t="e">
        <f>AND('GA55 Entry'!#REF!,"AAAAACqO68Y=")</f>
        <v>#REF!</v>
      </c>
      <c r="GR150" t="e">
        <f>AND('GA55 Entry'!C523,"AAAAACqO68c=")</f>
        <v>#VALUE!</v>
      </c>
      <c r="GS150" t="e">
        <f>AND('GA55 Entry'!#REF!,"AAAAACqO68g=")</f>
        <v>#REF!</v>
      </c>
      <c r="GT150" t="e">
        <f>AND('GA55 Entry'!#REF!,"AAAAACqO68k=")</f>
        <v>#REF!</v>
      </c>
      <c r="GU150" t="e">
        <f>AND('GA55 Entry'!#REF!,"AAAAACqO68o=")</f>
        <v>#REF!</v>
      </c>
      <c r="GV150" t="e">
        <f>AND('GA55 Entry'!#REF!,"AAAAACqO68s=")</f>
        <v>#REF!</v>
      </c>
      <c r="GW150" t="e">
        <f>AND('GA55 Entry'!#REF!,"AAAAACqO68w=")</f>
        <v>#REF!</v>
      </c>
      <c r="GX150" t="e">
        <f>AND('GA55 Entry'!D523,"AAAAACqO680=")</f>
        <v>#VALUE!</v>
      </c>
      <c r="GY150" t="e">
        <f>AND('GA55 Entry'!#REF!,"AAAAACqO684=")</f>
        <v>#REF!</v>
      </c>
      <c r="GZ150" t="e">
        <f>AND('GA55 Entry'!E523,"AAAAACqO688=")</f>
        <v>#VALUE!</v>
      </c>
      <c r="HA150" t="e">
        <f>AND('GA55 Entry'!F523,"AAAAACqO69A=")</f>
        <v>#VALUE!</v>
      </c>
      <c r="HB150" t="e">
        <f>AND('GA55 Entry'!G523,"AAAAACqO69E=")</f>
        <v>#VALUE!</v>
      </c>
      <c r="HC150" t="e">
        <f>AND('GA55 Entry'!H523,"AAAAACqO69I=")</f>
        <v>#VALUE!</v>
      </c>
      <c r="HD150" t="e">
        <f>AND('GA55 Entry'!I523,"AAAAACqO69M=")</f>
        <v>#VALUE!</v>
      </c>
      <c r="HE150" t="e">
        <f>AND('GA55 Entry'!J523,"AAAAACqO69Q=")</f>
        <v>#VALUE!</v>
      </c>
      <c r="HF150" t="e">
        <f>AND('GA55 Entry'!#REF!,"AAAAACqO69U=")</f>
        <v>#REF!</v>
      </c>
      <c r="HG150" t="e">
        <f>AND('GA55 Entry'!K523,"AAAAACqO69Y=")</f>
        <v>#VALUE!</v>
      </c>
      <c r="HH150" t="e">
        <f>AND('GA55 Entry'!L523,"AAAAACqO69c=")</f>
        <v>#VALUE!</v>
      </c>
      <c r="HI150" t="e">
        <f>AND('GA55 Entry'!M523,"AAAAACqO69g=")</f>
        <v>#VALUE!</v>
      </c>
      <c r="HJ150" t="e">
        <f>AND('GA55 Entry'!N523,"AAAAACqO69k=")</f>
        <v>#VALUE!</v>
      </c>
      <c r="HK150" t="e">
        <f>AND('GA55 Entry'!O523,"AAAAACqO69o=")</f>
        <v>#VALUE!</v>
      </c>
      <c r="HL150" t="e">
        <f>AND('GA55 Entry'!P523,"AAAAACqO69s=")</f>
        <v>#VALUE!</v>
      </c>
      <c r="HM150" t="e">
        <f>AND('GA55 Entry'!Q523,"AAAAACqO69w=")</f>
        <v>#VALUE!</v>
      </c>
      <c r="HN150" t="e">
        <f>AND('GA55 Entry'!S523,"AAAAACqO690=")</f>
        <v>#VALUE!</v>
      </c>
      <c r="HO150" t="e">
        <f>AND('GA55 Entry'!#REF!,"AAAAACqO694=")</f>
        <v>#REF!</v>
      </c>
      <c r="HP150" t="e">
        <f>AND('GA55 Entry'!T523,"AAAAACqO698=")</f>
        <v>#VALUE!</v>
      </c>
      <c r="HQ150" t="e">
        <f>AND('GA55 Entry'!U523,"AAAAACqO6+A=")</f>
        <v>#VALUE!</v>
      </c>
      <c r="HR150" t="e">
        <f>AND('GA55 Entry'!V523,"AAAAACqO6+E=")</f>
        <v>#VALUE!</v>
      </c>
      <c r="HS150" t="e">
        <f>AND('GA55 Entry'!#REF!,"AAAAACqO6+I=")</f>
        <v>#REF!</v>
      </c>
      <c r="HT150" t="e">
        <f>AND('GA55 Entry'!#REF!,"AAAAACqO6+M=")</f>
        <v>#REF!</v>
      </c>
      <c r="HU150" t="e">
        <f>AND('GA55 Entry'!X523,"AAAAACqO6+Q=")</f>
        <v>#VALUE!</v>
      </c>
      <c r="HV150" t="e">
        <f>AND('GA55 Entry'!Y523,"AAAAACqO6+U=")</f>
        <v>#VALUE!</v>
      </c>
      <c r="HW150" t="e">
        <f>AND('GA55 Entry'!#REF!,"AAAAACqO6+Y=")</f>
        <v>#REF!</v>
      </c>
      <c r="HX150" t="e">
        <f>AND('GA55 Entry'!#REF!,"AAAAACqO6+c=")</f>
        <v>#REF!</v>
      </c>
      <c r="HY150" t="e">
        <f>AND('GA55 Entry'!#REF!,"AAAAACqO6+g=")</f>
        <v>#REF!</v>
      </c>
      <c r="HZ150" t="e">
        <f>AND('GA55 Entry'!#REF!,"AAAAACqO6+k=")</f>
        <v>#REF!</v>
      </c>
      <c r="IA150" t="e">
        <f>AND('GA55 Entry'!#REF!,"AAAAACqO6+o=")</f>
        <v>#REF!</v>
      </c>
      <c r="IB150" t="e">
        <f>AND('GA55 Entry'!#REF!,"AAAAACqO6+s=")</f>
        <v>#REF!</v>
      </c>
      <c r="IC150" t="e">
        <f>AND('GA55 Entry'!#REF!,"AAAAACqO6+w=")</f>
        <v>#REF!</v>
      </c>
      <c r="ID150" t="e">
        <f>AND('GA55 Entry'!#REF!,"AAAAACqO6+0=")</f>
        <v>#REF!</v>
      </c>
      <c r="IE150" t="e">
        <f>AND('GA55 Entry'!#REF!,"AAAAACqO6+4=")</f>
        <v>#REF!</v>
      </c>
      <c r="IF150" t="e">
        <f>AND('GA55 Entry'!Z523,"AAAAACqO6+8=")</f>
        <v>#VALUE!</v>
      </c>
      <c r="IG150" t="e">
        <f>AND('GA55 Entry'!AA523,"AAAAACqO6/A=")</f>
        <v>#VALUE!</v>
      </c>
      <c r="IH150" t="e">
        <f>AND('GA55 Entry'!#REF!,"AAAAACqO6/E=")</f>
        <v>#REF!</v>
      </c>
      <c r="II150" t="e">
        <f>AND('GA55 Entry'!#REF!,"AAAAACqO6/I=")</f>
        <v>#REF!</v>
      </c>
      <c r="IJ150" t="e">
        <f>AND('GA55 Entry'!#REF!,"AAAAACqO6/M=")</f>
        <v>#REF!</v>
      </c>
      <c r="IK150" t="e">
        <f>AND('GA55 Entry'!AB523,"AAAAACqO6/Q=")</f>
        <v>#VALUE!</v>
      </c>
      <c r="IL150" t="e">
        <f>AND('GA55 Entry'!AC523,"AAAAACqO6/U=")</f>
        <v>#VALUE!</v>
      </c>
      <c r="IM150" t="e">
        <f>AND('GA55 Entry'!#REF!,"AAAAACqO6/Y=")</f>
        <v>#REF!</v>
      </c>
      <c r="IN150">
        <f>IF('GA55 Entry'!524:524,"AAAAACqO6/c=",0)</f>
        <v>0</v>
      </c>
      <c r="IO150" t="e">
        <f>AND('GA55 Entry'!B524,"AAAAACqO6/g=")</f>
        <v>#VALUE!</v>
      </c>
      <c r="IP150" t="e">
        <f>AND('GA55 Entry'!#REF!,"AAAAACqO6/k=")</f>
        <v>#REF!</v>
      </c>
      <c r="IQ150" t="e">
        <f>AND('GA55 Entry'!C524,"AAAAACqO6/o=")</f>
        <v>#VALUE!</v>
      </c>
      <c r="IR150" t="e">
        <f>AND('GA55 Entry'!#REF!,"AAAAACqO6/s=")</f>
        <v>#REF!</v>
      </c>
      <c r="IS150" t="e">
        <f>AND('GA55 Entry'!#REF!,"AAAAACqO6/w=")</f>
        <v>#REF!</v>
      </c>
      <c r="IT150" t="e">
        <f>AND('GA55 Entry'!#REF!,"AAAAACqO6/0=")</f>
        <v>#REF!</v>
      </c>
      <c r="IU150" t="e">
        <f>AND('GA55 Entry'!#REF!,"AAAAACqO6/4=")</f>
        <v>#REF!</v>
      </c>
      <c r="IV150" t="e">
        <f>AND('GA55 Entry'!#REF!,"AAAAACqO6/8=")</f>
        <v>#REF!</v>
      </c>
    </row>
    <row r="151" spans="1:256">
      <c r="A151" t="e">
        <f>AND('GA55 Entry'!D524,"AAAAAFe97gA=")</f>
        <v>#VALUE!</v>
      </c>
      <c r="B151" t="e">
        <f>AND('GA55 Entry'!#REF!,"AAAAAFe97gE=")</f>
        <v>#REF!</v>
      </c>
      <c r="C151" t="e">
        <f>AND('GA55 Entry'!E524,"AAAAAFe97gI=")</f>
        <v>#VALUE!</v>
      </c>
      <c r="D151" t="e">
        <f>AND('GA55 Entry'!F524,"AAAAAFe97gM=")</f>
        <v>#VALUE!</v>
      </c>
      <c r="E151" t="e">
        <f>AND('GA55 Entry'!G524,"AAAAAFe97gQ=")</f>
        <v>#VALUE!</v>
      </c>
      <c r="F151" t="e">
        <f>AND('GA55 Entry'!H524,"AAAAAFe97gU=")</f>
        <v>#VALUE!</v>
      </c>
      <c r="G151" t="e">
        <f>AND('GA55 Entry'!I524,"AAAAAFe97gY=")</f>
        <v>#VALUE!</v>
      </c>
      <c r="H151" t="e">
        <f>AND('GA55 Entry'!J524,"AAAAAFe97gc=")</f>
        <v>#VALUE!</v>
      </c>
      <c r="I151" t="e">
        <f>AND('GA55 Entry'!#REF!,"AAAAAFe97gg=")</f>
        <v>#REF!</v>
      </c>
      <c r="J151" t="e">
        <f>AND('GA55 Entry'!K524,"AAAAAFe97gk=")</f>
        <v>#VALUE!</v>
      </c>
      <c r="K151" t="e">
        <f>AND('GA55 Entry'!L524,"AAAAAFe97go=")</f>
        <v>#VALUE!</v>
      </c>
      <c r="L151" t="e">
        <f>AND('GA55 Entry'!M524,"AAAAAFe97gs=")</f>
        <v>#VALUE!</v>
      </c>
      <c r="M151" t="e">
        <f>AND('GA55 Entry'!N524,"AAAAAFe97gw=")</f>
        <v>#VALUE!</v>
      </c>
      <c r="N151" t="e">
        <f>AND('GA55 Entry'!O524,"AAAAAFe97g0=")</f>
        <v>#VALUE!</v>
      </c>
      <c r="O151" t="e">
        <f>AND('GA55 Entry'!P524,"AAAAAFe97g4=")</f>
        <v>#VALUE!</v>
      </c>
      <c r="P151" t="e">
        <f>AND('GA55 Entry'!Q524,"AAAAAFe97g8=")</f>
        <v>#VALUE!</v>
      </c>
      <c r="Q151" t="e">
        <f>AND('GA55 Entry'!S524,"AAAAAFe97hA=")</f>
        <v>#VALUE!</v>
      </c>
      <c r="R151" t="e">
        <f>AND('GA55 Entry'!#REF!,"AAAAAFe97hE=")</f>
        <v>#REF!</v>
      </c>
      <c r="S151" t="e">
        <f>AND('GA55 Entry'!T524,"AAAAAFe97hI=")</f>
        <v>#VALUE!</v>
      </c>
      <c r="T151" t="e">
        <f>AND('GA55 Entry'!U524,"AAAAAFe97hM=")</f>
        <v>#VALUE!</v>
      </c>
      <c r="U151" t="e">
        <f>AND('GA55 Entry'!V524,"AAAAAFe97hQ=")</f>
        <v>#VALUE!</v>
      </c>
      <c r="V151" t="e">
        <f>AND('GA55 Entry'!#REF!,"AAAAAFe97hU=")</f>
        <v>#REF!</v>
      </c>
      <c r="W151" t="e">
        <f>AND('GA55 Entry'!#REF!,"AAAAAFe97hY=")</f>
        <v>#REF!</v>
      </c>
      <c r="X151" t="e">
        <f>AND('GA55 Entry'!X524,"AAAAAFe97hc=")</f>
        <v>#VALUE!</v>
      </c>
      <c r="Y151" t="e">
        <f>AND('GA55 Entry'!Y524,"AAAAAFe97hg=")</f>
        <v>#VALUE!</v>
      </c>
      <c r="Z151" t="e">
        <f>AND('GA55 Entry'!#REF!,"AAAAAFe97hk=")</f>
        <v>#REF!</v>
      </c>
      <c r="AA151" t="e">
        <f>AND('GA55 Entry'!#REF!,"AAAAAFe97ho=")</f>
        <v>#REF!</v>
      </c>
      <c r="AB151" t="e">
        <f>AND('GA55 Entry'!#REF!,"AAAAAFe97hs=")</f>
        <v>#REF!</v>
      </c>
      <c r="AC151" t="e">
        <f>AND('GA55 Entry'!#REF!,"AAAAAFe97hw=")</f>
        <v>#REF!</v>
      </c>
      <c r="AD151" t="e">
        <f>AND('GA55 Entry'!#REF!,"AAAAAFe97h0=")</f>
        <v>#REF!</v>
      </c>
      <c r="AE151" t="e">
        <f>AND('GA55 Entry'!#REF!,"AAAAAFe97h4=")</f>
        <v>#REF!</v>
      </c>
      <c r="AF151" t="e">
        <f>AND('GA55 Entry'!#REF!,"AAAAAFe97h8=")</f>
        <v>#REF!</v>
      </c>
      <c r="AG151" t="e">
        <f>AND('GA55 Entry'!#REF!,"AAAAAFe97iA=")</f>
        <v>#REF!</v>
      </c>
      <c r="AH151" t="e">
        <f>AND('GA55 Entry'!#REF!,"AAAAAFe97iE=")</f>
        <v>#REF!</v>
      </c>
      <c r="AI151" t="e">
        <f>AND('GA55 Entry'!Z524,"AAAAAFe97iI=")</f>
        <v>#VALUE!</v>
      </c>
      <c r="AJ151" t="e">
        <f>AND('GA55 Entry'!AA524,"AAAAAFe97iM=")</f>
        <v>#VALUE!</v>
      </c>
      <c r="AK151" t="e">
        <f>AND('GA55 Entry'!#REF!,"AAAAAFe97iQ=")</f>
        <v>#REF!</v>
      </c>
      <c r="AL151" t="e">
        <f>AND('GA55 Entry'!#REF!,"AAAAAFe97iU=")</f>
        <v>#REF!</v>
      </c>
      <c r="AM151" t="e">
        <f>AND('GA55 Entry'!#REF!,"AAAAAFe97iY=")</f>
        <v>#REF!</v>
      </c>
      <c r="AN151" t="e">
        <f>AND('GA55 Entry'!AB524,"AAAAAFe97ic=")</f>
        <v>#VALUE!</v>
      </c>
      <c r="AO151" t="e">
        <f>AND('GA55 Entry'!AC524,"AAAAAFe97ig=")</f>
        <v>#VALUE!</v>
      </c>
      <c r="AP151" t="e">
        <f>AND('GA55 Entry'!#REF!,"AAAAAFe97ik=")</f>
        <v>#REF!</v>
      </c>
      <c r="AQ151">
        <f>IF('GA55 Entry'!525:525,"AAAAAFe97io=",0)</f>
        <v>0</v>
      </c>
      <c r="AR151" t="e">
        <f>AND('GA55 Entry'!B525,"AAAAAFe97is=")</f>
        <v>#VALUE!</v>
      </c>
      <c r="AS151" t="e">
        <f>AND('GA55 Entry'!#REF!,"AAAAAFe97iw=")</f>
        <v>#REF!</v>
      </c>
      <c r="AT151" t="e">
        <f>AND('GA55 Entry'!C525,"AAAAAFe97i0=")</f>
        <v>#VALUE!</v>
      </c>
      <c r="AU151" t="e">
        <f>AND('GA55 Entry'!#REF!,"AAAAAFe97i4=")</f>
        <v>#REF!</v>
      </c>
      <c r="AV151" t="e">
        <f>AND('GA55 Entry'!#REF!,"AAAAAFe97i8=")</f>
        <v>#REF!</v>
      </c>
      <c r="AW151" t="e">
        <f>AND('GA55 Entry'!#REF!,"AAAAAFe97jA=")</f>
        <v>#REF!</v>
      </c>
      <c r="AX151" t="e">
        <f>AND('GA55 Entry'!#REF!,"AAAAAFe97jE=")</f>
        <v>#REF!</v>
      </c>
      <c r="AY151" t="e">
        <f>AND('GA55 Entry'!#REF!,"AAAAAFe97jI=")</f>
        <v>#REF!</v>
      </c>
      <c r="AZ151" t="e">
        <f>AND('GA55 Entry'!D525,"AAAAAFe97jM=")</f>
        <v>#VALUE!</v>
      </c>
      <c r="BA151" t="e">
        <f>AND('GA55 Entry'!#REF!,"AAAAAFe97jQ=")</f>
        <v>#REF!</v>
      </c>
      <c r="BB151" t="e">
        <f>AND('GA55 Entry'!E525,"AAAAAFe97jU=")</f>
        <v>#VALUE!</v>
      </c>
      <c r="BC151" t="e">
        <f>AND('GA55 Entry'!F525,"AAAAAFe97jY=")</f>
        <v>#VALUE!</v>
      </c>
      <c r="BD151" t="e">
        <f>AND('GA55 Entry'!G525,"AAAAAFe97jc=")</f>
        <v>#VALUE!</v>
      </c>
      <c r="BE151" t="e">
        <f>AND('GA55 Entry'!H525,"AAAAAFe97jg=")</f>
        <v>#VALUE!</v>
      </c>
      <c r="BF151" t="e">
        <f>AND('GA55 Entry'!I525,"AAAAAFe97jk=")</f>
        <v>#VALUE!</v>
      </c>
      <c r="BG151" t="e">
        <f>AND('GA55 Entry'!J525,"AAAAAFe97jo=")</f>
        <v>#VALUE!</v>
      </c>
      <c r="BH151" t="e">
        <f>AND('GA55 Entry'!#REF!,"AAAAAFe97js=")</f>
        <v>#REF!</v>
      </c>
      <c r="BI151" t="e">
        <f>AND('GA55 Entry'!K525,"AAAAAFe97jw=")</f>
        <v>#VALUE!</v>
      </c>
      <c r="BJ151" t="e">
        <f>AND('GA55 Entry'!L525,"AAAAAFe97j0=")</f>
        <v>#VALUE!</v>
      </c>
      <c r="BK151" t="e">
        <f>AND('GA55 Entry'!M525,"AAAAAFe97j4=")</f>
        <v>#VALUE!</v>
      </c>
      <c r="BL151" t="e">
        <f>AND('GA55 Entry'!N525,"AAAAAFe97j8=")</f>
        <v>#VALUE!</v>
      </c>
      <c r="BM151" t="e">
        <f>AND('GA55 Entry'!O525,"AAAAAFe97kA=")</f>
        <v>#VALUE!</v>
      </c>
      <c r="BN151" t="e">
        <f>AND('GA55 Entry'!P525,"AAAAAFe97kE=")</f>
        <v>#VALUE!</v>
      </c>
      <c r="BO151" t="e">
        <f>AND('GA55 Entry'!Q525,"AAAAAFe97kI=")</f>
        <v>#VALUE!</v>
      </c>
      <c r="BP151" t="e">
        <f>AND('GA55 Entry'!S525,"AAAAAFe97kM=")</f>
        <v>#VALUE!</v>
      </c>
      <c r="BQ151" t="e">
        <f>AND('GA55 Entry'!#REF!,"AAAAAFe97kQ=")</f>
        <v>#REF!</v>
      </c>
      <c r="BR151" t="e">
        <f>AND('GA55 Entry'!T525,"AAAAAFe97kU=")</f>
        <v>#VALUE!</v>
      </c>
      <c r="BS151" t="e">
        <f>AND('GA55 Entry'!U525,"AAAAAFe97kY=")</f>
        <v>#VALUE!</v>
      </c>
      <c r="BT151" t="e">
        <f>AND('GA55 Entry'!V525,"AAAAAFe97kc=")</f>
        <v>#VALUE!</v>
      </c>
      <c r="BU151" t="e">
        <f>AND('GA55 Entry'!#REF!,"AAAAAFe97kg=")</f>
        <v>#REF!</v>
      </c>
      <c r="BV151" t="e">
        <f>AND('GA55 Entry'!#REF!,"AAAAAFe97kk=")</f>
        <v>#REF!</v>
      </c>
      <c r="BW151" t="e">
        <f>AND('GA55 Entry'!X525,"AAAAAFe97ko=")</f>
        <v>#VALUE!</v>
      </c>
      <c r="BX151" t="e">
        <f>AND('GA55 Entry'!Y525,"AAAAAFe97ks=")</f>
        <v>#VALUE!</v>
      </c>
      <c r="BY151" t="e">
        <f>AND('GA55 Entry'!#REF!,"AAAAAFe97kw=")</f>
        <v>#REF!</v>
      </c>
      <c r="BZ151" t="e">
        <f>AND('GA55 Entry'!#REF!,"AAAAAFe97k0=")</f>
        <v>#REF!</v>
      </c>
      <c r="CA151" t="e">
        <f>AND('GA55 Entry'!#REF!,"AAAAAFe97k4=")</f>
        <v>#REF!</v>
      </c>
      <c r="CB151" t="e">
        <f>AND('GA55 Entry'!#REF!,"AAAAAFe97k8=")</f>
        <v>#REF!</v>
      </c>
      <c r="CC151" t="e">
        <f>AND('GA55 Entry'!#REF!,"AAAAAFe97lA=")</f>
        <v>#REF!</v>
      </c>
      <c r="CD151" t="e">
        <f>AND('GA55 Entry'!#REF!,"AAAAAFe97lE=")</f>
        <v>#REF!</v>
      </c>
      <c r="CE151" t="e">
        <f>AND('GA55 Entry'!#REF!,"AAAAAFe97lI=")</f>
        <v>#REF!</v>
      </c>
      <c r="CF151" t="e">
        <f>AND('GA55 Entry'!#REF!,"AAAAAFe97lM=")</f>
        <v>#REF!</v>
      </c>
      <c r="CG151" t="e">
        <f>AND('GA55 Entry'!#REF!,"AAAAAFe97lQ=")</f>
        <v>#REF!</v>
      </c>
      <c r="CH151" t="e">
        <f>AND('GA55 Entry'!Z525,"AAAAAFe97lU=")</f>
        <v>#VALUE!</v>
      </c>
      <c r="CI151" t="e">
        <f>AND('GA55 Entry'!AA525,"AAAAAFe97lY=")</f>
        <v>#VALUE!</v>
      </c>
      <c r="CJ151" t="e">
        <f>AND('GA55 Entry'!#REF!,"AAAAAFe97lc=")</f>
        <v>#REF!</v>
      </c>
      <c r="CK151" t="e">
        <f>AND('GA55 Entry'!#REF!,"AAAAAFe97lg=")</f>
        <v>#REF!</v>
      </c>
      <c r="CL151" t="e">
        <f>AND('GA55 Entry'!#REF!,"AAAAAFe97lk=")</f>
        <v>#REF!</v>
      </c>
      <c r="CM151" t="e">
        <f>AND('GA55 Entry'!AB525,"AAAAAFe97lo=")</f>
        <v>#VALUE!</v>
      </c>
      <c r="CN151" t="e">
        <f>AND('GA55 Entry'!AC525,"AAAAAFe97ls=")</f>
        <v>#VALUE!</v>
      </c>
      <c r="CO151" t="e">
        <f>AND('GA55 Entry'!#REF!,"AAAAAFe97lw=")</f>
        <v>#REF!</v>
      </c>
      <c r="CP151">
        <f>IF('GA55 Entry'!526:526,"AAAAAFe97l0=",0)</f>
        <v>0</v>
      </c>
      <c r="CQ151" t="e">
        <f>AND('GA55 Entry'!B526,"AAAAAFe97l4=")</f>
        <v>#VALUE!</v>
      </c>
      <c r="CR151" t="e">
        <f>AND('GA55 Entry'!#REF!,"AAAAAFe97l8=")</f>
        <v>#REF!</v>
      </c>
      <c r="CS151" t="e">
        <f>AND('GA55 Entry'!C526,"AAAAAFe97mA=")</f>
        <v>#VALUE!</v>
      </c>
      <c r="CT151" t="e">
        <f>AND('GA55 Entry'!#REF!,"AAAAAFe97mE=")</f>
        <v>#REF!</v>
      </c>
      <c r="CU151" t="e">
        <f>AND('GA55 Entry'!#REF!,"AAAAAFe97mI=")</f>
        <v>#REF!</v>
      </c>
      <c r="CV151" t="e">
        <f>AND('GA55 Entry'!#REF!,"AAAAAFe97mM=")</f>
        <v>#REF!</v>
      </c>
      <c r="CW151" t="e">
        <f>AND('GA55 Entry'!#REF!,"AAAAAFe97mQ=")</f>
        <v>#REF!</v>
      </c>
      <c r="CX151" t="e">
        <f>AND('GA55 Entry'!#REF!,"AAAAAFe97mU=")</f>
        <v>#REF!</v>
      </c>
      <c r="CY151" t="e">
        <f>AND('GA55 Entry'!D526,"AAAAAFe97mY=")</f>
        <v>#VALUE!</v>
      </c>
      <c r="CZ151" t="e">
        <f>AND('GA55 Entry'!#REF!,"AAAAAFe97mc=")</f>
        <v>#REF!</v>
      </c>
      <c r="DA151" t="e">
        <f>AND('GA55 Entry'!E526,"AAAAAFe97mg=")</f>
        <v>#VALUE!</v>
      </c>
      <c r="DB151" t="e">
        <f>AND('GA55 Entry'!F526,"AAAAAFe97mk=")</f>
        <v>#VALUE!</v>
      </c>
      <c r="DC151" t="e">
        <f>AND('GA55 Entry'!G526,"AAAAAFe97mo=")</f>
        <v>#VALUE!</v>
      </c>
      <c r="DD151" t="e">
        <f>AND('GA55 Entry'!H526,"AAAAAFe97ms=")</f>
        <v>#VALUE!</v>
      </c>
      <c r="DE151" t="e">
        <f>AND('GA55 Entry'!I526,"AAAAAFe97mw=")</f>
        <v>#VALUE!</v>
      </c>
      <c r="DF151" t="e">
        <f>AND('GA55 Entry'!J526,"AAAAAFe97m0=")</f>
        <v>#VALUE!</v>
      </c>
      <c r="DG151" t="e">
        <f>AND('GA55 Entry'!#REF!,"AAAAAFe97m4=")</f>
        <v>#REF!</v>
      </c>
      <c r="DH151" t="e">
        <f>AND('GA55 Entry'!K526,"AAAAAFe97m8=")</f>
        <v>#VALUE!</v>
      </c>
      <c r="DI151" t="e">
        <f>AND('GA55 Entry'!L526,"AAAAAFe97nA=")</f>
        <v>#VALUE!</v>
      </c>
      <c r="DJ151" t="e">
        <f>AND('GA55 Entry'!M526,"AAAAAFe97nE=")</f>
        <v>#VALUE!</v>
      </c>
      <c r="DK151" t="e">
        <f>AND('GA55 Entry'!N526,"AAAAAFe97nI=")</f>
        <v>#VALUE!</v>
      </c>
      <c r="DL151" t="e">
        <f>AND('GA55 Entry'!O526,"AAAAAFe97nM=")</f>
        <v>#VALUE!</v>
      </c>
      <c r="DM151" t="e">
        <f>AND('GA55 Entry'!P526,"AAAAAFe97nQ=")</f>
        <v>#VALUE!</v>
      </c>
      <c r="DN151" t="e">
        <f>AND('GA55 Entry'!Q526,"AAAAAFe97nU=")</f>
        <v>#VALUE!</v>
      </c>
      <c r="DO151" t="e">
        <f>AND('GA55 Entry'!S526,"AAAAAFe97nY=")</f>
        <v>#VALUE!</v>
      </c>
      <c r="DP151" t="e">
        <f>AND('GA55 Entry'!#REF!,"AAAAAFe97nc=")</f>
        <v>#REF!</v>
      </c>
      <c r="DQ151" t="e">
        <f>AND('GA55 Entry'!T526,"AAAAAFe97ng=")</f>
        <v>#VALUE!</v>
      </c>
      <c r="DR151" t="e">
        <f>AND('GA55 Entry'!U526,"AAAAAFe97nk=")</f>
        <v>#VALUE!</v>
      </c>
      <c r="DS151" t="e">
        <f>AND('GA55 Entry'!V526,"AAAAAFe97no=")</f>
        <v>#VALUE!</v>
      </c>
      <c r="DT151" t="e">
        <f>AND('GA55 Entry'!#REF!,"AAAAAFe97ns=")</f>
        <v>#REF!</v>
      </c>
      <c r="DU151" t="e">
        <f>AND('GA55 Entry'!#REF!,"AAAAAFe97nw=")</f>
        <v>#REF!</v>
      </c>
      <c r="DV151" t="e">
        <f>AND('GA55 Entry'!X526,"AAAAAFe97n0=")</f>
        <v>#VALUE!</v>
      </c>
      <c r="DW151" t="e">
        <f>AND('GA55 Entry'!Y526,"AAAAAFe97n4=")</f>
        <v>#VALUE!</v>
      </c>
      <c r="DX151" t="e">
        <f>AND('GA55 Entry'!#REF!,"AAAAAFe97n8=")</f>
        <v>#REF!</v>
      </c>
      <c r="DY151" t="e">
        <f>AND('GA55 Entry'!#REF!,"AAAAAFe97oA=")</f>
        <v>#REF!</v>
      </c>
      <c r="DZ151" t="e">
        <f>AND('GA55 Entry'!#REF!,"AAAAAFe97oE=")</f>
        <v>#REF!</v>
      </c>
      <c r="EA151" t="e">
        <f>AND('GA55 Entry'!#REF!,"AAAAAFe97oI=")</f>
        <v>#REF!</v>
      </c>
      <c r="EB151" t="e">
        <f>AND('GA55 Entry'!#REF!,"AAAAAFe97oM=")</f>
        <v>#REF!</v>
      </c>
      <c r="EC151" t="e">
        <f>AND('GA55 Entry'!#REF!,"AAAAAFe97oQ=")</f>
        <v>#REF!</v>
      </c>
      <c r="ED151" t="e">
        <f>AND('GA55 Entry'!#REF!,"AAAAAFe97oU=")</f>
        <v>#REF!</v>
      </c>
      <c r="EE151" t="e">
        <f>AND('GA55 Entry'!#REF!,"AAAAAFe97oY=")</f>
        <v>#REF!</v>
      </c>
      <c r="EF151" t="e">
        <f>AND('GA55 Entry'!#REF!,"AAAAAFe97oc=")</f>
        <v>#REF!</v>
      </c>
      <c r="EG151" t="e">
        <f>AND('GA55 Entry'!Z526,"AAAAAFe97og=")</f>
        <v>#VALUE!</v>
      </c>
      <c r="EH151" t="e">
        <f>AND('GA55 Entry'!AA526,"AAAAAFe97ok=")</f>
        <v>#VALUE!</v>
      </c>
      <c r="EI151" t="e">
        <f>AND('GA55 Entry'!#REF!,"AAAAAFe97oo=")</f>
        <v>#REF!</v>
      </c>
      <c r="EJ151" t="e">
        <f>AND('GA55 Entry'!#REF!,"AAAAAFe97os=")</f>
        <v>#REF!</v>
      </c>
      <c r="EK151" t="e">
        <f>AND('GA55 Entry'!#REF!,"AAAAAFe97ow=")</f>
        <v>#REF!</v>
      </c>
      <c r="EL151" t="e">
        <f>AND('GA55 Entry'!AB526,"AAAAAFe97o0=")</f>
        <v>#VALUE!</v>
      </c>
      <c r="EM151" t="e">
        <f>AND('GA55 Entry'!AC526,"AAAAAFe97o4=")</f>
        <v>#VALUE!</v>
      </c>
      <c r="EN151" t="e">
        <f>AND('GA55 Entry'!#REF!,"AAAAAFe97o8=")</f>
        <v>#REF!</v>
      </c>
      <c r="EO151">
        <f>IF('GA55 Entry'!527:527,"AAAAAFe97pA=",0)</f>
        <v>0</v>
      </c>
      <c r="EP151" t="e">
        <f>AND('GA55 Entry'!B527,"AAAAAFe97pE=")</f>
        <v>#VALUE!</v>
      </c>
      <c r="EQ151" t="e">
        <f>AND('GA55 Entry'!#REF!,"AAAAAFe97pI=")</f>
        <v>#REF!</v>
      </c>
      <c r="ER151" t="e">
        <f>AND('GA55 Entry'!C527,"AAAAAFe97pM=")</f>
        <v>#VALUE!</v>
      </c>
      <c r="ES151" t="e">
        <f>AND('GA55 Entry'!#REF!,"AAAAAFe97pQ=")</f>
        <v>#REF!</v>
      </c>
      <c r="ET151" t="e">
        <f>AND('GA55 Entry'!#REF!,"AAAAAFe97pU=")</f>
        <v>#REF!</v>
      </c>
      <c r="EU151" t="e">
        <f>AND('GA55 Entry'!#REF!,"AAAAAFe97pY=")</f>
        <v>#REF!</v>
      </c>
      <c r="EV151" t="e">
        <f>AND('GA55 Entry'!#REF!,"AAAAAFe97pc=")</f>
        <v>#REF!</v>
      </c>
      <c r="EW151" t="e">
        <f>AND('GA55 Entry'!#REF!,"AAAAAFe97pg=")</f>
        <v>#REF!</v>
      </c>
      <c r="EX151" t="e">
        <f>AND('GA55 Entry'!D527,"AAAAAFe97pk=")</f>
        <v>#VALUE!</v>
      </c>
      <c r="EY151" t="e">
        <f>AND('GA55 Entry'!#REF!,"AAAAAFe97po=")</f>
        <v>#REF!</v>
      </c>
      <c r="EZ151" t="e">
        <f>AND('GA55 Entry'!E527,"AAAAAFe97ps=")</f>
        <v>#VALUE!</v>
      </c>
      <c r="FA151" t="e">
        <f>AND('GA55 Entry'!F527,"AAAAAFe97pw=")</f>
        <v>#VALUE!</v>
      </c>
      <c r="FB151" t="e">
        <f>AND('GA55 Entry'!G527,"AAAAAFe97p0=")</f>
        <v>#VALUE!</v>
      </c>
      <c r="FC151" t="e">
        <f>AND('GA55 Entry'!H527,"AAAAAFe97p4=")</f>
        <v>#VALUE!</v>
      </c>
      <c r="FD151" t="e">
        <f>AND('GA55 Entry'!I527,"AAAAAFe97p8=")</f>
        <v>#VALUE!</v>
      </c>
      <c r="FE151" t="e">
        <f>AND('GA55 Entry'!J527,"AAAAAFe97qA=")</f>
        <v>#VALUE!</v>
      </c>
      <c r="FF151" t="e">
        <f>AND('GA55 Entry'!#REF!,"AAAAAFe97qE=")</f>
        <v>#REF!</v>
      </c>
      <c r="FG151" t="e">
        <f>AND('GA55 Entry'!K527,"AAAAAFe97qI=")</f>
        <v>#VALUE!</v>
      </c>
      <c r="FH151" t="e">
        <f>AND('GA55 Entry'!L527,"AAAAAFe97qM=")</f>
        <v>#VALUE!</v>
      </c>
      <c r="FI151" t="e">
        <f>AND('GA55 Entry'!M527,"AAAAAFe97qQ=")</f>
        <v>#VALUE!</v>
      </c>
      <c r="FJ151" t="e">
        <f>AND('GA55 Entry'!N527,"AAAAAFe97qU=")</f>
        <v>#VALUE!</v>
      </c>
      <c r="FK151" t="e">
        <f>AND('GA55 Entry'!O527,"AAAAAFe97qY=")</f>
        <v>#VALUE!</v>
      </c>
      <c r="FL151" t="e">
        <f>AND('GA55 Entry'!P527,"AAAAAFe97qc=")</f>
        <v>#VALUE!</v>
      </c>
      <c r="FM151" t="e">
        <f>AND('GA55 Entry'!Q527,"AAAAAFe97qg=")</f>
        <v>#VALUE!</v>
      </c>
      <c r="FN151" t="e">
        <f>AND('GA55 Entry'!S527,"AAAAAFe97qk=")</f>
        <v>#VALUE!</v>
      </c>
      <c r="FO151" t="e">
        <f>AND('GA55 Entry'!#REF!,"AAAAAFe97qo=")</f>
        <v>#REF!</v>
      </c>
      <c r="FP151" t="e">
        <f>AND('GA55 Entry'!T527,"AAAAAFe97qs=")</f>
        <v>#VALUE!</v>
      </c>
      <c r="FQ151" t="e">
        <f>AND('GA55 Entry'!U527,"AAAAAFe97qw=")</f>
        <v>#VALUE!</v>
      </c>
      <c r="FR151" t="e">
        <f>AND('GA55 Entry'!V527,"AAAAAFe97q0=")</f>
        <v>#VALUE!</v>
      </c>
      <c r="FS151" t="e">
        <f>AND('GA55 Entry'!#REF!,"AAAAAFe97q4=")</f>
        <v>#REF!</v>
      </c>
      <c r="FT151" t="e">
        <f>AND('GA55 Entry'!#REF!,"AAAAAFe97q8=")</f>
        <v>#REF!</v>
      </c>
      <c r="FU151" t="e">
        <f>AND('GA55 Entry'!X527,"AAAAAFe97rA=")</f>
        <v>#VALUE!</v>
      </c>
      <c r="FV151" t="e">
        <f>AND('GA55 Entry'!Y527,"AAAAAFe97rE=")</f>
        <v>#VALUE!</v>
      </c>
      <c r="FW151" t="e">
        <f>AND('GA55 Entry'!#REF!,"AAAAAFe97rI=")</f>
        <v>#REF!</v>
      </c>
      <c r="FX151" t="e">
        <f>AND('GA55 Entry'!#REF!,"AAAAAFe97rM=")</f>
        <v>#REF!</v>
      </c>
      <c r="FY151" t="e">
        <f>AND('GA55 Entry'!#REF!,"AAAAAFe97rQ=")</f>
        <v>#REF!</v>
      </c>
      <c r="FZ151" t="e">
        <f>AND('GA55 Entry'!#REF!,"AAAAAFe97rU=")</f>
        <v>#REF!</v>
      </c>
      <c r="GA151" t="e">
        <f>AND('GA55 Entry'!#REF!,"AAAAAFe97rY=")</f>
        <v>#REF!</v>
      </c>
      <c r="GB151" t="e">
        <f>AND('GA55 Entry'!#REF!,"AAAAAFe97rc=")</f>
        <v>#REF!</v>
      </c>
      <c r="GC151" t="e">
        <f>AND('GA55 Entry'!#REF!,"AAAAAFe97rg=")</f>
        <v>#REF!</v>
      </c>
      <c r="GD151" t="e">
        <f>AND('GA55 Entry'!#REF!,"AAAAAFe97rk=")</f>
        <v>#REF!</v>
      </c>
      <c r="GE151" t="e">
        <f>AND('GA55 Entry'!#REF!,"AAAAAFe97ro=")</f>
        <v>#REF!</v>
      </c>
      <c r="GF151" t="e">
        <f>AND('GA55 Entry'!Z527,"AAAAAFe97rs=")</f>
        <v>#VALUE!</v>
      </c>
      <c r="GG151" t="e">
        <f>AND('GA55 Entry'!AA527,"AAAAAFe97rw=")</f>
        <v>#VALUE!</v>
      </c>
      <c r="GH151" t="e">
        <f>AND('GA55 Entry'!#REF!,"AAAAAFe97r0=")</f>
        <v>#REF!</v>
      </c>
      <c r="GI151" t="e">
        <f>AND('GA55 Entry'!#REF!,"AAAAAFe97r4=")</f>
        <v>#REF!</v>
      </c>
      <c r="GJ151" t="e">
        <f>AND('GA55 Entry'!#REF!,"AAAAAFe97r8=")</f>
        <v>#REF!</v>
      </c>
      <c r="GK151" t="e">
        <f>AND('GA55 Entry'!AB527,"AAAAAFe97sA=")</f>
        <v>#VALUE!</v>
      </c>
      <c r="GL151" t="e">
        <f>AND('GA55 Entry'!AC527,"AAAAAFe97sE=")</f>
        <v>#VALUE!</v>
      </c>
      <c r="GM151" t="e">
        <f>AND('GA55 Entry'!#REF!,"AAAAAFe97sI=")</f>
        <v>#REF!</v>
      </c>
      <c r="GN151">
        <f>IF('GA55 Entry'!528:528,"AAAAAFe97sM=",0)</f>
        <v>0</v>
      </c>
      <c r="GO151" t="e">
        <f>AND('GA55 Entry'!B528,"AAAAAFe97sQ=")</f>
        <v>#VALUE!</v>
      </c>
      <c r="GP151" t="e">
        <f>AND('GA55 Entry'!#REF!,"AAAAAFe97sU=")</f>
        <v>#REF!</v>
      </c>
      <c r="GQ151" t="e">
        <f>AND('GA55 Entry'!C528,"AAAAAFe97sY=")</f>
        <v>#VALUE!</v>
      </c>
      <c r="GR151" t="e">
        <f>AND('GA55 Entry'!#REF!,"AAAAAFe97sc=")</f>
        <v>#REF!</v>
      </c>
      <c r="GS151" t="e">
        <f>AND('GA55 Entry'!#REF!,"AAAAAFe97sg=")</f>
        <v>#REF!</v>
      </c>
      <c r="GT151" t="e">
        <f>AND('GA55 Entry'!#REF!,"AAAAAFe97sk=")</f>
        <v>#REF!</v>
      </c>
      <c r="GU151" t="e">
        <f>AND('GA55 Entry'!#REF!,"AAAAAFe97so=")</f>
        <v>#REF!</v>
      </c>
      <c r="GV151" t="e">
        <f>AND('GA55 Entry'!#REF!,"AAAAAFe97ss=")</f>
        <v>#REF!</v>
      </c>
      <c r="GW151" t="e">
        <f>AND('GA55 Entry'!D528,"AAAAAFe97sw=")</f>
        <v>#VALUE!</v>
      </c>
      <c r="GX151" t="e">
        <f>AND('GA55 Entry'!#REF!,"AAAAAFe97s0=")</f>
        <v>#REF!</v>
      </c>
      <c r="GY151" t="e">
        <f>AND('GA55 Entry'!E528,"AAAAAFe97s4=")</f>
        <v>#VALUE!</v>
      </c>
      <c r="GZ151" t="e">
        <f>AND('GA55 Entry'!F528,"AAAAAFe97s8=")</f>
        <v>#VALUE!</v>
      </c>
      <c r="HA151" t="e">
        <f>AND('GA55 Entry'!G528,"AAAAAFe97tA=")</f>
        <v>#VALUE!</v>
      </c>
      <c r="HB151" t="e">
        <f>AND('GA55 Entry'!H528,"AAAAAFe97tE=")</f>
        <v>#VALUE!</v>
      </c>
      <c r="HC151" t="e">
        <f>AND('GA55 Entry'!I528,"AAAAAFe97tI=")</f>
        <v>#VALUE!</v>
      </c>
      <c r="HD151" t="e">
        <f>AND('GA55 Entry'!J528,"AAAAAFe97tM=")</f>
        <v>#VALUE!</v>
      </c>
      <c r="HE151" t="e">
        <f>AND('GA55 Entry'!#REF!,"AAAAAFe97tQ=")</f>
        <v>#REF!</v>
      </c>
      <c r="HF151" t="e">
        <f>AND('GA55 Entry'!K528,"AAAAAFe97tU=")</f>
        <v>#VALUE!</v>
      </c>
      <c r="HG151" t="e">
        <f>AND('GA55 Entry'!L528,"AAAAAFe97tY=")</f>
        <v>#VALUE!</v>
      </c>
      <c r="HH151" t="e">
        <f>AND('GA55 Entry'!M528,"AAAAAFe97tc=")</f>
        <v>#VALUE!</v>
      </c>
      <c r="HI151" t="e">
        <f>AND('GA55 Entry'!N528,"AAAAAFe97tg=")</f>
        <v>#VALUE!</v>
      </c>
      <c r="HJ151" t="e">
        <f>AND('GA55 Entry'!O528,"AAAAAFe97tk=")</f>
        <v>#VALUE!</v>
      </c>
      <c r="HK151" t="e">
        <f>AND('GA55 Entry'!P528,"AAAAAFe97to=")</f>
        <v>#VALUE!</v>
      </c>
      <c r="HL151" t="e">
        <f>AND('GA55 Entry'!Q528,"AAAAAFe97ts=")</f>
        <v>#VALUE!</v>
      </c>
      <c r="HM151" t="e">
        <f>AND('GA55 Entry'!S528,"AAAAAFe97tw=")</f>
        <v>#VALUE!</v>
      </c>
      <c r="HN151" t="e">
        <f>AND('GA55 Entry'!#REF!,"AAAAAFe97t0=")</f>
        <v>#REF!</v>
      </c>
      <c r="HO151" t="e">
        <f>AND('GA55 Entry'!T528,"AAAAAFe97t4=")</f>
        <v>#VALUE!</v>
      </c>
      <c r="HP151" t="e">
        <f>AND('GA55 Entry'!U528,"AAAAAFe97t8=")</f>
        <v>#VALUE!</v>
      </c>
      <c r="HQ151" t="e">
        <f>AND('GA55 Entry'!V528,"AAAAAFe97uA=")</f>
        <v>#VALUE!</v>
      </c>
      <c r="HR151" t="e">
        <f>AND('GA55 Entry'!#REF!,"AAAAAFe97uE=")</f>
        <v>#REF!</v>
      </c>
      <c r="HS151" t="e">
        <f>AND('GA55 Entry'!#REF!,"AAAAAFe97uI=")</f>
        <v>#REF!</v>
      </c>
      <c r="HT151" t="e">
        <f>AND('GA55 Entry'!X528,"AAAAAFe97uM=")</f>
        <v>#VALUE!</v>
      </c>
      <c r="HU151" t="e">
        <f>AND('GA55 Entry'!Y528,"AAAAAFe97uQ=")</f>
        <v>#VALUE!</v>
      </c>
      <c r="HV151" t="e">
        <f>AND('GA55 Entry'!#REF!,"AAAAAFe97uU=")</f>
        <v>#REF!</v>
      </c>
      <c r="HW151" t="e">
        <f>AND('GA55 Entry'!#REF!,"AAAAAFe97uY=")</f>
        <v>#REF!</v>
      </c>
      <c r="HX151" t="e">
        <f>AND('GA55 Entry'!#REF!,"AAAAAFe97uc=")</f>
        <v>#REF!</v>
      </c>
      <c r="HY151" t="e">
        <f>AND('GA55 Entry'!#REF!,"AAAAAFe97ug=")</f>
        <v>#REF!</v>
      </c>
      <c r="HZ151" t="e">
        <f>AND('GA55 Entry'!#REF!,"AAAAAFe97uk=")</f>
        <v>#REF!</v>
      </c>
      <c r="IA151" t="e">
        <f>AND('GA55 Entry'!#REF!,"AAAAAFe97uo=")</f>
        <v>#REF!</v>
      </c>
      <c r="IB151" t="e">
        <f>AND('GA55 Entry'!#REF!,"AAAAAFe97us=")</f>
        <v>#REF!</v>
      </c>
      <c r="IC151" t="e">
        <f>AND('GA55 Entry'!#REF!,"AAAAAFe97uw=")</f>
        <v>#REF!</v>
      </c>
      <c r="ID151" t="e">
        <f>AND('GA55 Entry'!#REF!,"AAAAAFe97u0=")</f>
        <v>#REF!</v>
      </c>
      <c r="IE151" t="e">
        <f>AND('GA55 Entry'!Z528,"AAAAAFe97u4=")</f>
        <v>#VALUE!</v>
      </c>
      <c r="IF151" t="e">
        <f>AND('GA55 Entry'!AA528,"AAAAAFe97u8=")</f>
        <v>#VALUE!</v>
      </c>
      <c r="IG151" t="e">
        <f>AND('GA55 Entry'!#REF!,"AAAAAFe97vA=")</f>
        <v>#REF!</v>
      </c>
      <c r="IH151" t="e">
        <f>AND('GA55 Entry'!#REF!,"AAAAAFe97vE=")</f>
        <v>#REF!</v>
      </c>
      <c r="II151" t="e">
        <f>AND('GA55 Entry'!#REF!,"AAAAAFe97vI=")</f>
        <v>#REF!</v>
      </c>
      <c r="IJ151" t="e">
        <f>AND('GA55 Entry'!AB528,"AAAAAFe97vM=")</f>
        <v>#VALUE!</v>
      </c>
      <c r="IK151" t="e">
        <f>AND('GA55 Entry'!AC528,"AAAAAFe97vQ=")</f>
        <v>#VALUE!</v>
      </c>
      <c r="IL151" t="e">
        <f>AND('GA55 Entry'!#REF!,"AAAAAFe97vU=")</f>
        <v>#REF!</v>
      </c>
      <c r="IM151">
        <f>IF('GA55 Entry'!529:529,"AAAAAFe97vY=",0)</f>
        <v>0</v>
      </c>
      <c r="IN151" t="e">
        <f>AND('GA55 Entry'!B529,"AAAAAFe97vc=")</f>
        <v>#VALUE!</v>
      </c>
      <c r="IO151" t="e">
        <f>AND('GA55 Entry'!#REF!,"AAAAAFe97vg=")</f>
        <v>#REF!</v>
      </c>
      <c r="IP151" t="e">
        <f>AND('GA55 Entry'!C529,"AAAAAFe97vk=")</f>
        <v>#VALUE!</v>
      </c>
      <c r="IQ151" t="e">
        <f>AND('GA55 Entry'!#REF!,"AAAAAFe97vo=")</f>
        <v>#REF!</v>
      </c>
      <c r="IR151" t="e">
        <f>AND('GA55 Entry'!#REF!,"AAAAAFe97vs=")</f>
        <v>#REF!</v>
      </c>
      <c r="IS151" t="e">
        <f>AND('GA55 Entry'!#REF!,"AAAAAFe97vw=")</f>
        <v>#REF!</v>
      </c>
      <c r="IT151" t="e">
        <f>AND('GA55 Entry'!#REF!,"AAAAAFe97v0=")</f>
        <v>#REF!</v>
      </c>
      <c r="IU151" t="e">
        <f>AND('GA55 Entry'!#REF!,"AAAAAFe97v4=")</f>
        <v>#REF!</v>
      </c>
      <c r="IV151" t="e">
        <f>AND('GA55 Entry'!D529,"AAAAAFe97v8=")</f>
        <v>#VALUE!</v>
      </c>
    </row>
    <row r="152" spans="1:256">
      <c r="A152" t="e">
        <f>AND('GA55 Entry'!#REF!,"AAAAAD/3wQA=")</f>
        <v>#REF!</v>
      </c>
      <c r="B152" t="e">
        <f>AND('GA55 Entry'!E529,"AAAAAD/3wQE=")</f>
        <v>#VALUE!</v>
      </c>
      <c r="C152" t="e">
        <f>AND('GA55 Entry'!F529,"AAAAAD/3wQI=")</f>
        <v>#VALUE!</v>
      </c>
      <c r="D152" t="e">
        <f>AND('GA55 Entry'!G529,"AAAAAD/3wQM=")</f>
        <v>#VALUE!</v>
      </c>
      <c r="E152" t="e">
        <f>AND('GA55 Entry'!H529,"AAAAAD/3wQQ=")</f>
        <v>#VALUE!</v>
      </c>
      <c r="F152" t="e">
        <f>AND('GA55 Entry'!I529,"AAAAAD/3wQU=")</f>
        <v>#VALUE!</v>
      </c>
      <c r="G152" t="e">
        <f>AND('GA55 Entry'!J529,"AAAAAD/3wQY=")</f>
        <v>#VALUE!</v>
      </c>
      <c r="H152" t="e">
        <f>AND('GA55 Entry'!#REF!,"AAAAAD/3wQc=")</f>
        <v>#REF!</v>
      </c>
      <c r="I152" t="e">
        <f>AND('GA55 Entry'!K529,"AAAAAD/3wQg=")</f>
        <v>#VALUE!</v>
      </c>
      <c r="J152" t="e">
        <f>AND('GA55 Entry'!L529,"AAAAAD/3wQk=")</f>
        <v>#VALUE!</v>
      </c>
      <c r="K152" t="e">
        <f>AND('GA55 Entry'!M529,"AAAAAD/3wQo=")</f>
        <v>#VALUE!</v>
      </c>
      <c r="L152" t="e">
        <f>AND('GA55 Entry'!N529,"AAAAAD/3wQs=")</f>
        <v>#VALUE!</v>
      </c>
      <c r="M152" t="e">
        <f>AND('GA55 Entry'!O529,"AAAAAD/3wQw=")</f>
        <v>#VALUE!</v>
      </c>
      <c r="N152" t="e">
        <f>AND('GA55 Entry'!P529,"AAAAAD/3wQ0=")</f>
        <v>#VALUE!</v>
      </c>
      <c r="O152" t="e">
        <f>AND('GA55 Entry'!Q529,"AAAAAD/3wQ4=")</f>
        <v>#VALUE!</v>
      </c>
      <c r="P152" t="e">
        <f>AND('GA55 Entry'!S529,"AAAAAD/3wQ8=")</f>
        <v>#VALUE!</v>
      </c>
      <c r="Q152" t="e">
        <f>AND('GA55 Entry'!#REF!,"AAAAAD/3wRA=")</f>
        <v>#REF!</v>
      </c>
      <c r="R152" t="e">
        <f>AND('GA55 Entry'!T529,"AAAAAD/3wRE=")</f>
        <v>#VALUE!</v>
      </c>
      <c r="S152" t="e">
        <f>AND('GA55 Entry'!U529,"AAAAAD/3wRI=")</f>
        <v>#VALUE!</v>
      </c>
      <c r="T152" t="e">
        <f>AND('GA55 Entry'!V529,"AAAAAD/3wRM=")</f>
        <v>#VALUE!</v>
      </c>
      <c r="U152" t="e">
        <f>AND('GA55 Entry'!#REF!,"AAAAAD/3wRQ=")</f>
        <v>#REF!</v>
      </c>
      <c r="V152" t="e">
        <f>AND('GA55 Entry'!#REF!,"AAAAAD/3wRU=")</f>
        <v>#REF!</v>
      </c>
      <c r="W152" t="e">
        <f>AND('GA55 Entry'!X529,"AAAAAD/3wRY=")</f>
        <v>#VALUE!</v>
      </c>
      <c r="X152" t="e">
        <f>AND('GA55 Entry'!Y529,"AAAAAD/3wRc=")</f>
        <v>#VALUE!</v>
      </c>
      <c r="Y152" t="e">
        <f>AND('GA55 Entry'!#REF!,"AAAAAD/3wRg=")</f>
        <v>#REF!</v>
      </c>
      <c r="Z152" t="e">
        <f>AND('GA55 Entry'!#REF!,"AAAAAD/3wRk=")</f>
        <v>#REF!</v>
      </c>
      <c r="AA152" t="e">
        <f>AND('GA55 Entry'!#REF!,"AAAAAD/3wRo=")</f>
        <v>#REF!</v>
      </c>
      <c r="AB152" t="e">
        <f>AND('GA55 Entry'!#REF!,"AAAAAD/3wRs=")</f>
        <v>#REF!</v>
      </c>
      <c r="AC152" t="e">
        <f>AND('GA55 Entry'!#REF!,"AAAAAD/3wRw=")</f>
        <v>#REF!</v>
      </c>
      <c r="AD152" t="e">
        <f>AND('GA55 Entry'!#REF!,"AAAAAD/3wR0=")</f>
        <v>#REF!</v>
      </c>
      <c r="AE152" t="e">
        <f>AND('GA55 Entry'!#REF!,"AAAAAD/3wR4=")</f>
        <v>#REF!</v>
      </c>
      <c r="AF152" t="e">
        <f>AND('GA55 Entry'!#REF!,"AAAAAD/3wR8=")</f>
        <v>#REF!</v>
      </c>
      <c r="AG152" t="e">
        <f>AND('GA55 Entry'!#REF!,"AAAAAD/3wSA=")</f>
        <v>#REF!</v>
      </c>
      <c r="AH152" t="e">
        <f>AND('GA55 Entry'!Z529,"AAAAAD/3wSE=")</f>
        <v>#VALUE!</v>
      </c>
      <c r="AI152" t="e">
        <f>AND('GA55 Entry'!AA529,"AAAAAD/3wSI=")</f>
        <v>#VALUE!</v>
      </c>
      <c r="AJ152" t="e">
        <f>AND('GA55 Entry'!#REF!,"AAAAAD/3wSM=")</f>
        <v>#REF!</v>
      </c>
      <c r="AK152" t="e">
        <f>AND('GA55 Entry'!#REF!,"AAAAAD/3wSQ=")</f>
        <v>#REF!</v>
      </c>
      <c r="AL152" t="e">
        <f>AND('GA55 Entry'!#REF!,"AAAAAD/3wSU=")</f>
        <v>#REF!</v>
      </c>
      <c r="AM152" t="e">
        <f>AND('GA55 Entry'!AB529,"AAAAAD/3wSY=")</f>
        <v>#VALUE!</v>
      </c>
      <c r="AN152" t="e">
        <f>AND('GA55 Entry'!AC529,"AAAAAD/3wSc=")</f>
        <v>#VALUE!</v>
      </c>
      <c r="AO152" t="e">
        <f>AND('GA55 Entry'!#REF!,"AAAAAD/3wSg=")</f>
        <v>#REF!</v>
      </c>
      <c r="AP152">
        <f>IF('GA55 Entry'!530:530,"AAAAAD/3wSk=",0)</f>
        <v>0</v>
      </c>
      <c r="AQ152" t="e">
        <f>AND('GA55 Entry'!B530,"AAAAAD/3wSo=")</f>
        <v>#VALUE!</v>
      </c>
      <c r="AR152" t="e">
        <f>AND('GA55 Entry'!#REF!,"AAAAAD/3wSs=")</f>
        <v>#REF!</v>
      </c>
      <c r="AS152" t="e">
        <f>AND('GA55 Entry'!C530,"AAAAAD/3wSw=")</f>
        <v>#VALUE!</v>
      </c>
      <c r="AT152" t="e">
        <f>AND('GA55 Entry'!#REF!,"AAAAAD/3wS0=")</f>
        <v>#REF!</v>
      </c>
      <c r="AU152" t="e">
        <f>AND('GA55 Entry'!#REF!,"AAAAAD/3wS4=")</f>
        <v>#REF!</v>
      </c>
      <c r="AV152" t="e">
        <f>AND('GA55 Entry'!#REF!,"AAAAAD/3wS8=")</f>
        <v>#REF!</v>
      </c>
      <c r="AW152" t="e">
        <f>AND('GA55 Entry'!#REF!,"AAAAAD/3wTA=")</f>
        <v>#REF!</v>
      </c>
      <c r="AX152" t="e">
        <f>AND('GA55 Entry'!#REF!,"AAAAAD/3wTE=")</f>
        <v>#REF!</v>
      </c>
      <c r="AY152" t="e">
        <f>AND('GA55 Entry'!D530,"AAAAAD/3wTI=")</f>
        <v>#VALUE!</v>
      </c>
      <c r="AZ152" t="e">
        <f>AND('GA55 Entry'!#REF!,"AAAAAD/3wTM=")</f>
        <v>#REF!</v>
      </c>
      <c r="BA152" t="e">
        <f>AND('GA55 Entry'!E530,"AAAAAD/3wTQ=")</f>
        <v>#VALUE!</v>
      </c>
      <c r="BB152" t="e">
        <f>AND('GA55 Entry'!F530,"AAAAAD/3wTU=")</f>
        <v>#VALUE!</v>
      </c>
      <c r="BC152" t="e">
        <f>AND('GA55 Entry'!G530,"AAAAAD/3wTY=")</f>
        <v>#VALUE!</v>
      </c>
      <c r="BD152" t="e">
        <f>AND('GA55 Entry'!H530,"AAAAAD/3wTc=")</f>
        <v>#VALUE!</v>
      </c>
      <c r="BE152" t="e">
        <f>AND('GA55 Entry'!I530,"AAAAAD/3wTg=")</f>
        <v>#VALUE!</v>
      </c>
      <c r="BF152" t="e">
        <f>AND('GA55 Entry'!J530,"AAAAAD/3wTk=")</f>
        <v>#VALUE!</v>
      </c>
      <c r="BG152" t="e">
        <f>AND('GA55 Entry'!#REF!,"AAAAAD/3wTo=")</f>
        <v>#REF!</v>
      </c>
      <c r="BH152" t="e">
        <f>AND('GA55 Entry'!K530,"AAAAAD/3wTs=")</f>
        <v>#VALUE!</v>
      </c>
      <c r="BI152" t="e">
        <f>AND('GA55 Entry'!L530,"AAAAAD/3wTw=")</f>
        <v>#VALUE!</v>
      </c>
      <c r="BJ152" t="e">
        <f>AND('GA55 Entry'!M530,"AAAAAD/3wT0=")</f>
        <v>#VALUE!</v>
      </c>
      <c r="BK152" t="e">
        <f>AND('GA55 Entry'!N530,"AAAAAD/3wT4=")</f>
        <v>#VALUE!</v>
      </c>
      <c r="BL152" t="e">
        <f>AND('GA55 Entry'!O530,"AAAAAD/3wT8=")</f>
        <v>#VALUE!</v>
      </c>
      <c r="BM152" t="e">
        <f>AND('GA55 Entry'!P530,"AAAAAD/3wUA=")</f>
        <v>#VALUE!</v>
      </c>
      <c r="BN152" t="e">
        <f>AND('GA55 Entry'!Q530,"AAAAAD/3wUE=")</f>
        <v>#VALUE!</v>
      </c>
      <c r="BO152" t="e">
        <f>AND('GA55 Entry'!S530,"AAAAAD/3wUI=")</f>
        <v>#VALUE!</v>
      </c>
      <c r="BP152" t="e">
        <f>AND('GA55 Entry'!#REF!,"AAAAAD/3wUM=")</f>
        <v>#REF!</v>
      </c>
      <c r="BQ152" t="e">
        <f>AND('GA55 Entry'!T530,"AAAAAD/3wUQ=")</f>
        <v>#VALUE!</v>
      </c>
      <c r="BR152" t="e">
        <f>AND('GA55 Entry'!U530,"AAAAAD/3wUU=")</f>
        <v>#VALUE!</v>
      </c>
      <c r="BS152" t="e">
        <f>AND('GA55 Entry'!V530,"AAAAAD/3wUY=")</f>
        <v>#VALUE!</v>
      </c>
      <c r="BT152" t="e">
        <f>AND('GA55 Entry'!#REF!,"AAAAAD/3wUc=")</f>
        <v>#REF!</v>
      </c>
      <c r="BU152" t="e">
        <f>AND('GA55 Entry'!#REF!,"AAAAAD/3wUg=")</f>
        <v>#REF!</v>
      </c>
      <c r="BV152" t="e">
        <f>AND('GA55 Entry'!X530,"AAAAAD/3wUk=")</f>
        <v>#VALUE!</v>
      </c>
      <c r="BW152" t="e">
        <f>AND('GA55 Entry'!Y530,"AAAAAD/3wUo=")</f>
        <v>#VALUE!</v>
      </c>
      <c r="BX152" t="e">
        <f>AND('GA55 Entry'!#REF!,"AAAAAD/3wUs=")</f>
        <v>#REF!</v>
      </c>
      <c r="BY152" t="e">
        <f>AND('GA55 Entry'!#REF!,"AAAAAD/3wUw=")</f>
        <v>#REF!</v>
      </c>
      <c r="BZ152" t="e">
        <f>AND('GA55 Entry'!#REF!,"AAAAAD/3wU0=")</f>
        <v>#REF!</v>
      </c>
      <c r="CA152" t="e">
        <f>AND('GA55 Entry'!#REF!,"AAAAAD/3wU4=")</f>
        <v>#REF!</v>
      </c>
      <c r="CB152" t="e">
        <f>AND('GA55 Entry'!#REF!,"AAAAAD/3wU8=")</f>
        <v>#REF!</v>
      </c>
      <c r="CC152" t="e">
        <f>AND('GA55 Entry'!#REF!,"AAAAAD/3wVA=")</f>
        <v>#REF!</v>
      </c>
      <c r="CD152" t="e">
        <f>AND('GA55 Entry'!#REF!,"AAAAAD/3wVE=")</f>
        <v>#REF!</v>
      </c>
      <c r="CE152" t="e">
        <f>AND('GA55 Entry'!#REF!,"AAAAAD/3wVI=")</f>
        <v>#REF!</v>
      </c>
      <c r="CF152" t="e">
        <f>AND('GA55 Entry'!#REF!,"AAAAAD/3wVM=")</f>
        <v>#REF!</v>
      </c>
      <c r="CG152" t="e">
        <f>AND('GA55 Entry'!Z530,"AAAAAD/3wVQ=")</f>
        <v>#VALUE!</v>
      </c>
      <c r="CH152" t="e">
        <f>AND('GA55 Entry'!AA530,"AAAAAD/3wVU=")</f>
        <v>#VALUE!</v>
      </c>
      <c r="CI152" t="e">
        <f>AND('GA55 Entry'!#REF!,"AAAAAD/3wVY=")</f>
        <v>#REF!</v>
      </c>
      <c r="CJ152" t="e">
        <f>AND('GA55 Entry'!#REF!,"AAAAAD/3wVc=")</f>
        <v>#REF!</v>
      </c>
      <c r="CK152" t="e">
        <f>AND('GA55 Entry'!#REF!,"AAAAAD/3wVg=")</f>
        <v>#REF!</v>
      </c>
      <c r="CL152" t="e">
        <f>AND('GA55 Entry'!AB530,"AAAAAD/3wVk=")</f>
        <v>#VALUE!</v>
      </c>
      <c r="CM152" t="e">
        <f>AND('GA55 Entry'!AC530,"AAAAAD/3wVo=")</f>
        <v>#VALUE!</v>
      </c>
      <c r="CN152" t="e">
        <f>AND('GA55 Entry'!#REF!,"AAAAAD/3wVs=")</f>
        <v>#REF!</v>
      </c>
      <c r="CO152">
        <f>IF('GA55 Entry'!531:531,"AAAAAD/3wVw=",0)</f>
        <v>0</v>
      </c>
      <c r="CP152" t="e">
        <f>AND('GA55 Entry'!B531,"AAAAAD/3wV0=")</f>
        <v>#VALUE!</v>
      </c>
      <c r="CQ152" t="e">
        <f>AND('GA55 Entry'!#REF!,"AAAAAD/3wV4=")</f>
        <v>#REF!</v>
      </c>
      <c r="CR152" t="e">
        <f>AND('GA55 Entry'!C531,"AAAAAD/3wV8=")</f>
        <v>#VALUE!</v>
      </c>
      <c r="CS152" t="e">
        <f>AND('GA55 Entry'!#REF!,"AAAAAD/3wWA=")</f>
        <v>#REF!</v>
      </c>
      <c r="CT152" t="e">
        <f>AND('GA55 Entry'!#REF!,"AAAAAD/3wWE=")</f>
        <v>#REF!</v>
      </c>
      <c r="CU152" t="e">
        <f>AND('GA55 Entry'!#REF!,"AAAAAD/3wWI=")</f>
        <v>#REF!</v>
      </c>
      <c r="CV152" t="e">
        <f>AND('GA55 Entry'!#REF!,"AAAAAD/3wWM=")</f>
        <v>#REF!</v>
      </c>
      <c r="CW152" t="e">
        <f>AND('GA55 Entry'!#REF!,"AAAAAD/3wWQ=")</f>
        <v>#REF!</v>
      </c>
      <c r="CX152" t="e">
        <f>AND('GA55 Entry'!D531,"AAAAAD/3wWU=")</f>
        <v>#VALUE!</v>
      </c>
      <c r="CY152" t="e">
        <f>AND('GA55 Entry'!#REF!,"AAAAAD/3wWY=")</f>
        <v>#REF!</v>
      </c>
      <c r="CZ152" t="e">
        <f>AND('GA55 Entry'!E531,"AAAAAD/3wWc=")</f>
        <v>#VALUE!</v>
      </c>
      <c r="DA152" t="e">
        <f>AND('GA55 Entry'!F531,"AAAAAD/3wWg=")</f>
        <v>#VALUE!</v>
      </c>
      <c r="DB152" t="e">
        <f>AND('GA55 Entry'!G531,"AAAAAD/3wWk=")</f>
        <v>#VALUE!</v>
      </c>
      <c r="DC152" t="e">
        <f>AND('GA55 Entry'!H531,"AAAAAD/3wWo=")</f>
        <v>#VALUE!</v>
      </c>
      <c r="DD152" t="e">
        <f>AND('GA55 Entry'!I531,"AAAAAD/3wWs=")</f>
        <v>#VALUE!</v>
      </c>
      <c r="DE152" t="e">
        <f>AND('GA55 Entry'!J531,"AAAAAD/3wWw=")</f>
        <v>#VALUE!</v>
      </c>
      <c r="DF152" t="e">
        <f>AND('GA55 Entry'!#REF!,"AAAAAD/3wW0=")</f>
        <v>#REF!</v>
      </c>
      <c r="DG152" t="e">
        <f>AND('GA55 Entry'!K531,"AAAAAD/3wW4=")</f>
        <v>#VALUE!</v>
      </c>
      <c r="DH152" t="e">
        <f>AND('GA55 Entry'!L531,"AAAAAD/3wW8=")</f>
        <v>#VALUE!</v>
      </c>
      <c r="DI152" t="e">
        <f>AND('GA55 Entry'!M531,"AAAAAD/3wXA=")</f>
        <v>#VALUE!</v>
      </c>
      <c r="DJ152" t="e">
        <f>AND('GA55 Entry'!N531,"AAAAAD/3wXE=")</f>
        <v>#VALUE!</v>
      </c>
      <c r="DK152" t="e">
        <f>AND('GA55 Entry'!O531,"AAAAAD/3wXI=")</f>
        <v>#VALUE!</v>
      </c>
      <c r="DL152" t="e">
        <f>AND('GA55 Entry'!P531,"AAAAAD/3wXM=")</f>
        <v>#VALUE!</v>
      </c>
      <c r="DM152" t="e">
        <f>AND('GA55 Entry'!Q531,"AAAAAD/3wXQ=")</f>
        <v>#VALUE!</v>
      </c>
      <c r="DN152" t="e">
        <f>AND('GA55 Entry'!S531,"AAAAAD/3wXU=")</f>
        <v>#VALUE!</v>
      </c>
      <c r="DO152" t="e">
        <f>AND('GA55 Entry'!#REF!,"AAAAAD/3wXY=")</f>
        <v>#REF!</v>
      </c>
      <c r="DP152" t="e">
        <f>AND('GA55 Entry'!T531,"AAAAAD/3wXc=")</f>
        <v>#VALUE!</v>
      </c>
      <c r="DQ152" t="e">
        <f>AND('GA55 Entry'!U531,"AAAAAD/3wXg=")</f>
        <v>#VALUE!</v>
      </c>
      <c r="DR152" t="e">
        <f>AND('GA55 Entry'!V531,"AAAAAD/3wXk=")</f>
        <v>#VALUE!</v>
      </c>
      <c r="DS152" t="e">
        <f>AND('GA55 Entry'!#REF!,"AAAAAD/3wXo=")</f>
        <v>#REF!</v>
      </c>
      <c r="DT152" t="e">
        <f>AND('GA55 Entry'!#REF!,"AAAAAD/3wXs=")</f>
        <v>#REF!</v>
      </c>
      <c r="DU152" t="e">
        <f>AND('GA55 Entry'!X531,"AAAAAD/3wXw=")</f>
        <v>#VALUE!</v>
      </c>
      <c r="DV152" t="e">
        <f>AND('GA55 Entry'!Y531,"AAAAAD/3wX0=")</f>
        <v>#VALUE!</v>
      </c>
      <c r="DW152" t="e">
        <f>AND('GA55 Entry'!#REF!,"AAAAAD/3wX4=")</f>
        <v>#REF!</v>
      </c>
      <c r="DX152" t="e">
        <f>AND('GA55 Entry'!#REF!,"AAAAAD/3wX8=")</f>
        <v>#REF!</v>
      </c>
      <c r="DY152" t="e">
        <f>AND('GA55 Entry'!#REF!,"AAAAAD/3wYA=")</f>
        <v>#REF!</v>
      </c>
      <c r="DZ152" t="e">
        <f>AND('GA55 Entry'!#REF!,"AAAAAD/3wYE=")</f>
        <v>#REF!</v>
      </c>
      <c r="EA152" t="e">
        <f>AND('GA55 Entry'!#REF!,"AAAAAD/3wYI=")</f>
        <v>#REF!</v>
      </c>
      <c r="EB152" t="e">
        <f>AND('GA55 Entry'!#REF!,"AAAAAD/3wYM=")</f>
        <v>#REF!</v>
      </c>
      <c r="EC152" t="e">
        <f>AND('GA55 Entry'!#REF!,"AAAAAD/3wYQ=")</f>
        <v>#REF!</v>
      </c>
      <c r="ED152" t="e">
        <f>AND('GA55 Entry'!#REF!,"AAAAAD/3wYU=")</f>
        <v>#REF!</v>
      </c>
      <c r="EE152" t="e">
        <f>AND('GA55 Entry'!#REF!,"AAAAAD/3wYY=")</f>
        <v>#REF!</v>
      </c>
      <c r="EF152" t="e">
        <f>AND('GA55 Entry'!Z531,"AAAAAD/3wYc=")</f>
        <v>#VALUE!</v>
      </c>
      <c r="EG152" t="e">
        <f>AND('GA55 Entry'!AA531,"AAAAAD/3wYg=")</f>
        <v>#VALUE!</v>
      </c>
      <c r="EH152" t="e">
        <f>AND('GA55 Entry'!#REF!,"AAAAAD/3wYk=")</f>
        <v>#REF!</v>
      </c>
      <c r="EI152" t="e">
        <f>AND('GA55 Entry'!#REF!,"AAAAAD/3wYo=")</f>
        <v>#REF!</v>
      </c>
      <c r="EJ152" t="e">
        <f>AND('GA55 Entry'!#REF!,"AAAAAD/3wYs=")</f>
        <v>#REF!</v>
      </c>
      <c r="EK152" t="e">
        <f>AND('GA55 Entry'!AB531,"AAAAAD/3wYw=")</f>
        <v>#VALUE!</v>
      </c>
      <c r="EL152" t="e">
        <f>AND('GA55 Entry'!AC531,"AAAAAD/3wY0=")</f>
        <v>#VALUE!</v>
      </c>
      <c r="EM152" t="e">
        <f>AND('GA55 Entry'!#REF!,"AAAAAD/3wY4=")</f>
        <v>#REF!</v>
      </c>
      <c r="EN152">
        <f>IF('GA55 Entry'!532:532,"AAAAAD/3wY8=",0)</f>
        <v>0</v>
      </c>
      <c r="EO152" t="e">
        <f>AND('GA55 Entry'!B532,"AAAAAD/3wZA=")</f>
        <v>#VALUE!</v>
      </c>
      <c r="EP152" t="e">
        <f>AND('GA55 Entry'!#REF!,"AAAAAD/3wZE=")</f>
        <v>#REF!</v>
      </c>
      <c r="EQ152" t="e">
        <f>AND('GA55 Entry'!C532,"AAAAAD/3wZI=")</f>
        <v>#VALUE!</v>
      </c>
      <c r="ER152" t="e">
        <f>AND('GA55 Entry'!#REF!,"AAAAAD/3wZM=")</f>
        <v>#REF!</v>
      </c>
      <c r="ES152" t="e">
        <f>AND('GA55 Entry'!#REF!,"AAAAAD/3wZQ=")</f>
        <v>#REF!</v>
      </c>
      <c r="ET152" t="e">
        <f>AND('GA55 Entry'!#REF!,"AAAAAD/3wZU=")</f>
        <v>#REF!</v>
      </c>
      <c r="EU152" t="e">
        <f>AND('GA55 Entry'!#REF!,"AAAAAD/3wZY=")</f>
        <v>#REF!</v>
      </c>
      <c r="EV152" t="e">
        <f>AND('GA55 Entry'!#REF!,"AAAAAD/3wZc=")</f>
        <v>#REF!</v>
      </c>
      <c r="EW152" t="e">
        <f>AND('GA55 Entry'!D532,"AAAAAD/3wZg=")</f>
        <v>#VALUE!</v>
      </c>
      <c r="EX152" t="e">
        <f>AND('GA55 Entry'!#REF!,"AAAAAD/3wZk=")</f>
        <v>#REF!</v>
      </c>
      <c r="EY152" t="e">
        <f>AND('GA55 Entry'!E532,"AAAAAD/3wZo=")</f>
        <v>#VALUE!</v>
      </c>
      <c r="EZ152" t="e">
        <f>AND('GA55 Entry'!F532,"AAAAAD/3wZs=")</f>
        <v>#VALUE!</v>
      </c>
      <c r="FA152" t="e">
        <f>AND('GA55 Entry'!G532,"AAAAAD/3wZw=")</f>
        <v>#VALUE!</v>
      </c>
      <c r="FB152" t="e">
        <f>AND('GA55 Entry'!H532,"AAAAAD/3wZ0=")</f>
        <v>#VALUE!</v>
      </c>
      <c r="FC152" t="e">
        <f>AND('GA55 Entry'!I532,"AAAAAD/3wZ4=")</f>
        <v>#VALUE!</v>
      </c>
      <c r="FD152" t="e">
        <f>AND('GA55 Entry'!J532,"AAAAAD/3wZ8=")</f>
        <v>#VALUE!</v>
      </c>
      <c r="FE152" t="e">
        <f>AND('GA55 Entry'!#REF!,"AAAAAD/3waA=")</f>
        <v>#REF!</v>
      </c>
      <c r="FF152" t="e">
        <f>AND('GA55 Entry'!K532,"AAAAAD/3waE=")</f>
        <v>#VALUE!</v>
      </c>
      <c r="FG152" t="e">
        <f>AND('GA55 Entry'!L532,"AAAAAD/3waI=")</f>
        <v>#VALUE!</v>
      </c>
      <c r="FH152" t="e">
        <f>AND('GA55 Entry'!M532,"AAAAAD/3waM=")</f>
        <v>#VALUE!</v>
      </c>
      <c r="FI152" t="e">
        <f>AND('GA55 Entry'!N532,"AAAAAD/3waQ=")</f>
        <v>#VALUE!</v>
      </c>
      <c r="FJ152" t="e">
        <f>AND('GA55 Entry'!O532,"AAAAAD/3waU=")</f>
        <v>#VALUE!</v>
      </c>
      <c r="FK152" t="e">
        <f>AND('GA55 Entry'!P532,"AAAAAD/3waY=")</f>
        <v>#VALUE!</v>
      </c>
      <c r="FL152" t="e">
        <f>AND('GA55 Entry'!Q532,"AAAAAD/3wac=")</f>
        <v>#VALUE!</v>
      </c>
      <c r="FM152" t="e">
        <f>AND('GA55 Entry'!S532,"AAAAAD/3wag=")</f>
        <v>#VALUE!</v>
      </c>
      <c r="FN152" t="e">
        <f>AND('GA55 Entry'!#REF!,"AAAAAD/3wak=")</f>
        <v>#REF!</v>
      </c>
      <c r="FO152" t="e">
        <f>AND('GA55 Entry'!T532,"AAAAAD/3wao=")</f>
        <v>#VALUE!</v>
      </c>
      <c r="FP152" t="e">
        <f>AND('GA55 Entry'!U532,"AAAAAD/3was=")</f>
        <v>#VALUE!</v>
      </c>
      <c r="FQ152" t="e">
        <f>AND('GA55 Entry'!V532,"AAAAAD/3waw=")</f>
        <v>#VALUE!</v>
      </c>
      <c r="FR152" t="e">
        <f>AND('GA55 Entry'!#REF!,"AAAAAD/3wa0=")</f>
        <v>#REF!</v>
      </c>
      <c r="FS152" t="e">
        <f>AND('GA55 Entry'!#REF!,"AAAAAD/3wa4=")</f>
        <v>#REF!</v>
      </c>
      <c r="FT152" t="e">
        <f>AND('GA55 Entry'!X532,"AAAAAD/3wa8=")</f>
        <v>#VALUE!</v>
      </c>
      <c r="FU152" t="e">
        <f>AND('GA55 Entry'!Y532,"AAAAAD/3wbA=")</f>
        <v>#VALUE!</v>
      </c>
      <c r="FV152" t="e">
        <f>AND('GA55 Entry'!#REF!,"AAAAAD/3wbE=")</f>
        <v>#REF!</v>
      </c>
      <c r="FW152" t="e">
        <f>AND('GA55 Entry'!#REF!,"AAAAAD/3wbI=")</f>
        <v>#REF!</v>
      </c>
      <c r="FX152" t="e">
        <f>AND('GA55 Entry'!#REF!,"AAAAAD/3wbM=")</f>
        <v>#REF!</v>
      </c>
      <c r="FY152" t="e">
        <f>AND('GA55 Entry'!#REF!,"AAAAAD/3wbQ=")</f>
        <v>#REF!</v>
      </c>
      <c r="FZ152" t="e">
        <f>AND('GA55 Entry'!#REF!,"AAAAAD/3wbU=")</f>
        <v>#REF!</v>
      </c>
      <c r="GA152" t="e">
        <f>AND('GA55 Entry'!#REF!,"AAAAAD/3wbY=")</f>
        <v>#REF!</v>
      </c>
      <c r="GB152" t="e">
        <f>AND('GA55 Entry'!#REF!,"AAAAAD/3wbc=")</f>
        <v>#REF!</v>
      </c>
      <c r="GC152" t="e">
        <f>AND('GA55 Entry'!#REF!,"AAAAAD/3wbg=")</f>
        <v>#REF!</v>
      </c>
      <c r="GD152" t="e">
        <f>AND('GA55 Entry'!#REF!,"AAAAAD/3wbk=")</f>
        <v>#REF!</v>
      </c>
      <c r="GE152" t="e">
        <f>AND('GA55 Entry'!Z532,"AAAAAD/3wbo=")</f>
        <v>#VALUE!</v>
      </c>
      <c r="GF152" t="e">
        <f>AND('GA55 Entry'!AA532,"AAAAAD/3wbs=")</f>
        <v>#VALUE!</v>
      </c>
      <c r="GG152" t="e">
        <f>AND('GA55 Entry'!#REF!,"AAAAAD/3wbw=")</f>
        <v>#REF!</v>
      </c>
      <c r="GH152" t="e">
        <f>AND('GA55 Entry'!#REF!,"AAAAAD/3wb0=")</f>
        <v>#REF!</v>
      </c>
      <c r="GI152" t="e">
        <f>AND('GA55 Entry'!#REF!,"AAAAAD/3wb4=")</f>
        <v>#REF!</v>
      </c>
      <c r="GJ152" t="e">
        <f>AND('GA55 Entry'!AB532,"AAAAAD/3wb8=")</f>
        <v>#VALUE!</v>
      </c>
      <c r="GK152" t="e">
        <f>AND('GA55 Entry'!AC532,"AAAAAD/3wcA=")</f>
        <v>#VALUE!</v>
      </c>
      <c r="GL152" t="e">
        <f>AND('GA55 Entry'!#REF!,"AAAAAD/3wcE=")</f>
        <v>#REF!</v>
      </c>
      <c r="GM152">
        <f>IF('GA55 Entry'!533:533,"AAAAAD/3wcI=",0)</f>
        <v>0</v>
      </c>
      <c r="GN152" t="e">
        <f>AND('GA55 Entry'!B533,"AAAAAD/3wcM=")</f>
        <v>#VALUE!</v>
      </c>
      <c r="GO152" t="e">
        <f>AND('GA55 Entry'!#REF!,"AAAAAD/3wcQ=")</f>
        <v>#REF!</v>
      </c>
      <c r="GP152" t="e">
        <f>AND('GA55 Entry'!C533,"AAAAAD/3wcU=")</f>
        <v>#VALUE!</v>
      </c>
      <c r="GQ152" t="e">
        <f>AND('GA55 Entry'!#REF!,"AAAAAD/3wcY=")</f>
        <v>#REF!</v>
      </c>
      <c r="GR152" t="e">
        <f>AND('GA55 Entry'!#REF!,"AAAAAD/3wcc=")</f>
        <v>#REF!</v>
      </c>
      <c r="GS152" t="e">
        <f>AND('GA55 Entry'!#REF!,"AAAAAD/3wcg=")</f>
        <v>#REF!</v>
      </c>
      <c r="GT152" t="e">
        <f>AND('GA55 Entry'!#REF!,"AAAAAD/3wck=")</f>
        <v>#REF!</v>
      </c>
      <c r="GU152" t="e">
        <f>AND('GA55 Entry'!#REF!,"AAAAAD/3wco=")</f>
        <v>#REF!</v>
      </c>
      <c r="GV152" t="e">
        <f>AND('GA55 Entry'!D533,"AAAAAD/3wcs=")</f>
        <v>#VALUE!</v>
      </c>
      <c r="GW152" t="e">
        <f>AND('GA55 Entry'!#REF!,"AAAAAD/3wcw=")</f>
        <v>#REF!</v>
      </c>
      <c r="GX152" t="e">
        <f>AND('GA55 Entry'!E533,"AAAAAD/3wc0=")</f>
        <v>#VALUE!</v>
      </c>
      <c r="GY152" t="e">
        <f>AND('GA55 Entry'!F533,"AAAAAD/3wc4=")</f>
        <v>#VALUE!</v>
      </c>
      <c r="GZ152" t="e">
        <f>AND('GA55 Entry'!G533,"AAAAAD/3wc8=")</f>
        <v>#VALUE!</v>
      </c>
      <c r="HA152" t="e">
        <f>AND('GA55 Entry'!H533,"AAAAAD/3wdA=")</f>
        <v>#VALUE!</v>
      </c>
      <c r="HB152" t="e">
        <f>AND('GA55 Entry'!I533,"AAAAAD/3wdE=")</f>
        <v>#VALUE!</v>
      </c>
      <c r="HC152" t="e">
        <f>AND('GA55 Entry'!J533,"AAAAAD/3wdI=")</f>
        <v>#VALUE!</v>
      </c>
      <c r="HD152" t="e">
        <f>AND('GA55 Entry'!#REF!,"AAAAAD/3wdM=")</f>
        <v>#REF!</v>
      </c>
      <c r="HE152" t="e">
        <f>AND('GA55 Entry'!K533,"AAAAAD/3wdQ=")</f>
        <v>#VALUE!</v>
      </c>
      <c r="HF152" t="e">
        <f>AND('GA55 Entry'!L533,"AAAAAD/3wdU=")</f>
        <v>#VALUE!</v>
      </c>
      <c r="HG152" t="e">
        <f>AND('GA55 Entry'!M533,"AAAAAD/3wdY=")</f>
        <v>#VALUE!</v>
      </c>
      <c r="HH152" t="e">
        <f>AND('GA55 Entry'!N533,"AAAAAD/3wdc=")</f>
        <v>#VALUE!</v>
      </c>
      <c r="HI152" t="e">
        <f>AND('GA55 Entry'!O533,"AAAAAD/3wdg=")</f>
        <v>#VALUE!</v>
      </c>
      <c r="HJ152" t="e">
        <f>AND('GA55 Entry'!P533,"AAAAAD/3wdk=")</f>
        <v>#VALUE!</v>
      </c>
      <c r="HK152" t="e">
        <f>AND('GA55 Entry'!Q533,"AAAAAD/3wdo=")</f>
        <v>#VALUE!</v>
      </c>
      <c r="HL152" t="e">
        <f>AND('GA55 Entry'!S533,"AAAAAD/3wds=")</f>
        <v>#VALUE!</v>
      </c>
      <c r="HM152" t="e">
        <f>AND('GA55 Entry'!#REF!,"AAAAAD/3wdw=")</f>
        <v>#REF!</v>
      </c>
      <c r="HN152" t="e">
        <f>AND('GA55 Entry'!T533,"AAAAAD/3wd0=")</f>
        <v>#VALUE!</v>
      </c>
      <c r="HO152" t="e">
        <f>AND('GA55 Entry'!U533,"AAAAAD/3wd4=")</f>
        <v>#VALUE!</v>
      </c>
      <c r="HP152" t="e">
        <f>AND('GA55 Entry'!V533,"AAAAAD/3wd8=")</f>
        <v>#VALUE!</v>
      </c>
      <c r="HQ152" t="e">
        <f>AND('GA55 Entry'!#REF!,"AAAAAD/3weA=")</f>
        <v>#REF!</v>
      </c>
      <c r="HR152" t="e">
        <f>AND('GA55 Entry'!#REF!,"AAAAAD/3weE=")</f>
        <v>#REF!</v>
      </c>
      <c r="HS152" t="e">
        <f>AND('GA55 Entry'!X533,"AAAAAD/3weI=")</f>
        <v>#VALUE!</v>
      </c>
      <c r="HT152" t="e">
        <f>AND('GA55 Entry'!Y533,"AAAAAD/3weM=")</f>
        <v>#VALUE!</v>
      </c>
      <c r="HU152" t="e">
        <f>AND('GA55 Entry'!#REF!,"AAAAAD/3weQ=")</f>
        <v>#REF!</v>
      </c>
      <c r="HV152" t="e">
        <f>AND('GA55 Entry'!#REF!,"AAAAAD/3weU=")</f>
        <v>#REF!</v>
      </c>
      <c r="HW152" t="e">
        <f>AND('GA55 Entry'!#REF!,"AAAAAD/3weY=")</f>
        <v>#REF!</v>
      </c>
      <c r="HX152" t="e">
        <f>AND('GA55 Entry'!#REF!,"AAAAAD/3wec=")</f>
        <v>#REF!</v>
      </c>
      <c r="HY152" t="e">
        <f>AND('GA55 Entry'!#REF!,"AAAAAD/3weg=")</f>
        <v>#REF!</v>
      </c>
      <c r="HZ152" t="e">
        <f>AND('GA55 Entry'!#REF!,"AAAAAD/3wek=")</f>
        <v>#REF!</v>
      </c>
      <c r="IA152" t="e">
        <f>AND('GA55 Entry'!#REF!,"AAAAAD/3weo=")</f>
        <v>#REF!</v>
      </c>
      <c r="IB152" t="e">
        <f>AND('GA55 Entry'!#REF!,"AAAAAD/3wes=")</f>
        <v>#REF!</v>
      </c>
      <c r="IC152" t="e">
        <f>AND('GA55 Entry'!#REF!,"AAAAAD/3wew=")</f>
        <v>#REF!</v>
      </c>
      <c r="ID152" t="e">
        <f>AND('GA55 Entry'!Z533,"AAAAAD/3we0=")</f>
        <v>#VALUE!</v>
      </c>
      <c r="IE152" t="e">
        <f>AND('GA55 Entry'!AA533,"AAAAAD/3we4=")</f>
        <v>#VALUE!</v>
      </c>
      <c r="IF152" t="e">
        <f>AND('GA55 Entry'!#REF!,"AAAAAD/3we8=")</f>
        <v>#REF!</v>
      </c>
      <c r="IG152" t="e">
        <f>AND('GA55 Entry'!#REF!,"AAAAAD/3wfA=")</f>
        <v>#REF!</v>
      </c>
      <c r="IH152" t="e">
        <f>AND('GA55 Entry'!#REF!,"AAAAAD/3wfE=")</f>
        <v>#REF!</v>
      </c>
      <c r="II152" t="e">
        <f>AND('GA55 Entry'!AB533,"AAAAAD/3wfI=")</f>
        <v>#VALUE!</v>
      </c>
      <c r="IJ152" t="e">
        <f>AND('GA55 Entry'!AC533,"AAAAAD/3wfM=")</f>
        <v>#VALUE!</v>
      </c>
      <c r="IK152" t="e">
        <f>AND('GA55 Entry'!#REF!,"AAAAAD/3wfQ=")</f>
        <v>#REF!</v>
      </c>
      <c r="IL152">
        <f>IF('GA55 Entry'!534:534,"AAAAAD/3wfU=",0)</f>
        <v>0</v>
      </c>
      <c r="IM152" t="e">
        <f>AND('GA55 Entry'!B534,"AAAAAD/3wfY=")</f>
        <v>#VALUE!</v>
      </c>
      <c r="IN152" t="e">
        <f>AND('GA55 Entry'!#REF!,"AAAAAD/3wfc=")</f>
        <v>#REF!</v>
      </c>
      <c r="IO152" t="e">
        <f>AND('GA55 Entry'!C534,"AAAAAD/3wfg=")</f>
        <v>#VALUE!</v>
      </c>
      <c r="IP152" t="e">
        <f>AND('GA55 Entry'!#REF!,"AAAAAD/3wfk=")</f>
        <v>#REF!</v>
      </c>
      <c r="IQ152" t="e">
        <f>AND('GA55 Entry'!#REF!,"AAAAAD/3wfo=")</f>
        <v>#REF!</v>
      </c>
      <c r="IR152" t="e">
        <f>AND('GA55 Entry'!#REF!,"AAAAAD/3wfs=")</f>
        <v>#REF!</v>
      </c>
      <c r="IS152" t="e">
        <f>AND('GA55 Entry'!#REF!,"AAAAAD/3wfw=")</f>
        <v>#REF!</v>
      </c>
      <c r="IT152" t="e">
        <f>AND('GA55 Entry'!#REF!,"AAAAAD/3wf0=")</f>
        <v>#REF!</v>
      </c>
      <c r="IU152" t="e">
        <f>AND('GA55 Entry'!D534,"AAAAAD/3wf4=")</f>
        <v>#VALUE!</v>
      </c>
      <c r="IV152" t="e">
        <f>AND('GA55 Entry'!#REF!,"AAAAAD/3wf8=")</f>
        <v>#REF!</v>
      </c>
    </row>
    <row r="153" spans="1:256">
      <c r="A153" t="e">
        <f>AND('GA55 Entry'!E534,"AAAAAH/8dAA=")</f>
        <v>#VALUE!</v>
      </c>
      <c r="B153" t="e">
        <f>AND('GA55 Entry'!F534,"AAAAAH/8dAE=")</f>
        <v>#VALUE!</v>
      </c>
      <c r="C153" t="e">
        <f>AND('GA55 Entry'!G534,"AAAAAH/8dAI=")</f>
        <v>#VALUE!</v>
      </c>
      <c r="D153" t="e">
        <f>AND('GA55 Entry'!H534,"AAAAAH/8dAM=")</f>
        <v>#VALUE!</v>
      </c>
      <c r="E153" t="e">
        <f>AND('GA55 Entry'!I534,"AAAAAH/8dAQ=")</f>
        <v>#VALUE!</v>
      </c>
      <c r="F153" t="e">
        <f>AND('GA55 Entry'!J534,"AAAAAH/8dAU=")</f>
        <v>#VALUE!</v>
      </c>
      <c r="G153" t="e">
        <f>AND('GA55 Entry'!#REF!,"AAAAAH/8dAY=")</f>
        <v>#REF!</v>
      </c>
      <c r="H153" t="e">
        <f>AND('GA55 Entry'!K534,"AAAAAH/8dAc=")</f>
        <v>#VALUE!</v>
      </c>
      <c r="I153" t="e">
        <f>AND('GA55 Entry'!L534,"AAAAAH/8dAg=")</f>
        <v>#VALUE!</v>
      </c>
      <c r="J153" t="e">
        <f>AND('GA55 Entry'!M534,"AAAAAH/8dAk=")</f>
        <v>#VALUE!</v>
      </c>
      <c r="K153" t="e">
        <f>AND('GA55 Entry'!N534,"AAAAAH/8dAo=")</f>
        <v>#VALUE!</v>
      </c>
      <c r="L153" t="e">
        <f>AND('GA55 Entry'!O534,"AAAAAH/8dAs=")</f>
        <v>#VALUE!</v>
      </c>
      <c r="M153" t="e">
        <f>AND('GA55 Entry'!P534,"AAAAAH/8dAw=")</f>
        <v>#VALUE!</v>
      </c>
      <c r="N153" t="e">
        <f>AND('GA55 Entry'!Q534,"AAAAAH/8dA0=")</f>
        <v>#VALUE!</v>
      </c>
      <c r="O153" t="e">
        <f>AND('GA55 Entry'!S534,"AAAAAH/8dA4=")</f>
        <v>#VALUE!</v>
      </c>
      <c r="P153" t="e">
        <f>AND('GA55 Entry'!#REF!,"AAAAAH/8dA8=")</f>
        <v>#REF!</v>
      </c>
      <c r="Q153" t="e">
        <f>AND('GA55 Entry'!T534,"AAAAAH/8dBA=")</f>
        <v>#VALUE!</v>
      </c>
      <c r="R153" t="e">
        <f>AND('GA55 Entry'!U534,"AAAAAH/8dBE=")</f>
        <v>#VALUE!</v>
      </c>
      <c r="S153" t="e">
        <f>AND('GA55 Entry'!V534,"AAAAAH/8dBI=")</f>
        <v>#VALUE!</v>
      </c>
      <c r="T153" t="e">
        <f>AND('GA55 Entry'!#REF!,"AAAAAH/8dBM=")</f>
        <v>#REF!</v>
      </c>
      <c r="U153" t="e">
        <f>AND('GA55 Entry'!#REF!,"AAAAAH/8dBQ=")</f>
        <v>#REF!</v>
      </c>
      <c r="V153" t="e">
        <f>AND('GA55 Entry'!X534,"AAAAAH/8dBU=")</f>
        <v>#VALUE!</v>
      </c>
      <c r="W153" t="e">
        <f>AND('GA55 Entry'!Y534,"AAAAAH/8dBY=")</f>
        <v>#VALUE!</v>
      </c>
      <c r="X153" t="e">
        <f>AND('GA55 Entry'!#REF!,"AAAAAH/8dBc=")</f>
        <v>#REF!</v>
      </c>
      <c r="Y153" t="e">
        <f>AND('GA55 Entry'!#REF!,"AAAAAH/8dBg=")</f>
        <v>#REF!</v>
      </c>
      <c r="Z153" t="e">
        <f>AND('GA55 Entry'!#REF!,"AAAAAH/8dBk=")</f>
        <v>#REF!</v>
      </c>
      <c r="AA153" t="e">
        <f>AND('GA55 Entry'!#REF!,"AAAAAH/8dBo=")</f>
        <v>#REF!</v>
      </c>
      <c r="AB153" t="e">
        <f>AND('GA55 Entry'!#REF!,"AAAAAH/8dBs=")</f>
        <v>#REF!</v>
      </c>
      <c r="AC153" t="e">
        <f>AND('GA55 Entry'!#REF!,"AAAAAH/8dBw=")</f>
        <v>#REF!</v>
      </c>
      <c r="AD153" t="e">
        <f>AND('GA55 Entry'!#REF!,"AAAAAH/8dB0=")</f>
        <v>#REF!</v>
      </c>
      <c r="AE153" t="e">
        <f>AND('GA55 Entry'!#REF!,"AAAAAH/8dB4=")</f>
        <v>#REF!</v>
      </c>
      <c r="AF153" t="e">
        <f>AND('GA55 Entry'!#REF!,"AAAAAH/8dB8=")</f>
        <v>#REF!</v>
      </c>
      <c r="AG153" t="e">
        <f>AND('GA55 Entry'!Z534,"AAAAAH/8dCA=")</f>
        <v>#VALUE!</v>
      </c>
      <c r="AH153" t="e">
        <f>AND('GA55 Entry'!AA534,"AAAAAH/8dCE=")</f>
        <v>#VALUE!</v>
      </c>
      <c r="AI153" t="e">
        <f>AND('GA55 Entry'!#REF!,"AAAAAH/8dCI=")</f>
        <v>#REF!</v>
      </c>
      <c r="AJ153" t="e">
        <f>AND('GA55 Entry'!#REF!,"AAAAAH/8dCM=")</f>
        <v>#REF!</v>
      </c>
      <c r="AK153" t="e">
        <f>AND('GA55 Entry'!#REF!,"AAAAAH/8dCQ=")</f>
        <v>#REF!</v>
      </c>
      <c r="AL153" t="e">
        <f>AND('GA55 Entry'!AB534,"AAAAAH/8dCU=")</f>
        <v>#VALUE!</v>
      </c>
      <c r="AM153" t="e">
        <f>AND('GA55 Entry'!AC534,"AAAAAH/8dCY=")</f>
        <v>#VALUE!</v>
      </c>
      <c r="AN153" t="e">
        <f>AND('GA55 Entry'!#REF!,"AAAAAH/8dCc=")</f>
        <v>#REF!</v>
      </c>
      <c r="AO153">
        <f>IF('GA55 Entry'!535:535,"AAAAAH/8dCg=",0)</f>
        <v>0</v>
      </c>
      <c r="AP153" t="e">
        <f>AND('GA55 Entry'!B535,"AAAAAH/8dCk=")</f>
        <v>#VALUE!</v>
      </c>
      <c r="AQ153" t="e">
        <f>AND('GA55 Entry'!#REF!,"AAAAAH/8dCo=")</f>
        <v>#REF!</v>
      </c>
      <c r="AR153" t="e">
        <f>AND('GA55 Entry'!C535,"AAAAAH/8dCs=")</f>
        <v>#VALUE!</v>
      </c>
      <c r="AS153" t="e">
        <f>AND('GA55 Entry'!#REF!,"AAAAAH/8dCw=")</f>
        <v>#REF!</v>
      </c>
      <c r="AT153" t="e">
        <f>AND('GA55 Entry'!#REF!,"AAAAAH/8dC0=")</f>
        <v>#REF!</v>
      </c>
      <c r="AU153" t="e">
        <f>AND('GA55 Entry'!#REF!,"AAAAAH/8dC4=")</f>
        <v>#REF!</v>
      </c>
      <c r="AV153" t="e">
        <f>AND('GA55 Entry'!#REF!,"AAAAAH/8dC8=")</f>
        <v>#REF!</v>
      </c>
      <c r="AW153" t="e">
        <f>AND('GA55 Entry'!#REF!,"AAAAAH/8dDA=")</f>
        <v>#REF!</v>
      </c>
      <c r="AX153" t="e">
        <f>AND('GA55 Entry'!D535,"AAAAAH/8dDE=")</f>
        <v>#VALUE!</v>
      </c>
      <c r="AY153" t="e">
        <f>AND('GA55 Entry'!#REF!,"AAAAAH/8dDI=")</f>
        <v>#REF!</v>
      </c>
      <c r="AZ153" t="e">
        <f>AND('GA55 Entry'!E535,"AAAAAH/8dDM=")</f>
        <v>#VALUE!</v>
      </c>
      <c r="BA153" t="e">
        <f>AND('GA55 Entry'!F535,"AAAAAH/8dDQ=")</f>
        <v>#VALUE!</v>
      </c>
      <c r="BB153" t="e">
        <f>AND('GA55 Entry'!G535,"AAAAAH/8dDU=")</f>
        <v>#VALUE!</v>
      </c>
      <c r="BC153" t="e">
        <f>AND('GA55 Entry'!H535,"AAAAAH/8dDY=")</f>
        <v>#VALUE!</v>
      </c>
      <c r="BD153" t="e">
        <f>AND('GA55 Entry'!I535,"AAAAAH/8dDc=")</f>
        <v>#VALUE!</v>
      </c>
      <c r="BE153" t="e">
        <f>AND('GA55 Entry'!J535,"AAAAAH/8dDg=")</f>
        <v>#VALUE!</v>
      </c>
      <c r="BF153" t="e">
        <f>AND('GA55 Entry'!#REF!,"AAAAAH/8dDk=")</f>
        <v>#REF!</v>
      </c>
      <c r="BG153" t="e">
        <f>AND('GA55 Entry'!K535,"AAAAAH/8dDo=")</f>
        <v>#VALUE!</v>
      </c>
      <c r="BH153" t="e">
        <f>AND('GA55 Entry'!L535,"AAAAAH/8dDs=")</f>
        <v>#VALUE!</v>
      </c>
      <c r="BI153" t="e">
        <f>AND('GA55 Entry'!M535,"AAAAAH/8dDw=")</f>
        <v>#VALUE!</v>
      </c>
      <c r="BJ153" t="e">
        <f>AND('GA55 Entry'!N535,"AAAAAH/8dD0=")</f>
        <v>#VALUE!</v>
      </c>
      <c r="BK153" t="e">
        <f>AND('GA55 Entry'!O535,"AAAAAH/8dD4=")</f>
        <v>#VALUE!</v>
      </c>
      <c r="BL153" t="e">
        <f>AND('GA55 Entry'!P535,"AAAAAH/8dD8=")</f>
        <v>#VALUE!</v>
      </c>
      <c r="BM153" t="e">
        <f>AND('GA55 Entry'!Q535,"AAAAAH/8dEA=")</f>
        <v>#VALUE!</v>
      </c>
      <c r="BN153" t="e">
        <f>AND('GA55 Entry'!S535,"AAAAAH/8dEE=")</f>
        <v>#VALUE!</v>
      </c>
      <c r="BO153" t="e">
        <f>AND('GA55 Entry'!#REF!,"AAAAAH/8dEI=")</f>
        <v>#REF!</v>
      </c>
      <c r="BP153" t="e">
        <f>AND('GA55 Entry'!T535,"AAAAAH/8dEM=")</f>
        <v>#VALUE!</v>
      </c>
      <c r="BQ153" t="e">
        <f>AND('GA55 Entry'!U535,"AAAAAH/8dEQ=")</f>
        <v>#VALUE!</v>
      </c>
      <c r="BR153" t="e">
        <f>AND('GA55 Entry'!V535,"AAAAAH/8dEU=")</f>
        <v>#VALUE!</v>
      </c>
      <c r="BS153" t="e">
        <f>AND('GA55 Entry'!#REF!,"AAAAAH/8dEY=")</f>
        <v>#REF!</v>
      </c>
      <c r="BT153" t="e">
        <f>AND('GA55 Entry'!#REF!,"AAAAAH/8dEc=")</f>
        <v>#REF!</v>
      </c>
      <c r="BU153" t="e">
        <f>AND('GA55 Entry'!X535,"AAAAAH/8dEg=")</f>
        <v>#VALUE!</v>
      </c>
      <c r="BV153" t="e">
        <f>AND('GA55 Entry'!Y535,"AAAAAH/8dEk=")</f>
        <v>#VALUE!</v>
      </c>
      <c r="BW153" t="e">
        <f>AND('GA55 Entry'!#REF!,"AAAAAH/8dEo=")</f>
        <v>#REF!</v>
      </c>
      <c r="BX153" t="e">
        <f>AND('GA55 Entry'!#REF!,"AAAAAH/8dEs=")</f>
        <v>#REF!</v>
      </c>
      <c r="BY153" t="e">
        <f>AND('GA55 Entry'!#REF!,"AAAAAH/8dEw=")</f>
        <v>#REF!</v>
      </c>
      <c r="BZ153" t="e">
        <f>AND('GA55 Entry'!#REF!,"AAAAAH/8dE0=")</f>
        <v>#REF!</v>
      </c>
      <c r="CA153" t="e">
        <f>AND('GA55 Entry'!#REF!,"AAAAAH/8dE4=")</f>
        <v>#REF!</v>
      </c>
      <c r="CB153" t="e">
        <f>AND('GA55 Entry'!#REF!,"AAAAAH/8dE8=")</f>
        <v>#REF!</v>
      </c>
      <c r="CC153" t="e">
        <f>AND('GA55 Entry'!#REF!,"AAAAAH/8dFA=")</f>
        <v>#REF!</v>
      </c>
      <c r="CD153" t="e">
        <f>AND('GA55 Entry'!#REF!,"AAAAAH/8dFE=")</f>
        <v>#REF!</v>
      </c>
      <c r="CE153" t="e">
        <f>AND('GA55 Entry'!#REF!,"AAAAAH/8dFI=")</f>
        <v>#REF!</v>
      </c>
      <c r="CF153" t="e">
        <f>AND('GA55 Entry'!Z535,"AAAAAH/8dFM=")</f>
        <v>#VALUE!</v>
      </c>
      <c r="CG153" t="e">
        <f>AND('GA55 Entry'!AA535,"AAAAAH/8dFQ=")</f>
        <v>#VALUE!</v>
      </c>
      <c r="CH153" t="e">
        <f>AND('GA55 Entry'!#REF!,"AAAAAH/8dFU=")</f>
        <v>#REF!</v>
      </c>
      <c r="CI153" t="e">
        <f>AND('GA55 Entry'!#REF!,"AAAAAH/8dFY=")</f>
        <v>#REF!</v>
      </c>
      <c r="CJ153" t="e">
        <f>AND('GA55 Entry'!#REF!,"AAAAAH/8dFc=")</f>
        <v>#REF!</v>
      </c>
      <c r="CK153" t="e">
        <f>AND('GA55 Entry'!AB535,"AAAAAH/8dFg=")</f>
        <v>#VALUE!</v>
      </c>
      <c r="CL153" t="e">
        <f>AND('GA55 Entry'!AC535,"AAAAAH/8dFk=")</f>
        <v>#VALUE!</v>
      </c>
      <c r="CM153" t="e">
        <f>AND('GA55 Entry'!#REF!,"AAAAAH/8dFo=")</f>
        <v>#REF!</v>
      </c>
      <c r="CN153">
        <f>IF('GA55 Entry'!536:536,"AAAAAH/8dFs=",0)</f>
        <v>0</v>
      </c>
      <c r="CO153" t="e">
        <f>AND('GA55 Entry'!B536,"AAAAAH/8dFw=")</f>
        <v>#VALUE!</v>
      </c>
      <c r="CP153" t="e">
        <f>AND('GA55 Entry'!#REF!,"AAAAAH/8dF0=")</f>
        <v>#REF!</v>
      </c>
      <c r="CQ153" t="e">
        <f>AND('GA55 Entry'!C536,"AAAAAH/8dF4=")</f>
        <v>#VALUE!</v>
      </c>
      <c r="CR153" t="e">
        <f>AND('GA55 Entry'!#REF!,"AAAAAH/8dF8=")</f>
        <v>#REF!</v>
      </c>
      <c r="CS153" t="e">
        <f>AND('GA55 Entry'!#REF!,"AAAAAH/8dGA=")</f>
        <v>#REF!</v>
      </c>
      <c r="CT153" t="e">
        <f>AND('GA55 Entry'!#REF!,"AAAAAH/8dGE=")</f>
        <v>#REF!</v>
      </c>
      <c r="CU153" t="e">
        <f>AND('GA55 Entry'!#REF!,"AAAAAH/8dGI=")</f>
        <v>#REF!</v>
      </c>
      <c r="CV153" t="e">
        <f>AND('GA55 Entry'!#REF!,"AAAAAH/8dGM=")</f>
        <v>#REF!</v>
      </c>
      <c r="CW153" t="e">
        <f>AND('GA55 Entry'!D536,"AAAAAH/8dGQ=")</f>
        <v>#VALUE!</v>
      </c>
      <c r="CX153" t="e">
        <f>AND('GA55 Entry'!#REF!,"AAAAAH/8dGU=")</f>
        <v>#REF!</v>
      </c>
      <c r="CY153" t="e">
        <f>AND('GA55 Entry'!E536,"AAAAAH/8dGY=")</f>
        <v>#VALUE!</v>
      </c>
      <c r="CZ153" t="e">
        <f>AND('GA55 Entry'!F536,"AAAAAH/8dGc=")</f>
        <v>#VALUE!</v>
      </c>
      <c r="DA153" t="e">
        <f>AND('GA55 Entry'!G536,"AAAAAH/8dGg=")</f>
        <v>#VALUE!</v>
      </c>
      <c r="DB153" t="e">
        <f>AND('GA55 Entry'!H536,"AAAAAH/8dGk=")</f>
        <v>#VALUE!</v>
      </c>
      <c r="DC153" t="e">
        <f>AND('GA55 Entry'!I536,"AAAAAH/8dGo=")</f>
        <v>#VALUE!</v>
      </c>
      <c r="DD153" t="e">
        <f>AND('GA55 Entry'!J536,"AAAAAH/8dGs=")</f>
        <v>#VALUE!</v>
      </c>
      <c r="DE153" t="e">
        <f>AND('GA55 Entry'!#REF!,"AAAAAH/8dGw=")</f>
        <v>#REF!</v>
      </c>
      <c r="DF153" t="e">
        <f>AND('GA55 Entry'!K536,"AAAAAH/8dG0=")</f>
        <v>#VALUE!</v>
      </c>
      <c r="DG153" t="e">
        <f>AND('GA55 Entry'!L536,"AAAAAH/8dG4=")</f>
        <v>#VALUE!</v>
      </c>
      <c r="DH153" t="e">
        <f>AND('GA55 Entry'!M536,"AAAAAH/8dG8=")</f>
        <v>#VALUE!</v>
      </c>
      <c r="DI153" t="e">
        <f>AND('GA55 Entry'!N536,"AAAAAH/8dHA=")</f>
        <v>#VALUE!</v>
      </c>
      <c r="DJ153" t="e">
        <f>AND('GA55 Entry'!O536,"AAAAAH/8dHE=")</f>
        <v>#VALUE!</v>
      </c>
      <c r="DK153" t="e">
        <f>AND('GA55 Entry'!P536,"AAAAAH/8dHI=")</f>
        <v>#VALUE!</v>
      </c>
      <c r="DL153" t="e">
        <f>AND('GA55 Entry'!Q536,"AAAAAH/8dHM=")</f>
        <v>#VALUE!</v>
      </c>
      <c r="DM153" t="e">
        <f>AND('GA55 Entry'!S536,"AAAAAH/8dHQ=")</f>
        <v>#VALUE!</v>
      </c>
      <c r="DN153" t="e">
        <f>AND('GA55 Entry'!#REF!,"AAAAAH/8dHU=")</f>
        <v>#REF!</v>
      </c>
      <c r="DO153" t="e">
        <f>AND('GA55 Entry'!T536,"AAAAAH/8dHY=")</f>
        <v>#VALUE!</v>
      </c>
      <c r="DP153" t="e">
        <f>AND('GA55 Entry'!U536,"AAAAAH/8dHc=")</f>
        <v>#VALUE!</v>
      </c>
      <c r="DQ153" t="e">
        <f>AND('GA55 Entry'!V536,"AAAAAH/8dHg=")</f>
        <v>#VALUE!</v>
      </c>
      <c r="DR153" t="e">
        <f>AND('GA55 Entry'!#REF!,"AAAAAH/8dHk=")</f>
        <v>#REF!</v>
      </c>
      <c r="DS153" t="e">
        <f>AND('GA55 Entry'!#REF!,"AAAAAH/8dHo=")</f>
        <v>#REF!</v>
      </c>
      <c r="DT153" t="e">
        <f>AND('GA55 Entry'!X536,"AAAAAH/8dHs=")</f>
        <v>#VALUE!</v>
      </c>
      <c r="DU153" t="e">
        <f>AND('GA55 Entry'!Y536,"AAAAAH/8dHw=")</f>
        <v>#VALUE!</v>
      </c>
      <c r="DV153" t="e">
        <f>AND('GA55 Entry'!#REF!,"AAAAAH/8dH0=")</f>
        <v>#REF!</v>
      </c>
      <c r="DW153" t="e">
        <f>AND('GA55 Entry'!#REF!,"AAAAAH/8dH4=")</f>
        <v>#REF!</v>
      </c>
      <c r="DX153" t="e">
        <f>AND('GA55 Entry'!#REF!,"AAAAAH/8dH8=")</f>
        <v>#REF!</v>
      </c>
      <c r="DY153" t="e">
        <f>AND('GA55 Entry'!#REF!,"AAAAAH/8dIA=")</f>
        <v>#REF!</v>
      </c>
      <c r="DZ153" t="e">
        <f>AND('GA55 Entry'!#REF!,"AAAAAH/8dIE=")</f>
        <v>#REF!</v>
      </c>
      <c r="EA153" t="e">
        <f>AND('GA55 Entry'!#REF!,"AAAAAH/8dII=")</f>
        <v>#REF!</v>
      </c>
      <c r="EB153" t="e">
        <f>AND('GA55 Entry'!#REF!,"AAAAAH/8dIM=")</f>
        <v>#REF!</v>
      </c>
      <c r="EC153" t="e">
        <f>AND('GA55 Entry'!#REF!,"AAAAAH/8dIQ=")</f>
        <v>#REF!</v>
      </c>
      <c r="ED153" t="e">
        <f>AND('GA55 Entry'!#REF!,"AAAAAH/8dIU=")</f>
        <v>#REF!</v>
      </c>
      <c r="EE153" t="e">
        <f>AND('GA55 Entry'!Z536,"AAAAAH/8dIY=")</f>
        <v>#VALUE!</v>
      </c>
      <c r="EF153" t="e">
        <f>AND('GA55 Entry'!AA536,"AAAAAH/8dIc=")</f>
        <v>#VALUE!</v>
      </c>
      <c r="EG153" t="e">
        <f>AND('GA55 Entry'!#REF!,"AAAAAH/8dIg=")</f>
        <v>#REF!</v>
      </c>
      <c r="EH153" t="e">
        <f>AND('GA55 Entry'!#REF!,"AAAAAH/8dIk=")</f>
        <v>#REF!</v>
      </c>
      <c r="EI153" t="e">
        <f>AND('GA55 Entry'!#REF!,"AAAAAH/8dIo=")</f>
        <v>#REF!</v>
      </c>
      <c r="EJ153" t="e">
        <f>AND('GA55 Entry'!AB536,"AAAAAH/8dIs=")</f>
        <v>#VALUE!</v>
      </c>
      <c r="EK153" t="e">
        <f>AND('GA55 Entry'!AC536,"AAAAAH/8dIw=")</f>
        <v>#VALUE!</v>
      </c>
      <c r="EL153" t="e">
        <f>AND('GA55 Entry'!#REF!,"AAAAAH/8dI0=")</f>
        <v>#REF!</v>
      </c>
      <c r="EM153">
        <f>IF('GA55 Entry'!537:537,"AAAAAH/8dI4=",0)</f>
        <v>0</v>
      </c>
      <c r="EN153" t="e">
        <f>AND('GA55 Entry'!B537,"AAAAAH/8dI8=")</f>
        <v>#VALUE!</v>
      </c>
      <c r="EO153" t="e">
        <f>AND('GA55 Entry'!#REF!,"AAAAAH/8dJA=")</f>
        <v>#REF!</v>
      </c>
      <c r="EP153" t="e">
        <f>AND('GA55 Entry'!C537,"AAAAAH/8dJE=")</f>
        <v>#VALUE!</v>
      </c>
      <c r="EQ153" t="e">
        <f>AND('GA55 Entry'!#REF!,"AAAAAH/8dJI=")</f>
        <v>#REF!</v>
      </c>
      <c r="ER153" t="e">
        <f>AND('GA55 Entry'!#REF!,"AAAAAH/8dJM=")</f>
        <v>#REF!</v>
      </c>
      <c r="ES153" t="e">
        <f>AND('GA55 Entry'!#REF!,"AAAAAH/8dJQ=")</f>
        <v>#REF!</v>
      </c>
      <c r="ET153" t="e">
        <f>AND('GA55 Entry'!#REF!,"AAAAAH/8dJU=")</f>
        <v>#REF!</v>
      </c>
      <c r="EU153" t="e">
        <f>AND('GA55 Entry'!#REF!,"AAAAAH/8dJY=")</f>
        <v>#REF!</v>
      </c>
      <c r="EV153" t="e">
        <f>AND('GA55 Entry'!D537,"AAAAAH/8dJc=")</f>
        <v>#VALUE!</v>
      </c>
      <c r="EW153" t="e">
        <f>AND('GA55 Entry'!#REF!,"AAAAAH/8dJg=")</f>
        <v>#REF!</v>
      </c>
      <c r="EX153" t="e">
        <f>AND('GA55 Entry'!E537,"AAAAAH/8dJk=")</f>
        <v>#VALUE!</v>
      </c>
      <c r="EY153" t="e">
        <f>AND('GA55 Entry'!F537,"AAAAAH/8dJo=")</f>
        <v>#VALUE!</v>
      </c>
      <c r="EZ153" t="e">
        <f>AND('GA55 Entry'!G537,"AAAAAH/8dJs=")</f>
        <v>#VALUE!</v>
      </c>
      <c r="FA153" t="e">
        <f>AND('GA55 Entry'!H537,"AAAAAH/8dJw=")</f>
        <v>#VALUE!</v>
      </c>
      <c r="FB153" t="e">
        <f>AND('GA55 Entry'!I537,"AAAAAH/8dJ0=")</f>
        <v>#VALUE!</v>
      </c>
      <c r="FC153" t="e">
        <f>AND('GA55 Entry'!J537,"AAAAAH/8dJ4=")</f>
        <v>#VALUE!</v>
      </c>
      <c r="FD153" t="e">
        <f>AND('GA55 Entry'!#REF!,"AAAAAH/8dJ8=")</f>
        <v>#REF!</v>
      </c>
      <c r="FE153" t="e">
        <f>AND('GA55 Entry'!K537,"AAAAAH/8dKA=")</f>
        <v>#VALUE!</v>
      </c>
      <c r="FF153" t="e">
        <f>AND('GA55 Entry'!L537,"AAAAAH/8dKE=")</f>
        <v>#VALUE!</v>
      </c>
      <c r="FG153" t="e">
        <f>AND('GA55 Entry'!M537,"AAAAAH/8dKI=")</f>
        <v>#VALUE!</v>
      </c>
      <c r="FH153" t="e">
        <f>AND('GA55 Entry'!N537,"AAAAAH/8dKM=")</f>
        <v>#VALUE!</v>
      </c>
      <c r="FI153" t="e">
        <f>AND('GA55 Entry'!O537,"AAAAAH/8dKQ=")</f>
        <v>#VALUE!</v>
      </c>
      <c r="FJ153" t="e">
        <f>AND('GA55 Entry'!P537,"AAAAAH/8dKU=")</f>
        <v>#VALUE!</v>
      </c>
      <c r="FK153" t="e">
        <f>AND('GA55 Entry'!Q537,"AAAAAH/8dKY=")</f>
        <v>#VALUE!</v>
      </c>
      <c r="FL153" t="e">
        <f>AND('GA55 Entry'!S537,"AAAAAH/8dKc=")</f>
        <v>#VALUE!</v>
      </c>
      <c r="FM153" t="e">
        <f>AND('GA55 Entry'!#REF!,"AAAAAH/8dKg=")</f>
        <v>#REF!</v>
      </c>
      <c r="FN153" t="e">
        <f>AND('GA55 Entry'!T537,"AAAAAH/8dKk=")</f>
        <v>#VALUE!</v>
      </c>
      <c r="FO153" t="e">
        <f>AND('GA55 Entry'!U537,"AAAAAH/8dKo=")</f>
        <v>#VALUE!</v>
      </c>
      <c r="FP153" t="e">
        <f>AND('GA55 Entry'!V537,"AAAAAH/8dKs=")</f>
        <v>#VALUE!</v>
      </c>
      <c r="FQ153" t="e">
        <f>AND('GA55 Entry'!#REF!,"AAAAAH/8dKw=")</f>
        <v>#REF!</v>
      </c>
      <c r="FR153" t="e">
        <f>AND('GA55 Entry'!#REF!,"AAAAAH/8dK0=")</f>
        <v>#REF!</v>
      </c>
      <c r="FS153" t="e">
        <f>AND('GA55 Entry'!X537,"AAAAAH/8dK4=")</f>
        <v>#VALUE!</v>
      </c>
      <c r="FT153" t="e">
        <f>AND('GA55 Entry'!Y537,"AAAAAH/8dK8=")</f>
        <v>#VALUE!</v>
      </c>
      <c r="FU153" t="e">
        <f>AND('GA55 Entry'!#REF!,"AAAAAH/8dLA=")</f>
        <v>#REF!</v>
      </c>
      <c r="FV153" t="e">
        <f>AND('GA55 Entry'!#REF!,"AAAAAH/8dLE=")</f>
        <v>#REF!</v>
      </c>
      <c r="FW153" t="e">
        <f>AND('GA55 Entry'!#REF!,"AAAAAH/8dLI=")</f>
        <v>#REF!</v>
      </c>
      <c r="FX153" t="e">
        <f>AND('GA55 Entry'!#REF!,"AAAAAH/8dLM=")</f>
        <v>#REF!</v>
      </c>
      <c r="FY153" t="e">
        <f>AND('GA55 Entry'!#REF!,"AAAAAH/8dLQ=")</f>
        <v>#REF!</v>
      </c>
      <c r="FZ153" t="e">
        <f>AND('GA55 Entry'!#REF!,"AAAAAH/8dLU=")</f>
        <v>#REF!</v>
      </c>
      <c r="GA153" t="e">
        <f>AND('GA55 Entry'!#REF!,"AAAAAH/8dLY=")</f>
        <v>#REF!</v>
      </c>
      <c r="GB153" t="e">
        <f>AND('GA55 Entry'!#REF!,"AAAAAH/8dLc=")</f>
        <v>#REF!</v>
      </c>
      <c r="GC153" t="e">
        <f>AND('GA55 Entry'!#REF!,"AAAAAH/8dLg=")</f>
        <v>#REF!</v>
      </c>
      <c r="GD153" t="e">
        <f>AND('GA55 Entry'!Z537,"AAAAAH/8dLk=")</f>
        <v>#VALUE!</v>
      </c>
      <c r="GE153" t="e">
        <f>AND('GA55 Entry'!AA537,"AAAAAH/8dLo=")</f>
        <v>#VALUE!</v>
      </c>
      <c r="GF153" t="e">
        <f>AND('GA55 Entry'!#REF!,"AAAAAH/8dLs=")</f>
        <v>#REF!</v>
      </c>
      <c r="GG153" t="e">
        <f>AND('GA55 Entry'!#REF!,"AAAAAH/8dLw=")</f>
        <v>#REF!</v>
      </c>
      <c r="GH153" t="e">
        <f>AND('GA55 Entry'!#REF!,"AAAAAH/8dL0=")</f>
        <v>#REF!</v>
      </c>
      <c r="GI153" t="e">
        <f>AND('GA55 Entry'!AB537,"AAAAAH/8dL4=")</f>
        <v>#VALUE!</v>
      </c>
      <c r="GJ153" t="e">
        <f>AND('GA55 Entry'!AC537,"AAAAAH/8dL8=")</f>
        <v>#VALUE!</v>
      </c>
      <c r="GK153" t="e">
        <f>AND('GA55 Entry'!#REF!,"AAAAAH/8dMA=")</f>
        <v>#REF!</v>
      </c>
      <c r="GL153">
        <f>IF('GA55 Entry'!538:538,"AAAAAH/8dME=",0)</f>
        <v>0</v>
      </c>
      <c r="GM153" t="e">
        <f>AND('GA55 Entry'!B538,"AAAAAH/8dMI=")</f>
        <v>#VALUE!</v>
      </c>
      <c r="GN153" t="e">
        <f>AND('GA55 Entry'!#REF!,"AAAAAH/8dMM=")</f>
        <v>#REF!</v>
      </c>
      <c r="GO153" t="e">
        <f>AND('GA55 Entry'!C538,"AAAAAH/8dMQ=")</f>
        <v>#VALUE!</v>
      </c>
      <c r="GP153" t="e">
        <f>AND('GA55 Entry'!#REF!,"AAAAAH/8dMU=")</f>
        <v>#REF!</v>
      </c>
      <c r="GQ153" t="e">
        <f>AND('GA55 Entry'!#REF!,"AAAAAH/8dMY=")</f>
        <v>#REF!</v>
      </c>
      <c r="GR153" t="e">
        <f>AND('GA55 Entry'!#REF!,"AAAAAH/8dMc=")</f>
        <v>#REF!</v>
      </c>
      <c r="GS153" t="e">
        <f>AND('GA55 Entry'!#REF!,"AAAAAH/8dMg=")</f>
        <v>#REF!</v>
      </c>
      <c r="GT153" t="e">
        <f>AND('GA55 Entry'!#REF!,"AAAAAH/8dMk=")</f>
        <v>#REF!</v>
      </c>
      <c r="GU153" t="e">
        <f>AND('GA55 Entry'!D538,"AAAAAH/8dMo=")</f>
        <v>#VALUE!</v>
      </c>
      <c r="GV153" t="e">
        <f>AND('GA55 Entry'!#REF!,"AAAAAH/8dMs=")</f>
        <v>#REF!</v>
      </c>
      <c r="GW153" t="e">
        <f>AND('GA55 Entry'!E538,"AAAAAH/8dMw=")</f>
        <v>#VALUE!</v>
      </c>
      <c r="GX153" t="e">
        <f>AND('GA55 Entry'!F538,"AAAAAH/8dM0=")</f>
        <v>#VALUE!</v>
      </c>
      <c r="GY153" t="e">
        <f>AND('GA55 Entry'!G538,"AAAAAH/8dM4=")</f>
        <v>#VALUE!</v>
      </c>
      <c r="GZ153" t="e">
        <f>AND('GA55 Entry'!H538,"AAAAAH/8dM8=")</f>
        <v>#VALUE!</v>
      </c>
      <c r="HA153" t="e">
        <f>AND('GA55 Entry'!I538,"AAAAAH/8dNA=")</f>
        <v>#VALUE!</v>
      </c>
      <c r="HB153" t="e">
        <f>AND('GA55 Entry'!J538,"AAAAAH/8dNE=")</f>
        <v>#VALUE!</v>
      </c>
      <c r="HC153" t="e">
        <f>AND('GA55 Entry'!#REF!,"AAAAAH/8dNI=")</f>
        <v>#REF!</v>
      </c>
      <c r="HD153" t="e">
        <f>AND('GA55 Entry'!K538,"AAAAAH/8dNM=")</f>
        <v>#VALUE!</v>
      </c>
      <c r="HE153" t="e">
        <f>AND('GA55 Entry'!L538,"AAAAAH/8dNQ=")</f>
        <v>#VALUE!</v>
      </c>
      <c r="HF153" t="e">
        <f>AND('GA55 Entry'!M538,"AAAAAH/8dNU=")</f>
        <v>#VALUE!</v>
      </c>
      <c r="HG153" t="e">
        <f>AND('GA55 Entry'!N538,"AAAAAH/8dNY=")</f>
        <v>#VALUE!</v>
      </c>
      <c r="HH153" t="e">
        <f>AND('GA55 Entry'!O538,"AAAAAH/8dNc=")</f>
        <v>#VALUE!</v>
      </c>
      <c r="HI153" t="e">
        <f>AND('GA55 Entry'!P538,"AAAAAH/8dNg=")</f>
        <v>#VALUE!</v>
      </c>
      <c r="HJ153" t="e">
        <f>AND('GA55 Entry'!Q538,"AAAAAH/8dNk=")</f>
        <v>#VALUE!</v>
      </c>
      <c r="HK153" t="e">
        <f>AND('GA55 Entry'!S538,"AAAAAH/8dNo=")</f>
        <v>#VALUE!</v>
      </c>
      <c r="HL153" t="e">
        <f>AND('GA55 Entry'!#REF!,"AAAAAH/8dNs=")</f>
        <v>#REF!</v>
      </c>
      <c r="HM153" t="e">
        <f>AND('GA55 Entry'!T538,"AAAAAH/8dNw=")</f>
        <v>#VALUE!</v>
      </c>
      <c r="HN153" t="e">
        <f>AND('GA55 Entry'!U538,"AAAAAH/8dN0=")</f>
        <v>#VALUE!</v>
      </c>
      <c r="HO153" t="e">
        <f>AND('GA55 Entry'!V538,"AAAAAH/8dN4=")</f>
        <v>#VALUE!</v>
      </c>
      <c r="HP153" t="e">
        <f>AND('GA55 Entry'!#REF!,"AAAAAH/8dN8=")</f>
        <v>#REF!</v>
      </c>
      <c r="HQ153" t="e">
        <f>AND('GA55 Entry'!#REF!,"AAAAAH/8dOA=")</f>
        <v>#REF!</v>
      </c>
      <c r="HR153" t="e">
        <f>AND('GA55 Entry'!X538,"AAAAAH/8dOE=")</f>
        <v>#VALUE!</v>
      </c>
      <c r="HS153" t="e">
        <f>AND('GA55 Entry'!Y538,"AAAAAH/8dOI=")</f>
        <v>#VALUE!</v>
      </c>
      <c r="HT153" t="e">
        <f>AND('GA55 Entry'!#REF!,"AAAAAH/8dOM=")</f>
        <v>#REF!</v>
      </c>
      <c r="HU153" t="e">
        <f>AND('GA55 Entry'!#REF!,"AAAAAH/8dOQ=")</f>
        <v>#REF!</v>
      </c>
      <c r="HV153" t="e">
        <f>AND('GA55 Entry'!#REF!,"AAAAAH/8dOU=")</f>
        <v>#REF!</v>
      </c>
      <c r="HW153" t="e">
        <f>AND('GA55 Entry'!#REF!,"AAAAAH/8dOY=")</f>
        <v>#REF!</v>
      </c>
      <c r="HX153" t="e">
        <f>AND('GA55 Entry'!#REF!,"AAAAAH/8dOc=")</f>
        <v>#REF!</v>
      </c>
      <c r="HY153" t="e">
        <f>AND('GA55 Entry'!#REF!,"AAAAAH/8dOg=")</f>
        <v>#REF!</v>
      </c>
      <c r="HZ153" t="e">
        <f>AND('GA55 Entry'!#REF!,"AAAAAH/8dOk=")</f>
        <v>#REF!</v>
      </c>
      <c r="IA153" t="e">
        <f>AND('GA55 Entry'!#REF!,"AAAAAH/8dOo=")</f>
        <v>#REF!</v>
      </c>
      <c r="IB153" t="e">
        <f>AND('GA55 Entry'!#REF!,"AAAAAH/8dOs=")</f>
        <v>#REF!</v>
      </c>
      <c r="IC153" t="e">
        <f>AND('GA55 Entry'!Z538,"AAAAAH/8dOw=")</f>
        <v>#VALUE!</v>
      </c>
      <c r="ID153" t="e">
        <f>AND('GA55 Entry'!AA538,"AAAAAH/8dO0=")</f>
        <v>#VALUE!</v>
      </c>
      <c r="IE153" t="e">
        <f>AND('GA55 Entry'!#REF!,"AAAAAH/8dO4=")</f>
        <v>#REF!</v>
      </c>
      <c r="IF153" t="e">
        <f>AND('GA55 Entry'!#REF!,"AAAAAH/8dO8=")</f>
        <v>#REF!</v>
      </c>
      <c r="IG153" t="e">
        <f>AND('GA55 Entry'!#REF!,"AAAAAH/8dPA=")</f>
        <v>#REF!</v>
      </c>
      <c r="IH153" t="e">
        <f>AND('GA55 Entry'!AB538,"AAAAAH/8dPE=")</f>
        <v>#VALUE!</v>
      </c>
      <c r="II153" t="e">
        <f>AND('GA55 Entry'!AC538,"AAAAAH/8dPI=")</f>
        <v>#VALUE!</v>
      </c>
      <c r="IJ153" t="e">
        <f>AND('GA55 Entry'!#REF!,"AAAAAH/8dPM=")</f>
        <v>#REF!</v>
      </c>
      <c r="IK153">
        <f>IF('GA55 Entry'!539:539,"AAAAAH/8dPQ=",0)</f>
        <v>0</v>
      </c>
      <c r="IL153" t="e">
        <f>AND('GA55 Entry'!B539,"AAAAAH/8dPU=")</f>
        <v>#VALUE!</v>
      </c>
      <c r="IM153" t="e">
        <f>AND('GA55 Entry'!#REF!,"AAAAAH/8dPY=")</f>
        <v>#REF!</v>
      </c>
      <c r="IN153" t="e">
        <f>AND('GA55 Entry'!C539,"AAAAAH/8dPc=")</f>
        <v>#VALUE!</v>
      </c>
      <c r="IO153" t="e">
        <f>AND('GA55 Entry'!#REF!,"AAAAAH/8dPg=")</f>
        <v>#REF!</v>
      </c>
      <c r="IP153" t="e">
        <f>AND('GA55 Entry'!#REF!,"AAAAAH/8dPk=")</f>
        <v>#REF!</v>
      </c>
      <c r="IQ153" t="e">
        <f>AND('GA55 Entry'!#REF!,"AAAAAH/8dPo=")</f>
        <v>#REF!</v>
      </c>
      <c r="IR153" t="e">
        <f>AND('GA55 Entry'!#REF!,"AAAAAH/8dPs=")</f>
        <v>#REF!</v>
      </c>
      <c r="IS153" t="e">
        <f>AND('GA55 Entry'!#REF!,"AAAAAH/8dPw=")</f>
        <v>#REF!</v>
      </c>
      <c r="IT153" t="e">
        <f>AND('GA55 Entry'!D539,"AAAAAH/8dP0=")</f>
        <v>#VALUE!</v>
      </c>
      <c r="IU153" t="e">
        <f>AND('GA55 Entry'!#REF!,"AAAAAH/8dP4=")</f>
        <v>#REF!</v>
      </c>
      <c r="IV153" t="e">
        <f>AND('GA55 Entry'!E539,"AAAAAH/8dP8=")</f>
        <v>#VALUE!</v>
      </c>
    </row>
    <row r="154" spans="1:256">
      <c r="A154" t="e">
        <f>AND('GA55 Entry'!F539,"AAAAAFGzPgA=")</f>
        <v>#VALUE!</v>
      </c>
      <c r="B154" t="e">
        <f>AND('GA55 Entry'!G539,"AAAAAFGzPgE=")</f>
        <v>#VALUE!</v>
      </c>
      <c r="C154" t="e">
        <f>AND('GA55 Entry'!H539,"AAAAAFGzPgI=")</f>
        <v>#VALUE!</v>
      </c>
      <c r="D154" t="e">
        <f>AND('GA55 Entry'!I539,"AAAAAFGzPgM=")</f>
        <v>#VALUE!</v>
      </c>
      <c r="E154" t="e">
        <f>AND('GA55 Entry'!J539,"AAAAAFGzPgQ=")</f>
        <v>#VALUE!</v>
      </c>
      <c r="F154" t="e">
        <f>AND('GA55 Entry'!#REF!,"AAAAAFGzPgU=")</f>
        <v>#REF!</v>
      </c>
      <c r="G154" t="e">
        <f>AND('GA55 Entry'!K539,"AAAAAFGzPgY=")</f>
        <v>#VALUE!</v>
      </c>
      <c r="H154" t="e">
        <f>AND('GA55 Entry'!L539,"AAAAAFGzPgc=")</f>
        <v>#VALUE!</v>
      </c>
      <c r="I154" t="e">
        <f>AND('GA55 Entry'!M539,"AAAAAFGzPgg=")</f>
        <v>#VALUE!</v>
      </c>
      <c r="J154" t="e">
        <f>AND('GA55 Entry'!N539,"AAAAAFGzPgk=")</f>
        <v>#VALUE!</v>
      </c>
      <c r="K154" t="e">
        <f>AND('GA55 Entry'!O539,"AAAAAFGzPgo=")</f>
        <v>#VALUE!</v>
      </c>
      <c r="L154" t="e">
        <f>AND('GA55 Entry'!P539,"AAAAAFGzPgs=")</f>
        <v>#VALUE!</v>
      </c>
      <c r="M154" t="e">
        <f>AND('GA55 Entry'!Q539,"AAAAAFGzPgw=")</f>
        <v>#VALUE!</v>
      </c>
      <c r="N154" t="e">
        <f>AND('GA55 Entry'!S539,"AAAAAFGzPg0=")</f>
        <v>#VALUE!</v>
      </c>
      <c r="O154" t="e">
        <f>AND('GA55 Entry'!#REF!,"AAAAAFGzPg4=")</f>
        <v>#REF!</v>
      </c>
      <c r="P154" t="e">
        <f>AND('GA55 Entry'!T539,"AAAAAFGzPg8=")</f>
        <v>#VALUE!</v>
      </c>
      <c r="Q154" t="e">
        <f>AND('GA55 Entry'!U539,"AAAAAFGzPhA=")</f>
        <v>#VALUE!</v>
      </c>
      <c r="R154" t="e">
        <f>AND('GA55 Entry'!V539,"AAAAAFGzPhE=")</f>
        <v>#VALUE!</v>
      </c>
      <c r="S154" t="e">
        <f>AND('GA55 Entry'!#REF!,"AAAAAFGzPhI=")</f>
        <v>#REF!</v>
      </c>
      <c r="T154" t="e">
        <f>AND('GA55 Entry'!#REF!,"AAAAAFGzPhM=")</f>
        <v>#REF!</v>
      </c>
      <c r="U154" t="e">
        <f>AND('GA55 Entry'!X539,"AAAAAFGzPhQ=")</f>
        <v>#VALUE!</v>
      </c>
      <c r="V154" t="e">
        <f>AND('GA55 Entry'!Y539,"AAAAAFGzPhU=")</f>
        <v>#VALUE!</v>
      </c>
      <c r="W154" t="e">
        <f>AND('GA55 Entry'!#REF!,"AAAAAFGzPhY=")</f>
        <v>#REF!</v>
      </c>
      <c r="X154" t="e">
        <f>AND('GA55 Entry'!#REF!,"AAAAAFGzPhc=")</f>
        <v>#REF!</v>
      </c>
      <c r="Y154" t="e">
        <f>AND('GA55 Entry'!#REF!,"AAAAAFGzPhg=")</f>
        <v>#REF!</v>
      </c>
      <c r="Z154" t="e">
        <f>AND('GA55 Entry'!#REF!,"AAAAAFGzPhk=")</f>
        <v>#REF!</v>
      </c>
      <c r="AA154" t="e">
        <f>AND('GA55 Entry'!#REF!,"AAAAAFGzPho=")</f>
        <v>#REF!</v>
      </c>
      <c r="AB154" t="e">
        <f>AND('GA55 Entry'!#REF!,"AAAAAFGzPhs=")</f>
        <v>#REF!</v>
      </c>
      <c r="AC154" t="e">
        <f>AND('GA55 Entry'!#REF!,"AAAAAFGzPhw=")</f>
        <v>#REF!</v>
      </c>
      <c r="AD154" t="e">
        <f>AND('GA55 Entry'!#REF!,"AAAAAFGzPh0=")</f>
        <v>#REF!</v>
      </c>
      <c r="AE154" t="e">
        <f>AND('GA55 Entry'!#REF!,"AAAAAFGzPh4=")</f>
        <v>#REF!</v>
      </c>
      <c r="AF154" t="e">
        <f>AND('GA55 Entry'!Z539,"AAAAAFGzPh8=")</f>
        <v>#VALUE!</v>
      </c>
      <c r="AG154" t="e">
        <f>AND('GA55 Entry'!AA539,"AAAAAFGzPiA=")</f>
        <v>#VALUE!</v>
      </c>
      <c r="AH154" t="e">
        <f>AND('GA55 Entry'!#REF!,"AAAAAFGzPiE=")</f>
        <v>#REF!</v>
      </c>
      <c r="AI154" t="e">
        <f>AND('GA55 Entry'!#REF!,"AAAAAFGzPiI=")</f>
        <v>#REF!</v>
      </c>
      <c r="AJ154" t="e">
        <f>AND('GA55 Entry'!#REF!,"AAAAAFGzPiM=")</f>
        <v>#REF!</v>
      </c>
      <c r="AK154" t="e">
        <f>AND('GA55 Entry'!AB539,"AAAAAFGzPiQ=")</f>
        <v>#VALUE!</v>
      </c>
      <c r="AL154" t="e">
        <f>AND('GA55 Entry'!AC539,"AAAAAFGzPiU=")</f>
        <v>#VALUE!</v>
      </c>
      <c r="AM154" t="e">
        <f>AND('GA55 Entry'!#REF!,"AAAAAFGzPiY=")</f>
        <v>#REF!</v>
      </c>
      <c r="AN154">
        <f>IF('GA55 Entry'!540:540,"AAAAAFGzPic=",0)</f>
        <v>0</v>
      </c>
      <c r="AO154" t="e">
        <f>AND('GA55 Entry'!B540,"AAAAAFGzPig=")</f>
        <v>#VALUE!</v>
      </c>
      <c r="AP154" t="e">
        <f>AND('GA55 Entry'!#REF!,"AAAAAFGzPik=")</f>
        <v>#REF!</v>
      </c>
      <c r="AQ154" t="e">
        <f>AND('GA55 Entry'!C540,"AAAAAFGzPio=")</f>
        <v>#VALUE!</v>
      </c>
      <c r="AR154" t="e">
        <f>AND('GA55 Entry'!#REF!,"AAAAAFGzPis=")</f>
        <v>#REF!</v>
      </c>
      <c r="AS154" t="e">
        <f>AND('GA55 Entry'!#REF!,"AAAAAFGzPiw=")</f>
        <v>#REF!</v>
      </c>
      <c r="AT154" t="e">
        <f>AND('GA55 Entry'!#REF!,"AAAAAFGzPi0=")</f>
        <v>#REF!</v>
      </c>
      <c r="AU154" t="e">
        <f>AND('GA55 Entry'!#REF!,"AAAAAFGzPi4=")</f>
        <v>#REF!</v>
      </c>
      <c r="AV154" t="e">
        <f>AND('GA55 Entry'!#REF!,"AAAAAFGzPi8=")</f>
        <v>#REF!</v>
      </c>
      <c r="AW154" t="e">
        <f>AND('GA55 Entry'!D540,"AAAAAFGzPjA=")</f>
        <v>#VALUE!</v>
      </c>
      <c r="AX154" t="e">
        <f>AND('GA55 Entry'!#REF!,"AAAAAFGzPjE=")</f>
        <v>#REF!</v>
      </c>
      <c r="AY154" t="e">
        <f>AND('GA55 Entry'!E540,"AAAAAFGzPjI=")</f>
        <v>#VALUE!</v>
      </c>
      <c r="AZ154" t="e">
        <f>AND('GA55 Entry'!F540,"AAAAAFGzPjM=")</f>
        <v>#VALUE!</v>
      </c>
      <c r="BA154" t="e">
        <f>AND('GA55 Entry'!G540,"AAAAAFGzPjQ=")</f>
        <v>#VALUE!</v>
      </c>
      <c r="BB154" t="e">
        <f>AND('GA55 Entry'!H540,"AAAAAFGzPjU=")</f>
        <v>#VALUE!</v>
      </c>
      <c r="BC154" t="e">
        <f>AND('GA55 Entry'!I540,"AAAAAFGzPjY=")</f>
        <v>#VALUE!</v>
      </c>
      <c r="BD154" t="e">
        <f>AND('GA55 Entry'!J540,"AAAAAFGzPjc=")</f>
        <v>#VALUE!</v>
      </c>
      <c r="BE154" t="e">
        <f>AND('GA55 Entry'!#REF!,"AAAAAFGzPjg=")</f>
        <v>#REF!</v>
      </c>
      <c r="BF154" t="e">
        <f>AND('GA55 Entry'!K540,"AAAAAFGzPjk=")</f>
        <v>#VALUE!</v>
      </c>
      <c r="BG154" t="e">
        <f>AND('GA55 Entry'!L540,"AAAAAFGzPjo=")</f>
        <v>#VALUE!</v>
      </c>
      <c r="BH154" t="e">
        <f>AND('GA55 Entry'!M540,"AAAAAFGzPjs=")</f>
        <v>#VALUE!</v>
      </c>
      <c r="BI154" t="e">
        <f>AND('GA55 Entry'!N540,"AAAAAFGzPjw=")</f>
        <v>#VALUE!</v>
      </c>
      <c r="BJ154" t="e">
        <f>AND('GA55 Entry'!O540,"AAAAAFGzPj0=")</f>
        <v>#VALUE!</v>
      </c>
      <c r="BK154" t="e">
        <f>AND('GA55 Entry'!P540,"AAAAAFGzPj4=")</f>
        <v>#VALUE!</v>
      </c>
      <c r="BL154" t="e">
        <f>AND('GA55 Entry'!Q540,"AAAAAFGzPj8=")</f>
        <v>#VALUE!</v>
      </c>
      <c r="BM154" t="e">
        <f>AND('GA55 Entry'!S540,"AAAAAFGzPkA=")</f>
        <v>#VALUE!</v>
      </c>
      <c r="BN154" t="e">
        <f>AND('GA55 Entry'!#REF!,"AAAAAFGzPkE=")</f>
        <v>#REF!</v>
      </c>
      <c r="BO154" t="e">
        <f>AND('GA55 Entry'!T540,"AAAAAFGzPkI=")</f>
        <v>#VALUE!</v>
      </c>
      <c r="BP154" t="e">
        <f>AND('GA55 Entry'!U540,"AAAAAFGzPkM=")</f>
        <v>#VALUE!</v>
      </c>
      <c r="BQ154" t="e">
        <f>AND('GA55 Entry'!V540,"AAAAAFGzPkQ=")</f>
        <v>#VALUE!</v>
      </c>
      <c r="BR154" t="e">
        <f>AND('GA55 Entry'!#REF!,"AAAAAFGzPkU=")</f>
        <v>#REF!</v>
      </c>
      <c r="BS154" t="e">
        <f>AND('GA55 Entry'!#REF!,"AAAAAFGzPkY=")</f>
        <v>#REF!</v>
      </c>
      <c r="BT154" t="e">
        <f>AND('GA55 Entry'!X540,"AAAAAFGzPkc=")</f>
        <v>#VALUE!</v>
      </c>
      <c r="BU154" t="e">
        <f>AND('GA55 Entry'!Y540,"AAAAAFGzPkg=")</f>
        <v>#VALUE!</v>
      </c>
      <c r="BV154" t="e">
        <f>AND('GA55 Entry'!#REF!,"AAAAAFGzPkk=")</f>
        <v>#REF!</v>
      </c>
      <c r="BW154" t="e">
        <f>AND('GA55 Entry'!#REF!,"AAAAAFGzPko=")</f>
        <v>#REF!</v>
      </c>
      <c r="BX154" t="e">
        <f>AND('GA55 Entry'!#REF!,"AAAAAFGzPks=")</f>
        <v>#REF!</v>
      </c>
      <c r="BY154" t="e">
        <f>AND('GA55 Entry'!#REF!,"AAAAAFGzPkw=")</f>
        <v>#REF!</v>
      </c>
      <c r="BZ154" t="e">
        <f>AND('GA55 Entry'!#REF!,"AAAAAFGzPk0=")</f>
        <v>#REF!</v>
      </c>
      <c r="CA154" t="e">
        <f>AND('GA55 Entry'!#REF!,"AAAAAFGzPk4=")</f>
        <v>#REF!</v>
      </c>
      <c r="CB154" t="e">
        <f>AND('GA55 Entry'!#REF!,"AAAAAFGzPk8=")</f>
        <v>#REF!</v>
      </c>
      <c r="CC154" t="e">
        <f>AND('GA55 Entry'!#REF!,"AAAAAFGzPlA=")</f>
        <v>#REF!</v>
      </c>
      <c r="CD154" t="e">
        <f>AND('GA55 Entry'!#REF!,"AAAAAFGzPlE=")</f>
        <v>#REF!</v>
      </c>
      <c r="CE154" t="e">
        <f>AND('GA55 Entry'!Z540,"AAAAAFGzPlI=")</f>
        <v>#VALUE!</v>
      </c>
      <c r="CF154" t="e">
        <f>AND('GA55 Entry'!AA540,"AAAAAFGzPlM=")</f>
        <v>#VALUE!</v>
      </c>
      <c r="CG154" t="e">
        <f>AND('GA55 Entry'!#REF!,"AAAAAFGzPlQ=")</f>
        <v>#REF!</v>
      </c>
      <c r="CH154" t="e">
        <f>AND('GA55 Entry'!#REF!,"AAAAAFGzPlU=")</f>
        <v>#REF!</v>
      </c>
      <c r="CI154" t="e">
        <f>AND('GA55 Entry'!#REF!,"AAAAAFGzPlY=")</f>
        <v>#REF!</v>
      </c>
      <c r="CJ154" t="e">
        <f>AND('GA55 Entry'!AB540,"AAAAAFGzPlc=")</f>
        <v>#VALUE!</v>
      </c>
      <c r="CK154" t="e">
        <f>AND('GA55 Entry'!AC540,"AAAAAFGzPlg=")</f>
        <v>#VALUE!</v>
      </c>
      <c r="CL154" t="e">
        <f>AND('GA55 Entry'!#REF!,"AAAAAFGzPlk=")</f>
        <v>#REF!</v>
      </c>
      <c r="CM154">
        <f>IF('GA55 Entry'!541:541,"AAAAAFGzPlo=",0)</f>
        <v>0</v>
      </c>
      <c r="CN154" t="e">
        <f>AND('GA55 Entry'!B541,"AAAAAFGzPls=")</f>
        <v>#VALUE!</v>
      </c>
      <c r="CO154" t="e">
        <f>AND('GA55 Entry'!#REF!,"AAAAAFGzPlw=")</f>
        <v>#REF!</v>
      </c>
      <c r="CP154" t="e">
        <f>AND('GA55 Entry'!C541,"AAAAAFGzPl0=")</f>
        <v>#VALUE!</v>
      </c>
      <c r="CQ154" t="e">
        <f>AND('GA55 Entry'!#REF!,"AAAAAFGzPl4=")</f>
        <v>#REF!</v>
      </c>
      <c r="CR154" t="e">
        <f>AND('GA55 Entry'!#REF!,"AAAAAFGzPl8=")</f>
        <v>#REF!</v>
      </c>
      <c r="CS154" t="e">
        <f>AND('GA55 Entry'!#REF!,"AAAAAFGzPmA=")</f>
        <v>#REF!</v>
      </c>
      <c r="CT154" t="e">
        <f>AND('GA55 Entry'!#REF!,"AAAAAFGzPmE=")</f>
        <v>#REF!</v>
      </c>
      <c r="CU154" t="e">
        <f>AND('GA55 Entry'!#REF!,"AAAAAFGzPmI=")</f>
        <v>#REF!</v>
      </c>
      <c r="CV154" t="e">
        <f>AND('GA55 Entry'!D541,"AAAAAFGzPmM=")</f>
        <v>#VALUE!</v>
      </c>
      <c r="CW154" t="e">
        <f>AND('GA55 Entry'!#REF!,"AAAAAFGzPmQ=")</f>
        <v>#REF!</v>
      </c>
      <c r="CX154" t="e">
        <f>AND('GA55 Entry'!E541,"AAAAAFGzPmU=")</f>
        <v>#VALUE!</v>
      </c>
      <c r="CY154" t="e">
        <f>AND('GA55 Entry'!F541,"AAAAAFGzPmY=")</f>
        <v>#VALUE!</v>
      </c>
      <c r="CZ154" t="e">
        <f>AND('GA55 Entry'!G541,"AAAAAFGzPmc=")</f>
        <v>#VALUE!</v>
      </c>
      <c r="DA154" t="e">
        <f>AND('GA55 Entry'!H541,"AAAAAFGzPmg=")</f>
        <v>#VALUE!</v>
      </c>
      <c r="DB154" t="e">
        <f>AND('GA55 Entry'!I541,"AAAAAFGzPmk=")</f>
        <v>#VALUE!</v>
      </c>
      <c r="DC154" t="e">
        <f>AND('GA55 Entry'!J541,"AAAAAFGzPmo=")</f>
        <v>#VALUE!</v>
      </c>
      <c r="DD154" t="e">
        <f>AND('GA55 Entry'!#REF!,"AAAAAFGzPms=")</f>
        <v>#REF!</v>
      </c>
      <c r="DE154" t="e">
        <f>AND('GA55 Entry'!K541,"AAAAAFGzPmw=")</f>
        <v>#VALUE!</v>
      </c>
      <c r="DF154" t="e">
        <f>AND('GA55 Entry'!L541,"AAAAAFGzPm0=")</f>
        <v>#VALUE!</v>
      </c>
      <c r="DG154" t="e">
        <f>AND('GA55 Entry'!M541,"AAAAAFGzPm4=")</f>
        <v>#VALUE!</v>
      </c>
      <c r="DH154" t="e">
        <f>AND('GA55 Entry'!N541,"AAAAAFGzPm8=")</f>
        <v>#VALUE!</v>
      </c>
      <c r="DI154" t="e">
        <f>AND('GA55 Entry'!O541,"AAAAAFGzPnA=")</f>
        <v>#VALUE!</v>
      </c>
      <c r="DJ154" t="e">
        <f>AND('GA55 Entry'!P541,"AAAAAFGzPnE=")</f>
        <v>#VALUE!</v>
      </c>
      <c r="DK154" t="e">
        <f>AND('GA55 Entry'!Q541,"AAAAAFGzPnI=")</f>
        <v>#VALUE!</v>
      </c>
      <c r="DL154" t="e">
        <f>AND('GA55 Entry'!S541,"AAAAAFGzPnM=")</f>
        <v>#VALUE!</v>
      </c>
      <c r="DM154" t="e">
        <f>AND('GA55 Entry'!#REF!,"AAAAAFGzPnQ=")</f>
        <v>#REF!</v>
      </c>
      <c r="DN154" t="e">
        <f>AND('GA55 Entry'!T541,"AAAAAFGzPnU=")</f>
        <v>#VALUE!</v>
      </c>
      <c r="DO154" t="e">
        <f>AND('GA55 Entry'!U541,"AAAAAFGzPnY=")</f>
        <v>#VALUE!</v>
      </c>
      <c r="DP154" t="e">
        <f>AND('GA55 Entry'!V541,"AAAAAFGzPnc=")</f>
        <v>#VALUE!</v>
      </c>
      <c r="DQ154" t="e">
        <f>AND('GA55 Entry'!#REF!,"AAAAAFGzPng=")</f>
        <v>#REF!</v>
      </c>
      <c r="DR154" t="e">
        <f>AND('GA55 Entry'!#REF!,"AAAAAFGzPnk=")</f>
        <v>#REF!</v>
      </c>
      <c r="DS154" t="e">
        <f>AND('GA55 Entry'!X541,"AAAAAFGzPno=")</f>
        <v>#VALUE!</v>
      </c>
      <c r="DT154" t="e">
        <f>AND('GA55 Entry'!Y541,"AAAAAFGzPns=")</f>
        <v>#VALUE!</v>
      </c>
      <c r="DU154" t="e">
        <f>AND('GA55 Entry'!#REF!,"AAAAAFGzPnw=")</f>
        <v>#REF!</v>
      </c>
      <c r="DV154" t="e">
        <f>AND('GA55 Entry'!#REF!,"AAAAAFGzPn0=")</f>
        <v>#REF!</v>
      </c>
      <c r="DW154" t="e">
        <f>AND('GA55 Entry'!#REF!,"AAAAAFGzPn4=")</f>
        <v>#REF!</v>
      </c>
      <c r="DX154" t="e">
        <f>AND('GA55 Entry'!#REF!,"AAAAAFGzPn8=")</f>
        <v>#REF!</v>
      </c>
      <c r="DY154" t="e">
        <f>AND('GA55 Entry'!#REF!,"AAAAAFGzPoA=")</f>
        <v>#REF!</v>
      </c>
      <c r="DZ154" t="e">
        <f>AND('GA55 Entry'!#REF!,"AAAAAFGzPoE=")</f>
        <v>#REF!</v>
      </c>
      <c r="EA154" t="e">
        <f>AND('GA55 Entry'!#REF!,"AAAAAFGzPoI=")</f>
        <v>#REF!</v>
      </c>
      <c r="EB154" t="e">
        <f>AND('GA55 Entry'!#REF!,"AAAAAFGzPoM=")</f>
        <v>#REF!</v>
      </c>
      <c r="EC154" t="e">
        <f>AND('GA55 Entry'!#REF!,"AAAAAFGzPoQ=")</f>
        <v>#REF!</v>
      </c>
      <c r="ED154" t="e">
        <f>AND('GA55 Entry'!Z541,"AAAAAFGzPoU=")</f>
        <v>#VALUE!</v>
      </c>
      <c r="EE154" t="e">
        <f>AND('GA55 Entry'!AA541,"AAAAAFGzPoY=")</f>
        <v>#VALUE!</v>
      </c>
      <c r="EF154" t="e">
        <f>AND('GA55 Entry'!#REF!,"AAAAAFGzPoc=")</f>
        <v>#REF!</v>
      </c>
      <c r="EG154" t="e">
        <f>AND('GA55 Entry'!#REF!,"AAAAAFGzPog=")</f>
        <v>#REF!</v>
      </c>
      <c r="EH154" t="e">
        <f>AND('GA55 Entry'!#REF!,"AAAAAFGzPok=")</f>
        <v>#REF!</v>
      </c>
      <c r="EI154" t="e">
        <f>AND('GA55 Entry'!AB541,"AAAAAFGzPoo=")</f>
        <v>#VALUE!</v>
      </c>
      <c r="EJ154" t="e">
        <f>AND('GA55 Entry'!AC541,"AAAAAFGzPos=")</f>
        <v>#VALUE!</v>
      </c>
      <c r="EK154" t="e">
        <f>AND('GA55 Entry'!#REF!,"AAAAAFGzPow=")</f>
        <v>#REF!</v>
      </c>
      <c r="EL154">
        <f>IF('GA55 Entry'!542:542,"AAAAAFGzPo0=",0)</f>
        <v>0</v>
      </c>
      <c r="EM154" t="e">
        <f>AND('GA55 Entry'!B542,"AAAAAFGzPo4=")</f>
        <v>#VALUE!</v>
      </c>
      <c r="EN154" t="e">
        <f>AND('GA55 Entry'!#REF!,"AAAAAFGzPo8=")</f>
        <v>#REF!</v>
      </c>
      <c r="EO154" t="e">
        <f>AND('GA55 Entry'!C542,"AAAAAFGzPpA=")</f>
        <v>#VALUE!</v>
      </c>
      <c r="EP154" t="e">
        <f>AND('GA55 Entry'!#REF!,"AAAAAFGzPpE=")</f>
        <v>#REF!</v>
      </c>
      <c r="EQ154" t="e">
        <f>AND('GA55 Entry'!#REF!,"AAAAAFGzPpI=")</f>
        <v>#REF!</v>
      </c>
      <c r="ER154" t="e">
        <f>AND('GA55 Entry'!#REF!,"AAAAAFGzPpM=")</f>
        <v>#REF!</v>
      </c>
      <c r="ES154" t="e">
        <f>AND('GA55 Entry'!#REF!,"AAAAAFGzPpQ=")</f>
        <v>#REF!</v>
      </c>
      <c r="ET154" t="e">
        <f>AND('GA55 Entry'!#REF!,"AAAAAFGzPpU=")</f>
        <v>#REF!</v>
      </c>
      <c r="EU154" t="e">
        <f>AND('GA55 Entry'!D542,"AAAAAFGzPpY=")</f>
        <v>#VALUE!</v>
      </c>
      <c r="EV154" t="e">
        <f>AND('GA55 Entry'!#REF!,"AAAAAFGzPpc=")</f>
        <v>#REF!</v>
      </c>
      <c r="EW154" t="e">
        <f>AND('GA55 Entry'!E542,"AAAAAFGzPpg=")</f>
        <v>#VALUE!</v>
      </c>
      <c r="EX154" t="e">
        <f>AND('GA55 Entry'!F542,"AAAAAFGzPpk=")</f>
        <v>#VALUE!</v>
      </c>
      <c r="EY154" t="e">
        <f>AND('GA55 Entry'!G542,"AAAAAFGzPpo=")</f>
        <v>#VALUE!</v>
      </c>
      <c r="EZ154" t="e">
        <f>AND('GA55 Entry'!H542,"AAAAAFGzPps=")</f>
        <v>#VALUE!</v>
      </c>
      <c r="FA154" t="e">
        <f>AND('GA55 Entry'!I542,"AAAAAFGzPpw=")</f>
        <v>#VALUE!</v>
      </c>
      <c r="FB154" t="e">
        <f>AND('GA55 Entry'!J542,"AAAAAFGzPp0=")</f>
        <v>#VALUE!</v>
      </c>
      <c r="FC154" t="e">
        <f>AND('GA55 Entry'!#REF!,"AAAAAFGzPp4=")</f>
        <v>#REF!</v>
      </c>
      <c r="FD154" t="e">
        <f>AND('GA55 Entry'!K542,"AAAAAFGzPp8=")</f>
        <v>#VALUE!</v>
      </c>
      <c r="FE154" t="e">
        <f>AND('GA55 Entry'!L542,"AAAAAFGzPqA=")</f>
        <v>#VALUE!</v>
      </c>
      <c r="FF154" t="e">
        <f>AND('GA55 Entry'!M542,"AAAAAFGzPqE=")</f>
        <v>#VALUE!</v>
      </c>
      <c r="FG154" t="e">
        <f>AND('GA55 Entry'!N542,"AAAAAFGzPqI=")</f>
        <v>#VALUE!</v>
      </c>
      <c r="FH154" t="e">
        <f>AND('GA55 Entry'!O542,"AAAAAFGzPqM=")</f>
        <v>#VALUE!</v>
      </c>
      <c r="FI154" t="e">
        <f>AND('GA55 Entry'!P542,"AAAAAFGzPqQ=")</f>
        <v>#VALUE!</v>
      </c>
      <c r="FJ154" t="e">
        <f>AND('GA55 Entry'!Q542,"AAAAAFGzPqU=")</f>
        <v>#VALUE!</v>
      </c>
      <c r="FK154" t="e">
        <f>AND('GA55 Entry'!S542,"AAAAAFGzPqY=")</f>
        <v>#VALUE!</v>
      </c>
      <c r="FL154" t="e">
        <f>AND('GA55 Entry'!#REF!,"AAAAAFGzPqc=")</f>
        <v>#REF!</v>
      </c>
      <c r="FM154" t="e">
        <f>AND('GA55 Entry'!T542,"AAAAAFGzPqg=")</f>
        <v>#VALUE!</v>
      </c>
      <c r="FN154" t="e">
        <f>AND('GA55 Entry'!U542,"AAAAAFGzPqk=")</f>
        <v>#VALUE!</v>
      </c>
      <c r="FO154" t="e">
        <f>AND('GA55 Entry'!V542,"AAAAAFGzPqo=")</f>
        <v>#VALUE!</v>
      </c>
      <c r="FP154" t="e">
        <f>AND('GA55 Entry'!#REF!,"AAAAAFGzPqs=")</f>
        <v>#REF!</v>
      </c>
      <c r="FQ154" t="e">
        <f>AND('GA55 Entry'!#REF!,"AAAAAFGzPqw=")</f>
        <v>#REF!</v>
      </c>
      <c r="FR154" t="e">
        <f>AND('GA55 Entry'!X542,"AAAAAFGzPq0=")</f>
        <v>#VALUE!</v>
      </c>
      <c r="FS154" t="e">
        <f>AND('GA55 Entry'!Y542,"AAAAAFGzPq4=")</f>
        <v>#VALUE!</v>
      </c>
      <c r="FT154" t="e">
        <f>AND('GA55 Entry'!#REF!,"AAAAAFGzPq8=")</f>
        <v>#REF!</v>
      </c>
      <c r="FU154" t="e">
        <f>AND('GA55 Entry'!#REF!,"AAAAAFGzPrA=")</f>
        <v>#REF!</v>
      </c>
      <c r="FV154" t="e">
        <f>AND('GA55 Entry'!#REF!,"AAAAAFGzPrE=")</f>
        <v>#REF!</v>
      </c>
      <c r="FW154" t="e">
        <f>AND('GA55 Entry'!#REF!,"AAAAAFGzPrI=")</f>
        <v>#REF!</v>
      </c>
      <c r="FX154" t="e">
        <f>AND('GA55 Entry'!#REF!,"AAAAAFGzPrM=")</f>
        <v>#REF!</v>
      </c>
      <c r="FY154" t="e">
        <f>AND('GA55 Entry'!#REF!,"AAAAAFGzPrQ=")</f>
        <v>#REF!</v>
      </c>
      <c r="FZ154" t="e">
        <f>AND('GA55 Entry'!#REF!,"AAAAAFGzPrU=")</f>
        <v>#REF!</v>
      </c>
      <c r="GA154" t="e">
        <f>AND('GA55 Entry'!#REF!,"AAAAAFGzPrY=")</f>
        <v>#REF!</v>
      </c>
      <c r="GB154" t="e">
        <f>AND('GA55 Entry'!#REF!,"AAAAAFGzPrc=")</f>
        <v>#REF!</v>
      </c>
      <c r="GC154" t="e">
        <f>AND('GA55 Entry'!Z542,"AAAAAFGzPrg=")</f>
        <v>#VALUE!</v>
      </c>
      <c r="GD154" t="e">
        <f>AND('GA55 Entry'!AA542,"AAAAAFGzPrk=")</f>
        <v>#VALUE!</v>
      </c>
      <c r="GE154" t="e">
        <f>AND('GA55 Entry'!#REF!,"AAAAAFGzPro=")</f>
        <v>#REF!</v>
      </c>
      <c r="GF154" t="e">
        <f>AND('GA55 Entry'!#REF!,"AAAAAFGzPrs=")</f>
        <v>#REF!</v>
      </c>
      <c r="GG154" t="e">
        <f>AND('GA55 Entry'!#REF!,"AAAAAFGzPrw=")</f>
        <v>#REF!</v>
      </c>
      <c r="GH154" t="e">
        <f>AND('GA55 Entry'!AB542,"AAAAAFGzPr0=")</f>
        <v>#VALUE!</v>
      </c>
      <c r="GI154" t="e">
        <f>AND('GA55 Entry'!AC542,"AAAAAFGzPr4=")</f>
        <v>#VALUE!</v>
      </c>
      <c r="GJ154" t="e">
        <f>AND('GA55 Entry'!#REF!,"AAAAAFGzPr8=")</f>
        <v>#REF!</v>
      </c>
      <c r="GK154">
        <f>IF('GA55 Entry'!543:543,"AAAAAFGzPsA=",0)</f>
        <v>0</v>
      </c>
      <c r="GL154" t="e">
        <f>AND('GA55 Entry'!B543,"AAAAAFGzPsE=")</f>
        <v>#VALUE!</v>
      </c>
      <c r="GM154" t="e">
        <f>AND('GA55 Entry'!#REF!,"AAAAAFGzPsI=")</f>
        <v>#REF!</v>
      </c>
      <c r="GN154" t="e">
        <f>AND('GA55 Entry'!C543,"AAAAAFGzPsM=")</f>
        <v>#VALUE!</v>
      </c>
      <c r="GO154" t="e">
        <f>AND('GA55 Entry'!#REF!,"AAAAAFGzPsQ=")</f>
        <v>#REF!</v>
      </c>
      <c r="GP154" t="e">
        <f>AND('GA55 Entry'!#REF!,"AAAAAFGzPsU=")</f>
        <v>#REF!</v>
      </c>
      <c r="GQ154" t="e">
        <f>AND('GA55 Entry'!#REF!,"AAAAAFGzPsY=")</f>
        <v>#REF!</v>
      </c>
      <c r="GR154" t="e">
        <f>AND('GA55 Entry'!#REF!,"AAAAAFGzPsc=")</f>
        <v>#REF!</v>
      </c>
      <c r="GS154" t="e">
        <f>AND('GA55 Entry'!#REF!,"AAAAAFGzPsg=")</f>
        <v>#REF!</v>
      </c>
      <c r="GT154" t="e">
        <f>AND('GA55 Entry'!D543,"AAAAAFGzPsk=")</f>
        <v>#VALUE!</v>
      </c>
      <c r="GU154" t="e">
        <f>AND('GA55 Entry'!#REF!,"AAAAAFGzPso=")</f>
        <v>#REF!</v>
      </c>
      <c r="GV154" t="e">
        <f>AND('GA55 Entry'!E543,"AAAAAFGzPss=")</f>
        <v>#VALUE!</v>
      </c>
      <c r="GW154" t="e">
        <f>AND('GA55 Entry'!F543,"AAAAAFGzPsw=")</f>
        <v>#VALUE!</v>
      </c>
      <c r="GX154" t="e">
        <f>AND('GA55 Entry'!G543,"AAAAAFGzPs0=")</f>
        <v>#VALUE!</v>
      </c>
      <c r="GY154" t="e">
        <f>AND('GA55 Entry'!H543,"AAAAAFGzPs4=")</f>
        <v>#VALUE!</v>
      </c>
      <c r="GZ154" t="e">
        <f>AND('GA55 Entry'!I543,"AAAAAFGzPs8=")</f>
        <v>#VALUE!</v>
      </c>
      <c r="HA154" t="e">
        <f>AND('GA55 Entry'!J543,"AAAAAFGzPtA=")</f>
        <v>#VALUE!</v>
      </c>
      <c r="HB154" t="e">
        <f>AND('GA55 Entry'!#REF!,"AAAAAFGzPtE=")</f>
        <v>#REF!</v>
      </c>
      <c r="HC154" t="e">
        <f>AND('GA55 Entry'!K543,"AAAAAFGzPtI=")</f>
        <v>#VALUE!</v>
      </c>
      <c r="HD154" t="e">
        <f>AND('GA55 Entry'!L543,"AAAAAFGzPtM=")</f>
        <v>#VALUE!</v>
      </c>
      <c r="HE154" t="e">
        <f>AND('GA55 Entry'!M543,"AAAAAFGzPtQ=")</f>
        <v>#VALUE!</v>
      </c>
      <c r="HF154" t="e">
        <f>AND('GA55 Entry'!N543,"AAAAAFGzPtU=")</f>
        <v>#VALUE!</v>
      </c>
      <c r="HG154" t="e">
        <f>AND('GA55 Entry'!O543,"AAAAAFGzPtY=")</f>
        <v>#VALUE!</v>
      </c>
      <c r="HH154" t="e">
        <f>AND('GA55 Entry'!P543,"AAAAAFGzPtc=")</f>
        <v>#VALUE!</v>
      </c>
      <c r="HI154" t="e">
        <f>AND('GA55 Entry'!Q543,"AAAAAFGzPtg=")</f>
        <v>#VALUE!</v>
      </c>
      <c r="HJ154" t="e">
        <f>AND('GA55 Entry'!S543,"AAAAAFGzPtk=")</f>
        <v>#VALUE!</v>
      </c>
      <c r="HK154" t="e">
        <f>AND('GA55 Entry'!#REF!,"AAAAAFGzPto=")</f>
        <v>#REF!</v>
      </c>
      <c r="HL154" t="e">
        <f>AND('GA55 Entry'!T543,"AAAAAFGzPts=")</f>
        <v>#VALUE!</v>
      </c>
      <c r="HM154" t="e">
        <f>AND('GA55 Entry'!U543,"AAAAAFGzPtw=")</f>
        <v>#VALUE!</v>
      </c>
      <c r="HN154" t="e">
        <f>AND('GA55 Entry'!V543,"AAAAAFGzPt0=")</f>
        <v>#VALUE!</v>
      </c>
      <c r="HO154" t="e">
        <f>AND('GA55 Entry'!#REF!,"AAAAAFGzPt4=")</f>
        <v>#REF!</v>
      </c>
      <c r="HP154" t="e">
        <f>AND('GA55 Entry'!#REF!,"AAAAAFGzPt8=")</f>
        <v>#REF!</v>
      </c>
      <c r="HQ154" t="e">
        <f>AND('GA55 Entry'!X543,"AAAAAFGzPuA=")</f>
        <v>#VALUE!</v>
      </c>
      <c r="HR154" t="e">
        <f>AND('GA55 Entry'!Y543,"AAAAAFGzPuE=")</f>
        <v>#VALUE!</v>
      </c>
      <c r="HS154" t="e">
        <f>AND('GA55 Entry'!#REF!,"AAAAAFGzPuI=")</f>
        <v>#REF!</v>
      </c>
      <c r="HT154" t="e">
        <f>AND('GA55 Entry'!#REF!,"AAAAAFGzPuM=")</f>
        <v>#REF!</v>
      </c>
      <c r="HU154" t="e">
        <f>AND('GA55 Entry'!#REF!,"AAAAAFGzPuQ=")</f>
        <v>#REF!</v>
      </c>
      <c r="HV154" t="e">
        <f>AND('GA55 Entry'!#REF!,"AAAAAFGzPuU=")</f>
        <v>#REF!</v>
      </c>
      <c r="HW154" t="e">
        <f>AND('GA55 Entry'!#REF!,"AAAAAFGzPuY=")</f>
        <v>#REF!</v>
      </c>
      <c r="HX154" t="e">
        <f>AND('GA55 Entry'!#REF!,"AAAAAFGzPuc=")</f>
        <v>#REF!</v>
      </c>
      <c r="HY154" t="e">
        <f>AND('GA55 Entry'!#REF!,"AAAAAFGzPug=")</f>
        <v>#REF!</v>
      </c>
      <c r="HZ154" t="e">
        <f>AND('GA55 Entry'!#REF!,"AAAAAFGzPuk=")</f>
        <v>#REF!</v>
      </c>
      <c r="IA154" t="e">
        <f>AND('GA55 Entry'!#REF!,"AAAAAFGzPuo=")</f>
        <v>#REF!</v>
      </c>
      <c r="IB154" t="e">
        <f>AND('GA55 Entry'!Z543,"AAAAAFGzPus=")</f>
        <v>#VALUE!</v>
      </c>
      <c r="IC154" t="e">
        <f>AND('GA55 Entry'!AA543,"AAAAAFGzPuw=")</f>
        <v>#VALUE!</v>
      </c>
      <c r="ID154" t="e">
        <f>AND('GA55 Entry'!#REF!,"AAAAAFGzPu0=")</f>
        <v>#REF!</v>
      </c>
      <c r="IE154" t="e">
        <f>AND('GA55 Entry'!#REF!,"AAAAAFGzPu4=")</f>
        <v>#REF!</v>
      </c>
      <c r="IF154" t="e">
        <f>AND('GA55 Entry'!#REF!,"AAAAAFGzPu8=")</f>
        <v>#REF!</v>
      </c>
      <c r="IG154" t="e">
        <f>AND('GA55 Entry'!AB543,"AAAAAFGzPvA=")</f>
        <v>#VALUE!</v>
      </c>
      <c r="IH154" t="e">
        <f>AND('GA55 Entry'!AC543,"AAAAAFGzPvE=")</f>
        <v>#VALUE!</v>
      </c>
      <c r="II154" t="e">
        <f>AND('GA55 Entry'!#REF!,"AAAAAFGzPvI=")</f>
        <v>#REF!</v>
      </c>
      <c r="IJ154">
        <f>IF('GA55 Entry'!544:544,"AAAAAFGzPvM=",0)</f>
        <v>0</v>
      </c>
      <c r="IK154" t="e">
        <f>AND('GA55 Entry'!B544,"AAAAAFGzPvQ=")</f>
        <v>#VALUE!</v>
      </c>
      <c r="IL154" t="e">
        <f>AND('GA55 Entry'!#REF!,"AAAAAFGzPvU=")</f>
        <v>#REF!</v>
      </c>
      <c r="IM154" t="e">
        <f>AND('GA55 Entry'!C544,"AAAAAFGzPvY=")</f>
        <v>#VALUE!</v>
      </c>
      <c r="IN154" t="e">
        <f>AND('GA55 Entry'!#REF!,"AAAAAFGzPvc=")</f>
        <v>#REF!</v>
      </c>
      <c r="IO154" t="e">
        <f>AND('GA55 Entry'!#REF!,"AAAAAFGzPvg=")</f>
        <v>#REF!</v>
      </c>
      <c r="IP154" t="e">
        <f>AND('GA55 Entry'!#REF!,"AAAAAFGzPvk=")</f>
        <v>#REF!</v>
      </c>
      <c r="IQ154" t="e">
        <f>AND('GA55 Entry'!#REF!,"AAAAAFGzPvo=")</f>
        <v>#REF!</v>
      </c>
      <c r="IR154" t="e">
        <f>AND('GA55 Entry'!#REF!,"AAAAAFGzPvs=")</f>
        <v>#REF!</v>
      </c>
      <c r="IS154" t="e">
        <f>AND('GA55 Entry'!D544,"AAAAAFGzPvw=")</f>
        <v>#VALUE!</v>
      </c>
      <c r="IT154" t="e">
        <f>AND('GA55 Entry'!#REF!,"AAAAAFGzPv0=")</f>
        <v>#REF!</v>
      </c>
      <c r="IU154" t="e">
        <f>AND('GA55 Entry'!E544,"AAAAAFGzPv4=")</f>
        <v>#VALUE!</v>
      </c>
      <c r="IV154" t="e">
        <f>AND('GA55 Entry'!F544,"AAAAAFGzPv8=")</f>
        <v>#VALUE!</v>
      </c>
    </row>
    <row r="155" spans="1:256">
      <c r="A155" t="e">
        <f>AND('GA55 Entry'!G544,"AAAAAH/Z5wA=")</f>
        <v>#VALUE!</v>
      </c>
      <c r="B155" t="e">
        <f>AND('GA55 Entry'!H544,"AAAAAH/Z5wE=")</f>
        <v>#VALUE!</v>
      </c>
      <c r="C155" t="e">
        <f>AND('GA55 Entry'!I544,"AAAAAH/Z5wI=")</f>
        <v>#VALUE!</v>
      </c>
      <c r="D155" t="e">
        <f>AND('GA55 Entry'!J544,"AAAAAH/Z5wM=")</f>
        <v>#VALUE!</v>
      </c>
      <c r="E155" t="e">
        <f>AND('GA55 Entry'!#REF!,"AAAAAH/Z5wQ=")</f>
        <v>#REF!</v>
      </c>
      <c r="F155" t="e">
        <f>AND('GA55 Entry'!K544,"AAAAAH/Z5wU=")</f>
        <v>#VALUE!</v>
      </c>
      <c r="G155" t="e">
        <f>AND('GA55 Entry'!L544,"AAAAAH/Z5wY=")</f>
        <v>#VALUE!</v>
      </c>
      <c r="H155" t="e">
        <f>AND('GA55 Entry'!M544,"AAAAAH/Z5wc=")</f>
        <v>#VALUE!</v>
      </c>
      <c r="I155" t="e">
        <f>AND('GA55 Entry'!N544,"AAAAAH/Z5wg=")</f>
        <v>#VALUE!</v>
      </c>
      <c r="J155" t="e">
        <f>AND('GA55 Entry'!O544,"AAAAAH/Z5wk=")</f>
        <v>#VALUE!</v>
      </c>
      <c r="K155" t="e">
        <f>AND('GA55 Entry'!P544,"AAAAAH/Z5wo=")</f>
        <v>#VALUE!</v>
      </c>
      <c r="L155" t="e">
        <f>AND('GA55 Entry'!Q544,"AAAAAH/Z5ws=")</f>
        <v>#VALUE!</v>
      </c>
      <c r="M155" t="e">
        <f>AND('GA55 Entry'!S544,"AAAAAH/Z5ww=")</f>
        <v>#VALUE!</v>
      </c>
      <c r="N155" t="e">
        <f>AND('GA55 Entry'!#REF!,"AAAAAH/Z5w0=")</f>
        <v>#REF!</v>
      </c>
      <c r="O155" t="e">
        <f>AND('GA55 Entry'!T544,"AAAAAH/Z5w4=")</f>
        <v>#VALUE!</v>
      </c>
      <c r="P155" t="e">
        <f>AND('GA55 Entry'!U544,"AAAAAH/Z5w8=")</f>
        <v>#VALUE!</v>
      </c>
      <c r="Q155" t="e">
        <f>AND('GA55 Entry'!V544,"AAAAAH/Z5xA=")</f>
        <v>#VALUE!</v>
      </c>
      <c r="R155" t="e">
        <f>AND('GA55 Entry'!#REF!,"AAAAAH/Z5xE=")</f>
        <v>#REF!</v>
      </c>
      <c r="S155" t="e">
        <f>AND('GA55 Entry'!#REF!,"AAAAAH/Z5xI=")</f>
        <v>#REF!</v>
      </c>
      <c r="T155" t="e">
        <f>AND('GA55 Entry'!X544,"AAAAAH/Z5xM=")</f>
        <v>#VALUE!</v>
      </c>
      <c r="U155" t="e">
        <f>AND('GA55 Entry'!Y544,"AAAAAH/Z5xQ=")</f>
        <v>#VALUE!</v>
      </c>
      <c r="V155" t="e">
        <f>AND('GA55 Entry'!#REF!,"AAAAAH/Z5xU=")</f>
        <v>#REF!</v>
      </c>
      <c r="W155" t="e">
        <f>AND('GA55 Entry'!#REF!,"AAAAAH/Z5xY=")</f>
        <v>#REF!</v>
      </c>
      <c r="X155" t="e">
        <f>AND('GA55 Entry'!#REF!,"AAAAAH/Z5xc=")</f>
        <v>#REF!</v>
      </c>
      <c r="Y155" t="e">
        <f>AND('GA55 Entry'!#REF!,"AAAAAH/Z5xg=")</f>
        <v>#REF!</v>
      </c>
      <c r="Z155" t="e">
        <f>AND('GA55 Entry'!#REF!,"AAAAAH/Z5xk=")</f>
        <v>#REF!</v>
      </c>
      <c r="AA155" t="e">
        <f>AND('GA55 Entry'!#REF!,"AAAAAH/Z5xo=")</f>
        <v>#REF!</v>
      </c>
      <c r="AB155" t="e">
        <f>AND('GA55 Entry'!#REF!,"AAAAAH/Z5xs=")</f>
        <v>#REF!</v>
      </c>
      <c r="AC155" t="e">
        <f>AND('GA55 Entry'!#REF!,"AAAAAH/Z5xw=")</f>
        <v>#REF!</v>
      </c>
      <c r="AD155" t="e">
        <f>AND('GA55 Entry'!#REF!,"AAAAAH/Z5x0=")</f>
        <v>#REF!</v>
      </c>
      <c r="AE155" t="e">
        <f>AND('GA55 Entry'!Z544,"AAAAAH/Z5x4=")</f>
        <v>#VALUE!</v>
      </c>
      <c r="AF155" t="e">
        <f>AND('GA55 Entry'!AA544,"AAAAAH/Z5x8=")</f>
        <v>#VALUE!</v>
      </c>
      <c r="AG155" t="e">
        <f>AND('GA55 Entry'!#REF!,"AAAAAH/Z5yA=")</f>
        <v>#REF!</v>
      </c>
      <c r="AH155" t="e">
        <f>AND('GA55 Entry'!#REF!,"AAAAAH/Z5yE=")</f>
        <v>#REF!</v>
      </c>
      <c r="AI155" t="e">
        <f>AND('GA55 Entry'!#REF!,"AAAAAH/Z5yI=")</f>
        <v>#REF!</v>
      </c>
      <c r="AJ155" t="e">
        <f>AND('GA55 Entry'!AB544,"AAAAAH/Z5yM=")</f>
        <v>#VALUE!</v>
      </c>
      <c r="AK155" t="e">
        <f>AND('GA55 Entry'!AC544,"AAAAAH/Z5yQ=")</f>
        <v>#VALUE!</v>
      </c>
      <c r="AL155" t="e">
        <f>AND('GA55 Entry'!#REF!,"AAAAAH/Z5yU=")</f>
        <v>#REF!</v>
      </c>
      <c r="AM155">
        <f>IF('GA55 Entry'!545:545,"AAAAAH/Z5yY=",0)</f>
        <v>0</v>
      </c>
      <c r="AN155" t="e">
        <f>AND('GA55 Entry'!B545,"AAAAAH/Z5yc=")</f>
        <v>#VALUE!</v>
      </c>
      <c r="AO155" t="e">
        <f>AND('GA55 Entry'!#REF!,"AAAAAH/Z5yg=")</f>
        <v>#REF!</v>
      </c>
      <c r="AP155" t="e">
        <f>AND('GA55 Entry'!C545,"AAAAAH/Z5yk=")</f>
        <v>#VALUE!</v>
      </c>
      <c r="AQ155" t="e">
        <f>AND('GA55 Entry'!#REF!,"AAAAAH/Z5yo=")</f>
        <v>#REF!</v>
      </c>
      <c r="AR155" t="e">
        <f>AND('GA55 Entry'!#REF!,"AAAAAH/Z5ys=")</f>
        <v>#REF!</v>
      </c>
      <c r="AS155" t="e">
        <f>AND('GA55 Entry'!#REF!,"AAAAAH/Z5yw=")</f>
        <v>#REF!</v>
      </c>
      <c r="AT155" t="e">
        <f>AND('GA55 Entry'!#REF!,"AAAAAH/Z5y0=")</f>
        <v>#REF!</v>
      </c>
      <c r="AU155" t="e">
        <f>AND('GA55 Entry'!#REF!,"AAAAAH/Z5y4=")</f>
        <v>#REF!</v>
      </c>
      <c r="AV155" t="e">
        <f>AND('GA55 Entry'!D545,"AAAAAH/Z5y8=")</f>
        <v>#VALUE!</v>
      </c>
      <c r="AW155" t="e">
        <f>AND('GA55 Entry'!#REF!,"AAAAAH/Z5zA=")</f>
        <v>#REF!</v>
      </c>
      <c r="AX155" t="e">
        <f>AND('GA55 Entry'!E545,"AAAAAH/Z5zE=")</f>
        <v>#VALUE!</v>
      </c>
      <c r="AY155" t="e">
        <f>AND('GA55 Entry'!F545,"AAAAAH/Z5zI=")</f>
        <v>#VALUE!</v>
      </c>
      <c r="AZ155" t="e">
        <f>AND('GA55 Entry'!G545,"AAAAAH/Z5zM=")</f>
        <v>#VALUE!</v>
      </c>
      <c r="BA155" t="e">
        <f>AND('GA55 Entry'!H545,"AAAAAH/Z5zQ=")</f>
        <v>#VALUE!</v>
      </c>
      <c r="BB155" t="e">
        <f>AND('GA55 Entry'!I545,"AAAAAH/Z5zU=")</f>
        <v>#VALUE!</v>
      </c>
      <c r="BC155" t="e">
        <f>AND('GA55 Entry'!J545,"AAAAAH/Z5zY=")</f>
        <v>#VALUE!</v>
      </c>
      <c r="BD155" t="e">
        <f>AND('GA55 Entry'!#REF!,"AAAAAH/Z5zc=")</f>
        <v>#REF!</v>
      </c>
      <c r="BE155" t="e">
        <f>AND('GA55 Entry'!K545,"AAAAAH/Z5zg=")</f>
        <v>#VALUE!</v>
      </c>
      <c r="BF155" t="e">
        <f>AND('GA55 Entry'!L545,"AAAAAH/Z5zk=")</f>
        <v>#VALUE!</v>
      </c>
      <c r="BG155" t="e">
        <f>AND('GA55 Entry'!M545,"AAAAAH/Z5zo=")</f>
        <v>#VALUE!</v>
      </c>
      <c r="BH155" t="e">
        <f>AND('GA55 Entry'!N545,"AAAAAH/Z5zs=")</f>
        <v>#VALUE!</v>
      </c>
      <c r="BI155" t="e">
        <f>AND('GA55 Entry'!O545,"AAAAAH/Z5zw=")</f>
        <v>#VALUE!</v>
      </c>
      <c r="BJ155" t="e">
        <f>AND('GA55 Entry'!P545,"AAAAAH/Z5z0=")</f>
        <v>#VALUE!</v>
      </c>
      <c r="BK155" t="e">
        <f>AND('GA55 Entry'!Q545,"AAAAAH/Z5z4=")</f>
        <v>#VALUE!</v>
      </c>
      <c r="BL155" t="e">
        <f>AND('GA55 Entry'!S545,"AAAAAH/Z5z8=")</f>
        <v>#VALUE!</v>
      </c>
      <c r="BM155" t="e">
        <f>AND('GA55 Entry'!#REF!,"AAAAAH/Z50A=")</f>
        <v>#REF!</v>
      </c>
      <c r="BN155" t="e">
        <f>AND('GA55 Entry'!T545,"AAAAAH/Z50E=")</f>
        <v>#VALUE!</v>
      </c>
      <c r="BO155" t="e">
        <f>AND('GA55 Entry'!U545,"AAAAAH/Z50I=")</f>
        <v>#VALUE!</v>
      </c>
      <c r="BP155" t="e">
        <f>AND('GA55 Entry'!V545,"AAAAAH/Z50M=")</f>
        <v>#VALUE!</v>
      </c>
      <c r="BQ155" t="e">
        <f>AND('GA55 Entry'!#REF!,"AAAAAH/Z50Q=")</f>
        <v>#REF!</v>
      </c>
      <c r="BR155" t="e">
        <f>AND('GA55 Entry'!#REF!,"AAAAAH/Z50U=")</f>
        <v>#REF!</v>
      </c>
      <c r="BS155" t="e">
        <f>AND('GA55 Entry'!X545,"AAAAAH/Z50Y=")</f>
        <v>#VALUE!</v>
      </c>
      <c r="BT155" t="e">
        <f>AND('GA55 Entry'!Y545,"AAAAAH/Z50c=")</f>
        <v>#VALUE!</v>
      </c>
      <c r="BU155" t="e">
        <f>AND('GA55 Entry'!#REF!,"AAAAAH/Z50g=")</f>
        <v>#REF!</v>
      </c>
      <c r="BV155" t="e">
        <f>AND('GA55 Entry'!#REF!,"AAAAAH/Z50k=")</f>
        <v>#REF!</v>
      </c>
      <c r="BW155" t="e">
        <f>AND('GA55 Entry'!#REF!,"AAAAAH/Z50o=")</f>
        <v>#REF!</v>
      </c>
      <c r="BX155" t="e">
        <f>AND('GA55 Entry'!#REF!,"AAAAAH/Z50s=")</f>
        <v>#REF!</v>
      </c>
      <c r="BY155" t="e">
        <f>AND('GA55 Entry'!#REF!,"AAAAAH/Z50w=")</f>
        <v>#REF!</v>
      </c>
      <c r="BZ155" t="e">
        <f>AND('GA55 Entry'!#REF!,"AAAAAH/Z500=")</f>
        <v>#REF!</v>
      </c>
      <c r="CA155" t="e">
        <f>AND('GA55 Entry'!#REF!,"AAAAAH/Z504=")</f>
        <v>#REF!</v>
      </c>
      <c r="CB155" t="e">
        <f>AND('GA55 Entry'!#REF!,"AAAAAH/Z508=")</f>
        <v>#REF!</v>
      </c>
      <c r="CC155" t="e">
        <f>AND('GA55 Entry'!#REF!,"AAAAAH/Z51A=")</f>
        <v>#REF!</v>
      </c>
      <c r="CD155" t="e">
        <f>AND('GA55 Entry'!Z545,"AAAAAH/Z51E=")</f>
        <v>#VALUE!</v>
      </c>
      <c r="CE155" t="e">
        <f>AND('GA55 Entry'!AA545,"AAAAAH/Z51I=")</f>
        <v>#VALUE!</v>
      </c>
      <c r="CF155" t="e">
        <f>AND('GA55 Entry'!#REF!,"AAAAAH/Z51M=")</f>
        <v>#REF!</v>
      </c>
      <c r="CG155" t="e">
        <f>AND('GA55 Entry'!#REF!,"AAAAAH/Z51Q=")</f>
        <v>#REF!</v>
      </c>
      <c r="CH155" t="e">
        <f>AND('GA55 Entry'!#REF!,"AAAAAH/Z51U=")</f>
        <v>#REF!</v>
      </c>
      <c r="CI155" t="e">
        <f>AND('GA55 Entry'!AB545,"AAAAAH/Z51Y=")</f>
        <v>#VALUE!</v>
      </c>
      <c r="CJ155" t="e">
        <f>AND('GA55 Entry'!AC545,"AAAAAH/Z51c=")</f>
        <v>#VALUE!</v>
      </c>
      <c r="CK155" t="e">
        <f>AND('GA55 Entry'!#REF!,"AAAAAH/Z51g=")</f>
        <v>#REF!</v>
      </c>
      <c r="CL155">
        <f>IF('GA55 Entry'!546:546,"AAAAAH/Z51k=",0)</f>
        <v>0</v>
      </c>
      <c r="CM155" t="e">
        <f>AND('GA55 Entry'!B546,"AAAAAH/Z51o=")</f>
        <v>#VALUE!</v>
      </c>
      <c r="CN155" t="e">
        <f>AND('GA55 Entry'!#REF!,"AAAAAH/Z51s=")</f>
        <v>#REF!</v>
      </c>
      <c r="CO155" t="e">
        <f>AND('GA55 Entry'!C546,"AAAAAH/Z51w=")</f>
        <v>#VALUE!</v>
      </c>
      <c r="CP155" t="e">
        <f>AND('GA55 Entry'!#REF!,"AAAAAH/Z510=")</f>
        <v>#REF!</v>
      </c>
      <c r="CQ155" t="e">
        <f>AND('GA55 Entry'!#REF!,"AAAAAH/Z514=")</f>
        <v>#REF!</v>
      </c>
      <c r="CR155" t="e">
        <f>AND('GA55 Entry'!#REF!,"AAAAAH/Z518=")</f>
        <v>#REF!</v>
      </c>
      <c r="CS155" t="e">
        <f>AND('GA55 Entry'!#REF!,"AAAAAH/Z52A=")</f>
        <v>#REF!</v>
      </c>
      <c r="CT155" t="e">
        <f>AND('GA55 Entry'!#REF!,"AAAAAH/Z52E=")</f>
        <v>#REF!</v>
      </c>
      <c r="CU155" t="e">
        <f>AND('GA55 Entry'!D546,"AAAAAH/Z52I=")</f>
        <v>#VALUE!</v>
      </c>
      <c r="CV155" t="e">
        <f>AND('GA55 Entry'!#REF!,"AAAAAH/Z52M=")</f>
        <v>#REF!</v>
      </c>
      <c r="CW155" t="e">
        <f>AND('GA55 Entry'!E546,"AAAAAH/Z52Q=")</f>
        <v>#VALUE!</v>
      </c>
      <c r="CX155" t="e">
        <f>AND('GA55 Entry'!F546,"AAAAAH/Z52U=")</f>
        <v>#VALUE!</v>
      </c>
      <c r="CY155" t="e">
        <f>AND('GA55 Entry'!G546,"AAAAAH/Z52Y=")</f>
        <v>#VALUE!</v>
      </c>
      <c r="CZ155" t="e">
        <f>AND('GA55 Entry'!H546,"AAAAAH/Z52c=")</f>
        <v>#VALUE!</v>
      </c>
      <c r="DA155" t="e">
        <f>AND('GA55 Entry'!I546,"AAAAAH/Z52g=")</f>
        <v>#VALUE!</v>
      </c>
      <c r="DB155" t="e">
        <f>AND('GA55 Entry'!J546,"AAAAAH/Z52k=")</f>
        <v>#VALUE!</v>
      </c>
      <c r="DC155" t="e">
        <f>AND('GA55 Entry'!#REF!,"AAAAAH/Z52o=")</f>
        <v>#REF!</v>
      </c>
      <c r="DD155" t="e">
        <f>AND('GA55 Entry'!K546,"AAAAAH/Z52s=")</f>
        <v>#VALUE!</v>
      </c>
      <c r="DE155" t="e">
        <f>AND('GA55 Entry'!L546,"AAAAAH/Z52w=")</f>
        <v>#VALUE!</v>
      </c>
      <c r="DF155" t="e">
        <f>AND('GA55 Entry'!M546,"AAAAAH/Z520=")</f>
        <v>#VALUE!</v>
      </c>
      <c r="DG155" t="e">
        <f>AND('GA55 Entry'!N546,"AAAAAH/Z524=")</f>
        <v>#VALUE!</v>
      </c>
      <c r="DH155" t="e">
        <f>AND('GA55 Entry'!O546,"AAAAAH/Z528=")</f>
        <v>#VALUE!</v>
      </c>
      <c r="DI155" t="e">
        <f>AND('GA55 Entry'!P546,"AAAAAH/Z53A=")</f>
        <v>#VALUE!</v>
      </c>
      <c r="DJ155" t="e">
        <f>AND('GA55 Entry'!Q546,"AAAAAH/Z53E=")</f>
        <v>#VALUE!</v>
      </c>
      <c r="DK155" t="e">
        <f>AND('GA55 Entry'!S546,"AAAAAH/Z53I=")</f>
        <v>#VALUE!</v>
      </c>
      <c r="DL155" t="e">
        <f>AND('GA55 Entry'!#REF!,"AAAAAH/Z53M=")</f>
        <v>#REF!</v>
      </c>
      <c r="DM155" t="e">
        <f>AND('GA55 Entry'!T546,"AAAAAH/Z53Q=")</f>
        <v>#VALUE!</v>
      </c>
      <c r="DN155" t="e">
        <f>AND('GA55 Entry'!U546,"AAAAAH/Z53U=")</f>
        <v>#VALUE!</v>
      </c>
      <c r="DO155" t="e">
        <f>AND('GA55 Entry'!V546,"AAAAAH/Z53Y=")</f>
        <v>#VALUE!</v>
      </c>
      <c r="DP155" t="e">
        <f>AND('GA55 Entry'!#REF!,"AAAAAH/Z53c=")</f>
        <v>#REF!</v>
      </c>
      <c r="DQ155" t="e">
        <f>AND('GA55 Entry'!#REF!,"AAAAAH/Z53g=")</f>
        <v>#REF!</v>
      </c>
      <c r="DR155" t="e">
        <f>AND('GA55 Entry'!X546,"AAAAAH/Z53k=")</f>
        <v>#VALUE!</v>
      </c>
      <c r="DS155" t="e">
        <f>AND('GA55 Entry'!Y546,"AAAAAH/Z53o=")</f>
        <v>#VALUE!</v>
      </c>
      <c r="DT155" t="e">
        <f>AND('GA55 Entry'!#REF!,"AAAAAH/Z53s=")</f>
        <v>#REF!</v>
      </c>
      <c r="DU155" t="e">
        <f>AND('GA55 Entry'!#REF!,"AAAAAH/Z53w=")</f>
        <v>#REF!</v>
      </c>
      <c r="DV155" t="e">
        <f>AND('GA55 Entry'!#REF!,"AAAAAH/Z530=")</f>
        <v>#REF!</v>
      </c>
      <c r="DW155" t="e">
        <f>AND('GA55 Entry'!#REF!,"AAAAAH/Z534=")</f>
        <v>#REF!</v>
      </c>
      <c r="DX155" t="e">
        <f>AND('GA55 Entry'!#REF!,"AAAAAH/Z538=")</f>
        <v>#REF!</v>
      </c>
      <c r="DY155" t="e">
        <f>AND('GA55 Entry'!#REF!,"AAAAAH/Z54A=")</f>
        <v>#REF!</v>
      </c>
      <c r="DZ155" t="e">
        <f>AND('GA55 Entry'!#REF!,"AAAAAH/Z54E=")</f>
        <v>#REF!</v>
      </c>
      <c r="EA155" t="e">
        <f>AND('GA55 Entry'!#REF!,"AAAAAH/Z54I=")</f>
        <v>#REF!</v>
      </c>
      <c r="EB155" t="e">
        <f>AND('GA55 Entry'!#REF!,"AAAAAH/Z54M=")</f>
        <v>#REF!</v>
      </c>
      <c r="EC155" t="e">
        <f>AND('GA55 Entry'!Z546,"AAAAAH/Z54Q=")</f>
        <v>#VALUE!</v>
      </c>
      <c r="ED155" t="e">
        <f>AND('GA55 Entry'!AA546,"AAAAAH/Z54U=")</f>
        <v>#VALUE!</v>
      </c>
      <c r="EE155" t="e">
        <f>AND('GA55 Entry'!#REF!,"AAAAAH/Z54Y=")</f>
        <v>#REF!</v>
      </c>
      <c r="EF155" t="e">
        <f>AND('GA55 Entry'!#REF!,"AAAAAH/Z54c=")</f>
        <v>#REF!</v>
      </c>
      <c r="EG155" t="e">
        <f>AND('GA55 Entry'!#REF!,"AAAAAH/Z54g=")</f>
        <v>#REF!</v>
      </c>
      <c r="EH155" t="e">
        <f>AND('GA55 Entry'!AB546,"AAAAAH/Z54k=")</f>
        <v>#VALUE!</v>
      </c>
      <c r="EI155" t="e">
        <f>AND('GA55 Entry'!AC546,"AAAAAH/Z54o=")</f>
        <v>#VALUE!</v>
      </c>
      <c r="EJ155" t="e">
        <f>AND('GA55 Entry'!#REF!,"AAAAAH/Z54s=")</f>
        <v>#REF!</v>
      </c>
      <c r="EK155">
        <f>IF('GA55 Entry'!547:547,"AAAAAH/Z54w=",0)</f>
        <v>0</v>
      </c>
      <c r="EL155" t="e">
        <f>AND('GA55 Entry'!B547,"AAAAAH/Z540=")</f>
        <v>#VALUE!</v>
      </c>
      <c r="EM155" t="e">
        <f>AND('GA55 Entry'!#REF!,"AAAAAH/Z544=")</f>
        <v>#REF!</v>
      </c>
      <c r="EN155" t="e">
        <f>AND('GA55 Entry'!C547,"AAAAAH/Z548=")</f>
        <v>#VALUE!</v>
      </c>
      <c r="EO155" t="e">
        <f>AND('GA55 Entry'!#REF!,"AAAAAH/Z55A=")</f>
        <v>#REF!</v>
      </c>
      <c r="EP155" t="e">
        <f>AND('GA55 Entry'!#REF!,"AAAAAH/Z55E=")</f>
        <v>#REF!</v>
      </c>
      <c r="EQ155" t="e">
        <f>AND('GA55 Entry'!#REF!,"AAAAAH/Z55I=")</f>
        <v>#REF!</v>
      </c>
      <c r="ER155" t="e">
        <f>AND('GA55 Entry'!#REF!,"AAAAAH/Z55M=")</f>
        <v>#REF!</v>
      </c>
      <c r="ES155" t="e">
        <f>AND('GA55 Entry'!#REF!,"AAAAAH/Z55Q=")</f>
        <v>#REF!</v>
      </c>
      <c r="ET155" t="e">
        <f>AND('GA55 Entry'!D547,"AAAAAH/Z55U=")</f>
        <v>#VALUE!</v>
      </c>
      <c r="EU155" t="e">
        <f>AND('GA55 Entry'!#REF!,"AAAAAH/Z55Y=")</f>
        <v>#REF!</v>
      </c>
      <c r="EV155" t="e">
        <f>AND('GA55 Entry'!E547,"AAAAAH/Z55c=")</f>
        <v>#VALUE!</v>
      </c>
      <c r="EW155" t="e">
        <f>AND('GA55 Entry'!F547,"AAAAAH/Z55g=")</f>
        <v>#VALUE!</v>
      </c>
      <c r="EX155" t="e">
        <f>AND('GA55 Entry'!G547,"AAAAAH/Z55k=")</f>
        <v>#VALUE!</v>
      </c>
      <c r="EY155" t="e">
        <f>AND('GA55 Entry'!H547,"AAAAAH/Z55o=")</f>
        <v>#VALUE!</v>
      </c>
      <c r="EZ155" t="e">
        <f>AND('GA55 Entry'!I547,"AAAAAH/Z55s=")</f>
        <v>#VALUE!</v>
      </c>
      <c r="FA155" t="e">
        <f>AND('GA55 Entry'!J547,"AAAAAH/Z55w=")</f>
        <v>#VALUE!</v>
      </c>
      <c r="FB155" t="e">
        <f>AND('GA55 Entry'!#REF!,"AAAAAH/Z550=")</f>
        <v>#REF!</v>
      </c>
      <c r="FC155" t="e">
        <f>AND('GA55 Entry'!K547,"AAAAAH/Z554=")</f>
        <v>#VALUE!</v>
      </c>
      <c r="FD155" t="e">
        <f>AND('GA55 Entry'!L547,"AAAAAH/Z558=")</f>
        <v>#VALUE!</v>
      </c>
      <c r="FE155" t="e">
        <f>AND('GA55 Entry'!M547,"AAAAAH/Z56A=")</f>
        <v>#VALUE!</v>
      </c>
      <c r="FF155" t="e">
        <f>AND('GA55 Entry'!N547,"AAAAAH/Z56E=")</f>
        <v>#VALUE!</v>
      </c>
      <c r="FG155" t="e">
        <f>AND('GA55 Entry'!O547,"AAAAAH/Z56I=")</f>
        <v>#VALUE!</v>
      </c>
      <c r="FH155" t="e">
        <f>AND('GA55 Entry'!P547,"AAAAAH/Z56M=")</f>
        <v>#VALUE!</v>
      </c>
      <c r="FI155" t="e">
        <f>AND('GA55 Entry'!Q547,"AAAAAH/Z56Q=")</f>
        <v>#VALUE!</v>
      </c>
      <c r="FJ155" t="e">
        <f>AND('GA55 Entry'!S547,"AAAAAH/Z56U=")</f>
        <v>#VALUE!</v>
      </c>
      <c r="FK155" t="e">
        <f>AND('GA55 Entry'!#REF!,"AAAAAH/Z56Y=")</f>
        <v>#REF!</v>
      </c>
      <c r="FL155" t="e">
        <f>AND('GA55 Entry'!T547,"AAAAAH/Z56c=")</f>
        <v>#VALUE!</v>
      </c>
      <c r="FM155" t="e">
        <f>AND('GA55 Entry'!U547,"AAAAAH/Z56g=")</f>
        <v>#VALUE!</v>
      </c>
      <c r="FN155" t="e">
        <f>AND('GA55 Entry'!V547,"AAAAAH/Z56k=")</f>
        <v>#VALUE!</v>
      </c>
      <c r="FO155" t="e">
        <f>AND('GA55 Entry'!#REF!,"AAAAAH/Z56o=")</f>
        <v>#REF!</v>
      </c>
      <c r="FP155" t="e">
        <f>AND('GA55 Entry'!#REF!,"AAAAAH/Z56s=")</f>
        <v>#REF!</v>
      </c>
      <c r="FQ155" t="e">
        <f>AND('GA55 Entry'!X547,"AAAAAH/Z56w=")</f>
        <v>#VALUE!</v>
      </c>
      <c r="FR155" t="e">
        <f>AND('GA55 Entry'!Y547,"AAAAAH/Z560=")</f>
        <v>#VALUE!</v>
      </c>
      <c r="FS155" t="e">
        <f>AND('GA55 Entry'!#REF!,"AAAAAH/Z564=")</f>
        <v>#REF!</v>
      </c>
      <c r="FT155" t="e">
        <f>AND('GA55 Entry'!#REF!,"AAAAAH/Z568=")</f>
        <v>#REF!</v>
      </c>
      <c r="FU155" t="e">
        <f>AND('GA55 Entry'!#REF!,"AAAAAH/Z57A=")</f>
        <v>#REF!</v>
      </c>
      <c r="FV155" t="e">
        <f>AND('GA55 Entry'!#REF!,"AAAAAH/Z57E=")</f>
        <v>#REF!</v>
      </c>
      <c r="FW155" t="e">
        <f>AND('GA55 Entry'!#REF!,"AAAAAH/Z57I=")</f>
        <v>#REF!</v>
      </c>
      <c r="FX155" t="e">
        <f>AND('GA55 Entry'!#REF!,"AAAAAH/Z57M=")</f>
        <v>#REF!</v>
      </c>
      <c r="FY155" t="e">
        <f>AND('GA55 Entry'!#REF!,"AAAAAH/Z57Q=")</f>
        <v>#REF!</v>
      </c>
      <c r="FZ155" t="e">
        <f>AND('GA55 Entry'!#REF!,"AAAAAH/Z57U=")</f>
        <v>#REF!</v>
      </c>
      <c r="GA155" t="e">
        <f>AND('GA55 Entry'!#REF!,"AAAAAH/Z57Y=")</f>
        <v>#REF!</v>
      </c>
      <c r="GB155" t="e">
        <f>AND('GA55 Entry'!Z547,"AAAAAH/Z57c=")</f>
        <v>#VALUE!</v>
      </c>
      <c r="GC155" t="e">
        <f>AND('GA55 Entry'!AA547,"AAAAAH/Z57g=")</f>
        <v>#VALUE!</v>
      </c>
      <c r="GD155" t="e">
        <f>AND('GA55 Entry'!#REF!,"AAAAAH/Z57k=")</f>
        <v>#REF!</v>
      </c>
      <c r="GE155" t="e">
        <f>AND('GA55 Entry'!#REF!,"AAAAAH/Z57o=")</f>
        <v>#REF!</v>
      </c>
      <c r="GF155" t="e">
        <f>AND('GA55 Entry'!#REF!,"AAAAAH/Z57s=")</f>
        <v>#REF!</v>
      </c>
      <c r="GG155" t="e">
        <f>AND('GA55 Entry'!AB547,"AAAAAH/Z57w=")</f>
        <v>#VALUE!</v>
      </c>
      <c r="GH155" t="e">
        <f>AND('GA55 Entry'!AC547,"AAAAAH/Z570=")</f>
        <v>#VALUE!</v>
      </c>
      <c r="GI155" t="e">
        <f>AND('GA55 Entry'!#REF!,"AAAAAH/Z574=")</f>
        <v>#REF!</v>
      </c>
      <c r="GJ155">
        <f>IF('GA55 Entry'!548:548,"AAAAAH/Z578=",0)</f>
        <v>0</v>
      </c>
      <c r="GK155" t="e">
        <f>AND('GA55 Entry'!B548,"AAAAAH/Z58A=")</f>
        <v>#VALUE!</v>
      </c>
      <c r="GL155" t="e">
        <f>AND('GA55 Entry'!#REF!,"AAAAAH/Z58E=")</f>
        <v>#REF!</v>
      </c>
      <c r="GM155" t="e">
        <f>AND('GA55 Entry'!C548,"AAAAAH/Z58I=")</f>
        <v>#VALUE!</v>
      </c>
      <c r="GN155" t="e">
        <f>AND('GA55 Entry'!#REF!,"AAAAAH/Z58M=")</f>
        <v>#REF!</v>
      </c>
      <c r="GO155" t="e">
        <f>AND('GA55 Entry'!#REF!,"AAAAAH/Z58Q=")</f>
        <v>#REF!</v>
      </c>
      <c r="GP155" t="e">
        <f>AND('GA55 Entry'!#REF!,"AAAAAH/Z58U=")</f>
        <v>#REF!</v>
      </c>
      <c r="GQ155" t="e">
        <f>AND('GA55 Entry'!#REF!,"AAAAAH/Z58Y=")</f>
        <v>#REF!</v>
      </c>
      <c r="GR155" t="e">
        <f>AND('GA55 Entry'!#REF!,"AAAAAH/Z58c=")</f>
        <v>#REF!</v>
      </c>
      <c r="GS155" t="e">
        <f>AND('GA55 Entry'!D548,"AAAAAH/Z58g=")</f>
        <v>#VALUE!</v>
      </c>
      <c r="GT155" t="e">
        <f>AND('GA55 Entry'!#REF!,"AAAAAH/Z58k=")</f>
        <v>#REF!</v>
      </c>
      <c r="GU155" t="e">
        <f>AND('GA55 Entry'!E548,"AAAAAH/Z58o=")</f>
        <v>#VALUE!</v>
      </c>
      <c r="GV155" t="e">
        <f>AND('GA55 Entry'!F548,"AAAAAH/Z58s=")</f>
        <v>#VALUE!</v>
      </c>
      <c r="GW155" t="e">
        <f>AND('GA55 Entry'!G548,"AAAAAH/Z58w=")</f>
        <v>#VALUE!</v>
      </c>
      <c r="GX155" t="e">
        <f>AND('GA55 Entry'!H548,"AAAAAH/Z580=")</f>
        <v>#VALUE!</v>
      </c>
      <c r="GY155" t="e">
        <f>AND('GA55 Entry'!I548,"AAAAAH/Z584=")</f>
        <v>#VALUE!</v>
      </c>
      <c r="GZ155" t="e">
        <f>AND('GA55 Entry'!J548,"AAAAAH/Z588=")</f>
        <v>#VALUE!</v>
      </c>
      <c r="HA155" t="e">
        <f>AND('GA55 Entry'!#REF!,"AAAAAH/Z59A=")</f>
        <v>#REF!</v>
      </c>
      <c r="HB155" t="e">
        <f>AND('GA55 Entry'!K548,"AAAAAH/Z59E=")</f>
        <v>#VALUE!</v>
      </c>
      <c r="HC155" t="e">
        <f>AND('GA55 Entry'!L548,"AAAAAH/Z59I=")</f>
        <v>#VALUE!</v>
      </c>
      <c r="HD155" t="e">
        <f>AND('GA55 Entry'!M548,"AAAAAH/Z59M=")</f>
        <v>#VALUE!</v>
      </c>
      <c r="HE155" t="e">
        <f>AND('GA55 Entry'!N548,"AAAAAH/Z59Q=")</f>
        <v>#VALUE!</v>
      </c>
      <c r="HF155" t="e">
        <f>AND('GA55 Entry'!O548,"AAAAAH/Z59U=")</f>
        <v>#VALUE!</v>
      </c>
      <c r="HG155" t="e">
        <f>AND('GA55 Entry'!P548,"AAAAAH/Z59Y=")</f>
        <v>#VALUE!</v>
      </c>
      <c r="HH155" t="e">
        <f>AND('GA55 Entry'!Q548,"AAAAAH/Z59c=")</f>
        <v>#VALUE!</v>
      </c>
      <c r="HI155" t="e">
        <f>AND('GA55 Entry'!S548,"AAAAAH/Z59g=")</f>
        <v>#VALUE!</v>
      </c>
      <c r="HJ155" t="e">
        <f>AND('GA55 Entry'!#REF!,"AAAAAH/Z59k=")</f>
        <v>#REF!</v>
      </c>
      <c r="HK155" t="e">
        <f>AND('GA55 Entry'!T548,"AAAAAH/Z59o=")</f>
        <v>#VALUE!</v>
      </c>
      <c r="HL155" t="e">
        <f>AND('GA55 Entry'!U548,"AAAAAH/Z59s=")</f>
        <v>#VALUE!</v>
      </c>
      <c r="HM155" t="e">
        <f>AND('GA55 Entry'!V548,"AAAAAH/Z59w=")</f>
        <v>#VALUE!</v>
      </c>
      <c r="HN155" t="e">
        <f>AND('GA55 Entry'!#REF!,"AAAAAH/Z590=")</f>
        <v>#REF!</v>
      </c>
      <c r="HO155" t="e">
        <f>AND('GA55 Entry'!#REF!,"AAAAAH/Z594=")</f>
        <v>#REF!</v>
      </c>
      <c r="HP155" t="e">
        <f>AND('GA55 Entry'!X548,"AAAAAH/Z598=")</f>
        <v>#VALUE!</v>
      </c>
      <c r="HQ155" t="e">
        <f>AND('GA55 Entry'!Y548,"AAAAAH/Z5+A=")</f>
        <v>#VALUE!</v>
      </c>
      <c r="HR155" t="e">
        <f>AND('GA55 Entry'!#REF!,"AAAAAH/Z5+E=")</f>
        <v>#REF!</v>
      </c>
      <c r="HS155" t="e">
        <f>AND('GA55 Entry'!#REF!,"AAAAAH/Z5+I=")</f>
        <v>#REF!</v>
      </c>
      <c r="HT155" t="e">
        <f>AND('GA55 Entry'!#REF!,"AAAAAH/Z5+M=")</f>
        <v>#REF!</v>
      </c>
      <c r="HU155" t="e">
        <f>AND('GA55 Entry'!#REF!,"AAAAAH/Z5+Q=")</f>
        <v>#REF!</v>
      </c>
      <c r="HV155" t="e">
        <f>AND('GA55 Entry'!#REF!,"AAAAAH/Z5+U=")</f>
        <v>#REF!</v>
      </c>
      <c r="HW155" t="e">
        <f>AND('GA55 Entry'!#REF!,"AAAAAH/Z5+Y=")</f>
        <v>#REF!</v>
      </c>
      <c r="HX155" t="e">
        <f>AND('GA55 Entry'!#REF!,"AAAAAH/Z5+c=")</f>
        <v>#REF!</v>
      </c>
      <c r="HY155" t="e">
        <f>AND('GA55 Entry'!#REF!,"AAAAAH/Z5+g=")</f>
        <v>#REF!</v>
      </c>
      <c r="HZ155" t="e">
        <f>AND('GA55 Entry'!#REF!,"AAAAAH/Z5+k=")</f>
        <v>#REF!</v>
      </c>
      <c r="IA155" t="e">
        <f>AND('GA55 Entry'!Z548,"AAAAAH/Z5+o=")</f>
        <v>#VALUE!</v>
      </c>
      <c r="IB155" t="e">
        <f>AND('GA55 Entry'!AA548,"AAAAAH/Z5+s=")</f>
        <v>#VALUE!</v>
      </c>
      <c r="IC155" t="e">
        <f>AND('GA55 Entry'!#REF!,"AAAAAH/Z5+w=")</f>
        <v>#REF!</v>
      </c>
      <c r="ID155" t="e">
        <f>AND('GA55 Entry'!#REF!,"AAAAAH/Z5+0=")</f>
        <v>#REF!</v>
      </c>
      <c r="IE155" t="e">
        <f>AND('GA55 Entry'!#REF!,"AAAAAH/Z5+4=")</f>
        <v>#REF!</v>
      </c>
      <c r="IF155" t="e">
        <f>AND('GA55 Entry'!AB548,"AAAAAH/Z5+8=")</f>
        <v>#VALUE!</v>
      </c>
      <c r="IG155" t="e">
        <f>AND('GA55 Entry'!AC548,"AAAAAH/Z5/A=")</f>
        <v>#VALUE!</v>
      </c>
      <c r="IH155" t="e">
        <f>AND('GA55 Entry'!#REF!,"AAAAAH/Z5/E=")</f>
        <v>#REF!</v>
      </c>
      <c r="II155">
        <f>IF('GA55 Entry'!549:549,"AAAAAH/Z5/I=",0)</f>
        <v>0</v>
      </c>
      <c r="IJ155" t="e">
        <f>AND('GA55 Entry'!B549,"AAAAAH/Z5/M=")</f>
        <v>#VALUE!</v>
      </c>
      <c r="IK155" t="e">
        <f>AND('GA55 Entry'!#REF!,"AAAAAH/Z5/Q=")</f>
        <v>#REF!</v>
      </c>
      <c r="IL155" t="e">
        <f>AND('GA55 Entry'!C549,"AAAAAH/Z5/U=")</f>
        <v>#VALUE!</v>
      </c>
      <c r="IM155" t="e">
        <f>AND('GA55 Entry'!#REF!,"AAAAAH/Z5/Y=")</f>
        <v>#REF!</v>
      </c>
      <c r="IN155" t="e">
        <f>AND('GA55 Entry'!#REF!,"AAAAAH/Z5/c=")</f>
        <v>#REF!</v>
      </c>
      <c r="IO155" t="e">
        <f>AND('GA55 Entry'!#REF!,"AAAAAH/Z5/g=")</f>
        <v>#REF!</v>
      </c>
      <c r="IP155" t="e">
        <f>AND('GA55 Entry'!#REF!,"AAAAAH/Z5/k=")</f>
        <v>#REF!</v>
      </c>
      <c r="IQ155" t="e">
        <f>AND('GA55 Entry'!#REF!,"AAAAAH/Z5/o=")</f>
        <v>#REF!</v>
      </c>
      <c r="IR155" t="e">
        <f>AND('GA55 Entry'!D549,"AAAAAH/Z5/s=")</f>
        <v>#VALUE!</v>
      </c>
      <c r="IS155" t="e">
        <f>AND('GA55 Entry'!#REF!,"AAAAAH/Z5/w=")</f>
        <v>#REF!</v>
      </c>
      <c r="IT155" t="e">
        <f>AND('GA55 Entry'!E549,"AAAAAH/Z5/0=")</f>
        <v>#VALUE!</v>
      </c>
      <c r="IU155" t="e">
        <f>AND('GA55 Entry'!F549,"AAAAAH/Z5/4=")</f>
        <v>#VALUE!</v>
      </c>
      <c r="IV155" t="e">
        <f>AND('GA55 Entry'!G549,"AAAAAH/Z5/8=")</f>
        <v>#VALUE!</v>
      </c>
    </row>
    <row r="156" spans="1:256">
      <c r="A156" t="e">
        <f>AND('GA55 Entry'!H549,"AAAAAE3/4wA=")</f>
        <v>#VALUE!</v>
      </c>
      <c r="B156" t="e">
        <f>AND('GA55 Entry'!I549,"AAAAAE3/4wE=")</f>
        <v>#VALUE!</v>
      </c>
      <c r="C156" t="e">
        <f>AND('GA55 Entry'!J549,"AAAAAE3/4wI=")</f>
        <v>#VALUE!</v>
      </c>
      <c r="D156" t="e">
        <f>AND('GA55 Entry'!#REF!,"AAAAAE3/4wM=")</f>
        <v>#REF!</v>
      </c>
      <c r="E156" t="e">
        <f>AND('GA55 Entry'!K549,"AAAAAE3/4wQ=")</f>
        <v>#VALUE!</v>
      </c>
      <c r="F156" t="e">
        <f>AND('GA55 Entry'!L549,"AAAAAE3/4wU=")</f>
        <v>#VALUE!</v>
      </c>
      <c r="G156" t="e">
        <f>AND('GA55 Entry'!M549,"AAAAAE3/4wY=")</f>
        <v>#VALUE!</v>
      </c>
      <c r="H156" t="e">
        <f>AND('GA55 Entry'!N549,"AAAAAE3/4wc=")</f>
        <v>#VALUE!</v>
      </c>
      <c r="I156" t="e">
        <f>AND('GA55 Entry'!O549,"AAAAAE3/4wg=")</f>
        <v>#VALUE!</v>
      </c>
      <c r="J156" t="e">
        <f>AND('GA55 Entry'!P549,"AAAAAE3/4wk=")</f>
        <v>#VALUE!</v>
      </c>
      <c r="K156" t="e">
        <f>AND('GA55 Entry'!Q549,"AAAAAE3/4wo=")</f>
        <v>#VALUE!</v>
      </c>
      <c r="L156" t="e">
        <f>AND('GA55 Entry'!S549,"AAAAAE3/4ws=")</f>
        <v>#VALUE!</v>
      </c>
      <c r="M156" t="e">
        <f>AND('GA55 Entry'!#REF!,"AAAAAE3/4ww=")</f>
        <v>#REF!</v>
      </c>
      <c r="N156" t="e">
        <f>AND('GA55 Entry'!T549,"AAAAAE3/4w0=")</f>
        <v>#VALUE!</v>
      </c>
      <c r="O156" t="e">
        <f>AND('GA55 Entry'!U549,"AAAAAE3/4w4=")</f>
        <v>#VALUE!</v>
      </c>
      <c r="P156" t="e">
        <f>AND('GA55 Entry'!V549,"AAAAAE3/4w8=")</f>
        <v>#VALUE!</v>
      </c>
      <c r="Q156" t="e">
        <f>AND('GA55 Entry'!#REF!,"AAAAAE3/4xA=")</f>
        <v>#REF!</v>
      </c>
      <c r="R156" t="e">
        <f>AND('GA55 Entry'!#REF!,"AAAAAE3/4xE=")</f>
        <v>#REF!</v>
      </c>
      <c r="S156" t="e">
        <f>AND('GA55 Entry'!X549,"AAAAAE3/4xI=")</f>
        <v>#VALUE!</v>
      </c>
      <c r="T156" t="e">
        <f>AND('GA55 Entry'!Y549,"AAAAAE3/4xM=")</f>
        <v>#VALUE!</v>
      </c>
      <c r="U156" t="e">
        <f>AND('GA55 Entry'!#REF!,"AAAAAE3/4xQ=")</f>
        <v>#REF!</v>
      </c>
      <c r="V156" t="e">
        <f>AND('GA55 Entry'!#REF!,"AAAAAE3/4xU=")</f>
        <v>#REF!</v>
      </c>
      <c r="W156" t="e">
        <f>AND('GA55 Entry'!#REF!,"AAAAAE3/4xY=")</f>
        <v>#REF!</v>
      </c>
      <c r="X156" t="e">
        <f>AND('GA55 Entry'!#REF!,"AAAAAE3/4xc=")</f>
        <v>#REF!</v>
      </c>
      <c r="Y156" t="e">
        <f>AND('GA55 Entry'!#REF!,"AAAAAE3/4xg=")</f>
        <v>#REF!</v>
      </c>
      <c r="Z156" t="e">
        <f>AND('GA55 Entry'!#REF!,"AAAAAE3/4xk=")</f>
        <v>#REF!</v>
      </c>
      <c r="AA156" t="e">
        <f>AND('GA55 Entry'!#REF!,"AAAAAE3/4xo=")</f>
        <v>#REF!</v>
      </c>
      <c r="AB156" t="e">
        <f>AND('GA55 Entry'!#REF!,"AAAAAE3/4xs=")</f>
        <v>#REF!</v>
      </c>
      <c r="AC156" t="e">
        <f>AND('GA55 Entry'!#REF!,"AAAAAE3/4xw=")</f>
        <v>#REF!</v>
      </c>
      <c r="AD156" t="e">
        <f>AND('GA55 Entry'!Z549,"AAAAAE3/4x0=")</f>
        <v>#VALUE!</v>
      </c>
      <c r="AE156" t="e">
        <f>AND('GA55 Entry'!AA549,"AAAAAE3/4x4=")</f>
        <v>#VALUE!</v>
      </c>
      <c r="AF156" t="e">
        <f>AND('GA55 Entry'!#REF!,"AAAAAE3/4x8=")</f>
        <v>#REF!</v>
      </c>
      <c r="AG156" t="e">
        <f>AND('GA55 Entry'!#REF!,"AAAAAE3/4yA=")</f>
        <v>#REF!</v>
      </c>
      <c r="AH156" t="e">
        <f>AND('GA55 Entry'!#REF!,"AAAAAE3/4yE=")</f>
        <v>#REF!</v>
      </c>
      <c r="AI156" t="e">
        <f>AND('GA55 Entry'!AB549,"AAAAAE3/4yI=")</f>
        <v>#VALUE!</v>
      </c>
      <c r="AJ156" t="e">
        <f>AND('GA55 Entry'!AC549,"AAAAAE3/4yM=")</f>
        <v>#VALUE!</v>
      </c>
      <c r="AK156" t="e">
        <f>AND('GA55 Entry'!#REF!,"AAAAAE3/4yQ=")</f>
        <v>#REF!</v>
      </c>
      <c r="AL156">
        <f>IF('GA55 Entry'!550:550,"AAAAAE3/4yU=",0)</f>
        <v>0</v>
      </c>
      <c r="AM156" t="e">
        <f>AND('GA55 Entry'!B550,"AAAAAE3/4yY=")</f>
        <v>#VALUE!</v>
      </c>
      <c r="AN156" t="e">
        <f>AND('GA55 Entry'!#REF!,"AAAAAE3/4yc=")</f>
        <v>#REF!</v>
      </c>
      <c r="AO156" t="e">
        <f>AND('GA55 Entry'!C550,"AAAAAE3/4yg=")</f>
        <v>#VALUE!</v>
      </c>
      <c r="AP156" t="e">
        <f>AND('GA55 Entry'!#REF!,"AAAAAE3/4yk=")</f>
        <v>#REF!</v>
      </c>
      <c r="AQ156" t="e">
        <f>AND('GA55 Entry'!#REF!,"AAAAAE3/4yo=")</f>
        <v>#REF!</v>
      </c>
      <c r="AR156" t="e">
        <f>AND('GA55 Entry'!#REF!,"AAAAAE3/4ys=")</f>
        <v>#REF!</v>
      </c>
      <c r="AS156" t="e">
        <f>AND('GA55 Entry'!#REF!,"AAAAAE3/4yw=")</f>
        <v>#REF!</v>
      </c>
      <c r="AT156" t="e">
        <f>AND('GA55 Entry'!#REF!,"AAAAAE3/4y0=")</f>
        <v>#REF!</v>
      </c>
      <c r="AU156" t="e">
        <f>AND('GA55 Entry'!D550,"AAAAAE3/4y4=")</f>
        <v>#VALUE!</v>
      </c>
      <c r="AV156" t="e">
        <f>AND('GA55 Entry'!#REF!,"AAAAAE3/4y8=")</f>
        <v>#REF!</v>
      </c>
      <c r="AW156" t="e">
        <f>AND('GA55 Entry'!E550,"AAAAAE3/4zA=")</f>
        <v>#VALUE!</v>
      </c>
      <c r="AX156" t="e">
        <f>AND('GA55 Entry'!F550,"AAAAAE3/4zE=")</f>
        <v>#VALUE!</v>
      </c>
      <c r="AY156" t="e">
        <f>AND('GA55 Entry'!G550,"AAAAAE3/4zI=")</f>
        <v>#VALUE!</v>
      </c>
      <c r="AZ156" t="e">
        <f>AND('GA55 Entry'!H550,"AAAAAE3/4zM=")</f>
        <v>#VALUE!</v>
      </c>
      <c r="BA156" t="e">
        <f>AND('GA55 Entry'!I550,"AAAAAE3/4zQ=")</f>
        <v>#VALUE!</v>
      </c>
      <c r="BB156" t="e">
        <f>AND('GA55 Entry'!J550,"AAAAAE3/4zU=")</f>
        <v>#VALUE!</v>
      </c>
      <c r="BC156" t="e">
        <f>AND('GA55 Entry'!#REF!,"AAAAAE3/4zY=")</f>
        <v>#REF!</v>
      </c>
      <c r="BD156" t="e">
        <f>AND('GA55 Entry'!K550,"AAAAAE3/4zc=")</f>
        <v>#VALUE!</v>
      </c>
      <c r="BE156" t="e">
        <f>AND('GA55 Entry'!L550,"AAAAAE3/4zg=")</f>
        <v>#VALUE!</v>
      </c>
      <c r="BF156" t="e">
        <f>AND('GA55 Entry'!M550,"AAAAAE3/4zk=")</f>
        <v>#VALUE!</v>
      </c>
      <c r="BG156" t="e">
        <f>AND('GA55 Entry'!N550,"AAAAAE3/4zo=")</f>
        <v>#VALUE!</v>
      </c>
      <c r="BH156" t="e">
        <f>AND('GA55 Entry'!O550,"AAAAAE3/4zs=")</f>
        <v>#VALUE!</v>
      </c>
      <c r="BI156" t="e">
        <f>AND('GA55 Entry'!P550,"AAAAAE3/4zw=")</f>
        <v>#VALUE!</v>
      </c>
      <c r="BJ156" t="e">
        <f>AND('GA55 Entry'!Q550,"AAAAAE3/4z0=")</f>
        <v>#VALUE!</v>
      </c>
      <c r="BK156" t="e">
        <f>AND('GA55 Entry'!S550,"AAAAAE3/4z4=")</f>
        <v>#VALUE!</v>
      </c>
      <c r="BL156" t="e">
        <f>AND('GA55 Entry'!#REF!,"AAAAAE3/4z8=")</f>
        <v>#REF!</v>
      </c>
      <c r="BM156" t="e">
        <f>AND('GA55 Entry'!T550,"AAAAAE3/40A=")</f>
        <v>#VALUE!</v>
      </c>
      <c r="BN156" t="e">
        <f>AND('GA55 Entry'!U550,"AAAAAE3/40E=")</f>
        <v>#VALUE!</v>
      </c>
      <c r="BO156" t="e">
        <f>AND('GA55 Entry'!V550,"AAAAAE3/40I=")</f>
        <v>#VALUE!</v>
      </c>
      <c r="BP156" t="e">
        <f>AND('GA55 Entry'!#REF!,"AAAAAE3/40M=")</f>
        <v>#REF!</v>
      </c>
      <c r="BQ156" t="e">
        <f>AND('GA55 Entry'!#REF!,"AAAAAE3/40Q=")</f>
        <v>#REF!</v>
      </c>
      <c r="BR156" t="e">
        <f>AND('GA55 Entry'!X550,"AAAAAE3/40U=")</f>
        <v>#VALUE!</v>
      </c>
      <c r="BS156" t="e">
        <f>AND('GA55 Entry'!Y550,"AAAAAE3/40Y=")</f>
        <v>#VALUE!</v>
      </c>
      <c r="BT156" t="e">
        <f>AND('GA55 Entry'!#REF!,"AAAAAE3/40c=")</f>
        <v>#REF!</v>
      </c>
      <c r="BU156" t="e">
        <f>AND('GA55 Entry'!#REF!,"AAAAAE3/40g=")</f>
        <v>#REF!</v>
      </c>
      <c r="BV156" t="e">
        <f>AND('GA55 Entry'!#REF!,"AAAAAE3/40k=")</f>
        <v>#REF!</v>
      </c>
      <c r="BW156" t="e">
        <f>AND('GA55 Entry'!#REF!,"AAAAAE3/40o=")</f>
        <v>#REF!</v>
      </c>
      <c r="BX156" t="e">
        <f>AND('GA55 Entry'!#REF!,"AAAAAE3/40s=")</f>
        <v>#REF!</v>
      </c>
      <c r="BY156" t="e">
        <f>AND('GA55 Entry'!#REF!,"AAAAAE3/40w=")</f>
        <v>#REF!</v>
      </c>
      <c r="BZ156" t="e">
        <f>AND('GA55 Entry'!#REF!,"AAAAAE3/400=")</f>
        <v>#REF!</v>
      </c>
      <c r="CA156" t="e">
        <f>AND('GA55 Entry'!#REF!,"AAAAAE3/404=")</f>
        <v>#REF!</v>
      </c>
      <c r="CB156" t="e">
        <f>AND('GA55 Entry'!#REF!,"AAAAAE3/408=")</f>
        <v>#REF!</v>
      </c>
      <c r="CC156" t="e">
        <f>AND('GA55 Entry'!Z550,"AAAAAE3/41A=")</f>
        <v>#VALUE!</v>
      </c>
      <c r="CD156" t="e">
        <f>AND('GA55 Entry'!AA550,"AAAAAE3/41E=")</f>
        <v>#VALUE!</v>
      </c>
      <c r="CE156" t="e">
        <f>AND('GA55 Entry'!#REF!,"AAAAAE3/41I=")</f>
        <v>#REF!</v>
      </c>
      <c r="CF156" t="e">
        <f>AND('GA55 Entry'!#REF!,"AAAAAE3/41M=")</f>
        <v>#REF!</v>
      </c>
      <c r="CG156" t="e">
        <f>AND('GA55 Entry'!#REF!,"AAAAAE3/41Q=")</f>
        <v>#REF!</v>
      </c>
      <c r="CH156" t="e">
        <f>AND('GA55 Entry'!AB550,"AAAAAE3/41U=")</f>
        <v>#VALUE!</v>
      </c>
      <c r="CI156" t="e">
        <f>AND('GA55 Entry'!AC550,"AAAAAE3/41Y=")</f>
        <v>#VALUE!</v>
      </c>
      <c r="CJ156" t="e">
        <f>AND('GA55 Entry'!#REF!,"AAAAAE3/41c=")</f>
        <v>#REF!</v>
      </c>
      <c r="CK156">
        <f>IF('GA55 Entry'!551:551,"AAAAAE3/41g=",0)</f>
        <v>0</v>
      </c>
      <c r="CL156" t="e">
        <f>AND('GA55 Entry'!B551,"AAAAAE3/41k=")</f>
        <v>#VALUE!</v>
      </c>
      <c r="CM156" t="e">
        <f>AND('GA55 Entry'!#REF!,"AAAAAE3/41o=")</f>
        <v>#REF!</v>
      </c>
      <c r="CN156" t="e">
        <f>AND('GA55 Entry'!C551,"AAAAAE3/41s=")</f>
        <v>#VALUE!</v>
      </c>
      <c r="CO156" t="e">
        <f>AND('GA55 Entry'!#REF!,"AAAAAE3/41w=")</f>
        <v>#REF!</v>
      </c>
      <c r="CP156" t="e">
        <f>AND('GA55 Entry'!#REF!,"AAAAAE3/410=")</f>
        <v>#REF!</v>
      </c>
      <c r="CQ156" t="e">
        <f>AND('GA55 Entry'!#REF!,"AAAAAE3/414=")</f>
        <v>#REF!</v>
      </c>
      <c r="CR156" t="e">
        <f>AND('GA55 Entry'!#REF!,"AAAAAE3/418=")</f>
        <v>#REF!</v>
      </c>
      <c r="CS156" t="e">
        <f>AND('GA55 Entry'!#REF!,"AAAAAE3/42A=")</f>
        <v>#REF!</v>
      </c>
      <c r="CT156" t="e">
        <f>AND('GA55 Entry'!D551,"AAAAAE3/42E=")</f>
        <v>#VALUE!</v>
      </c>
      <c r="CU156" t="e">
        <f>AND('GA55 Entry'!#REF!,"AAAAAE3/42I=")</f>
        <v>#REF!</v>
      </c>
      <c r="CV156" t="e">
        <f>AND('GA55 Entry'!E551,"AAAAAE3/42M=")</f>
        <v>#VALUE!</v>
      </c>
      <c r="CW156" t="e">
        <f>AND('GA55 Entry'!F551,"AAAAAE3/42Q=")</f>
        <v>#VALUE!</v>
      </c>
      <c r="CX156" t="e">
        <f>AND('GA55 Entry'!G551,"AAAAAE3/42U=")</f>
        <v>#VALUE!</v>
      </c>
      <c r="CY156" t="e">
        <f>AND('GA55 Entry'!H551,"AAAAAE3/42Y=")</f>
        <v>#VALUE!</v>
      </c>
      <c r="CZ156" t="e">
        <f>AND('GA55 Entry'!I551,"AAAAAE3/42c=")</f>
        <v>#VALUE!</v>
      </c>
      <c r="DA156" t="e">
        <f>AND('GA55 Entry'!J551,"AAAAAE3/42g=")</f>
        <v>#VALUE!</v>
      </c>
      <c r="DB156" t="e">
        <f>AND('GA55 Entry'!#REF!,"AAAAAE3/42k=")</f>
        <v>#REF!</v>
      </c>
      <c r="DC156" t="e">
        <f>AND('GA55 Entry'!K551,"AAAAAE3/42o=")</f>
        <v>#VALUE!</v>
      </c>
      <c r="DD156" t="e">
        <f>AND('GA55 Entry'!L551,"AAAAAE3/42s=")</f>
        <v>#VALUE!</v>
      </c>
      <c r="DE156" t="e">
        <f>AND('GA55 Entry'!M551,"AAAAAE3/42w=")</f>
        <v>#VALUE!</v>
      </c>
      <c r="DF156" t="e">
        <f>AND('GA55 Entry'!N551,"AAAAAE3/420=")</f>
        <v>#VALUE!</v>
      </c>
      <c r="DG156" t="e">
        <f>AND('GA55 Entry'!O551,"AAAAAE3/424=")</f>
        <v>#VALUE!</v>
      </c>
      <c r="DH156" t="e">
        <f>AND('GA55 Entry'!P551,"AAAAAE3/428=")</f>
        <v>#VALUE!</v>
      </c>
      <c r="DI156" t="e">
        <f>AND('GA55 Entry'!Q551,"AAAAAE3/43A=")</f>
        <v>#VALUE!</v>
      </c>
      <c r="DJ156" t="e">
        <f>AND('GA55 Entry'!S551,"AAAAAE3/43E=")</f>
        <v>#VALUE!</v>
      </c>
      <c r="DK156" t="e">
        <f>AND('GA55 Entry'!#REF!,"AAAAAE3/43I=")</f>
        <v>#REF!</v>
      </c>
      <c r="DL156" t="e">
        <f>AND('GA55 Entry'!T551,"AAAAAE3/43M=")</f>
        <v>#VALUE!</v>
      </c>
      <c r="DM156" t="e">
        <f>AND('GA55 Entry'!U551,"AAAAAE3/43Q=")</f>
        <v>#VALUE!</v>
      </c>
      <c r="DN156" t="e">
        <f>AND('GA55 Entry'!V551,"AAAAAE3/43U=")</f>
        <v>#VALUE!</v>
      </c>
      <c r="DO156" t="e">
        <f>AND('GA55 Entry'!#REF!,"AAAAAE3/43Y=")</f>
        <v>#REF!</v>
      </c>
      <c r="DP156" t="e">
        <f>AND('GA55 Entry'!#REF!,"AAAAAE3/43c=")</f>
        <v>#REF!</v>
      </c>
      <c r="DQ156" t="e">
        <f>AND('GA55 Entry'!X551,"AAAAAE3/43g=")</f>
        <v>#VALUE!</v>
      </c>
      <c r="DR156" t="e">
        <f>AND('GA55 Entry'!Y551,"AAAAAE3/43k=")</f>
        <v>#VALUE!</v>
      </c>
      <c r="DS156" t="e">
        <f>AND('GA55 Entry'!#REF!,"AAAAAE3/43o=")</f>
        <v>#REF!</v>
      </c>
      <c r="DT156" t="e">
        <f>AND('GA55 Entry'!#REF!,"AAAAAE3/43s=")</f>
        <v>#REF!</v>
      </c>
      <c r="DU156" t="e">
        <f>AND('GA55 Entry'!#REF!,"AAAAAE3/43w=")</f>
        <v>#REF!</v>
      </c>
      <c r="DV156" t="e">
        <f>AND('GA55 Entry'!#REF!,"AAAAAE3/430=")</f>
        <v>#REF!</v>
      </c>
      <c r="DW156" t="e">
        <f>AND('GA55 Entry'!#REF!,"AAAAAE3/434=")</f>
        <v>#REF!</v>
      </c>
      <c r="DX156" t="e">
        <f>AND('GA55 Entry'!#REF!,"AAAAAE3/438=")</f>
        <v>#REF!</v>
      </c>
      <c r="DY156" t="e">
        <f>AND('GA55 Entry'!#REF!,"AAAAAE3/44A=")</f>
        <v>#REF!</v>
      </c>
      <c r="DZ156" t="e">
        <f>AND('GA55 Entry'!#REF!,"AAAAAE3/44E=")</f>
        <v>#REF!</v>
      </c>
      <c r="EA156" t="e">
        <f>AND('GA55 Entry'!#REF!,"AAAAAE3/44I=")</f>
        <v>#REF!</v>
      </c>
      <c r="EB156" t="e">
        <f>AND('GA55 Entry'!Z551,"AAAAAE3/44M=")</f>
        <v>#VALUE!</v>
      </c>
      <c r="EC156" t="e">
        <f>AND('GA55 Entry'!AA551,"AAAAAE3/44Q=")</f>
        <v>#VALUE!</v>
      </c>
      <c r="ED156" t="e">
        <f>AND('GA55 Entry'!#REF!,"AAAAAE3/44U=")</f>
        <v>#REF!</v>
      </c>
      <c r="EE156" t="e">
        <f>AND('GA55 Entry'!#REF!,"AAAAAE3/44Y=")</f>
        <v>#REF!</v>
      </c>
      <c r="EF156" t="e">
        <f>AND('GA55 Entry'!#REF!,"AAAAAE3/44c=")</f>
        <v>#REF!</v>
      </c>
      <c r="EG156" t="e">
        <f>AND('GA55 Entry'!AB551,"AAAAAE3/44g=")</f>
        <v>#VALUE!</v>
      </c>
      <c r="EH156" t="e">
        <f>AND('GA55 Entry'!AC551,"AAAAAE3/44k=")</f>
        <v>#VALUE!</v>
      </c>
      <c r="EI156" t="e">
        <f>AND('GA55 Entry'!#REF!,"AAAAAE3/44o=")</f>
        <v>#REF!</v>
      </c>
      <c r="EJ156">
        <f>IF('GA55 Entry'!552:552,"AAAAAE3/44s=",0)</f>
        <v>0</v>
      </c>
      <c r="EK156" t="e">
        <f>AND('GA55 Entry'!B552,"AAAAAE3/44w=")</f>
        <v>#VALUE!</v>
      </c>
      <c r="EL156" t="e">
        <f>AND('GA55 Entry'!#REF!,"AAAAAE3/440=")</f>
        <v>#REF!</v>
      </c>
      <c r="EM156" t="e">
        <f>AND('GA55 Entry'!C552,"AAAAAE3/444=")</f>
        <v>#VALUE!</v>
      </c>
      <c r="EN156" t="e">
        <f>AND('GA55 Entry'!#REF!,"AAAAAE3/448=")</f>
        <v>#REF!</v>
      </c>
      <c r="EO156" t="e">
        <f>AND('GA55 Entry'!#REF!,"AAAAAE3/45A=")</f>
        <v>#REF!</v>
      </c>
      <c r="EP156" t="e">
        <f>AND('GA55 Entry'!#REF!,"AAAAAE3/45E=")</f>
        <v>#REF!</v>
      </c>
      <c r="EQ156" t="e">
        <f>AND('GA55 Entry'!#REF!,"AAAAAE3/45I=")</f>
        <v>#REF!</v>
      </c>
      <c r="ER156" t="e">
        <f>AND('GA55 Entry'!#REF!,"AAAAAE3/45M=")</f>
        <v>#REF!</v>
      </c>
      <c r="ES156" t="e">
        <f>AND('GA55 Entry'!D552,"AAAAAE3/45Q=")</f>
        <v>#VALUE!</v>
      </c>
      <c r="ET156" t="e">
        <f>AND('GA55 Entry'!#REF!,"AAAAAE3/45U=")</f>
        <v>#REF!</v>
      </c>
      <c r="EU156" t="e">
        <f>AND('GA55 Entry'!E552,"AAAAAE3/45Y=")</f>
        <v>#VALUE!</v>
      </c>
      <c r="EV156" t="e">
        <f>AND('GA55 Entry'!F552,"AAAAAE3/45c=")</f>
        <v>#VALUE!</v>
      </c>
      <c r="EW156" t="e">
        <f>AND('GA55 Entry'!G552,"AAAAAE3/45g=")</f>
        <v>#VALUE!</v>
      </c>
      <c r="EX156" t="e">
        <f>AND('GA55 Entry'!H552,"AAAAAE3/45k=")</f>
        <v>#VALUE!</v>
      </c>
      <c r="EY156" t="e">
        <f>AND('GA55 Entry'!I552,"AAAAAE3/45o=")</f>
        <v>#VALUE!</v>
      </c>
      <c r="EZ156" t="e">
        <f>AND('GA55 Entry'!J552,"AAAAAE3/45s=")</f>
        <v>#VALUE!</v>
      </c>
      <c r="FA156" t="e">
        <f>AND('GA55 Entry'!#REF!,"AAAAAE3/45w=")</f>
        <v>#REF!</v>
      </c>
      <c r="FB156" t="e">
        <f>AND('GA55 Entry'!K552,"AAAAAE3/450=")</f>
        <v>#VALUE!</v>
      </c>
      <c r="FC156" t="e">
        <f>AND('GA55 Entry'!L552,"AAAAAE3/454=")</f>
        <v>#VALUE!</v>
      </c>
      <c r="FD156" t="e">
        <f>AND('GA55 Entry'!M552,"AAAAAE3/458=")</f>
        <v>#VALUE!</v>
      </c>
      <c r="FE156" t="e">
        <f>AND('GA55 Entry'!N552,"AAAAAE3/46A=")</f>
        <v>#VALUE!</v>
      </c>
      <c r="FF156" t="e">
        <f>AND('GA55 Entry'!O552,"AAAAAE3/46E=")</f>
        <v>#VALUE!</v>
      </c>
      <c r="FG156" t="e">
        <f>AND('GA55 Entry'!P552,"AAAAAE3/46I=")</f>
        <v>#VALUE!</v>
      </c>
      <c r="FH156" t="e">
        <f>AND('GA55 Entry'!Q552,"AAAAAE3/46M=")</f>
        <v>#VALUE!</v>
      </c>
      <c r="FI156" t="e">
        <f>AND('GA55 Entry'!S552,"AAAAAE3/46Q=")</f>
        <v>#VALUE!</v>
      </c>
      <c r="FJ156" t="e">
        <f>AND('GA55 Entry'!#REF!,"AAAAAE3/46U=")</f>
        <v>#REF!</v>
      </c>
      <c r="FK156" t="e">
        <f>AND('GA55 Entry'!T552,"AAAAAE3/46Y=")</f>
        <v>#VALUE!</v>
      </c>
      <c r="FL156" t="e">
        <f>AND('GA55 Entry'!U552,"AAAAAE3/46c=")</f>
        <v>#VALUE!</v>
      </c>
      <c r="FM156" t="e">
        <f>AND('GA55 Entry'!V552,"AAAAAE3/46g=")</f>
        <v>#VALUE!</v>
      </c>
      <c r="FN156" t="e">
        <f>AND('GA55 Entry'!#REF!,"AAAAAE3/46k=")</f>
        <v>#REF!</v>
      </c>
      <c r="FO156" t="e">
        <f>AND('GA55 Entry'!#REF!,"AAAAAE3/46o=")</f>
        <v>#REF!</v>
      </c>
      <c r="FP156" t="e">
        <f>AND('GA55 Entry'!X552,"AAAAAE3/46s=")</f>
        <v>#VALUE!</v>
      </c>
      <c r="FQ156" t="e">
        <f>AND('GA55 Entry'!Y552,"AAAAAE3/46w=")</f>
        <v>#VALUE!</v>
      </c>
      <c r="FR156" t="e">
        <f>AND('GA55 Entry'!#REF!,"AAAAAE3/460=")</f>
        <v>#REF!</v>
      </c>
      <c r="FS156" t="e">
        <f>AND('GA55 Entry'!#REF!,"AAAAAE3/464=")</f>
        <v>#REF!</v>
      </c>
      <c r="FT156" t="e">
        <f>AND('GA55 Entry'!#REF!,"AAAAAE3/468=")</f>
        <v>#REF!</v>
      </c>
      <c r="FU156" t="e">
        <f>AND('GA55 Entry'!#REF!,"AAAAAE3/47A=")</f>
        <v>#REF!</v>
      </c>
      <c r="FV156" t="e">
        <f>AND('GA55 Entry'!#REF!,"AAAAAE3/47E=")</f>
        <v>#REF!</v>
      </c>
      <c r="FW156" t="e">
        <f>AND('GA55 Entry'!#REF!,"AAAAAE3/47I=")</f>
        <v>#REF!</v>
      </c>
      <c r="FX156" t="e">
        <f>AND('GA55 Entry'!#REF!,"AAAAAE3/47M=")</f>
        <v>#REF!</v>
      </c>
      <c r="FY156" t="e">
        <f>AND('GA55 Entry'!#REF!,"AAAAAE3/47Q=")</f>
        <v>#REF!</v>
      </c>
      <c r="FZ156" t="e">
        <f>AND('GA55 Entry'!#REF!,"AAAAAE3/47U=")</f>
        <v>#REF!</v>
      </c>
      <c r="GA156" t="e">
        <f>AND('GA55 Entry'!Z552,"AAAAAE3/47Y=")</f>
        <v>#VALUE!</v>
      </c>
      <c r="GB156" t="e">
        <f>AND('GA55 Entry'!AA552,"AAAAAE3/47c=")</f>
        <v>#VALUE!</v>
      </c>
      <c r="GC156" t="e">
        <f>AND('GA55 Entry'!#REF!,"AAAAAE3/47g=")</f>
        <v>#REF!</v>
      </c>
      <c r="GD156" t="e">
        <f>AND('GA55 Entry'!#REF!,"AAAAAE3/47k=")</f>
        <v>#REF!</v>
      </c>
      <c r="GE156" t="e">
        <f>AND('GA55 Entry'!#REF!,"AAAAAE3/47o=")</f>
        <v>#REF!</v>
      </c>
      <c r="GF156" t="e">
        <f>AND('GA55 Entry'!AB552,"AAAAAE3/47s=")</f>
        <v>#VALUE!</v>
      </c>
      <c r="GG156" t="e">
        <f>AND('GA55 Entry'!AC552,"AAAAAE3/47w=")</f>
        <v>#VALUE!</v>
      </c>
      <c r="GH156" t="e">
        <f>AND('GA55 Entry'!#REF!,"AAAAAE3/470=")</f>
        <v>#REF!</v>
      </c>
      <c r="GI156">
        <f>IF('GA55 Entry'!553:553,"AAAAAE3/474=",0)</f>
        <v>0</v>
      </c>
      <c r="GJ156" t="e">
        <f>AND('GA55 Entry'!B553,"AAAAAE3/478=")</f>
        <v>#VALUE!</v>
      </c>
      <c r="GK156" t="e">
        <f>AND('GA55 Entry'!#REF!,"AAAAAE3/48A=")</f>
        <v>#REF!</v>
      </c>
      <c r="GL156" t="e">
        <f>AND('GA55 Entry'!C553,"AAAAAE3/48E=")</f>
        <v>#VALUE!</v>
      </c>
      <c r="GM156" t="e">
        <f>AND('GA55 Entry'!#REF!,"AAAAAE3/48I=")</f>
        <v>#REF!</v>
      </c>
      <c r="GN156" t="e">
        <f>AND('GA55 Entry'!#REF!,"AAAAAE3/48M=")</f>
        <v>#REF!</v>
      </c>
      <c r="GO156" t="e">
        <f>AND('GA55 Entry'!#REF!,"AAAAAE3/48Q=")</f>
        <v>#REF!</v>
      </c>
      <c r="GP156" t="e">
        <f>AND('GA55 Entry'!#REF!,"AAAAAE3/48U=")</f>
        <v>#REF!</v>
      </c>
      <c r="GQ156" t="e">
        <f>AND('GA55 Entry'!#REF!,"AAAAAE3/48Y=")</f>
        <v>#REF!</v>
      </c>
      <c r="GR156" t="e">
        <f>AND('GA55 Entry'!D553,"AAAAAE3/48c=")</f>
        <v>#VALUE!</v>
      </c>
      <c r="GS156" t="e">
        <f>AND('GA55 Entry'!#REF!,"AAAAAE3/48g=")</f>
        <v>#REF!</v>
      </c>
      <c r="GT156" t="e">
        <f>AND('GA55 Entry'!E553,"AAAAAE3/48k=")</f>
        <v>#VALUE!</v>
      </c>
      <c r="GU156" t="e">
        <f>AND('GA55 Entry'!F553,"AAAAAE3/48o=")</f>
        <v>#VALUE!</v>
      </c>
      <c r="GV156" t="e">
        <f>AND('GA55 Entry'!G553,"AAAAAE3/48s=")</f>
        <v>#VALUE!</v>
      </c>
      <c r="GW156" t="e">
        <f>AND('GA55 Entry'!H553,"AAAAAE3/48w=")</f>
        <v>#VALUE!</v>
      </c>
      <c r="GX156" t="e">
        <f>AND('GA55 Entry'!I553,"AAAAAE3/480=")</f>
        <v>#VALUE!</v>
      </c>
      <c r="GY156" t="e">
        <f>AND('GA55 Entry'!J553,"AAAAAE3/484=")</f>
        <v>#VALUE!</v>
      </c>
      <c r="GZ156" t="e">
        <f>AND('GA55 Entry'!#REF!,"AAAAAE3/488=")</f>
        <v>#REF!</v>
      </c>
      <c r="HA156" t="e">
        <f>AND('GA55 Entry'!K553,"AAAAAE3/49A=")</f>
        <v>#VALUE!</v>
      </c>
      <c r="HB156" t="e">
        <f>AND('GA55 Entry'!L553,"AAAAAE3/49E=")</f>
        <v>#VALUE!</v>
      </c>
      <c r="HC156" t="e">
        <f>AND('GA55 Entry'!M553,"AAAAAE3/49I=")</f>
        <v>#VALUE!</v>
      </c>
      <c r="HD156" t="e">
        <f>AND('GA55 Entry'!N553,"AAAAAE3/49M=")</f>
        <v>#VALUE!</v>
      </c>
      <c r="HE156" t="e">
        <f>AND('GA55 Entry'!O553,"AAAAAE3/49Q=")</f>
        <v>#VALUE!</v>
      </c>
      <c r="HF156" t="e">
        <f>AND('GA55 Entry'!P553,"AAAAAE3/49U=")</f>
        <v>#VALUE!</v>
      </c>
      <c r="HG156" t="e">
        <f>AND('GA55 Entry'!Q553,"AAAAAE3/49Y=")</f>
        <v>#VALUE!</v>
      </c>
      <c r="HH156" t="e">
        <f>AND('GA55 Entry'!S553,"AAAAAE3/49c=")</f>
        <v>#VALUE!</v>
      </c>
      <c r="HI156" t="e">
        <f>AND('GA55 Entry'!#REF!,"AAAAAE3/49g=")</f>
        <v>#REF!</v>
      </c>
      <c r="HJ156" t="e">
        <f>AND('GA55 Entry'!T553,"AAAAAE3/49k=")</f>
        <v>#VALUE!</v>
      </c>
      <c r="HK156" t="e">
        <f>AND('GA55 Entry'!U553,"AAAAAE3/49o=")</f>
        <v>#VALUE!</v>
      </c>
      <c r="HL156" t="e">
        <f>AND('GA55 Entry'!V553,"AAAAAE3/49s=")</f>
        <v>#VALUE!</v>
      </c>
      <c r="HM156" t="e">
        <f>AND('GA55 Entry'!#REF!,"AAAAAE3/49w=")</f>
        <v>#REF!</v>
      </c>
      <c r="HN156" t="e">
        <f>AND('GA55 Entry'!#REF!,"AAAAAE3/490=")</f>
        <v>#REF!</v>
      </c>
      <c r="HO156" t="e">
        <f>AND('GA55 Entry'!X553,"AAAAAE3/494=")</f>
        <v>#VALUE!</v>
      </c>
      <c r="HP156" t="e">
        <f>AND('GA55 Entry'!Y553,"AAAAAE3/498=")</f>
        <v>#VALUE!</v>
      </c>
      <c r="HQ156" t="e">
        <f>AND('GA55 Entry'!#REF!,"AAAAAE3/4+A=")</f>
        <v>#REF!</v>
      </c>
      <c r="HR156" t="e">
        <f>AND('GA55 Entry'!#REF!,"AAAAAE3/4+E=")</f>
        <v>#REF!</v>
      </c>
      <c r="HS156" t="e">
        <f>AND('GA55 Entry'!#REF!,"AAAAAE3/4+I=")</f>
        <v>#REF!</v>
      </c>
      <c r="HT156" t="e">
        <f>AND('GA55 Entry'!#REF!,"AAAAAE3/4+M=")</f>
        <v>#REF!</v>
      </c>
      <c r="HU156" t="e">
        <f>AND('GA55 Entry'!#REF!,"AAAAAE3/4+Q=")</f>
        <v>#REF!</v>
      </c>
      <c r="HV156" t="e">
        <f>AND('GA55 Entry'!#REF!,"AAAAAE3/4+U=")</f>
        <v>#REF!</v>
      </c>
      <c r="HW156" t="e">
        <f>AND('GA55 Entry'!#REF!,"AAAAAE3/4+Y=")</f>
        <v>#REF!</v>
      </c>
      <c r="HX156" t="e">
        <f>AND('GA55 Entry'!#REF!,"AAAAAE3/4+c=")</f>
        <v>#REF!</v>
      </c>
      <c r="HY156" t="e">
        <f>AND('GA55 Entry'!#REF!,"AAAAAE3/4+g=")</f>
        <v>#REF!</v>
      </c>
      <c r="HZ156" t="e">
        <f>AND('GA55 Entry'!Z553,"AAAAAE3/4+k=")</f>
        <v>#VALUE!</v>
      </c>
      <c r="IA156" t="e">
        <f>AND('GA55 Entry'!AA553,"AAAAAE3/4+o=")</f>
        <v>#VALUE!</v>
      </c>
      <c r="IB156" t="e">
        <f>AND('GA55 Entry'!#REF!,"AAAAAE3/4+s=")</f>
        <v>#REF!</v>
      </c>
      <c r="IC156" t="e">
        <f>AND('GA55 Entry'!#REF!,"AAAAAE3/4+w=")</f>
        <v>#REF!</v>
      </c>
      <c r="ID156" t="e">
        <f>AND('GA55 Entry'!#REF!,"AAAAAE3/4+0=")</f>
        <v>#REF!</v>
      </c>
      <c r="IE156" t="e">
        <f>AND('GA55 Entry'!AB553,"AAAAAE3/4+4=")</f>
        <v>#VALUE!</v>
      </c>
      <c r="IF156" t="e">
        <f>AND('GA55 Entry'!AC553,"AAAAAE3/4+8=")</f>
        <v>#VALUE!</v>
      </c>
      <c r="IG156" t="e">
        <f>AND('GA55 Entry'!#REF!,"AAAAAE3/4/A=")</f>
        <v>#REF!</v>
      </c>
      <c r="IH156">
        <f>IF('GA55 Entry'!554:554,"AAAAAE3/4/E=",0)</f>
        <v>0</v>
      </c>
      <c r="II156" t="e">
        <f>AND('GA55 Entry'!B554,"AAAAAE3/4/I=")</f>
        <v>#VALUE!</v>
      </c>
      <c r="IJ156" t="e">
        <f>AND('GA55 Entry'!#REF!,"AAAAAE3/4/M=")</f>
        <v>#REF!</v>
      </c>
      <c r="IK156" t="e">
        <f>AND('GA55 Entry'!C554,"AAAAAE3/4/Q=")</f>
        <v>#VALUE!</v>
      </c>
      <c r="IL156" t="e">
        <f>AND('GA55 Entry'!#REF!,"AAAAAE3/4/U=")</f>
        <v>#REF!</v>
      </c>
      <c r="IM156" t="e">
        <f>AND('GA55 Entry'!#REF!,"AAAAAE3/4/Y=")</f>
        <v>#REF!</v>
      </c>
      <c r="IN156" t="e">
        <f>AND('GA55 Entry'!#REF!,"AAAAAE3/4/c=")</f>
        <v>#REF!</v>
      </c>
      <c r="IO156" t="e">
        <f>AND('GA55 Entry'!#REF!,"AAAAAE3/4/g=")</f>
        <v>#REF!</v>
      </c>
      <c r="IP156" t="e">
        <f>AND('GA55 Entry'!#REF!,"AAAAAE3/4/k=")</f>
        <v>#REF!</v>
      </c>
      <c r="IQ156" t="e">
        <f>AND('GA55 Entry'!D554,"AAAAAE3/4/o=")</f>
        <v>#VALUE!</v>
      </c>
      <c r="IR156" t="e">
        <f>AND('GA55 Entry'!#REF!,"AAAAAE3/4/s=")</f>
        <v>#REF!</v>
      </c>
      <c r="IS156" t="e">
        <f>AND('GA55 Entry'!E554,"AAAAAE3/4/w=")</f>
        <v>#VALUE!</v>
      </c>
      <c r="IT156" t="e">
        <f>AND('GA55 Entry'!F554,"AAAAAE3/4/0=")</f>
        <v>#VALUE!</v>
      </c>
      <c r="IU156" t="e">
        <f>AND('GA55 Entry'!G554,"AAAAAE3/4/4=")</f>
        <v>#VALUE!</v>
      </c>
      <c r="IV156" t="e">
        <f>AND('GA55 Entry'!H554,"AAAAAE3/4/8=")</f>
        <v>#VALUE!</v>
      </c>
    </row>
    <row r="157" spans="1:256">
      <c r="A157" t="e">
        <f>AND('GA55 Entry'!I554,"AAAAAFt29wA=")</f>
        <v>#VALUE!</v>
      </c>
      <c r="B157" t="e">
        <f>AND('GA55 Entry'!J554,"AAAAAFt29wE=")</f>
        <v>#VALUE!</v>
      </c>
      <c r="C157" t="e">
        <f>AND('GA55 Entry'!#REF!,"AAAAAFt29wI=")</f>
        <v>#REF!</v>
      </c>
      <c r="D157" t="e">
        <f>AND('GA55 Entry'!K554,"AAAAAFt29wM=")</f>
        <v>#VALUE!</v>
      </c>
      <c r="E157" t="e">
        <f>AND('GA55 Entry'!L554,"AAAAAFt29wQ=")</f>
        <v>#VALUE!</v>
      </c>
      <c r="F157" t="e">
        <f>AND('GA55 Entry'!M554,"AAAAAFt29wU=")</f>
        <v>#VALUE!</v>
      </c>
      <c r="G157" t="e">
        <f>AND('GA55 Entry'!N554,"AAAAAFt29wY=")</f>
        <v>#VALUE!</v>
      </c>
      <c r="H157" t="e">
        <f>AND('GA55 Entry'!O554,"AAAAAFt29wc=")</f>
        <v>#VALUE!</v>
      </c>
      <c r="I157" t="e">
        <f>AND('GA55 Entry'!P554,"AAAAAFt29wg=")</f>
        <v>#VALUE!</v>
      </c>
      <c r="J157" t="e">
        <f>AND('GA55 Entry'!Q554,"AAAAAFt29wk=")</f>
        <v>#VALUE!</v>
      </c>
      <c r="K157" t="e">
        <f>AND('GA55 Entry'!S554,"AAAAAFt29wo=")</f>
        <v>#VALUE!</v>
      </c>
      <c r="L157" t="e">
        <f>AND('GA55 Entry'!#REF!,"AAAAAFt29ws=")</f>
        <v>#REF!</v>
      </c>
      <c r="M157" t="e">
        <f>AND('GA55 Entry'!T554,"AAAAAFt29ww=")</f>
        <v>#VALUE!</v>
      </c>
      <c r="N157" t="e">
        <f>AND('GA55 Entry'!U554,"AAAAAFt29w0=")</f>
        <v>#VALUE!</v>
      </c>
      <c r="O157" t="e">
        <f>AND('GA55 Entry'!V554,"AAAAAFt29w4=")</f>
        <v>#VALUE!</v>
      </c>
      <c r="P157" t="e">
        <f>AND('GA55 Entry'!#REF!,"AAAAAFt29w8=")</f>
        <v>#REF!</v>
      </c>
      <c r="Q157" t="e">
        <f>AND('GA55 Entry'!#REF!,"AAAAAFt29xA=")</f>
        <v>#REF!</v>
      </c>
      <c r="R157" t="e">
        <f>AND('GA55 Entry'!X554,"AAAAAFt29xE=")</f>
        <v>#VALUE!</v>
      </c>
      <c r="S157" t="e">
        <f>AND('GA55 Entry'!Y554,"AAAAAFt29xI=")</f>
        <v>#VALUE!</v>
      </c>
      <c r="T157" t="e">
        <f>AND('GA55 Entry'!#REF!,"AAAAAFt29xM=")</f>
        <v>#REF!</v>
      </c>
      <c r="U157" t="e">
        <f>AND('GA55 Entry'!#REF!,"AAAAAFt29xQ=")</f>
        <v>#REF!</v>
      </c>
      <c r="V157" t="e">
        <f>AND('GA55 Entry'!#REF!,"AAAAAFt29xU=")</f>
        <v>#REF!</v>
      </c>
      <c r="W157" t="e">
        <f>AND('GA55 Entry'!#REF!,"AAAAAFt29xY=")</f>
        <v>#REF!</v>
      </c>
      <c r="X157" t="e">
        <f>AND('GA55 Entry'!#REF!,"AAAAAFt29xc=")</f>
        <v>#REF!</v>
      </c>
      <c r="Y157" t="e">
        <f>AND('GA55 Entry'!#REF!,"AAAAAFt29xg=")</f>
        <v>#REF!</v>
      </c>
      <c r="Z157" t="e">
        <f>AND('GA55 Entry'!#REF!,"AAAAAFt29xk=")</f>
        <v>#REF!</v>
      </c>
      <c r="AA157" t="e">
        <f>AND('GA55 Entry'!#REF!,"AAAAAFt29xo=")</f>
        <v>#REF!</v>
      </c>
      <c r="AB157" t="e">
        <f>AND('GA55 Entry'!#REF!,"AAAAAFt29xs=")</f>
        <v>#REF!</v>
      </c>
      <c r="AC157" t="e">
        <f>AND('GA55 Entry'!Z554,"AAAAAFt29xw=")</f>
        <v>#VALUE!</v>
      </c>
      <c r="AD157" t="e">
        <f>AND('GA55 Entry'!AA554,"AAAAAFt29x0=")</f>
        <v>#VALUE!</v>
      </c>
      <c r="AE157" t="e">
        <f>AND('GA55 Entry'!#REF!,"AAAAAFt29x4=")</f>
        <v>#REF!</v>
      </c>
      <c r="AF157" t="e">
        <f>AND('GA55 Entry'!#REF!,"AAAAAFt29x8=")</f>
        <v>#REF!</v>
      </c>
      <c r="AG157" t="e">
        <f>AND('GA55 Entry'!#REF!,"AAAAAFt29yA=")</f>
        <v>#REF!</v>
      </c>
      <c r="AH157" t="e">
        <f>AND('GA55 Entry'!AB554,"AAAAAFt29yE=")</f>
        <v>#VALUE!</v>
      </c>
      <c r="AI157" t="e">
        <f>AND('GA55 Entry'!AC554,"AAAAAFt29yI=")</f>
        <v>#VALUE!</v>
      </c>
      <c r="AJ157" t="e">
        <f>AND('GA55 Entry'!#REF!,"AAAAAFt29yM=")</f>
        <v>#REF!</v>
      </c>
      <c r="AK157">
        <f>IF('GA55 Entry'!555:555,"AAAAAFt29yQ=",0)</f>
        <v>0</v>
      </c>
      <c r="AL157" t="e">
        <f>AND('GA55 Entry'!B555,"AAAAAFt29yU=")</f>
        <v>#VALUE!</v>
      </c>
      <c r="AM157" t="e">
        <f>AND('GA55 Entry'!#REF!,"AAAAAFt29yY=")</f>
        <v>#REF!</v>
      </c>
      <c r="AN157" t="e">
        <f>AND('GA55 Entry'!C555,"AAAAAFt29yc=")</f>
        <v>#VALUE!</v>
      </c>
      <c r="AO157" t="e">
        <f>AND('GA55 Entry'!#REF!,"AAAAAFt29yg=")</f>
        <v>#REF!</v>
      </c>
      <c r="AP157" t="e">
        <f>AND('GA55 Entry'!#REF!,"AAAAAFt29yk=")</f>
        <v>#REF!</v>
      </c>
      <c r="AQ157" t="e">
        <f>AND('GA55 Entry'!#REF!,"AAAAAFt29yo=")</f>
        <v>#REF!</v>
      </c>
      <c r="AR157" t="e">
        <f>AND('GA55 Entry'!#REF!,"AAAAAFt29ys=")</f>
        <v>#REF!</v>
      </c>
      <c r="AS157" t="e">
        <f>AND('GA55 Entry'!#REF!,"AAAAAFt29yw=")</f>
        <v>#REF!</v>
      </c>
      <c r="AT157" t="e">
        <f>AND('GA55 Entry'!D555,"AAAAAFt29y0=")</f>
        <v>#VALUE!</v>
      </c>
      <c r="AU157" t="e">
        <f>AND('GA55 Entry'!#REF!,"AAAAAFt29y4=")</f>
        <v>#REF!</v>
      </c>
      <c r="AV157" t="e">
        <f>AND('GA55 Entry'!E555,"AAAAAFt29y8=")</f>
        <v>#VALUE!</v>
      </c>
      <c r="AW157" t="e">
        <f>AND('GA55 Entry'!F555,"AAAAAFt29zA=")</f>
        <v>#VALUE!</v>
      </c>
      <c r="AX157" t="e">
        <f>AND('GA55 Entry'!G555,"AAAAAFt29zE=")</f>
        <v>#VALUE!</v>
      </c>
      <c r="AY157" t="e">
        <f>AND('GA55 Entry'!H555,"AAAAAFt29zI=")</f>
        <v>#VALUE!</v>
      </c>
      <c r="AZ157" t="e">
        <f>AND('GA55 Entry'!I555,"AAAAAFt29zM=")</f>
        <v>#VALUE!</v>
      </c>
      <c r="BA157" t="e">
        <f>AND('GA55 Entry'!J555,"AAAAAFt29zQ=")</f>
        <v>#VALUE!</v>
      </c>
      <c r="BB157" t="e">
        <f>AND('GA55 Entry'!#REF!,"AAAAAFt29zU=")</f>
        <v>#REF!</v>
      </c>
      <c r="BC157" t="e">
        <f>AND('GA55 Entry'!K555,"AAAAAFt29zY=")</f>
        <v>#VALUE!</v>
      </c>
      <c r="BD157" t="e">
        <f>AND('GA55 Entry'!L555,"AAAAAFt29zc=")</f>
        <v>#VALUE!</v>
      </c>
      <c r="BE157" t="e">
        <f>AND('GA55 Entry'!M555,"AAAAAFt29zg=")</f>
        <v>#VALUE!</v>
      </c>
      <c r="BF157" t="e">
        <f>AND('GA55 Entry'!N555,"AAAAAFt29zk=")</f>
        <v>#VALUE!</v>
      </c>
      <c r="BG157" t="e">
        <f>AND('GA55 Entry'!O555,"AAAAAFt29zo=")</f>
        <v>#VALUE!</v>
      </c>
      <c r="BH157" t="e">
        <f>AND('GA55 Entry'!P555,"AAAAAFt29zs=")</f>
        <v>#VALUE!</v>
      </c>
      <c r="BI157" t="e">
        <f>AND('GA55 Entry'!Q555,"AAAAAFt29zw=")</f>
        <v>#VALUE!</v>
      </c>
      <c r="BJ157" t="e">
        <f>AND('GA55 Entry'!S555,"AAAAAFt29z0=")</f>
        <v>#VALUE!</v>
      </c>
      <c r="BK157" t="e">
        <f>AND('GA55 Entry'!#REF!,"AAAAAFt29z4=")</f>
        <v>#REF!</v>
      </c>
      <c r="BL157" t="e">
        <f>AND('GA55 Entry'!T555,"AAAAAFt29z8=")</f>
        <v>#VALUE!</v>
      </c>
      <c r="BM157" t="e">
        <f>AND('GA55 Entry'!U555,"AAAAAFt290A=")</f>
        <v>#VALUE!</v>
      </c>
      <c r="BN157" t="e">
        <f>AND('GA55 Entry'!V555,"AAAAAFt290E=")</f>
        <v>#VALUE!</v>
      </c>
      <c r="BO157" t="e">
        <f>AND('GA55 Entry'!#REF!,"AAAAAFt290I=")</f>
        <v>#REF!</v>
      </c>
      <c r="BP157" t="e">
        <f>AND('GA55 Entry'!#REF!,"AAAAAFt290M=")</f>
        <v>#REF!</v>
      </c>
      <c r="BQ157" t="e">
        <f>AND('GA55 Entry'!X555,"AAAAAFt290Q=")</f>
        <v>#VALUE!</v>
      </c>
      <c r="BR157" t="e">
        <f>AND('GA55 Entry'!Y555,"AAAAAFt290U=")</f>
        <v>#VALUE!</v>
      </c>
      <c r="BS157" t="e">
        <f>AND('GA55 Entry'!#REF!,"AAAAAFt290Y=")</f>
        <v>#REF!</v>
      </c>
      <c r="BT157" t="e">
        <f>AND('GA55 Entry'!#REF!,"AAAAAFt290c=")</f>
        <v>#REF!</v>
      </c>
      <c r="BU157" t="e">
        <f>AND('GA55 Entry'!#REF!,"AAAAAFt290g=")</f>
        <v>#REF!</v>
      </c>
      <c r="BV157" t="e">
        <f>AND('GA55 Entry'!#REF!,"AAAAAFt290k=")</f>
        <v>#REF!</v>
      </c>
      <c r="BW157" t="e">
        <f>AND('GA55 Entry'!#REF!,"AAAAAFt290o=")</f>
        <v>#REF!</v>
      </c>
      <c r="BX157" t="e">
        <f>AND('GA55 Entry'!#REF!,"AAAAAFt290s=")</f>
        <v>#REF!</v>
      </c>
      <c r="BY157" t="e">
        <f>AND('GA55 Entry'!#REF!,"AAAAAFt290w=")</f>
        <v>#REF!</v>
      </c>
      <c r="BZ157" t="e">
        <f>AND('GA55 Entry'!#REF!,"AAAAAFt2900=")</f>
        <v>#REF!</v>
      </c>
      <c r="CA157" t="e">
        <f>AND('GA55 Entry'!#REF!,"AAAAAFt2904=")</f>
        <v>#REF!</v>
      </c>
      <c r="CB157" t="e">
        <f>AND('GA55 Entry'!Z555,"AAAAAFt2908=")</f>
        <v>#VALUE!</v>
      </c>
      <c r="CC157" t="e">
        <f>AND('GA55 Entry'!AA555,"AAAAAFt291A=")</f>
        <v>#VALUE!</v>
      </c>
      <c r="CD157" t="e">
        <f>AND('GA55 Entry'!#REF!,"AAAAAFt291E=")</f>
        <v>#REF!</v>
      </c>
      <c r="CE157" t="e">
        <f>AND('GA55 Entry'!#REF!,"AAAAAFt291I=")</f>
        <v>#REF!</v>
      </c>
      <c r="CF157" t="e">
        <f>AND('GA55 Entry'!#REF!,"AAAAAFt291M=")</f>
        <v>#REF!</v>
      </c>
      <c r="CG157" t="e">
        <f>AND('GA55 Entry'!AB555,"AAAAAFt291Q=")</f>
        <v>#VALUE!</v>
      </c>
      <c r="CH157" t="e">
        <f>AND('GA55 Entry'!AC555,"AAAAAFt291U=")</f>
        <v>#VALUE!</v>
      </c>
      <c r="CI157" t="e">
        <f>AND('GA55 Entry'!#REF!,"AAAAAFt291Y=")</f>
        <v>#REF!</v>
      </c>
      <c r="CJ157">
        <f>IF('GA55 Entry'!556:556,"AAAAAFt291c=",0)</f>
        <v>0</v>
      </c>
      <c r="CK157" t="e">
        <f>AND('GA55 Entry'!B556,"AAAAAFt291g=")</f>
        <v>#VALUE!</v>
      </c>
      <c r="CL157" t="e">
        <f>AND('GA55 Entry'!#REF!,"AAAAAFt291k=")</f>
        <v>#REF!</v>
      </c>
      <c r="CM157" t="e">
        <f>AND('GA55 Entry'!C556,"AAAAAFt291o=")</f>
        <v>#VALUE!</v>
      </c>
      <c r="CN157" t="e">
        <f>AND('GA55 Entry'!#REF!,"AAAAAFt291s=")</f>
        <v>#REF!</v>
      </c>
      <c r="CO157" t="e">
        <f>AND('GA55 Entry'!#REF!,"AAAAAFt291w=")</f>
        <v>#REF!</v>
      </c>
      <c r="CP157" t="e">
        <f>AND('GA55 Entry'!#REF!,"AAAAAFt2910=")</f>
        <v>#REF!</v>
      </c>
      <c r="CQ157" t="e">
        <f>AND('GA55 Entry'!#REF!,"AAAAAFt2914=")</f>
        <v>#REF!</v>
      </c>
      <c r="CR157" t="e">
        <f>AND('GA55 Entry'!#REF!,"AAAAAFt2918=")</f>
        <v>#REF!</v>
      </c>
      <c r="CS157" t="e">
        <f>AND('GA55 Entry'!D556,"AAAAAFt292A=")</f>
        <v>#VALUE!</v>
      </c>
      <c r="CT157" t="e">
        <f>AND('GA55 Entry'!#REF!,"AAAAAFt292E=")</f>
        <v>#REF!</v>
      </c>
      <c r="CU157" t="e">
        <f>AND('GA55 Entry'!E556,"AAAAAFt292I=")</f>
        <v>#VALUE!</v>
      </c>
      <c r="CV157" t="e">
        <f>AND('GA55 Entry'!F556,"AAAAAFt292M=")</f>
        <v>#VALUE!</v>
      </c>
      <c r="CW157" t="e">
        <f>AND('GA55 Entry'!G556,"AAAAAFt292Q=")</f>
        <v>#VALUE!</v>
      </c>
      <c r="CX157" t="e">
        <f>AND('GA55 Entry'!H556,"AAAAAFt292U=")</f>
        <v>#VALUE!</v>
      </c>
      <c r="CY157" t="e">
        <f>AND('GA55 Entry'!I556,"AAAAAFt292Y=")</f>
        <v>#VALUE!</v>
      </c>
      <c r="CZ157" t="e">
        <f>AND('GA55 Entry'!J556,"AAAAAFt292c=")</f>
        <v>#VALUE!</v>
      </c>
      <c r="DA157" t="e">
        <f>AND('GA55 Entry'!#REF!,"AAAAAFt292g=")</f>
        <v>#REF!</v>
      </c>
      <c r="DB157" t="e">
        <f>AND('GA55 Entry'!K556,"AAAAAFt292k=")</f>
        <v>#VALUE!</v>
      </c>
      <c r="DC157" t="e">
        <f>AND('GA55 Entry'!L556,"AAAAAFt292o=")</f>
        <v>#VALUE!</v>
      </c>
      <c r="DD157" t="e">
        <f>AND('GA55 Entry'!M556,"AAAAAFt292s=")</f>
        <v>#VALUE!</v>
      </c>
      <c r="DE157" t="e">
        <f>AND('GA55 Entry'!N556,"AAAAAFt292w=")</f>
        <v>#VALUE!</v>
      </c>
      <c r="DF157" t="e">
        <f>AND('GA55 Entry'!O556,"AAAAAFt2920=")</f>
        <v>#VALUE!</v>
      </c>
      <c r="DG157" t="e">
        <f>AND('GA55 Entry'!P556,"AAAAAFt2924=")</f>
        <v>#VALUE!</v>
      </c>
      <c r="DH157" t="e">
        <f>AND('GA55 Entry'!Q556,"AAAAAFt2928=")</f>
        <v>#VALUE!</v>
      </c>
      <c r="DI157" t="e">
        <f>AND('GA55 Entry'!S556,"AAAAAFt293A=")</f>
        <v>#VALUE!</v>
      </c>
      <c r="DJ157" t="e">
        <f>AND('GA55 Entry'!#REF!,"AAAAAFt293E=")</f>
        <v>#REF!</v>
      </c>
      <c r="DK157" t="e">
        <f>AND('GA55 Entry'!T556,"AAAAAFt293I=")</f>
        <v>#VALUE!</v>
      </c>
      <c r="DL157" t="e">
        <f>AND('GA55 Entry'!U556,"AAAAAFt293M=")</f>
        <v>#VALUE!</v>
      </c>
      <c r="DM157" t="e">
        <f>AND('GA55 Entry'!V556,"AAAAAFt293Q=")</f>
        <v>#VALUE!</v>
      </c>
      <c r="DN157" t="e">
        <f>AND('GA55 Entry'!#REF!,"AAAAAFt293U=")</f>
        <v>#REF!</v>
      </c>
      <c r="DO157" t="e">
        <f>AND('GA55 Entry'!#REF!,"AAAAAFt293Y=")</f>
        <v>#REF!</v>
      </c>
      <c r="DP157" t="e">
        <f>AND('GA55 Entry'!X556,"AAAAAFt293c=")</f>
        <v>#VALUE!</v>
      </c>
      <c r="DQ157" t="e">
        <f>AND('GA55 Entry'!Y556,"AAAAAFt293g=")</f>
        <v>#VALUE!</v>
      </c>
      <c r="DR157" t="e">
        <f>AND('GA55 Entry'!#REF!,"AAAAAFt293k=")</f>
        <v>#REF!</v>
      </c>
      <c r="DS157" t="e">
        <f>AND('GA55 Entry'!#REF!,"AAAAAFt293o=")</f>
        <v>#REF!</v>
      </c>
      <c r="DT157" t="e">
        <f>AND('GA55 Entry'!#REF!,"AAAAAFt293s=")</f>
        <v>#REF!</v>
      </c>
      <c r="DU157" t="e">
        <f>AND('GA55 Entry'!#REF!,"AAAAAFt293w=")</f>
        <v>#REF!</v>
      </c>
      <c r="DV157" t="e">
        <f>AND('GA55 Entry'!#REF!,"AAAAAFt2930=")</f>
        <v>#REF!</v>
      </c>
      <c r="DW157" t="e">
        <f>AND('GA55 Entry'!#REF!,"AAAAAFt2934=")</f>
        <v>#REF!</v>
      </c>
      <c r="DX157" t="e">
        <f>AND('GA55 Entry'!#REF!,"AAAAAFt2938=")</f>
        <v>#REF!</v>
      </c>
      <c r="DY157" t="e">
        <f>AND('GA55 Entry'!#REF!,"AAAAAFt294A=")</f>
        <v>#REF!</v>
      </c>
      <c r="DZ157" t="e">
        <f>AND('GA55 Entry'!#REF!,"AAAAAFt294E=")</f>
        <v>#REF!</v>
      </c>
      <c r="EA157" t="e">
        <f>AND('GA55 Entry'!Z556,"AAAAAFt294I=")</f>
        <v>#VALUE!</v>
      </c>
      <c r="EB157" t="e">
        <f>AND('GA55 Entry'!AA556,"AAAAAFt294M=")</f>
        <v>#VALUE!</v>
      </c>
      <c r="EC157" t="e">
        <f>AND('GA55 Entry'!#REF!,"AAAAAFt294Q=")</f>
        <v>#REF!</v>
      </c>
      <c r="ED157" t="e">
        <f>AND('GA55 Entry'!#REF!,"AAAAAFt294U=")</f>
        <v>#REF!</v>
      </c>
      <c r="EE157" t="e">
        <f>AND('GA55 Entry'!#REF!,"AAAAAFt294Y=")</f>
        <v>#REF!</v>
      </c>
      <c r="EF157" t="e">
        <f>AND('GA55 Entry'!AB556,"AAAAAFt294c=")</f>
        <v>#VALUE!</v>
      </c>
      <c r="EG157" t="e">
        <f>AND('GA55 Entry'!AC556,"AAAAAFt294g=")</f>
        <v>#VALUE!</v>
      </c>
      <c r="EH157" t="e">
        <f>AND('GA55 Entry'!#REF!,"AAAAAFt294k=")</f>
        <v>#REF!</v>
      </c>
      <c r="EI157">
        <f>IF('GA55 Entry'!557:557,"AAAAAFt294o=",0)</f>
        <v>0</v>
      </c>
      <c r="EJ157" t="e">
        <f>AND('GA55 Entry'!B557,"AAAAAFt294s=")</f>
        <v>#VALUE!</v>
      </c>
      <c r="EK157" t="e">
        <f>AND('GA55 Entry'!#REF!,"AAAAAFt294w=")</f>
        <v>#REF!</v>
      </c>
      <c r="EL157" t="e">
        <f>AND('GA55 Entry'!C557,"AAAAAFt2940=")</f>
        <v>#VALUE!</v>
      </c>
      <c r="EM157" t="e">
        <f>AND('GA55 Entry'!#REF!,"AAAAAFt2944=")</f>
        <v>#REF!</v>
      </c>
      <c r="EN157" t="e">
        <f>AND('GA55 Entry'!#REF!,"AAAAAFt2948=")</f>
        <v>#REF!</v>
      </c>
      <c r="EO157" t="e">
        <f>AND('GA55 Entry'!#REF!,"AAAAAFt295A=")</f>
        <v>#REF!</v>
      </c>
      <c r="EP157" t="e">
        <f>AND('GA55 Entry'!#REF!,"AAAAAFt295E=")</f>
        <v>#REF!</v>
      </c>
      <c r="EQ157" t="e">
        <f>AND('GA55 Entry'!#REF!,"AAAAAFt295I=")</f>
        <v>#REF!</v>
      </c>
      <c r="ER157" t="e">
        <f>AND('GA55 Entry'!D557,"AAAAAFt295M=")</f>
        <v>#VALUE!</v>
      </c>
      <c r="ES157" t="e">
        <f>AND('GA55 Entry'!#REF!,"AAAAAFt295Q=")</f>
        <v>#REF!</v>
      </c>
      <c r="ET157" t="e">
        <f>AND('GA55 Entry'!E557,"AAAAAFt295U=")</f>
        <v>#VALUE!</v>
      </c>
      <c r="EU157" t="e">
        <f>AND('GA55 Entry'!F557,"AAAAAFt295Y=")</f>
        <v>#VALUE!</v>
      </c>
      <c r="EV157" t="e">
        <f>AND('GA55 Entry'!G557,"AAAAAFt295c=")</f>
        <v>#VALUE!</v>
      </c>
      <c r="EW157" t="e">
        <f>AND('GA55 Entry'!H557,"AAAAAFt295g=")</f>
        <v>#VALUE!</v>
      </c>
      <c r="EX157" t="e">
        <f>AND('GA55 Entry'!I557,"AAAAAFt295k=")</f>
        <v>#VALUE!</v>
      </c>
      <c r="EY157" t="e">
        <f>AND('GA55 Entry'!J557,"AAAAAFt295o=")</f>
        <v>#VALUE!</v>
      </c>
      <c r="EZ157" t="e">
        <f>AND('GA55 Entry'!#REF!,"AAAAAFt295s=")</f>
        <v>#REF!</v>
      </c>
      <c r="FA157" t="e">
        <f>AND('GA55 Entry'!K557,"AAAAAFt295w=")</f>
        <v>#VALUE!</v>
      </c>
      <c r="FB157" t="e">
        <f>AND('GA55 Entry'!L557,"AAAAAFt2950=")</f>
        <v>#VALUE!</v>
      </c>
      <c r="FC157" t="e">
        <f>AND('GA55 Entry'!M557,"AAAAAFt2954=")</f>
        <v>#VALUE!</v>
      </c>
      <c r="FD157" t="e">
        <f>AND('GA55 Entry'!N557,"AAAAAFt2958=")</f>
        <v>#VALUE!</v>
      </c>
      <c r="FE157" t="e">
        <f>AND('GA55 Entry'!O557,"AAAAAFt296A=")</f>
        <v>#VALUE!</v>
      </c>
      <c r="FF157" t="e">
        <f>AND('GA55 Entry'!P557,"AAAAAFt296E=")</f>
        <v>#VALUE!</v>
      </c>
      <c r="FG157" t="e">
        <f>AND('GA55 Entry'!Q557,"AAAAAFt296I=")</f>
        <v>#VALUE!</v>
      </c>
      <c r="FH157" t="e">
        <f>AND('GA55 Entry'!S557,"AAAAAFt296M=")</f>
        <v>#VALUE!</v>
      </c>
      <c r="FI157" t="e">
        <f>AND('GA55 Entry'!#REF!,"AAAAAFt296Q=")</f>
        <v>#REF!</v>
      </c>
      <c r="FJ157" t="e">
        <f>AND('GA55 Entry'!T557,"AAAAAFt296U=")</f>
        <v>#VALUE!</v>
      </c>
      <c r="FK157" t="e">
        <f>AND('GA55 Entry'!U557,"AAAAAFt296Y=")</f>
        <v>#VALUE!</v>
      </c>
      <c r="FL157" t="e">
        <f>AND('GA55 Entry'!V557,"AAAAAFt296c=")</f>
        <v>#VALUE!</v>
      </c>
      <c r="FM157" t="e">
        <f>AND('GA55 Entry'!#REF!,"AAAAAFt296g=")</f>
        <v>#REF!</v>
      </c>
      <c r="FN157" t="e">
        <f>AND('GA55 Entry'!#REF!,"AAAAAFt296k=")</f>
        <v>#REF!</v>
      </c>
      <c r="FO157" t="e">
        <f>AND('GA55 Entry'!X557,"AAAAAFt296o=")</f>
        <v>#VALUE!</v>
      </c>
      <c r="FP157" t="e">
        <f>AND('GA55 Entry'!Y557,"AAAAAFt296s=")</f>
        <v>#VALUE!</v>
      </c>
      <c r="FQ157" t="e">
        <f>AND('GA55 Entry'!#REF!,"AAAAAFt296w=")</f>
        <v>#REF!</v>
      </c>
      <c r="FR157" t="e">
        <f>AND('GA55 Entry'!#REF!,"AAAAAFt2960=")</f>
        <v>#REF!</v>
      </c>
      <c r="FS157" t="e">
        <f>AND('GA55 Entry'!#REF!,"AAAAAFt2964=")</f>
        <v>#REF!</v>
      </c>
      <c r="FT157" t="e">
        <f>AND('GA55 Entry'!#REF!,"AAAAAFt2968=")</f>
        <v>#REF!</v>
      </c>
      <c r="FU157" t="e">
        <f>AND('GA55 Entry'!#REF!,"AAAAAFt297A=")</f>
        <v>#REF!</v>
      </c>
      <c r="FV157" t="e">
        <f>AND('GA55 Entry'!#REF!,"AAAAAFt297E=")</f>
        <v>#REF!</v>
      </c>
      <c r="FW157" t="e">
        <f>AND('GA55 Entry'!#REF!,"AAAAAFt297I=")</f>
        <v>#REF!</v>
      </c>
      <c r="FX157" t="e">
        <f>AND('GA55 Entry'!#REF!,"AAAAAFt297M=")</f>
        <v>#REF!</v>
      </c>
      <c r="FY157" t="e">
        <f>AND('GA55 Entry'!#REF!,"AAAAAFt297Q=")</f>
        <v>#REF!</v>
      </c>
      <c r="FZ157" t="e">
        <f>AND('GA55 Entry'!Z557,"AAAAAFt297U=")</f>
        <v>#VALUE!</v>
      </c>
      <c r="GA157" t="e">
        <f>AND('GA55 Entry'!AA557,"AAAAAFt297Y=")</f>
        <v>#VALUE!</v>
      </c>
      <c r="GB157" t="e">
        <f>AND('GA55 Entry'!#REF!,"AAAAAFt297c=")</f>
        <v>#REF!</v>
      </c>
      <c r="GC157" t="e">
        <f>AND('GA55 Entry'!#REF!,"AAAAAFt297g=")</f>
        <v>#REF!</v>
      </c>
      <c r="GD157" t="e">
        <f>AND('GA55 Entry'!#REF!,"AAAAAFt297k=")</f>
        <v>#REF!</v>
      </c>
      <c r="GE157" t="e">
        <f>AND('GA55 Entry'!AB557,"AAAAAFt297o=")</f>
        <v>#VALUE!</v>
      </c>
      <c r="GF157" t="e">
        <f>AND('GA55 Entry'!AC557,"AAAAAFt297s=")</f>
        <v>#VALUE!</v>
      </c>
      <c r="GG157" t="e">
        <f>AND('GA55 Entry'!#REF!,"AAAAAFt297w=")</f>
        <v>#REF!</v>
      </c>
      <c r="GH157">
        <f>IF('GA55 Entry'!558:558,"AAAAAFt2970=",0)</f>
        <v>0</v>
      </c>
      <c r="GI157" t="e">
        <f>AND('GA55 Entry'!B558,"AAAAAFt2974=")</f>
        <v>#VALUE!</v>
      </c>
      <c r="GJ157" t="e">
        <f>AND('GA55 Entry'!#REF!,"AAAAAFt2978=")</f>
        <v>#REF!</v>
      </c>
      <c r="GK157" t="e">
        <f>AND('GA55 Entry'!C558,"AAAAAFt298A=")</f>
        <v>#VALUE!</v>
      </c>
      <c r="GL157" t="e">
        <f>AND('GA55 Entry'!#REF!,"AAAAAFt298E=")</f>
        <v>#REF!</v>
      </c>
      <c r="GM157" t="e">
        <f>AND('GA55 Entry'!#REF!,"AAAAAFt298I=")</f>
        <v>#REF!</v>
      </c>
      <c r="GN157" t="e">
        <f>AND('GA55 Entry'!#REF!,"AAAAAFt298M=")</f>
        <v>#REF!</v>
      </c>
      <c r="GO157" t="e">
        <f>AND('GA55 Entry'!#REF!,"AAAAAFt298Q=")</f>
        <v>#REF!</v>
      </c>
      <c r="GP157" t="e">
        <f>AND('GA55 Entry'!#REF!,"AAAAAFt298U=")</f>
        <v>#REF!</v>
      </c>
      <c r="GQ157" t="e">
        <f>AND('GA55 Entry'!D558,"AAAAAFt298Y=")</f>
        <v>#VALUE!</v>
      </c>
      <c r="GR157" t="e">
        <f>AND('GA55 Entry'!#REF!,"AAAAAFt298c=")</f>
        <v>#REF!</v>
      </c>
      <c r="GS157" t="e">
        <f>AND('GA55 Entry'!E558,"AAAAAFt298g=")</f>
        <v>#VALUE!</v>
      </c>
      <c r="GT157" t="e">
        <f>AND('GA55 Entry'!F558,"AAAAAFt298k=")</f>
        <v>#VALUE!</v>
      </c>
      <c r="GU157" t="e">
        <f>AND('GA55 Entry'!G558,"AAAAAFt298o=")</f>
        <v>#VALUE!</v>
      </c>
      <c r="GV157" t="e">
        <f>AND('GA55 Entry'!H558,"AAAAAFt298s=")</f>
        <v>#VALUE!</v>
      </c>
      <c r="GW157" t="e">
        <f>AND('GA55 Entry'!I558,"AAAAAFt298w=")</f>
        <v>#VALUE!</v>
      </c>
      <c r="GX157" t="e">
        <f>AND('GA55 Entry'!J558,"AAAAAFt2980=")</f>
        <v>#VALUE!</v>
      </c>
      <c r="GY157" t="e">
        <f>AND('GA55 Entry'!#REF!,"AAAAAFt2984=")</f>
        <v>#REF!</v>
      </c>
      <c r="GZ157" t="e">
        <f>AND('GA55 Entry'!K558,"AAAAAFt2988=")</f>
        <v>#VALUE!</v>
      </c>
      <c r="HA157" t="e">
        <f>AND('GA55 Entry'!L558,"AAAAAFt299A=")</f>
        <v>#VALUE!</v>
      </c>
      <c r="HB157" t="e">
        <f>AND('GA55 Entry'!M558,"AAAAAFt299E=")</f>
        <v>#VALUE!</v>
      </c>
      <c r="HC157" t="e">
        <f>AND('GA55 Entry'!N558,"AAAAAFt299I=")</f>
        <v>#VALUE!</v>
      </c>
      <c r="HD157" t="e">
        <f>AND('GA55 Entry'!O558,"AAAAAFt299M=")</f>
        <v>#VALUE!</v>
      </c>
      <c r="HE157" t="e">
        <f>AND('GA55 Entry'!P558,"AAAAAFt299Q=")</f>
        <v>#VALUE!</v>
      </c>
      <c r="HF157" t="e">
        <f>AND('GA55 Entry'!Q558,"AAAAAFt299U=")</f>
        <v>#VALUE!</v>
      </c>
      <c r="HG157" t="e">
        <f>AND('GA55 Entry'!S558,"AAAAAFt299Y=")</f>
        <v>#VALUE!</v>
      </c>
      <c r="HH157" t="e">
        <f>AND('GA55 Entry'!#REF!,"AAAAAFt299c=")</f>
        <v>#REF!</v>
      </c>
      <c r="HI157" t="e">
        <f>AND('GA55 Entry'!T558,"AAAAAFt299g=")</f>
        <v>#VALUE!</v>
      </c>
      <c r="HJ157" t="e">
        <f>AND('GA55 Entry'!U558,"AAAAAFt299k=")</f>
        <v>#VALUE!</v>
      </c>
      <c r="HK157" t="e">
        <f>AND('GA55 Entry'!V558,"AAAAAFt299o=")</f>
        <v>#VALUE!</v>
      </c>
      <c r="HL157" t="e">
        <f>AND('GA55 Entry'!#REF!,"AAAAAFt299s=")</f>
        <v>#REF!</v>
      </c>
      <c r="HM157" t="e">
        <f>AND('GA55 Entry'!#REF!,"AAAAAFt299w=")</f>
        <v>#REF!</v>
      </c>
      <c r="HN157" t="e">
        <f>AND('GA55 Entry'!X558,"AAAAAFt2990=")</f>
        <v>#VALUE!</v>
      </c>
      <c r="HO157" t="e">
        <f>AND('GA55 Entry'!Y558,"AAAAAFt2994=")</f>
        <v>#VALUE!</v>
      </c>
      <c r="HP157" t="e">
        <f>AND('GA55 Entry'!#REF!,"AAAAAFt2998=")</f>
        <v>#REF!</v>
      </c>
      <c r="HQ157" t="e">
        <f>AND('GA55 Entry'!#REF!,"AAAAAFt29+A=")</f>
        <v>#REF!</v>
      </c>
      <c r="HR157" t="e">
        <f>AND('GA55 Entry'!#REF!,"AAAAAFt29+E=")</f>
        <v>#REF!</v>
      </c>
      <c r="HS157" t="e">
        <f>AND('GA55 Entry'!#REF!,"AAAAAFt29+I=")</f>
        <v>#REF!</v>
      </c>
      <c r="HT157" t="e">
        <f>AND('GA55 Entry'!#REF!,"AAAAAFt29+M=")</f>
        <v>#REF!</v>
      </c>
      <c r="HU157" t="e">
        <f>AND('GA55 Entry'!#REF!,"AAAAAFt29+Q=")</f>
        <v>#REF!</v>
      </c>
      <c r="HV157" t="e">
        <f>AND('GA55 Entry'!#REF!,"AAAAAFt29+U=")</f>
        <v>#REF!</v>
      </c>
      <c r="HW157" t="e">
        <f>AND('GA55 Entry'!#REF!,"AAAAAFt29+Y=")</f>
        <v>#REF!</v>
      </c>
      <c r="HX157" t="e">
        <f>AND('GA55 Entry'!#REF!,"AAAAAFt29+c=")</f>
        <v>#REF!</v>
      </c>
      <c r="HY157" t="e">
        <f>AND('GA55 Entry'!Z558,"AAAAAFt29+g=")</f>
        <v>#VALUE!</v>
      </c>
      <c r="HZ157" t="e">
        <f>AND('GA55 Entry'!AA558,"AAAAAFt29+k=")</f>
        <v>#VALUE!</v>
      </c>
      <c r="IA157" t="e">
        <f>AND('GA55 Entry'!#REF!,"AAAAAFt29+o=")</f>
        <v>#REF!</v>
      </c>
      <c r="IB157" t="e">
        <f>AND('GA55 Entry'!#REF!,"AAAAAFt29+s=")</f>
        <v>#REF!</v>
      </c>
      <c r="IC157" t="e">
        <f>AND('GA55 Entry'!#REF!,"AAAAAFt29+w=")</f>
        <v>#REF!</v>
      </c>
      <c r="ID157" t="e">
        <f>AND('GA55 Entry'!AB558,"AAAAAFt29+0=")</f>
        <v>#VALUE!</v>
      </c>
      <c r="IE157" t="e">
        <f>AND('GA55 Entry'!AC558,"AAAAAFt29+4=")</f>
        <v>#VALUE!</v>
      </c>
      <c r="IF157" t="e">
        <f>AND('GA55 Entry'!#REF!,"AAAAAFt29+8=")</f>
        <v>#REF!</v>
      </c>
      <c r="IG157">
        <f>IF('GA55 Entry'!559:559,"AAAAAFt29/A=",0)</f>
        <v>0</v>
      </c>
      <c r="IH157" t="e">
        <f>AND('GA55 Entry'!B559,"AAAAAFt29/E=")</f>
        <v>#VALUE!</v>
      </c>
      <c r="II157" t="e">
        <f>AND('GA55 Entry'!#REF!,"AAAAAFt29/I=")</f>
        <v>#REF!</v>
      </c>
      <c r="IJ157" t="e">
        <f>AND('GA55 Entry'!C559,"AAAAAFt29/M=")</f>
        <v>#VALUE!</v>
      </c>
      <c r="IK157" t="e">
        <f>AND('GA55 Entry'!#REF!,"AAAAAFt29/Q=")</f>
        <v>#REF!</v>
      </c>
      <c r="IL157" t="e">
        <f>AND('GA55 Entry'!#REF!,"AAAAAFt29/U=")</f>
        <v>#REF!</v>
      </c>
      <c r="IM157" t="e">
        <f>AND('GA55 Entry'!#REF!,"AAAAAFt29/Y=")</f>
        <v>#REF!</v>
      </c>
      <c r="IN157" t="e">
        <f>AND('GA55 Entry'!#REF!,"AAAAAFt29/c=")</f>
        <v>#REF!</v>
      </c>
      <c r="IO157" t="e">
        <f>AND('GA55 Entry'!#REF!,"AAAAAFt29/g=")</f>
        <v>#REF!</v>
      </c>
      <c r="IP157" t="e">
        <f>AND('GA55 Entry'!D559,"AAAAAFt29/k=")</f>
        <v>#VALUE!</v>
      </c>
      <c r="IQ157" t="e">
        <f>AND('GA55 Entry'!#REF!,"AAAAAFt29/o=")</f>
        <v>#REF!</v>
      </c>
      <c r="IR157" t="e">
        <f>AND('GA55 Entry'!E559,"AAAAAFt29/s=")</f>
        <v>#VALUE!</v>
      </c>
      <c r="IS157" t="e">
        <f>AND('GA55 Entry'!F559,"AAAAAFt29/w=")</f>
        <v>#VALUE!</v>
      </c>
      <c r="IT157" t="e">
        <f>AND('GA55 Entry'!G559,"AAAAAFt29/0=")</f>
        <v>#VALUE!</v>
      </c>
      <c r="IU157" t="e">
        <f>AND('GA55 Entry'!H559,"AAAAAFt29/4=")</f>
        <v>#VALUE!</v>
      </c>
      <c r="IV157" t="e">
        <f>AND('GA55 Entry'!I559,"AAAAAFt29/8=")</f>
        <v>#VALUE!</v>
      </c>
    </row>
    <row r="158" spans="1:256">
      <c r="A158" t="e">
        <f>AND('GA55 Entry'!J559,"AAAAAH+1fwA=")</f>
        <v>#VALUE!</v>
      </c>
      <c r="B158" t="e">
        <f>AND('GA55 Entry'!#REF!,"AAAAAH+1fwE=")</f>
        <v>#REF!</v>
      </c>
      <c r="C158" t="e">
        <f>AND('GA55 Entry'!K559,"AAAAAH+1fwI=")</f>
        <v>#VALUE!</v>
      </c>
      <c r="D158" t="e">
        <f>AND('GA55 Entry'!L559,"AAAAAH+1fwM=")</f>
        <v>#VALUE!</v>
      </c>
      <c r="E158" t="e">
        <f>AND('GA55 Entry'!M559,"AAAAAH+1fwQ=")</f>
        <v>#VALUE!</v>
      </c>
      <c r="F158" t="e">
        <f>AND('GA55 Entry'!N559,"AAAAAH+1fwU=")</f>
        <v>#VALUE!</v>
      </c>
      <c r="G158" t="e">
        <f>AND('GA55 Entry'!O559,"AAAAAH+1fwY=")</f>
        <v>#VALUE!</v>
      </c>
      <c r="H158" t="e">
        <f>AND('GA55 Entry'!P559,"AAAAAH+1fwc=")</f>
        <v>#VALUE!</v>
      </c>
      <c r="I158" t="e">
        <f>AND('GA55 Entry'!Q559,"AAAAAH+1fwg=")</f>
        <v>#VALUE!</v>
      </c>
      <c r="J158" t="e">
        <f>AND('GA55 Entry'!S559,"AAAAAH+1fwk=")</f>
        <v>#VALUE!</v>
      </c>
      <c r="K158" t="e">
        <f>AND('GA55 Entry'!#REF!,"AAAAAH+1fwo=")</f>
        <v>#REF!</v>
      </c>
      <c r="L158" t="e">
        <f>AND('GA55 Entry'!T559,"AAAAAH+1fws=")</f>
        <v>#VALUE!</v>
      </c>
      <c r="M158" t="e">
        <f>AND('GA55 Entry'!U559,"AAAAAH+1fww=")</f>
        <v>#VALUE!</v>
      </c>
      <c r="N158" t="e">
        <f>AND('GA55 Entry'!V559,"AAAAAH+1fw0=")</f>
        <v>#VALUE!</v>
      </c>
      <c r="O158" t="e">
        <f>AND('GA55 Entry'!#REF!,"AAAAAH+1fw4=")</f>
        <v>#REF!</v>
      </c>
      <c r="P158" t="e">
        <f>AND('GA55 Entry'!#REF!,"AAAAAH+1fw8=")</f>
        <v>#REF!</v>
      </c>
      <c r="Q158" t="e">
        <f>AND('GA55 Entry'!X559,"AAAAAH+1fxA=")</f>
        <v>#VALUE!</v>
      </c>
      <c r="R158" t="e">
        <f>AND('GA55 Entry'!Y559,"AAAAAH+1fxE=")</f>
        <v>#VALUE!</v>
      </c>
      <c r="S158" t="e">
        <f>AND('GA55 Entry'!#REF!,"AAAAAH+1fxI=")</f>
        <v>#REF!</v>
      </c>
      <c r="T158" t="e">
        <f>AND('GA55 Entry'!#REF!,"AAAAAH+1fxM=")</f>
        <v>#REF!</v>
      </c>
      <c r="U158" t="e">
        <f>AND('GA55 Entry'!#REF!,"AAAAAH+1fxQ=")</f>
        <v>#REF!</v>
      </c>
      <c r="V158" t="e">
        <f>AND('GA55 Entry'!#REF!,"AAAAAH+1fxU=")</f>
        <v>#REF!</v>
      </c>
      <c r="W158" t="e">
        <f>AND('GA55 Entry'!#REF!,"AAAAAH+1fxY=")</f>
        <v>#REF!</v>
      </c>
      <c r="X158" t="e">
        <f>AND('GA55 Entry'!#REF!,"AAAAAH+1fxc=")</f>
        <v>#REF!</v>
      </c>
      <c r="Y158" t="e">
        <f>AND('GA55 Entry'!#REF!,"AAAAAH+1fxg=")</f>
        <v>#REF!</v>
      </c>
      <c r="Z158" t="e">
        <f>AND('GA55 Entry'!#REF!,"AAAAAH+1fxk=")</f>
        <v>#REF!</v>
      </c>
      <c r="AA158" t="e">
        <f>AND('GA55 Entry'!#REF!,"AAAAAH+1fxo=")</f>
        <v>#REF!</v>
      </c>
      <c r="AB158" t="e">
        <f>AND('GA55 Entry'!Z559,"AAAAAH+1fxs=")</f>
        <v>#VALUE!</v>
      </c>
      <c r="AC158" t="e">
        <f>AND('GA55 Entry'!AA559,"AAAAAH+1fxw=")</f>
        <v>#VALUE!</v>
      </c>
      <c r="AD158" t="e">
        <f>AND('GA55 Entry'!#REF!,"AAAAAH+1fx0=")</f>
        <v>#REF!</v>
      </c>
      <c r="AE158" t="e">
        <f>AND('GA55 Entry'!#REF!,"AAAAAH+1fx4=")</f>
        <v>#REF!</v>
      </c>
      <c r="AF158" t="e">
        <f>AND('GA55 Entry'!#REF!,"AAAAAH+1fx8=")</f>
        <v>#REF!</v>
      </c>
      <c r="AG158" t="e">
        <f>AND('GA55 Entry'!AB559,"AAAAAH+1fyA=")</f>
        <v>#VALUE!</v>
      </c>
      <c r="AH158" t="e">
        <f>AND('GA55 Entry'!AC559,"AAAAAH+1fyE=")</f>
        <v>#VALUE!</v>
      </c>
      <c r="AI158" t="e">
        <f>AND('GA55 Entry'!#REF!,"AAAAAH+1fyI=")</f>
        <v>#REF!</v>
      </c>
      <c r="AJ158">
        <f>IF('GA55 Entry'!560:560,"AAAAAH+1fyM=",0)</f>
        <v>0</v>
      </c>
      <c r="AK158" t="e">
        <f>AND('GA55 Entry'!B560,"AAAAAH+1fyQ=")</f>
        <v>#VALUE!</v>
      </c>
      <c r="AL158" t="e">
        <f>AND('GA55 Entry'!#REF!,"AAAAAH+1fyU=")</f>
        <v>#REF!</v>
      </c>
      <c r="AM158" t="e">
        <f>AND('GA55 Entry'!C560,"AAAAAH+1fyY=")</f>
        <v>#VALUE!</v>
      </c>
      <c r="AN158" t="e">
        <f>AND('GA55 Entry'!#REF!,"AAAAAH+1fyc=")</f>
        <v>#REF!</v>
      </c>
      <c r="AO158" t="e">
        <f>AND('GA55 Entry'!#REF!,"AAAAAH+1fyg=")</f>
        <v>#REF!</v>
      </c>
      <c r="AP158" t="e">
        <f>AND('GA55 Entry'!#REF!,"AAAAAH+1fyk=")</f>
        <v>#REF!</v>
      </c>
      <c r="AQ158" t="e">
        <f>AND('GA55 Entry'!#REF!,"AAAAAH+1fyo=")</f>
        <v>#REF!</v>
      </c>
      <c r="AR158" t="e">
        <f>AND('GA55 Entry'!#REF!,"AAAAAH+1fys=")</f>
        <v>#REF!</v>
      </c>
      <c r="AS158" t="e">
        <f>AND('GA55 Entry'!D560,"AAAAAH+1fyw=")</f>
        <v>#VALUE!</v>
      </c>
      <c r="AT158" t="e">
        <f>AND('GA55 Entry'!#REF!,"AAAAAH+1fy0=")</f>
        <v>#REF!</v>
      </c>
      <c r="AU158" t="e">
        <f>AND('GA55 Entry'!E560,"AAAAAH+1fy4=")</f>
        <v>#VALUE!</v>
      </c>
      <c r="AV158" t="e">
        <f>AND('GA55 Entry'!F560,"AAAAAH+1fy8=")</f>
        <v>#VALUE!</v>
      </c>
      <c r="AW158" t="e">
        <f>AND('GA55 Entry'!G560,"AAAAAH+1fzA=")</f>
        <v>#VALUE!</v>
      </c>
      <c r="AX158" t="e">
        <f>AND('GA55 Entry'!H560,"AAAAAH+1fzE=")</f>
        <v>#VALUE!</v>
      </c>
      <c r="AY158" t="e">
        <f>AND('GA55 Entry'!I560,"AAAAAH+1fzI=")</f>
        <v>#VALUE!</v>
      </c>
      <c r="AZ158" t="e">
        <f>AND('GA55 Entry'!J560,"AAAAAH+1fzM=")</f>
        <v>#VALUE!</v>
      </c>
      <c r="BA158" t="e">
        <f>AND('GA55 Entry'!#REF!,"AAAAAH+1fzQ=")</f>
        <v>#REF!</v>
      </c>
      <c r="BB158" t="e">
        <f>AND('GA55 Entry'!K560,"AAAAAH+1fzU=")</f>
        <v>#VALUE!</v>
      </c>
      <c r="BC158" t="e">
        <f>AND('GA55 Entry'!L560,"AAAAAH+1fzY=")</f>
        <v>#VALUE!</v>
      </c>
      <c r="BD158" t="e">
        <f>AND('GA55 Entry'!M560,"AAAAAH+1fzc=")</f>
        <v>#VALUE!</v>
      </c>
      <c r="BE158" t="e">
        <f>AND('GA55 Entry'!N560,"AAAAAH+1fzg=")</f>
        <v>#VALUE!</v>
      </c>
      <c r="BF158" t="e">
        <f>AND('GA55 Entry'!O560,"AAAAAH+1fzk=")</f>
        <v>#VALUE!</v>
      </c>
      <c r="BG158" t="e">
        <f>AND('GA55 Entry'!P560,"AAAAAH+1fzo=")</f>
        <v>#VALUE!</v>
      </c>
      <c r="BH158" t="e">
        <f>AND('GA55 Entry'!Q560,"AAAAAH+1fzs=")</f>
        <v>#VALUE!</v>
      </c>
      <c r="BI158" t="e">
        <f>AND('GA55 Entry'!S560,"AAAAAH+1fzw=")</f>
        <v>#VALUE!</v>
      </c>
      <c r="BJ158" t="e">
        <f>AND('GA55 Entry'!#REF!,"AAAAAH+1fz0=")</f>
        <v>#REF!</v>
      </c>
      <c r="BK158" t="e">
        <f>AND('GA55 Entry'!T560,"AAAAAH+1fz4=")</f>
        <v>#VALUE!</v>
      </c>
      <c r="BL158" t="e">
        <f>AND('GA55 Entry'!U560,"AAAAAH+1fz8=")</f>
        <v>#VALUE!</v>
      </c>
      <c r="BM158" t="e">
        <f>AND('GA55 Entry'!V560,"AAAAAH+1f0A=")</f>
        <v>#VALUE!</v>
      </c>
      <c r="BN158" t="e">
        <f>AND('GA55 Entry'!#REF!,"AAAAAH+1f0E=")</f>
        <v>#REF!</v>
      </c>
      <c r="BO158" t="e">
        <f>AND('GA55 Entry'!#REF!,"AAAAAH+1f0I=")</f>
        <v>#REF!</v>
      </c>
      <c r="BP158" t="e">
        <f>AND('GA55 Entry'!X560,"AAAAAH+1f0M=")</f>
        <v>#VALUE!</v>
      </c>
      <c r="BQ158" t="e">
        <f>AND('GA55 Entry'!Y560,"AAAAAH+1f0Q=")</f>
        <v>#VALUE!</v>
      </c>
      <c r="BR158" t="e">
        <f>AND('GA55 Entry'!#REF!,"AAAAAH+1f0U=")</f>
        <v>#REF!</v>
      </c>
      <c r="BS158" t="e">
        <f>AND('GA55 Entry'!#REF!,"AAAAAH+1f0Y=")</f>
        <v>#REF!</v>
      </c>
      <c r="BT158" t="e">
        <f>AND('GA55 Entry'!#REF!,"AAAAAH+1f0c=")</f>
        <v>#REF!</v>
      </c>
      <c r="BU158" t="e">
        <f>AND('GA55 Entry'!#REF!,"AAAAAH+1f0g=")</f>
        <v>#REF!</v>
      </c>
      <c r="BV158" t="e">
        <f>AND('GA55 Entry'!#REF!,"AAAAAH+1f0k=")</f>
        <v>#REF!</v>
      </c>
      <c r="BW158" t="e">
        <f>AND('GA55 Entry'!#REF!,"AAAAAH+1f0o=")</f>
        <v>#REF!</v>
      </c>
      <c r="BX158" t="e">
        <f>AND('GA55 Entry'!#REF!,"AAAAAH+1f0s=")</f>
        <v>#REF!</v>
      </c>
      <c r="BY158" t="e">
        <f>AND('GA55 Entry'!#REF!,"AAAAAH+1f0w=")</f>
        <v>#REF!</v>
      </c>
      <c r="BZ158" t="e">
        <f>AND('GA55 Entry'!#REF!,"AAAAAH+1f00=")</f>
        <v>#REF!</v>
      </c>
      <c r="CA158" t="e">
        <f>AND('GA55 Entry'!Z560,"AAAAAH+1f04=")</f>
        <v>#VALUE!</v>
      </c>
      <c r="CB158" t="e">
        <f>AND('GA55 Entry'!AA560,"AAAAAH+1f08=")</f>
        <v>#VALUE!</v>
      </c>
      <c r="CC158" t="e">
        <f>AND('GA55 Entry'!#REF!,"AAAAAH+1f1A=")</f>
        <v>#REF!</v>
      </c>
      <c r="CD158" t="e">
        <f>AND('GA55 Entry'!#REF!,"AAAAAH+1f1E=")</f>
        <v>#REF!</v>
      </c>
      <c r="CE158" t="e">
        <f>AND('GA55 Entry'!#REF!,"AAAAAH+1f1I=")</f>
        <v>#REF!</v>
      </c>
      <c r="CF158" t="e">
        <f>AND('GA55 Entry'!AB560,"AAAAAH+1f1M=")</f>
        <v>#VALUE!</v>
      </c>
      <c r="CG158" t="e">
        <f>AND('GA55 Entry'!AC560,"AAAAAH+1f1Q=")</f>
        <v>#VALUE!</v>
      </c>
      <c r="CH158" t="e">
        <f>AND('GA55 Entry'!#REF!,"AAAAAH+1f1U=")</f>
        <v>#REF!</v>
      </c>
      <c r="CI158">
        <f>IF('GA55 Entry'!561:561,"AAAAAH+1f1Y=",0)</f>
        <v>0</v>
      </c>
      <c r="CJ158" t="e">
        <f>AND('GA55 Entry'!B561,"AAAAAH+1f1c=")</f>
        <v>#VALUE!</v>
      </c>
      <c r="CK158" t="e">
        <f>AND('GA55 Entry'!#REF!,"AAAAAH+1f1g=")</f>
        <v>#REF!</v>
      </c>
      <c r="CL158" t="e">
        <f>AND('GA55 Entry'!C561,"AAAAAH+1f1k=")</f>
        <v>#VALUE!</v>
      </c>
      <c r="CM158" t="e">
        <f>AND('GA55 Entry'!#REF!,"AAAAAH+1f1o=")</f>
        <v>#REF!</v>
      </c>
      <c r="CN158" t="e">
        <f>AND('GA55 Entry'!#REF!,"AAAAAH+1f1s=")</f>
        <v>#REF!</v>
      </c>
      <c r="CO158" t="e">
        <f>AND('GA55 Entry'!#REF!,"AAAAAH+1f1w=")</f>
        <v>#REF!</v>
      </c>
      <c r="CP158" t="e">
        <f>AND('GA55 Entry'!#REF!,"AAAAAH+1f10=")</f>
        <v>#REF!</v>
      </c>
      <c r="CQ158" t="e">
        <f>AND('GA55 Entry'!#REF!,"AAAAAH+1f14=")</f>
        <v>#REF!</v>
      </c>
      <c r="CR158" t="e">
        <f>AND('GA55 Entry'!D561,"AAAAAH+1f18=")</f>
        <v>#VALUE!</v>
      </c>
      <c r="CS158" t="e">
        <f>AND('GA55 Entry'!#REF!,"AAAAAH+1f2A=")</f>
        <v>#REF!</v>
      </c>
      <c r="CT158" t="e">
        <f>AND('GA55 Entry'!E561,"AAAAAH+1f2E=")</f>
        <v>#VALUE!</v>
      </c>
      <c r="CU158" t="e">
        <f>AND('GA55 Entry'!F561,"AAAAAH+1f2I=")</f>
        <v>#VALUE!</v>
      </c>
      <c r="CV158" t="e">
        <f>AND('GA55 Entry'!G561,"AAAAAH+1f2M=")</f>
        <v>#VALUE!</v>
      </c>
      <c r="CW158" t="e">
        <f>AND('GA55 Entry'!H561,"AAAAAH+1f2Q=")</f>
        <v>#VALUE!</v>
      </c>
      <c r="CX158" t="e">
        <f>AND('GA55 Entry'!I561,"AAAAAH+1f2U=")</f>
        <v>#VALUE!</v>
      </c>
      <c r="CY158" t="e">
        <f>AND('GA55 Entry'!J561,"AAAAAH+1f2Y=")</f>
        <v>#VALUE!</v>
      </c>
      <c r="CZ158" t="e">
        <f>AND('GA55 Entry'!#REF!,"AAAAAH+1f2c=")</f>
        <v>#REF!</v>
      </c>
      <c r="DA158" t="e">
        <f>AND('GA55 Entry'!K561,"AAAAAH+1f2g=")</f>
        <v>#VALUE!</v>
      </c>
      <c r="DB158" t="e">
        <f>AND('GA55 Entry'!L561,"AAAAAH+1f2k=")</f>
        <v>#VALUE!</v>
      </c>
      <c r="DC158" t="e">
        <f>AND('GA55 Entry'!M561,"AAAAAH+1f2o=")</f>
        <v>#VALUE!</v>
      </c>
      <c r="DD158" t="e">
        <f>AND('GA55 Entry'!N561,"AAAAAH+1f2s=")</f>
        <v>#VALUE!</v>
      </c>
      <c r="DE158" t="e">
        <f>AND('GA55 Entry'!O561,"AAAAAH+1f2w=")</f>
        <v>#VALUE!</v>
      </c>
      <c r="DF158" t="e">
        <f>AND('GA55 Entry'!P561,"AAAAAH+1f20=")</f>
        <v>#VALUE!</v>
      </c>
      <c r="DG158" t="e">
        <f>AND('GA55 Entry'!Q561,"AAAAAH+1f24=")</f>
        <v>#VALUE!</v>
      </c>
      <c r="DH158" t="e">
        <f>AND('GA55 Entry'!S561,"AAAAAH+1f28=")</f>
        <v>#VALUE!</v>
      </c>
      <c r="DI158" t="e">
        <f>AND('GA55 Entry'!#REF!,"AAAAAH+1f3A=")</f>
        <v>#REF!</v>
      </c>
      <c r="DJ158" t="e">
        <f>AND('GA55 Entry'!T561,"AAAAAH+1f3E=")</f>
        <v>#VALUE!</v>
      </c>
      <c r="DK158" t="e">
        <f>AND('GA55 Entry'!U561,"AAAAAH+1f3I=")</f>
        <v>#VALUE!</v>
      </c>
      <c r="DL158" t="e">
        <f>AND('GA55 Entry'!V561,"AAAAAH+1f3M=")</f>
        <v>#VALUE!</v>
      </c>
      <c r="DM158" t="e">
        <f>AND('GA55 Entry'!#REF!,"AAAAAH+1f3Q=")</f>
        <v>#REF!</v>
      </c>
      <c r="DN158" t="e">
        <f>AND('GA55 Entry'!#REF!,"AAAAAH+1f3U=")</f>
        <v>#REF!</v>
      </c>
      <c r="DO158" t="e">
        <f>AND('GA55 Entry'!X561,"AAAAAH+1f3Y=")</f>
        <v>#VALUE!</v>
      </c>
      <c r="DP158" t="e">
        <f>AND('GA55 Entry'!Y561,"AAAAAH+1f3c=")</f>
        <v>#VALUE!</v>
      </c>
      <c r="DQ158" t="e">
        <f>AND('GA55 Entry'!#REF!,"AAAAAH+1f3g=")</f>
        <v>#REF!</v>
      </c>
      <c r="DR158" t="e">
        <f>AND('GA55 Entry'!#REF!,"AAAAAH+1f3k=")</f>
        <v>#REF!</v>
      </c>
      <c r="DS158" t="e">
        <f>AND('GA55 Entry'!#REF!,"AAAAAH+1f3o=")</f>
        <v>#REF!</v>
      </c>
      <c r="DT158" t="e">
        <f>AND('GA55 Entry'!#REF!,"AAAAAH+1f3s=")</f>
        <v>#REF!</v>
      </c>
      <c r="DU158" t="e">
        <f>AND('GA55 Entry'!#REF!,"AAAAAH+1f3w=")</f>
        <v>#REF!</v>
      </c>
      <c r="DV158" t="e">
        <f>AND('GA55 Entry'!#REF!,"AAAAAH+1f30=")</f>
        <v>#REF!</v>
      </c>
      <c r="DW158" t="e">
        <f>AND('GA55 Entry'!#REF!,"AAAAAH+1f34=")</f>
        <v>#REF!</v>
      </c>
      <c r="DX158" t="e">
        <f>AND('GA55 Entry'!#REF!,"AAAAAH+1f38=")</f>
        <v>#REF!</v>
      </c>
      <c r="DY158" t="e">
        <f>AND('GA55 Entry'!#REF!,"AAAAAH+1f4A=")</f>
        <v>#REF!</v>
      </c>
      <c r="DZ158" t="e">
        <f>AND('GA55 Entry'!Z561,"AAAAAH+1f4E=")</f>
        <v>#VALUE!</v>
      </c>
      <c r="EA158" t="e">
        <f>AND('GA55 Entry'!AA561,"AAAAAH+1f4I=")</f>
        <v>#VALUE!</v>
      </c>
      <c r="EB158" t="e">
        <f>AND('GA55 Entry'!#REF!,"AAAAAH+1f4M=")</f>
        <v>#REF!</v>
      </c>
      <c r="EC158" t="e">
        <f>AND('GA55 Entry'!#REF!,"AAAAAH+1f4Q=")</f>
        <v>#REF!</v>
      </c>
      <c r="ED158" t="e">
        <f>AND('GA55 Entry'!#REF!,"AAAAAH+1f4U=")</f>
        <v>#REF!</v>
      </c>
      <c r="EE158" t="e">
        <f>AND('GA55 Entry'!AB561,"AAAAAH+1f4Y=")</f>
        <v>#VALUE!</v>
      </c>
      <c r="EF158" t="e">
        <f>AND('GA55 Entry'!AC561,"AAAAAH+1f4c=")</f>
        <v>#VALUE!</v>
      </c>
      <c r="EG158" t="e">
        <f>AND('GA55 Entry'!#REF!,"AAAAAH+1f4g=")</f>
        <v>#REF!</v>
      </c>
      <c r="EH158">
        <f>IF('GA55 Entry'!562:562,"AAAAAH+1f4k=",0)</f>
        <v>0</v>
      </c>
      <c r="EI158" t="e">
        <f>AND('GA55 Entry'!B562,"AAAAAH+1f4o=")</f>
        <v>#VALUE!</v>
      </c>
      <c r="EJ158" t="e">
        <f>AND('GA55 Entry'!#REF!,"AAAAAH+1f4s=")</f>
        <v>#REF!</v>
      </c>
      <c r="EK158" t="e">
        <f>AND('GA55 Entry'!C562,"AAAAAH+1f4w=")</f>
        <v>#VALUE!</v>
      </c>
      <c r="EL158" t="e">
        <f>AND('GA55 Entry'!#REF!,"AAAAAH+1f40=")</f>
        <v>#REF!</v>
      </c>
      <c r="EM158" t="e">
        <f>AND('GA55 Entry'!#REF!,"AAAAAH+1f44=")</f>
        <v>#REF!</v>
      </c>
      <c r="EN158" t="e">
        <f>AND('GA55 Entry'!#REF!,"AAAAAH+1f48=")</f>
        <v>#REF!</v>
      </c>
      <c r="EO158" t="e">
        <f>AND('GA55 Entry'!#REF!,"AAAAAH+1f5A=")</f>
        <v>#REF!</v>
      </c>
      <c r="EP158" t="e">
        <f>AND('GA55 Entry'!#REF!,"AAAAAH+1f5E=")</f>
        <v>#REF!</v>
      </c>
      <c r="EQ158" t="e">
        <f>AND('GA55 Entry'!D562,"AAAAAH+1f5I=")</f>
        <v>#VALUE!</v>
      </c>
      <c r="ER158" t="e">
        <f>AND('GA55 Entry'!#REF!,"AAAAAH+1f5M=")</f>
        <v>#REF!</v>
      </c>
      <c r="ES158" t="e">
        <f>AND('GA55 Entry'!E562,"AAAAAH+1f5Q=")</f>
        <v>#VALUE!</v>
      </c>
      <c r="ET158" t="e">
        <f>AND('GA55 Entry'!F562,"AAAAAH+1f5U=")</f>
        <v>#VALUE!</v>
      </c>
      <c r="EU158" t="e">
        <f>AND('GA55 Entry'!G562,"AAAAAH+1f5Y=")</f>
        <v>#VALUE!</v>
      </c>
      <c r="EV158" t="e">
        <f>AND('GA55 Entry'!H562,"AAAAAH+1f5c=")</f>
        <v>#VALUE!</v>
      </c>
      <c r="EW158" t="e">
        <f>AND('GA55 Entry'!I562,"AAAAAH+1f5g=")</f>
        <v>#VALUE!</v>
      </c>
      <c r="EX158" t="e">
        <f>AND('GA55 Entry'!J562,"AAAAAH+1f5k=")</f>
        <v>#VALUE!</v>
      </c>
      <c r="EY158" t="e">
        <f>AND('GA55 Entry'!#REF!,"AAAAAH+1f5o=")</f>
        <v>#REF!</v>
      </c>
      <c r="EZ158" t="e">
        <f>AND('GA55 Entry'!K562,"AAAAAH+1f5s=")</f>
        <v>#VALUE!</v>
      </c>
      <c r="FA158" t="e">
        <f>AND('GA55 Entry'!L562,"AAAAAH+1f5w=")</f>
        <v>#VALUE!</v>
      </c>
      <c r="FB158" t="e">
        <f>AND('GA55 Entry'!M562,"AAAAAH+1f50=")</f>
        <v>#VALUE!</v>
      </c>
      <c r="FC158" t="e">
        <f>AND('GA55 Entry'!N562,"AAAAAH+1f54=")</f>
        <v>#VALUE!</v>
      </c>
      <c r="FD158" t="e">
        <f>AND('GA55 Entry'!O562,"AAAAAH+1f58=")</f>
        <v>#VALUE!</v>
      </c>
      <c r="FE158" t="e">
        <f>AND('GA55 Entry'!P562,"AAAAAH+1f6A=")</f>
        <v>#VALUE!</v>
      </c>
      <c r="FF158" t="e">
        <f>AND('GA55 Entry'!Q562,"AAAAAH+1f6E=")</f>
        <v>#VALUE!</v>
      </c>
      <c r="FG158" t="e">
        <f>AND('GA55 Entry'!S562,"AAAAAH+1f6I=")</f>
        <v>#VALUE!</v>
      </c>
      <c r="FH158" t="e">
        <f>AND('GA55 Entry'!#REF!,"AAAAAH+1f6M=")</f>
        <v>#REF!</v>
      </c>
      <c r="FI158" t="e">
        <f>AND('GA55 Entry'!T562,"AAAAAH+1f6Q=")</f>
        <v>#VALUE!</v>
      </c>
      <c r="FJ158" t="e">
        <f>AND('GA55 Entry'!U562,"AAAAAH+1f6U=")</f>
        <v>#VALUE!</v>
      </c>
      <c r="FK158" t="e">
        <f>AND('GA55 Entry'!V562,"AAAAAH+1f6Y=")</f>
        <v>#VALUE!</v>
      </c>
      <c r="FL158" t="e">
        <f>AND('GA55 Entry'!#REF!,"AAAAAH+1f6c=")</f>
        <v>#REF!</v>
      </c>
      <c r="FM158" t="e">
        <f>AND('GA55 Entry'!#REF!,"AAAAAH+1f6g=")</f>
        <v>#REF!</v>
      </c>
      <c r="FN158" t="e">
        <f>AND('GA55 Entry'!X562,"AAAAAH+1f6k=")</f>
        <v>#VALUE!</v>
      </c>
      <c r="FO158" t="e">
        <f>AND('GA55 Entry'!Y562,"AAAAAH+1f6o=")</f>
        <v>#VALUE!</v>
      </c>
      <c r="FP158" t="e">
        <f>AND('GA55 Entry'!#REF!,"AAAAAH+1f6s=")</f>
        <v>#REF!</v>
      </c>
      <c r="FQ158" t="e">
        <f>AND('GA55 Entry'!#REF!,"AAAAAH+1f6w=")</f>
        <v>#REF!</v>
      </c>
      <c r="FR158" t="e">
        <f>AND('GA55 Entry'!#REF!,"AAAAAH+1f60=")</f>
        <v>#REF!</v>
      </c>
      <c r="FS158" t="e">
        <f>AND('GA55 Entry'!#REF!,"AAAAAH+1f64=")</f>
        <v>#REF!</v>
      </c>
      <c r="FT158" t="e">
        <f>AND('GA55 Entry'!#REF!,"AAAAAH+1f68=")</f>
        <v>#REF!</v>
      </c>
      <c r="FU158" t="e">
        <f>AND('GA55 Entry'!#REF!,"AAAAAH+1f7A=")</f>
        <v>#REF!</v>
      </c>
      <c r="FV158" t="e">
        <f>AND('GA55 Entry'!#REF!,"AAAAAH+1f7E=")</f>
        <v>#REF!</v>
      </c>
      <c r="FW158" t="e">
        <f>AND('GA55 Entry'!#REF!,"AAAAAH+1f7I=")</f>
        <v>#REF!</v>
      </c>
      <c r="FX158" t="e">
        <f>AND('GA55 Entry'!#REF!,"AAAAAH+1f7M=")</f>
        <v>#REF!</v>
      </c>
      <c r="FY158" t="e">
        <f>AND('GA55 Entry'!Z562,"AAAAAH+1f7Q=")</f>
        <v>#VALUE!</v>
      </c>
      <c r="FZ158" t="e">
        <f>AND('GA55 Entry'!AA562,"AAAAAH+1f7U=")</f>
        <v>#VALUE!</v>
      </c>
      <c r="GA158" t="e">
        <f>AND('GA55 Entry'!#REF!,"AAAAAH+1f7Y=")</f>
        <v>#REF!</v>
      </c>
      <c r="GB158" t="e">
        <f>AND('GA55 Entry'!#REF!,"AAAAAH+1f7c=")</f>
        <v>#REF!</v>
      </c>
      <c r="GC158" t="e">
        <f>AND('GA55 Entry'!#REF!,"AAAAAH+1f7g=")</f>
        <v>#REF!</v>
      </c>
      <c r="GD158" t="e">
        <f>AND('GA55 Entry'!AB562,"AAAAAH+1f7k=")</f>
        <v>#VALUE!</v>
      </c>
      <c r="GE158" t="e">
        <f>AND('GA55 Entry'!AC562,"AAAAAH+1f7o=")</f>
        <v>#VALUE!</v>
      </c>
      <c r="GF158" t="e">
        <f>AND('GA55 Entry'!#REF!,"AAAAAH+1f7s=")</f>
        <v>#REF!</v>
      </c>
      <c r="GG158">
        <f>IF('GA55 Entry'!563:563,"AAAAAH+1f7w=",0)</f>
        <v>0</v>
      </c>
      <c r="GH158" t="e">
        <f>AND('GA55 Entry'!B563,"AAAAAH+1f70=")</f>
        <v>#VALUE!</v>
      </c>
      <c r="GI158" t="e">
        <f>AND('GA55 Entry'!#REF!,"AAAAAH+1f74=")</f>
        <v>#REF!</v>
      </c>
      <c r="GJ158" t="e">
        <f>AND('GA55 Entry'!C563,"AAAAAH+1f78=")</f>
        <v>#VALUE!</v>
      </c>
      <c r="GK158" t="e">
        <f>AND('GA55 Entry'!#REF!,"AAAAAH+1f8A=")</f>
        <v>#REF!</v>
      </c>
      <c r="GL158" t="e">
        <f>AND('GA55 Entry'!#REF!,"AAAAAH+1f8E=")</f>
        <v>#REF!</v>
      </c>
      <c r="GM158" t="e">
        <f>AND('GA55 Entry'!#REF!,"AAAAAH+1f8I=")</f>
        <v>#REF!</v>
      </c>
      <c r="GN158" t="e">
        <f>AND('GA55 Entry'!#REF!,"AAAAAH+1f8M=")</f>
        <v>#REF!</v>
      </c>
      <c r="GO158" t="e">
        <f>AND('GA55 Entry'!#REF!,"AAAAAH+1f8Q=")</f>
        <v>#REF!</v>
      </c>
      <c r="GP158" t="e">
        <f>AND('GA55 Entry'!D563,"AAAAAH+1f8U=")</f>
        <v>#VALUE!</v>
      </c>
      <c r="GQ158" t="e">
        <f>AND('GA55 Entry'!#REF!,"AAAAAH+1f8Y=")</f>
        <v>#REF!</v>
      </c>
      <c r="GR158" t="e">
        <f>AND('GA55 Entry'!E563,"AAAAAH+1f8c=")</f>
        <v>#VALUE!</v>
      </c>
      <c r="GS158" t="e">
        <f>AND('GA55 Entry'!F563,"AAAAAH+1f8g=")</f>
        <v>#VALUE!</v>
      </c>
      <c r="GT158" t="e">
        <f>AND('GA55 Entry'!G563,"AAAAAH+1f8k=")</f>
        <v>#VALUE!</v>
      </c>
      <c r="GU158" t="e">
        <f>AND('GA55 Entry'!H563,"AAAAAH+1f8o=")</f>
        <v>#VALUE!</v>
      </c>
      <c r="GV158" t="e">
        <f>AND('GA55 Entry'!I563,"AAAAAH+1f8s=")</f>
        <v>#VALUE!</v>
      </c>
      <c r="GW158" t="e">
        <f>AND('GA55 Entry'!J563,"AAAAAH+1f8w=")</f>
        <v>#VALUE!</v>
      </c>
      <c r="GX158" t="e">
        <f>AND('GA55 Entry'!#REF!,"AAAAAH+1f80=")</f>
        <v>#REF!</v>
      </c>
      <c r="GY158" t="e">
        <f>AND('GA55 Entry'!K563,"AAAAAH+1f84=")</f>
        <v>#VALUE!</v>
      </c>
      <c r="GZ158" t="e">
        <f>AND('GA55 Entry'!L563,"AAAAAH+1f88=")</f>
        <v>#VALUE!</v>
      </c>
      <c r="HA158" t="e">
        <f>AND('GA55 Entry'!M563,"AAAAAH+1f9A=")</f>
        <v>#VALUE!</v>
      </c>
      <c r="HB158" t="e">
        <f>AND('GA55 Entry'!N563,"AAAAAH+1f9E=")</f>
        <v>#VALUE!</v>
      </c>
      <c r="HC158" t="e">
        <f>AND('GA55 Entry'!O563,"AAAAAH+1f9I=")</f>
        <v>#VALUE!</v>
      </c>
      <c r="HD158" t="e">
        <f>AND('GA55 Entry'!P563,"AAAAAH+1f9M=")</f>
        <v>#VALUE!</v>
      </c>
      <c r="HE158" t="e">
        <f>AND('GA55 Entry'!Q563,"AAAAAH+1f9Q=")</f>
        <v>#VALUE!</v>
      </c>
      <c r="HF158" t="e">
        <f>AND('GA55 Entry'!S563,"AAAAAH+1f9U=")</f>
        <v>#VALUE!</v>
      </c>
      <c r="HG158" t="e">
        <f>AND('GA55 Entry'!#REF!,"AAAAAH+1f9Y=")</f>
        <v>#REF!</v>
      </c>
      <c r="HH158" t="e">
        <f>AND('GA55 Entry'!T563,"AAAAAH+1f9c=")</f>
        <v>#VALUE!</v>
      </c>
      <c r="HI158" t="e">
        <f>AND('GA55 Entry'!U563,"AAAAAH+1f9g=")</f>
        <v>#VALUE!</v>
      </c>
      <c r="HJ158" t="e">
        <f>AND('GA55 Entry'!V563,"AAAAAH+1f9k=")</f>
        <v>#VALUE!</v>
      </c>
      <c r="HK158" t="e">
        <f>AND('GA55 Entry'!#REF!,"AAAAAH+1f9o=")</f>
        <v>#REF!</v>
      </c>
      <c r="HL158" t="e">
        <f>AND('GA55 Entry'!#REF!,"AAAAAH+1f9s=")</f>
        <v>#REF!</v>
      </c>
      <c r="HM158" t="e">
        <f>AND('GA55 Entry'!X563,"AAAAAH+1f9w=")</f>
        <v>#VALUE!</v>
      </c>
      <c r="HN158" t="e">
        <f>AND('GA55 Entry'!Y563,"AAAAAH+1f90=")</f>
        <v>#VALUE!</v>
      </c>
      <c r="HO158" t="e">
        <f>AND('GA55 Entry'!#REF!,"AAAAAH+1f94=")</f>
        <v>#REF!</v>
      </c>
      <c r="HP158" t="e">
        <f>AND('GA55 Entry'!#REF!,"AAAAAH+1f98=")</f>
        <v>#REF!</v>
      </c>
      <c r="HQ158" t="e">
        <f>AND('GA55 Entry'!#REF!,"AAAAAH+1f+A=")</f>
        <v>#REF!</v>
      </c>
      <c r="HR158" t="e">
        <f>AND('GA55 Entry'!#REF!,"AAAAAH+1f+E=")</f>
        <v>#REF!</v>
      </c>
      <c r="HS158" t="e">
        <f>AND('GA55 Entry'!#REF!,"AAAAAH+1f+I=")</f>
        <v>#REF!</v>
      </c>
      <c r="HT158" t="e">
        <f>AND('GA55 Entry'!#REF!,"AAAAAH+1f+M=")</f>
        <v>#REF!</v>
      </c>
      <c r="HU158" t="e">
        <f>AND('GA55 Entry'!#REF!,"AAAAAH+1f+Q=")</f>
        <v>#REF!</v>
      </c>
      <c r="HV158" t="e">
        <f>AND('GA55 Entry'!#REF!,"AAAAAH+1f+U=")</f>
        <v>#REF!</v>
      </c>
      <c r="HW158" t="e">
        <f>AND('GA55 Entry'!#REF!,"AAAAAH+1f+Y=")</f>
        <v>#REF!</v>
      </c>
      <c r="HX158" t="e">
        <f>AND('GA55 Entry'!Z563,"AAAAAH+1f+c=")</f>
        <v>#VALUE!</v>
      </c>
      <c r="HY158" t="e">
        <f>AND('GA55 Entry'!AA563,"AAAAAH+1f+g=")</f>
        <v>#VALUE!</v>
      </c>
      <c r="HZ158" t="e">
        <f>AND('GA55 Entry'!#REF!,"AAAAAH+1f+k=")</f>
        <v>#REF!</v>
      </c>
      <c r="IA158" t="e">
        <f>AND('GA55 Entry'!#REF!,"AAAAAH+1f+o=")</f>
        <v>#REF!</v>
      </c>
      <c r="IB158" t="e">
        <f>AND('GA55 Entry'!#REF!,"AAAAAH+1f+s=")</f>
        <v>#REF!</v>
      </c>
      <c r="IC158" t="e">
        <f>AND('GA55 Entry'!AB563,"AAAAAH+1f+w=")</f>
        <v>#VALUE!</v>
      </c>
      <c r="ID158" t="e">
        <f>AND('GA55 Entry'!AC563,"AAAAAH+1f+0=")</f>
        <v>#VALUE!</v>
      </c>
      <c r="IE158" t="e">
        <f>AND('GA55 Entry'!#REF!,"AAAAAH+1f+4=")</f>
        <v>#REF!</v>
      </c>
      <c r="IF158">
        <f>IF('GA55 Entry'!564:564,"AAAAAH+1f+8=",0)</f>
        <v>0</v>
      </c>
      <c r="IG158" t="e">
        <f>AND('GA55 Entry'!B564,"AAAAAH+1f/A=")</f>
        <v>#VALUE!</v>
      </c>
      <c r="IH158" t="e">
        <f>AND('GA55 Entry'!#REF!,"AAAAAH+1f/E=")</f>
        <v>#REF!</v>
      </c>
      <c r="II158" t="e">
        <f>AND('GA55 Entry'!C564,"AAAAAH+1f/I=")</f>
        <v>#VALUE!</v>
      </c>
      <c r="IJ158" t="e">
        <f>AND('GA55 Entry'!#REF!,"AAAAAH+1f/M=")</f>
        <v>#REF!</v>
      </c>
      <c r="IK158" t="e">
        <f>AND('GA55 Entry'!#REF!,"AAAAAH+1f/Q=")</f>
        <v>#REF!</v>
      </c>
      <c r="IL158" t="e">
        <f>AND('GA55 Entry'!#REF!,"AAAAAH+1f/U=")</f>
        <v>#REF!</v>
      </c>
      <c r="IM158" t="e">
        <f>AND('GA55 Entry'!#REF!,"AAAAAH+1f/Y=")</f>
        <v>#REF!</v>
      </c>
      <c r="IN158" t="e">
        <f>AND('GA55 Entry'!#REF!,"AAAAAH+1f/c=")</f>
        <v>#REF!</v>
      </c>
      <c r="IO158" t="e">
        <f>AND('GA55 Entry'!D564,"AAAAAH+1f/g=")</f>
        <v>#VALUE!</v>
      </c>
      <c r="IP158" t="e">
        <f>AND('GA55 Entry'!#REF!,"AAAAAH+1f/k=")</f>
        <v>#REF!</v>
      </c>
      <c r="IQ158" t="e">
        <f>AND('GA55 Entry'!E564,"AAAAAH+1f/o=")</f>
        <v>#VALUE!</v>
      </c>
      <c r="IR158" t="e">
        <f>AND('GA55 Entry'!F564,"AAAAAH+1f/s=")</f>
        <v>#VALUE!</v>
      </c>
      <c r="IS158" t="e">
        <f>AND('GA55 Entry'!G564,"AAAAAH+1f/w=")</f>
        <v>#VALUE!</v>
      </c>
      <c r="IT158" t="e">
        <f>AND('GA55 Entry'!H564,"AAAAAH+1f/0=")</f>
        <v>#VALUE!</v>
      </c>
      <c r="IU158" t="e">
        <f>AND('GA55 Entry'!I564,"AAAAAH+1f/4=")</f>
        <v>#VALUE!</v>
      </c>
      <c r="IV158" t="e">
        <f>AND('GA55 Entry'!J564,"AAAAAH+1f/8=")</f>
        <v>#VALUE!</v>
      </c>
    </row>
    <row r="159" spans="1:256">
      <c r="A159" t="e">
        <f>AND('GA55 Entry'!#REF!,"AAAAAH97egA=")</f>
        <v>#REF!</v>
      </c>
      <c r="B159" t="e">
        <f>AND('GA55 Entry'!K564,"AAAAAH97egE=")</f>
        <v>#VALUE!</v>
      </c>
      <c r="C159" t="e">
        <f>AND('GA55 Entry'!L564,"AAAAAH97egI=")</f>
        <v>#VALUE!</v>
      </c>
      <c r="D159" t="e">
        <f>AND('GA55 Entry'!M564,"AAAAAH97egM=")</f>
        <v>#VALUE!</v>
      </c>
      <c r="E159" t="e">
        <f>AND('GA55 Entry'!N564,"AAAAAH97egQ=")</f>
        <v>#VALUE!</v>
      </c>
      <c r="F159" t="e">
        <f>AND('GA55 Entry'!O564,"AAAAAH97egU=")</f>
        <v>#VALUE!</v>
      </c>
      <c r="G159" t="e">
        <f>AND('GA55 Entry'!P564,"AAAAAH97egY=")</f>
        <v>#VALUE!</v>
      </c>
      <c r="H159" t="e">
        <f>AND('GA55 Entry'!Q564,"AAAAAH97egc=")</f>
        <v>#VALUE!</v>
      </c>
      <c r="I159" t="e">
        <f>AND('GA55 Entry'!S564,"AAAAAH97egg=")</f>
        <v>#VALUE!</v>
      </c>
      <c r="J159" t="e">
        <f>AND('GA55 Entry'!#REF!,"AAAAAH97egk=")</f>
        <v>#REF!</v>
      </c>
      <c r="K159" t="e">
        <f>AND('GA55 Entry'!T564,"AAAAAH97ego=")</f>
        <v>#VALUE!</v>
      </c>
      <c r="L159" t="e">
        <f>AND('GA55 Entry'!U564,"AAAAAH97egs=")</f>
        <v>#VALUE!</v>
      </c>
      <c r="M159" t="e">
        <f>AND('GA55 Entry'!V564,"AAAAAH97egw=")</f>
        <v>#VALUE!</v>
      </c>
      <c r="N159" t="e">
        <f>AND('GA55 Entry'!#REF!,"AAAAAH97eg0=")</f>
        <v>#REF!</v>
      </c>
      <c r="O159" t="e">
        <f>AND('GA55 Entry'!#REF!,"AAAAAH97eg4=")</f>
        <v>#REF!</v>
      </c>
      <c r="P159" t="e">
        <f>AND('GA55 Entry'!X564,"AAAAAH97eg8=")</f>
        <v>#VALUE!</v>
      </c>
      <c r="Q159" t="e">
        <f>AND('GA55 Entry'!Y564,"AAAAAH97ehA=")</f>
        <v>#VALUE!</v>
      </c>
      <c r="R159" t="e">
        <f>AND('GA55 Entry'!#REF!,"AAAAAH97ehE=")</f>
        <v>#REF!</v>
      </c>
      <c r="S159" t="e">
        <f>AND('GA55 Entry'!#REF!,"AAAAAH97ehI=")</f>
        <v>#REF!</v>
      </c>
      <c r="T159" t="e">
        <f>AND('GA55 Entry'!#REF!,"AAAAAH97ehM=")</f>
        <v>#REF!</v>
      </c>
      <c r="U159" t="e">
        <f>AND('GA55 Entry'!#REF!,"AAAAAH97ehQ=")</f>
        <v>#REF!</v>
      </c>
      <c r="V159" t="e">
        <f>AND('GA55 Entry'!#REF!,"AAAAAH97ehU=")</f>
        <v>#REF!</v>
      </c>
      <c r="W159" t="e">
        <f>AND('GA55 Entry'!#REF!,"AAAAAH97ehY=")</f>
        <v>#REF!</v>
      </c>
      <c r="X159" t="e">
        <f>AND('GA55 Entry'!#REF!,"AAAAAH97ehc=")</f>
        <v>#REF!</v>
      </c>
      <c r="Y159" t="e">
        <f>AND('GA55 Entry'!#REF!,"AAAAAH97ehg=")</f>
        <v>#REF!</v>
      </c>
      <c r="Z159" t="e">
        <f>AND('GA55 Entry'!#REF!,"AAAAAH97ehk=")</f>
        <v>#REF!</v>
      </c>
      <c r="AA159" t="e">
        <f>AND('GA55 Entry'!Z564,"AAAAAH97eho=")</f>
        <v>#VALUE!</v>
      </c>
      <c r="AB159" t="e">
        <f>AND('GA55 Entry'!AA564,"AAAAAH97ehs=")</f>
        <v>#VALUE!</v>
      </c>
      <c r="AC159" t="e">
        <f>AND('GA55 Entry'!#REF!,"AAAAAH97ehw=")</f>
        <v>#REF!</v>
      </c>
      <c r="AD159" t="e">
        <f>AND('GA55 Entry'!#REF!,"AAAAAH97eh0=")</f>
        <v>#REF!</v>
      </c>
      <c r="AE159" t="e">
        <f>AND('GA55 Entry'!#REF!,"AAAAAH97eh4=")</f>
        <v>#REF!</v>
      </c>
      <c r="AF159" t="e">
        <f>AND('GA55 Entry'!AB564,"AAAAAH97eh8=")</f>
        <v>#VALUE!</v>
      </c>
      <c r="AG159" t="e">
        <f>AND('GA55 Entry'!AC564,"AAAAAH97eiA=")</f>
        <v>#VALUE!</v>
      </c>
      <c r="AH159" t="e">
        <f>AND('GA55 Entry'!#REF!,"AAAAAH97eiE=")</f>
        <v>#REF!</v>
      </c>
      <c r="AI159">
        <f>IF('GA55 Entry'!565:565,"AAAAAH97eiI=",0)</f>
        <v>0</v>
      </c>
      <c r="AJ159" t="e">
        <f>AND('GA55 Entry'!B565,"AAAAAH97eiM=")</f>
        <v>#VALUE!</v>
      </c>
      <c r="AK159" t="e">
        <f>AND('GA55 Entry'!#REF!,"AAAAAH97eiQ=")</f>
        <v>#REF!</v>
      </c>
      <c r="AL159" t="e">
        <f>AND('GA55 Entry'!C565,"AAAAAH97eiU=")</f>
        <v>#VALUE!</v>
      </c>
      <c r="AM159" t="e">
        <f>AND('GA55 Entry'!#REF!,"AAAAAH97eiY=")</f>
        <v>#REF!</v>
      </c>
      <c r="AN159" t="e">
        <f>AND('GA55 Entry'!#REF!,"AAAAAH97eic=")</f>
        <v>#REF!</v>
      </c>
      <c r="AO159" t="e">
        <f>AND('GA55 Entry'!#REF!,"AAAAAH97eig=")</f>
        <v>#REF!</v>
      </c>
      <c r="AP159" t="e">
        <f>AND('GA55 Entry'!#REF!,"AAAAAH97eik=")</f>
        <v>#REF!</v>
      </c>
      <c r="AQ159" t="e">
        <f>AND('GA55 Entry'!#REF!,"AAAAAH97eio=")</f>
        <v>#REF!</v>
      </c>
      <c r="AR159" t="e">
        <f>AND('GA55 Entry'!D565,"AAAAAH97eis=")</f>
        <v>#VALUE!</v>
      </c>
      <c r="AS159" t="e">
        <f>AND('GA55 Entry'!#REF!,"AAAAAH97eiw=")</f>
        <v>#REF!</v>
      </c>
      <c r="AT159" t="e">
        <f>AND('GA55 Entry'!E565,"AAAAAH97ei0=")</f>
        <v>#VALUE!</v>
      </c>
      <c r="AU159" t="e">
        <f>AND('GA55 Entry'!F565,"AAAAAH97ei4=")</f>
        <v>#VALUE!</v>
      </c>
      <c r="AV159" t="e">
        <f>AND('GA55 Entry'!G565,"AAAAAH97ei8=")</f>
        <v>#VALUE!</v>
      </c>
      <c r="AW159" t="e">
        <f>AND('GA55 Entry'!H565,"AAAAAH97ejA=")</f>
        <v>#VALUE!</v>
      </c>
      <c r="AX159" t="e">
        <f>AND('GA55 Entry'!I565,"AAAAAH97ejE=")</f>
        <v>#VALUE!</v>
      </c>
      <c r="AY159" t="e">
        <f>AND('GA55 Entry'!J565,"AAAAAH97ejI=")</f>
        <v>#VALUE!</v>
      </c>
      <c r="AZ159" t="e">
        <f>AND('GA55 Entry'!#REF!,"AAAAAH97ejM=")</f>
        <v>#REF!</v>
      </c>
      <c r="BA159" t="e">
        <f>AND('GA55 Entry'!K565,"AAAAAH97ejQ=")</f>
        <v>#VALUE!</v>
      </c>
      <c r="BB159" t="e">
        <f>AND('GA55 Entry'!L565,"AAAAAH97ejU=")</f>
        <v>#VALUE!</v>
      </c>
      <c r="BC159" t="e">
        <f>AND('GA55 Entry'!M565,"AAAAAH97ejY=")</f>
        <v>#VALUE!</v>
      </c>
      <c r="BD159" t="e">
        <f>AND('GA55 Entry'!N565,"AAAAAH97ejc=")</f>
        <v>#VALUE!</v>
      </c>
      <c r="BE159" t="e">
        <f>AND('GA55 Entry'!O565,"AAAAAH97ejg=")</f>
        <v>#VALUE!</v>
      </c>
      <c r="BF159" t="e">
        <f>AND('GA55 Entry'!P565,"AAAAAH97ejk=")</f>
        <v>#VALUE!</v>
      </c>
      <c r="BG159" t="e">
        <f>AND('GA55 Entry'!Q565,"AAAAAH97ejo=")</f>
        <v>#VALUE!</v>
      </c>
      <c r="BH159" t="e">
        <f>AND('GA55 Entry'!S565,"AAAAAH97ejs=")</f>
        <v>#VALUE!</v>
      </c>
      <c r="BI159" t="e">
        <f>AND('GA55 Entry'!#REF!,"AAAAAH97ejw=")</f>
        <v>#REF!</v>
      </c>
      <c r="BJ159" t="e">
        <f>AND('GA55 Entry'!T565,"AAAAAH97ej0=")</f>
        <v>#VALUE!</v>
      </c>
      <c r="BK159" t="e">
        <f>AND('GA55 Entry'!U565,"AAAAAH97ej4=")</f>
        <v>#VALUE!</v>
      </c>
      <c r="BL159" t="e">
        <f>AND('GA55 Entry'!V565,"AAAAAH97ej8=")</f>
        <v>#VALUE!</v>
      </c>
      <c r="BM159" t="e">
        <f>AND('GA55 Entry'!#REF!,"AAAAAH97ekA=")</f>
        <v>#REF!</v>
      </c>
      <c r="BN159" t="e">
        <f>AND('GA55 Entry'!#REF!,"AAAAAH97ekE=")</f>
        <v>#REF!</v>
      </c>
      <c r="BO159" t="e">
        <f>AND('GA55 Entry'!X565,"AAAAAH97ekI=")</f>
        <v>#VALUE!</v>
      </c>
      <c r="BP159" t="e">
        <f>AND('GA55 Entry'!Y565,"AAAAAH97ekM=")</f>
        <v>#VALUE!</v>
      </c>
      <c r="BQ159" t="e">
        <f>AND('GA55 Entry'!#REF!,"AAAAAH97ekQ=")</f>
        <v>#REF!</v>
      </c>
      <c r="BR159" t="e">
        <f>AND('GA55 Entry'!#REF!,"AAAAAH97ekU=")</f>
        <v>#REF!</v>
      </c>
      <c r="BS159" t="e">
        <f>AND('GA55 Entry'!#REF!,"AAAAAH97ekY=")</f>
        <v>#REF!</v>
      </c>
      <c r="BT159" t="e">
        <f>AND('GA55 Entry'!#REF!,"AAAAAH97ekc=")</f>
        <v>#REF!</v>
      </c>
      <c r="BU159" t="e">
        <f>AND('GA55 Entry'!#REF!,"AAAAAH97ekg=")</f>
        <v>#REF!</v>
      </c>
      <c r="BV159" t="e">
        <f>AND('GA55 Entry'!#REF!,"AAAAAH97ekk=")</f>
        <v>#REF!</v>
      </c>
      <c r="BW159" t="e">
        <f>AND('GA55 Entry'!#REF!,"AAAAAH97eko=")</f>
        <v>#REF!</v>
      </c>
      <c r="BX159" t="e">
        <f>AND('GA55 Entry'!#REF!,"AAAAAH97eks=")</f>
        <v>#REF!</v>
      </c>
      <c r="BY159" t="e">
        <f>AND('GA55 Entry'!#REF!,"AAAAAH97ekw=")</f>
        <v>#REF!</v>
      </c>
      <c r="BZ159" t="e">
        <f>AND('GA55 Entry'!Z565,"AAAAAH97ek0=")</f>
        <v>#VALUE!</v>
      </c>
      <c r="CA159" t="e">
        <f>AND('GA55 Entry'!AA565,"AAAAAH97ek4=")</f>
        <v>#VALUE!</v>
      </c>
      <c r="CB159" t="e">
        <f>AND('GA55 Entry'!#REF!,"AAAAAH97ek8=")</f>
        <v>#REF!</v>
      </c>
      <c r="CC159" t="e">
        <f>AND('GA55 Entry'!#REF!,"AAAAAH97elA=")</f>
        <v>#REF!</v>
      </c>
      <c r="CD159" t="e">
        <f>AND('GA55 Entry'!#REF!,"AAAAAH97elE=")</f>
        <v>#REF!</v>
      </c>
      <c r="CE159" t="e">
        <f>AND('GA55 Entry'!AB565,"AAAAAH97elI=")</f>
        <v>#VALUE!</v>
      </c>
      <c r="CF159" t="e">
        <f>AND('GA55 Entry'!AC565,"AAAAAH97elM=")</f>
        <v>#VALUE!</v>
      </c>
      <c r="CG159" t="e">
        <f>AND('GA55 Entry'!#REF!,"AAAAAH97elQ=")</f>
        <v>#REF!</v>
      </c>
      <c r="CH159">
        <f>IF('GA55 Entry'!566:566,"AAAAAH97elU=",0)</f>
        <v>0</v>
      </c>
      <c r="CI159" t="e">
        <f>AND('GA55 Entry'!B566,"AAAAAH97elY=")</f>
        <v>#VALUE!</v>
      </c>
      <c r="CJ159" t="e">
        <f>AND('GA55 Entry'!#REF!,"AAAAAH97elc=")</f>
        <v>#REF!</v>
      </c>
      <c r="CK159" t="e">
        <f>AND('GA55 Entry'!C566,"AAAAAH97elg=")</f>
        <v>#VALUE!</v>
      </c>
      <c r="CL159" t="e">
        <f>AND('GA55 Entry'!#REF!,"AAAAAH97elk=")</f>
        <v>#REF!</v>
      </c>
      <c r="CM159" t="e">
        <f>AND('GA55 Entry'!#REF!,"AAAAAH97elo=")</f>
        <v>#REF!</v>
      </c>
      <c r="CN159" t="e">
        <f>AND('GA55 Entry'!#REF!,"AAAAAH97els=")</f>
        <v>#REF!</v>
      </c>
      <c r="CO159" t="e">
        <f>AND('GA55 Entry'!#REF!,"AAAAAH97elw=")</f>
        <v>#REF!</v>
      </c>
      <c r="CP159" t="e">
        <f>AND('GA55 Entry'!#REF!,"AAAAAH97el0=")</f>
        <v>#REF!</v>
      </c>
      <c r="CQ159" t="e">
        <f>AND('GA55 Entry'!D566,"AAAAAH97el4=")</f>
        <v>#VALUE!</v>
      </c>
      <c r="CR159" t="e">
        <f>AND('GA55 Entry'!#REF!,"AAAAAH97el8=")</f>
        <v>#REF!</v>
      </c>
      <c r="CS159" t="e">
        <f>AND('GA55 Entry'!E566,"AAAAAH97emA=")</f>
        <v>#VALUE!</v>
      </c>
      <c r="CT159" t="e">
        <f>AND('GA55 Entry'!F566,"AAAAAH97emE=")</f>
        <v>#VALUE!</v>
      </c>
      <c r="CU159" t="e">
        <f>AND('GA55 Entry'!G566,"AAAAAH97emI=")</f>
        <v>#VALUE!</v>
      </c>
      <c r="CV159" t="e">
        <f>AND('GA55 Entry'!H566,"AAAAAH97emM=")</f>
        <v>#VALUE!</v>
      </c>
      <c r="CW159" t="e">
        <f>AND('GA55 Entry'!I566,"AAAAAH97emQ=")</f>
        <v>#VALUE!</v>
      </c>
      <c r="CX159" t="e">
        <f>AND('GA55 Entry'!J566,"AAAAAH97emU=")</f>
        <v>#VALUE!</v>
      </c>
      <c r="CY159" t="e">
        <f>AND('GA55 Entry'!#REF!,"AAAAAH97emY=")</f>
        <v>#REF!</v>
      </c>
      <c r="CZ159" t="e">
        <f>AND('GA55 Entry'!K566,"AAAAAH97emc=")</f>
        <v>#VALUE!</v>
      </c>
      <c r="DA159" t="e">
        <f>AND('GA55 Entry'!L566,"AAAAAH97emg=")</f>
        <v>#VALUE!</v>
      </c>
      <c r="DB159" t="e">
        <f>AND('GA55 Entry'!M566,"AAAAAH97emk=")</f>
        <v>#VALUE!</v>
      </c>
      <c r="DC159" t="e">
        <f>AND('GA55 Entry'!N566,"AAAAAH97emo=")</f>
        <v>#VALUE!</v>
      </c>
      <c r="DD159" t="e">
        <f>AND('GA55 Entry'!O566,"AAAAAH97ems=")</f>
        <v>#VALUE!</v>
      </c>
      <c r="DE159" t="e">
        <f>AND('GA55 Entry'!P566,"AAAAAH97emw=")</f>
        <v>#VALUE!</v>
      </c>
      <c r="DF159" t="e">
        <f>AND('GA55 Entry'!Q566,"AAAAAH97em0=")</f>
        <v>#VALUE!</v>
      </c>
      <c r="DG159" t="e">
        <f>AND('GA55 Entry'!S566,"AAAAAH97em4=")</f>
        <v>#VALUE!</v>
      </c>
      <c r="DH159" t="e">
        <f>AND('GA55 Entry'!#REF!,"AAAAAH97em8=")</f>
        <v>#REF!</v>
      </c>
      <c r="DI159" t="e">
        <f>AND('GA55 Entry'!T566,"AAAAAH97enA=")</f>
        <v>#VALUE!</v>
      </c>
      <c r="DJ159" t="e">
        <f>AND('GA55 Entry'!U566,"AAAAAH97enE=")</f>
        <v>#VALUE!</v>
      </c>
      <c r="DK159" t="e">
        <f>AND('GA55 Entry'!V566,"AAAAAH97enI=")</f>
        <v>#VALUE!</v>
      </c>
      <c r="DL159" t="e">
        <f>AND('GA55 Entry'!#REF!,"AAAAAH97enM=")</f>
        <v>#REF!</v>
      </c>
      <c r="DM159" t="e">
        <f>AND('GA55 Entry'!#REF!,"AAAAAH97enQ=")</f>
        <v>#REF!</v>
      </c>
      <c r="DN159" t="e">
        <f>AND('GA55 Entry'!X566,"AAAAAH97enU=")</f>
        <v>#VALUE!</v>
      </c>
      <c r="DO159" t="e">
        <f>AND('GA55 Entry'!Y566,"AAAAAH97enY=")</f>
        <v>#VALUE!</v>
      </c>
      <c r="DP159" t="e">
        <f>AND('GA55 Entry'!#REF!,"AAAAAH97enc=")</f>
        <v>#REF!</v>
      </c>
      <c r="DQ159" t="e">
        <f>AND('GA55 Entry'!#REF!,"AAAAAH97eng=")</f>
        <v>#REF!</v>
      </c>
      <c r="DR159" t="e">
        <f>AND('GA55 Entry'!#REF!,"AAAAAH97enk=")</f>
        <v>#REF!</v>
      </c>
      <c r="DS159" t="e">
        <f>AND('GA55 Entry'!#REF!,"AAAAAH97eno=")</f>
        <v>#REF!</v>
      </c>
      <c r="DT159" t="e">
        <f>AND('GA55 Entry'!#REF!,"AAAAAH97ens=")</f>
        <v>#REF!</v>
      </c>
      <c r="DU159" t="e">
        <f>AND('GA55 Entry'!#REF!,"AAAAAH97enw=")</f>
        <v>#REF!</v>
      </c>
      <c r="DV159" t="e">
        <f>AND('GA55 Entry'!#REF!,"AAAAAH97en0=")</f>
        <v>#REF!</v>
      </c>
      <c r="DW159" t="e">
        <f>AND('GA55 Entry'!#REF!,"AAAAAH97en4=")</f>
        <v>#REF!</v>
      </c>
      <c r="DX159" t="e">
        <f>AND('GA55 Entry'!#REF!,"AAAAAH97en8=")</f>
        <v>#REF!</v>
      </c>
      <c r="DY159" t="e">
        <f>AND('GA55 Entry'!Z566,"AAAAAH97eoA=")</f>
        <v>#VALUE!</v>
      </c>
      <c r="DZ159" t="e">
        <f>AND('GA55 Entry'!AA566,"AAAAAH97eoE=")</f>
        <v>#VALUE!</v>
      </c>
      <c r="EA159" t="e">
        <f>AND('GA55 Entry'!#REF!,"AAAAAH97eoI=")</f>
        <v>#REF!</v>
      </c>
      <c r="EB159" t="e">
        <f>AND('GA55 Entry'!#REF!,"AAAAAH97eoM=")</f>
        <v>#REF!</v>
      </c>
      <c r="EC159" t="e">
        <f>AND('GA55 Entry'!#REF!,"AAAAAH97eoQ=")</f>
        <v>#REF!</v>
      </c>
      <c r="ED159" t="e">
        <f>AND('GA55 Entry'!AB566,"AAAAAH97eoU=")</f>
        <v>#VALUE!</v>
      </c>
      <c r="EE159" t="e">
        <f>AND('GA55 Entry'!AC566,"AAAAAH97eoY=")</f>
        <v>#VALUE!</v>
      </c>
      <c r="EF159" t="e">
        <f>AND('GA55 Entry'!#REF!,"AAAAAH97eoc=")</f>
        <v>#REF!</v>
      </c>
      <c r="EG159">
        <f>IF('GA55 Entry'!567:567,"AAAAAH97eog=",0)</f>
        <v>0</v>
      </c>
      <c r="EH159" t="e">
        <f>AND('GA55 Entry'!B567,"AAAAAH97eok=")</f>
        <v>#VALUE!</v>
      </c>
      <c r="EI159" t="e">
        <f>AND('GA55 Entry'!#REF!,"AAAAAH97eoo=")</f>
        <v>#REF!</v>
      </c>
      <c r="EJ159" t="e">
        <f>AND('GA55 Entry'!C567,"AAAAAH97eos=")</f>
        <v>#VALUE!</v>
      </c>
      <c r="EK159" t="e">
        <f>AND('GA55 Entry'!#REF!,"AAAAAH97eow=")</f>
        <v>#REF!</v>
      </c>
      <c r="EL159" t="e">
        <f>AND('GA55 Entry'!#REF!,"AAAAAH97eo0=")</f>
        <v>#REF!</v>
      </c>
      <c r="EM159" t="e">
        <f>AND('GA55 Entry'!#REF!,"AAAAAH97eo4=")</f>
        <v>#REF!</v>
      </c>
      <c r="EN159" t="e">
        <f>AND('GA55 Entry'!#REF!,"AAAAAH97eo8=")</f>
        <v>#REF!</v>
      </c>
      <c r="EO159" t="e">
        <f>AND('GA55 Entry'!#REF!,"AAAAAH97epA=")</f>
        <v>#REF!</v>
      </c>
      <c r="EP159" t="e">
        <f>AND('GA55 Entry'!D567,"AAAAAH97epE=")</f>
        <v>#VALUE!</v>
      </c>
      <c r="EQ159" t="e">
        <f>AND('GA55 Entry'!#REF!,"AAAAAH97epI=")</f>
        <v>#REF!</v>
      </c>
      <c r="ER159" t="e">
        <f>AND('GA55 Entry'!E567,"AAAAAH97epM=")</f>
        <v>#VALUE!</v>
      </c>
      <c r="ES159" t="e">
        <f>AND('GA55 Entry'!F567,"AAAAAH97epQ=")</f>
        <v>#VALUE!</v>
      </c>
      <c r="ET159" t="e">
        <f>AND('GA55 Entry'!G567,"AAAAAH97epU=")</f>
        <v>#VALUE!</v>
      </c>
      <c r="EU159" t="e">
        <f>AND('GA55 Entry'!H567,"AAAAAH97epY=")</f>
        <v>#VALUE!</v>
      </c>
      <c r="EV159" t="e">
        <f>AND('GA55 Entry'!I567,"AAAAAH97epc=")</f>
        <v>#VALUE!</v>
      </c>
      <c r="EW159" t="e">
        <f>AND('GA55 Entry'!J567,"AAAAAH97epg=")</f>
        <v>#VALUE!</v>
      </c>
      <c r="EX159" t="e">
        <f>AND('GA55 Entry'!#REF!,"AAAAAH97epk=")</f>
        <v>#REF!</v>
      </c>
      <c r="EY159" t="e">
        <f>AND('GA55 Entry'!K567,"AAAAAH97epo=")</f>
        <v>#VALUE!</v>
      </c>
      <c r="EZ159" t="e">
        <f>AND('GA55 Entry'!L567,"AAAAAH97eps=")</f>
        <v>#VALUE!</v>
      </c>
      <c r="FA159" t="e">
        <f>AND('GA55 Entry'!M567,"AAAAAH97epw=")</f>
        <v>#VALUE!</v>
      </c>
      <c r="FB159" t="e">
        <f>AND('GA55 Entry'!N567,"AAAAAH97ep0=")</f>
        <v>#VALUE!</v>
      </c>
      <c r="FC159" t="e">
        <f>AND('GA55 Entry'!O567,"AAAAAH97ep4=")</f>
        <v>#VALUE!</v>
      </c>
      <c r="FD159" t="e">
        <f>AND('GA55 Entry'!P567,"AAAAAH97ep8=")</f>
        <v>#VALUE!</v>
      </c>
      <c r="FE159" t="e">
        <f>AND('GA55 Entry'!Q567,"AAAAAH97eqA=")</f>
        <v>#VALUE!</v>
      </c>
      <c r="FF159" t="e">
        <f>AND('GA55 Entry'!S567,"AAAAAH97eqE=")</f>
        <v>#VALUE!</v>
      </c>
      <c r="FG159" t="e">
        <f>AND('GA55 Entry'!#REF!,"AAAAAH97eqI=")</f>
        <v>#REF!</v>
      </c>
      <c r="FH159" t="e">
        <f>AND('GA55 Entry'!T567,"AAAAAH97eqM=")</f>
        <v>#VALUE!</v>
      </c>
      <c r="FI159" t="e">
        <f>AND('GA55 Entry'!U567,"AAAAAH97eqQ=")</f>
        <v>#VALUE!</v>
      </c>
      <c r="FJ159" t="e">
        <f>AND('GA55 Entry'!V567,"AAAAAH97eqU=")</f>
        <v>#VALUE!</v>
      </c>
      <c r="FK159" t="e">
        <f>AND('GA55 Entry'!#REF!,"AAAAAH97eqY=")</f>
        <v>#REF!</v>
      </c>
      <c r="FL159" t="e">
        <f>AND('GA55 Entry'!#REF!,"AAAAAH97eqc=")</f>
        <v>#REF!</v>
      </c>
      <c r="FM159" t="e">
        <f>AND('GA55 Entry'!X567,"AAAAAH97eqg=")</f>
        <v>#VALUE!</v>
      </c>
      <c r="FN159" t="e">
        <f>AND('GA55 Entry'!Y567,"AAAAAH97eqk=")</f>
        <v>#VALUE!</v>
      </c>
      <c r="FO159" t="e">
        <f>AND('GA55 Entry'!#REF!,"AAAAAH97eqo=")</f>
        <v>#REF!</v>
      </c>
      <c r="FP159" t="e">
        <f>AND('GA55 Entry'!#REF!,"AAAAAH97eqs=")</f>
        <v>#REF!</v>
      </c>
      <c r="FQ159" t="e">
        <f>AND('GA55 Entry'!#REF!,"AAAAAH97eqw=")</f>
        <v>#REF!</v>
      </c>
      <c r="FR159" t="e">
        <f>AND('GA55 Entry'!#REF!,"AAAAAH97eq0=")</f>
        <v>#REF!</v>
      </c>
      <c r="FS159" t="e">
        <f>AND('GA55 Entry'!#REF!,"AAAAAH97eq4=")</f>
        <v>#REF!</v>
      </c>
      <c r="FT159" t="e">
        <f>AND('GA55 Entry'!#REF!,"AAAAAH97eq8=")</f>
        <v>#REF!</v>
      </c>
      <c r="FU159" t="e">
        <f>AND('GA55 Entry'!#REF!,"AAAAAH97erA=")</f>
        <v>#REF!</v>
      </c>
      <c r="FV159" t="e">
        <f>AND('GA55 Entry'!#REF!,"AAAAAH97erE=")</f>
        <v>#REF!</v>
      </c>
      <c r="FW159" t="e">
        <f>AND('GA55 Entry'!#REF!,"AAAAAH97erI=")</f>
        <v>#REF!</v>
      </c>
      <c r="FX159" t="e">
        <f>AND('GA55 Entry'!Z567,"AAAAAH97erM=")</f>
        <v>#VALUE!</v>
      </c>
      <c r="FY159" t="e">
        <f>AND('GA55 Entry'!AA567,"AAAAAH97erQ=")</f>
        <v>#VALUE!</v>
      </c>
      <c r="FZ159" t="e">
        <f>AND('GA55 Entry'!#REF!,"AAAAAH97erU=")</f>
        <v>#REF!</v>
      </c>
      <c r="GA159" t="e">
        <f>AND('GA55 Entry'!#REF!,"AAAAAH97erY=")</f>
        <v>#REF!</v>
      </c>
      <c r="GB159" t="e">
        <f>AND('GA55 Entry'!#REF!,"AAAAAH97erc=")</f>
        <v>#REF!</v>
      </c>
      <c r="GC159" t="e">
        <f>AND('GA55 Entry'!AB567,"AAAAAH97erg=")</f>
        <v>#VALUE!</v>
      </c>
      <c r="GD159" t="e">
        <f>AND('GA55 Entry'!AC567,"AAAAAH97erk=")</f>
        <v>#VALUE!</v>
      </c>
      <c r="GE159" t="e">
        <f>AND('GA55 Entry'!#REF!,"AAAAAH97ero=")</f>
        <v>#REF!</v>
      </c>
      <c r="GF159">
        <f>IF('GA55 Entry'!568:568,"AAAAAH97ers=",0)</f>
        <v>0</v>
      </c>
      <c r="GG159" t="e">
        <f>AND('GA55 Entry'!B568,"AAAAAH97erw=")</f>
        <v>#VALUE!</v>
      </c>
      <c r="GH159" t="e">
        <f>AND('GA55 Entry'!#REF!,"AAAAAH97er0=")</f>
        <v>#REF!</v>
      </c>
      <c r="GI159" t="e">
        <f>AND('GA55 Entry'!C568,"AAAAAH97er4=")</f>
        <v>#VALUE!</v>
      </c>
      <c r="GJ159" t="e">
        <f>AND('GA55 Entry'!#REF!,"AAAAAH97er8=")</f>
        <v>#REF!</v>
      </c>
      <c r="GK159" t="e">
        <f>AND('GA55 Entry'!#REF!,"AAAAAH97esA=")</f>
        <v>#REF!</v>
      </c>
      <c r="GL159" t="e">
        <f>AND('GA55 Entry'!#REF!,"AAAAAH97esE=")</f>
        <v>#REF!</v>
      </c>
      <c r="GM159" t="e">
        <f>AND('GA55 Entry'!#REF!,"AAAAAH97esI=")</f>
        <v>#REF!</v>
      </c>
      <c r="GN159" t="e">
        <f>AND('GA55 Entry'!#REF!,"AAAAAH97esM=")</f>
        <v>#REF!</v>
      </c>
      <c r="GO159" t="e">
        <f>AND('GA55 Entry'!D568,"AAAAAH97esQ=")</f>
        <v>#VALUE!</v>
      </c>
      <c r="GP159" t="e">
        <f>AND('GA55 Entry'!#REF!,"AAAAAH97esU=")</f>
        <v>#REF!</v>
      </c>
      <c r="GQ159" t="e">
        <f>AND('GA55 Entry'!E568,"AAAAAH97esY=")</f>
        <v>#VALUE!</v>
      </c>
      <c r="GR159" t="e">
        <f>AND('GA55 Entry'!F568,"AAAAAH97esc=")</f>
        <v>#VALUE!</v>
      </c>
      <c r="GS159" t="e">
        <f>AND('GA55 Entry'!G568,"AAAAAH97esg=")</f>
        <v>#VALUE!</v>
      </c>
      <c r="GT159" t="e">
        <f>AND('GA55 Entry'!H568,"AAAAAH97esk=")</f>
        <v>#VALUE!</v>
      </c>
      <c r="GU159" t="e">
        <f>AND('GA55 Entry'!I568,"AAAAAH97eso=")</f>
        <v>#VALUE!</v>
      </c>
      <c r="GV159" t="e">
        <f>AND('GA55 Entry'!J568,"AAAAAH97ess=")</f>
        <v>#VALUE!</v>
      </c>
      <c r="GW159" t="e">
        <f>AND('GA55 Entry'!#REF!,"AAAAAH97esw=")</f>
        <v>#REF!</v>
      </c>
      <c r="GX159" t="e">
        <f>AND('GA55 Entry'!K568,"AAAAAH97es0=")</f>
        <v>#VALUE!</v>
      </c>
      <c r="GY159" t="e">
        <f>AND('GA55 Entry'!L568,"AAAAAH97es4=")</f>
        <v>#VALUE!</v>
      </c>
      <c r="GZ159" t="e">
        <f>AND('GA55 Entry'!M568,"AAAAAH97es8=")</f>
        <v>#VALUE!</v>
      </c>
      <c r="HA159" t="e">
        <f>AND('GA55 Entry'!N568,"AAAAAH97etA=")</f>
        <v>#VALUE!</v>
      </c>
      <c r="HB159" t="e">
        <f>AND('GA55 Entry'!O568,"AAAAAH97etE=")</f>
        <v>#VALUE!</v>
      </c>
      <c r="HC159" t="e">
        <f>AND('GA55 Entry'!P568,"AAAAAH97etI=")</f>
        <v>#VALUE!</v>
      </c>
      <c r="HD159" t="e">
        <f>AND('GA55 Entry'!Q568,"AAAAAH97etM=")</f>
        <v>#VALUE!</v>
      </c>
      <c r="HE159" t="e">
        <f>AND('GA55 Entry'!S568,"AAAAAH97etQ=")</f>
        <v>#VALUE!</v>
      </c>
      <c r="HF159" t="e">
        <f>AND('GA55 Entry'!#REF!,"AAAAAH97etU=")</f>
        <v>#REF!</v>
      </c>
      <c r="HG159" t="e">
        <f>AND('GA55 Entry'!T568,"AAAAAH97etY=")</f>
        <v>#VALUE!</v>
      </c>
      <c r="HH159" t="e">
        <f>AND('GA55 Entry'!U568,"AAAAAH97etc=")</f>
        <v>#VALUE!</v>
      </c>
      <c r="HI159" t="e">
        <f>AND('GA55 Entry'!V568,"AAAAAH97etg=")</f>
        <v>#VALUE!</v>
      </c>
      <c r="HJ159" t="e">
        <f>AND('GA55 Entry'!#REF!,"AAAAAH97etk=")</f>
        <v>#REF!</v>
      </c>
      <c r="HK159" t="e">
        <f>AND('GA55 Entry'!#REF!,"AAAAAH97eto=")</f>
        <v>#REF!</v>
      </c>
      <c r="HL159" t="e">
        <f>AND('GA55 Entry'!X568,"AAAAAH97ets=")</f>
        <v>#VALUE!</v>
      </c>
      <c r="HM159" t="e">
        <f>AND('GA55 Entry'!Y568,"AAAAAH97etw=")</f>
        <v>#VALUE!</v>
      </c>
      <c r="HN159" t="e">
        <f>AND('GA55 Entry'!#REF!,"AAAAAH97et0=")</f>
        <v>#REF!</v>
      </c>
      <c r="HO159" t="e">
        <f>AND('GA55 Entry'!#REF!,"AAAAAH97et4=")</f>
        <v>#REF!</v>
      </c>
      <c r="HP159" t="e">
        <f>AND('GA55 Entry'!#REF!,"AAAAAH97et8=")</f>
        <v>#REF!</v>
      </c>
      <c r="HQ159" t="e">
        <f>AND('GA55 Entry'!#REF!,"AAAAAH97euA=")</f>
        <v>#REF!</v>
      </c>
      <c r="HR159" t="e">
        <f>AND('GA55 Entry'!#REF!,"AAAAAH97euE=")</f>
        <v>#REF!</v>
      </c>
      <c r="HS159" t="e">
        <f>AND('GA55 Entry'!#REF!,"AAAAAH97euI=")</f>
        <v>#REF!</v>
      </c>
      <c r="HT159" t="e">
        <f>AND('GA55 Entry'!#REF!,"AAAAAH97euM=")</f>
        <v>#REF!</v>
      </c>
      <c r="HU159" t="e">
        <f>AND('GA55 Entry'!#REF!,"AAAAAH97euQ=")</f>
        <v>#REF!</v>
      </c>
      <c r="HV159" t="e">
        <f>AND('GA55 Entry'!#REF!,"AAAAAH97euU=")</f>
        <v>#REF!</v>
      </c>
      <c r="HW159" t="e">
        <f>AND('GA55 Entry'!Z568,"AAAAAH97euY=")</f>
        <v>#VALUE!</v>
      </c>
      <c r="HX159" t="e">
        <f>AND('GA55 Entry'!AA568,"AAAAAH97euc=")</f>
        <v>#VALUE!</v>
      </c>
      <c r="HY159" t="e">
        <f>AND('GA55 Entry'!#REF!,"AAAAAH97eug=")</f>
        <v>#REF!</v>
      </c>
      <c r="HZ159" t="e">
        <f>AND('GA55 Entry'!#REF!,"AAAAAH97euk=")</f>
        <v>#REF!</v>
      </c>
      <c r="IA159" t="e">
        <f>AND('GA55 Entry'!#REF!,"AAAAAH97euo=")</f>
        <v>#REF!</v>
      </c>
      <c r="IB159" t="e">
        <f>AND('GA55 Entry'!AB568,"AAAAAH97eus=")</f>
        <v>#VALUE!</v>
      </c>
      <c r="IC159" t="e">
        <f>AND('GA55 Entry'!AC568,"AAAAAH97euw=")</f>
        <v>#VALUE!</v>
      </c>
      <c r="ID159" t="e">
        <f>AND('GA55 Entry'!#REF!,"AAAAAH97eu0=")</f>
        <v>#REF!</v>
      </c>
      <c r="IE159">
        <f>IF('GA55 Entry'!569:569,"AAAAAH97eu4=",0)</f>
        <v>0</v>
      </c>
      <c r="IF159" t="e">
        <f>AND('GA55 Entry'!B569,"AAAAAH97eu8=")</f>
        <v>#VALUE!</v>
      </c>
      <c r="IG159" t="e">
        <f>AND('GA55 Entry'!#REF!,"AAAAAH97evA=")</f>
        <v>#REF!</v>
      </c>
      <c r="IH159" t="e">
        <f>AND('GA55 Entry'!C569,"AAAAAH97evE=")</f>
        <v>#VALUE!</v>
      </c>
      <c r="II159" t="e">
        <f>AND('GA55 Entry'!#REF!,"AAAAAH97evI=")</f>
        <v>#REF!</v>
      </c>
      <c r="IJ159" t="e">
        <f>AND('GA55 Entry'!#REF!,"AAAAAH97evM=")</f>
        <v>#REF!</v>
      </c>
      <c r="IK159" t="e">
        <f>AND('GA55 Entry'!#REF!,"AAAAAH97evQ=")</f>
        <v>#REF!</v>
      </c>
      <c r="IL159" t="e">
        <f>AND('GA55 Entry'!#REF!,"AAAAAH97evU=")</f>
        <v>#REF!</v>
      </c>
      <c r="IM159" t="e">
        <f>AND('GA55 Entry'!#REF!,"AAAAAH97evY=")</f>
        <v>#REF!</v>
      </c>
      <c r="IN159" t="e">
        <f>AND('GA55 Entry'!D569,"AAAAAH97evc=")</f>
        <v>#VALUE!</v>
      </c>
      <c r="IO159" t="e">
        <f>AND('GA55 Entry'!#REF!,"AAAAAH97evg=")</f>
        <v>#REF!</v>
      </c>
      <c r="IP159" t="e">
        <f>AND('GA55 Entry'!E569,"AAAAAH97evk=")</f>
        <v>#VALUE!</v>
      </c>
      <c r="IQ159" t="e">
        <f>AND('GA55 Entry'!F569,"AAAAAH97evo=")</f>
        <v>#VALUE!</v>
      </c>
      <c r="IR159" t="e">
        <f>AND('GA55 Entry'!G569,"AAAAAH97evs=")</f>
        <v>#VALUE!</v>
      </c>
      <c r="IS159" t="e">
        <f>AND('GA55 Entry'!H569,"AAAAAH97evw=")</f>
        <v>#VALUE!</v>
      </c>
      <c r="IT159" t="e">
        <f>AND('GA55 Entry'!I569,"AAAAAH97ev0=")</f>
        <v>#VALUE!</v>
      </c>
      <c r="IU159" t="e">
        <f>AND('GA55 Entry'!J569,"AAAAAH97ev4=")</f>
        <v>#VALUE!</v>
      </c>
      <c r="IV159" t="e">
        <f>AND('GA55 Entry'!#REF!,"AAAAAH97ev8=")</f>
        <v>#REF!</v>
      </c>
    </row>
    <row r="160" spans="1:256">
      <c r="A160" t="e">
        <f>AND('GA55 Entry'!K569,"AAAAAH3xewA=")</f>
        <v>#VALUE!</v>
      </c>
      <c r="B160" t="e">
        <f>AND('GA55 Entry'!L569,"AAAAAH3xewE=")</f>
        <v>#VALUE!</v>
      </c>
      <c r="C160" t="e">
        <f>AND('GA55 Entry'!M569,"AAAAAH3xewI=")</f>
        <v>#VALUE!</v>
      </c>
      <c r="D160" t="e">
        <f>AND('GA55 Entry'!N569,"AAAAAH3xewM=")</f>
        <v>#VALUE!</v>
      </c>
      <c r="E160" t="e">
        <f>AND('GA55 Entry'!O569,"AAAAAH3xewQ=")</f>
        <v>#VALUE!</v>
      </c>
      <c r="F160" t="e">
        <f>AND('GA55 Entry'!P569,"AAAAAH3xewU=")</f>
        <v>#VALUE!</v>
      </c>
      <c r="G160" t="e">
        <f>AND('GA55 Entry'!Q569,"AAAAAH3xewY=")</f>
        <v>#VALUE!</v>
      </c>
      <c r="H160" t="e">
        <f>AND('GA55 Entry'!S569,"AAAAAH3xewc=")</f>
        <v>#VALUE!</v>
      </c>
      <c r="I160" t="e">
        <f>AND('GA55 Entry'!#REF!,"AAAAAH3xewg=")</f>
        <v>#REF!</v>
      </c>
      <c r="J160" t="e">
        <f>AND('GA55 Entry'!T569,"AAAAAH3xewk=")</f>
        <v>#VALUE!</v>
      </c>
      <c r="K160" t="e">
        <f>AND('GA55 Entry'!U569,"AAAAAH3xewo=")</f>
        <v>#VALUE!</v>
      </c>
      <c r="L160" t="e">
        <f>AND('GA55 Entry'!V569,"AAAAAH3xews=")</f>
        <v>#VALUE!</v>
      </c>
      <c r="M160" t="e">
        <f>AND('GA55 Entry'!#REF!,"AAAAAH3xeww=")</f>
        <v>#REF!</v>
      </c>
      <c r="N160" t="e">
        <f>AND('GA55 Entry'!#REF!,"AAAAAH3xew0=")</f>
        <v>#REF!</v>
      </c>
      <c r="O160" t="e">
        <f>AND('GA55 Entry'!X569,"AAAAAH3xew4=")</f>
        <v>#VALUE!</v>
      </c>
      <c r="P160" t="e">
        <f>AND('GA55 Entry'!Y569,"AAAAAH3xew8=")</f>
        <v>#VALUE!</v>
      </c>
      <c r="Q160" t="e">
        <f>AND('GA55 Entry'!#REF!,"AAAAAH3xexA=")</f>
        <v>#REF!</v>
      </c>
      <c r="R160" t="e">
        <f>AND('GA55 Entry'!#REF!,"AAAAAH3xexE=")</f>
        <v>#REF!</v>
      </c>
      <c r="S160" t="e">
        <f>AND('GA55 Entry'!#REF!,"AAAAAH3xexI=")</f>
        <v>#REF!</v>
      </c>
      <c r="T160" t="e">
        <f>AND('GA55 Entry'!#REF!,"AAAAAH3xexM=")</f>
        <v>#REF!</v>
      </c>
      <c r="U160" t="e">
        <f>AND('GA55 Entry'!#REF!,"AAAAAH3xexQ=")</f>
        <v>#REF!</v>
      </c>
      <c r="V160" t="e">
        <f>AND('GA55 Entry'!#REF!,"AAAAAH3xexU=")</f>
        <v>#REF!</v>
      </c>
      <c r="W160" t="e">
        <f>AND('GA55 Entry'!#REF!,"AAAAAH3xexY=")</f>
        <v>#REF!</v>
      </c>
      <c r="X160" t="e">
        <f>AND('GA55 Entry'!#REF!,"AAAAAH3xexc=")</f>
        <v>#REF!</v>
      </c>
      <c r="Y160" t="e">
        <f>AND('GA55 Entry'!#REF!,"AAAAAH3xexg=")</f>
        <v>#REF!</v>
      </c>
      <c r="Z160" t="e">
        <f>AND('GA55 Entry'!Z569,"AAAAAH3xexk=")</f>
        <v>#VALUE!</v>
      </c>
      <c r="AA160" t="e">
        <f>AND('GA55 Entry'!AA569,"AAAAAH3xexo=")</f>
        <v>#VALUE!</v>
      </c>
      <c r="AB160" t="e">
        <f>AND('GA55 Entry'!#REF!,"AAAAAH3xexs=")</f>
        <v>#REF!</v>
      </c>
      <c r="AC160" t="e">
        <f>AND('GA55 Entry'!#REF!,"AAAAAH3xexw=")</f>
        <v>#REF!</v>
      </c>
      <c r="AD160" t="e">
        <f>AND('GA55 Entry'!#REF!,"AAAAAH3xex0=")</f>
        <v>#REF!</v>
      </c>
      <c r="AE160" t="e">
        <f>AND('GA55 Entry'!AB569,"AAAAAH3xex4=")</f>
        <v>#VALUE!</v>
      </c>
      <c r="AF160" t="e">
        <f>AND('GA55 Entry'!AC569,"AAAAAH3xex8=")</f>
        <v>#VALUE!</v>
      </c>
      <c r="AG160" t="e">
        <f>AND('GA55 Entry'!#REF!,"AAAAAH3xeyA=")</f>
        <v>#REF!</v>
      </c>
      <c r="AH160">
        <f>IF('GA55 Entry'!570:570,"AAAAAH3xeyE=",0)</f>
        <v>0</v>
      </c>
      <c r="AI160" t="e">
        <f>AND('GA55 Entry'!B570,"AAAAAH3xeyI=")</f>
        <v>#VALUE!</v>
      </c>
      <c r="AJ160" t="e">
        <f>AND('GA55 Entry'!#REF!,"AAAAAH3xeyM=")</f>
        <v>#REF!</v>
      </c>
      <c r="AK160" t="e">
        <f>AND('GA55 Entry'!C570,"AAAAAH3xeyQ=")</f>
        <v>#VALUE!</v>
      </c>
      <c r="AL160" t="e">
        <f>AND('GA55 Entry'!#REF!,"AAAAAH3xeyU=")</f>
        <v>#REF!</v>
      </c>
      <c r="AM160" t="e">
        <f>AND('GA55 Entry'!#REF!,"AAAAAH3xeyY=")</f>
        <v>#REF!</v>
      </c>
      <c r="AN160" t="e">
        <f>AND('GA55 Entry'!#REF!,"AAAAAH3xeyc=")</f>
        <v>#REF!</v>
      </c>
      <c r="AO160" t="e">
        <f>AND('GA55 Entry'!#REF!,"AAAAAH3xeyg=")</f>
        <v>#REF!</v>
      </c>
      <c r="AP160" t="e">
        <f>AND('GA55 Entry'!#REF!,"AAAAAH3xeyk=")</f>
        <v>#REF!</v>
      </c>
      <c r="AQ160" t="e">
        <f>AND('GA55 Entry'!D570,"AAAAAH3xeyo=")</f>
        <v>#VALUE!</v>
      </c>
      <c r="AR160" t="e">
        <f>AND('GA55 Entry'!#REF!,"AAAAAH3xeys=")</f>
        <v>#REF!</v>
      </c>
      <c r="AS160" t="e">
        <f>AND('GA55 Entry'!E570,"AAAAAH3xeyw=")</f>
        <v>#VALUE!</v>
      </c>
      <c r="AT160" t="e">
        <f>AND('GA55 Entry'!F570,"AAAAAH3xey0=")</f>
        <v>#VALUE!</v>
      </c>
      <c r="AU160" t="e">
        <f>AND('GA55 Entry'!G570,"AAAAAH3xey4=")</f>
        <v>#VALUE!</v>
      </c>
      <c r="AV160" t="e">
        <f>AND('GA55 Entry'!H570,"AAAAAH3xey8=")</f>
        <v>#VALUE!</v>
      </c>
      <c r="AW160" t="e">
        <f>AND('GA55 Entry'!I570,"AAAAAH3xezA=")</f>
        <v>#VALUE!</v>
      </c>
      <c r="AX160" t="e">
        <f>AND('GA55 Entry'!J570,"AAAAAH3xezE=")</f>
        <v>#VALUE!</v>
      </c>
      <c r="AY160" t="e">
        <f>AND('GA55 Entry'!#REF!,"AAAAAH3xezI=")</f>
        <v>#REF!</v>
      </c>
      <c r="AZ160" t="e">
        <f>AND('GA55 Entry'!K570,"AAAAAH3xezM=")</f>
        <v>#VALUE!</v>
      </c>
      <c r="BA160" t="e">
        <f>AND('GA55 Entry'!L570,"AAAAAH3xezQ=")</f>
        <v>#VALUE!</v>
      </c>
      <c r="BB160" t="e">
        <f>AND('GA55 Entry'!M570,"AAAAAH3xezU=")</f>
        <v>#VALUE!</v>
      </c>
      <c r="BC160" t="e">
        <f>AND('GA55 Entry'!N570,"AAAAAH3xezY=")</f>
        <v>#VALUE!</v>
      </c>
      <c r="BD160" t="e">
        <f>AND('GA55 Entry'!O570,"AAAAAH3xezc=")</f>
        <v>#VALUE!</v>
      </c>
      <c r="BE160" t="e">
        <f>AND('GA55 Entry'!P570,"AAAAAH3xezg=")</f>
        <v>#VALUE!</v>
      </c>
      <c r="BF160" t="e">
        <f>AND('GA55 Entry'!Q570,"AAAAAH3xezk=")</f>
        <v>#VALUE!</v>
      </c>
      <c r="BG160" t="e">
        <f>AND('GA55 Entry'!S570,"AAAAAH3xezo=")</f>
        <v>#VALUE!</v>
      </c>
      <c r="BH160" t="e">
        <f>AND('GA55 Entry'!#REF!,"AAAAAH3xezs=")</f>
        <v>#REF!</v>
      </c>
      <c r="BI160" t="e">
        <f>AND('GA55 Entry'!T570,"AAAAAH3xezw=")</f>
        <v>#VALUE!</v>
      </c>
      <c r="BJ160" t="e">
        <f>AND('GA55 Entry'!U570,"AAAAAH3xez0=")</f>
        <v>#VALUE!</v>
      </c>
      <c r="BK160" t="e">
        <f>AND('GA55 Entry'!V570,"AAAAAH3xez4=")</f>
        <v>#VALUE!</v>
      </c>
      <c r="BL160" t="e">
        <f>AND('GA55 Entry'!#REF!,"AAAAAH3xez8=")</f>
        <v>#REF!</v>
      </c>
      <c r="BM160" t="e">
        <f>AND('GA55 Entry'!#REF!,"AAAAAH3xe0A=")</f>
        <v>#REF!</v>
      </c>
      <c r="BN160" t="e">
        <f>AND('GA55 Entry'!X570,"AAAAAH3xe0E=")</f>
        <v>#VALUE!</v>
      </c>
      <c r="BO160" t="e">
        <f>AND('GA55 Entry'!Y570,"AAAAAH3xe0I=")</f>
        <v>#VALUE!</v>
      </c>
      <c r="BP160" t="e">
        <f>AND('GA55 Entry'!#REF!,"AAAAAH3xe0M=")</f>
        <v>#REF!</v>
      </c>
      <c r="BQ160" t="e">
        <f>AND('GA55 Entry'!#REF!,"AAAAAH3xe0Q=")</f>
        <v>#REF!</v>
      </c>
      <c r="BR160" t="e">
        <f>AND('GA55 Entry'!#REF!,"AAAAAH3xe0U=")</f>
        <v>#REF!</v>
      </c>
      <c r="BS160" t="e">
        <f>AND('GA55 Entry'!#REF!,"AAAAAH3xe0Y=")</f>
        <v>#REF!</v>
      </c>
      <c r="BT160" t="e">
        <f>AND('GA55 Entry'!#REF!,"AAAAAH3xe0c=")</f>
        <v>#REF!</v>
      </c>
      <c r="BU160" t="e">
        <f>AND('GA55 Entry'!#REF!,"AAAAAH3xe0g=")</f>
        <v>#REF!</v>
      </c>
      <c r="BV160" t="e">
        <f>AND('GA55 Entry'!#REF!,"AAAAAH3xe0k=")</f>
        <v>#REF!</v>
      </c>
      <c r="BW160" t="e">
        <f>AND('GA55 Entry'!#REF!,"AAAAAH3xe0o=")</f>
        <v>#REF!</v>
      </c>
      <c r="BX160" t="e">
        <f>AND('GA55 Entry'!#REF!,"AAAAAH3xe0s=")</f>
        <v>#REF!</v>
      </c>
      <c r="BY160" t="e">
        <f>AND('GA55 Entry'!Z570,"AAAAAH3xe0w=")</f>
        <v>#VALUE!</v>
      </c>
      <c r="BZ160" t="e">
        <f>AND('GA55 Entry'!AA570,"AAAAAH3xe00=")</f>
        <v>#VALUE!</v>
      </c>
      <c r="CA160" t="e">
        <f>AND('GA55 Entry'!#REF!,"AAAAAH3xe04=")</f>
        <v>#REF!</v>
      </c>
      <c r="CB160" t="e">
        <f>AND('GA55 Entry'!#REF!,"AAAAAH3xe08=")</f>
        <v>#REF!</v>
      </c>
      <c r="CC160" t="e">
        <f>AND('GA55 Entry'!#REF!,"AAAAAH3xe1A=")</f>
        <v>#REF!</v>
      </c>
      <c r="CD160" t="e">
        <f>AND('GA55 Entry'!AB570,"AAAAAH3xe1E=")</f>
        <v>#VALUE!</v>
      </c>
      <c r="CE160" t="e">
        <f>AND('GA55 Entry'!AC570,"AAAAAH3xe1I=")</f>
        <v>#VALUE!</v>
      </c>
      <c r="CF160" t="e">
        <f>AND('GA55 Entry'!#REF!,"AAAAAH3xe1M=")</f>
        <v>#REF!</v>
      </c>
      <c r="CG160">
        <f>IF('GA55 Entry'!571:571,"AAAAAH3xe1Q=",0)</f>
        <v>0</v>
      </c>
      <c r="CH160" t="e">
        <f>AND('GA55 Entry'!B571,"AAAAAH3xe1U=")</f>
        <v>#VALUE!</v>
      </c>
      <c r="CI160" t="e">
        <f>AND('GA55 Entry'!#REF!,"AAAAAH3xe1Y=")</f>
        <v>#REF!</v>
      </c>
      <c r="CJ160" t="e">
        <f>AND('GA55 Entry'!C571,"AAAAAH3xe1c=")</f>
        <v>#VALUE!</v>
      </c>
      <c r="CK160" t="e">
        <f>AND('GA55 Entry'!#REF!,"AAAAAH3xe1g=")</f>
        <v>#REF!</v>
      </c>
      <c r="CL160" t="e">
        <f>AND('GA55 Entry'!#REF!,"AAAAAH3xe1k=")</f>
        <v>#REF!</v>
      </c>
      <c r="CM160" t="e">
        <f>AND('GA55 Entry'!#REF!,"AAAAAH3xe1o=")</f>
        <v>#REF!</v>
      </c>
      <c r="CN160" t="e">
        <f>AND('GA55 Entry'!#REF!,"AAAAAH3xe1s=")</f>
        <v>#REF!</v>
      </c>
      <c r="CO160" t="e">
        <f>AND('GA55 Entry'!#REF!,"AAAAAH3xe1w=")</f>
        <v>#REF!</v>
      </c>
      <c r="CP160" t="e">
        <f>AND('GA55 Entry'!D571,"AAAAAH3xe10=")</f>
        <v>#VALUE!</v>
      </c>
      <c r="CQ160" t="e">
        <f>AND('GA55 Entry'!#REF!,"AAAAAH3xe14=")</f>
        <v>#REF!</v>
      </c>
      <c r="CR160" t="e">
        <f>AND('GA55 Entry'!E571,"AAAAAH3xe18=")</f>
        <v>#VALUE!</v>
      </c>
      <c r="CS160" t="e">
        <f>AND('GA55 Entry'!F571,"AAAAAH3xe2A=")</f>
        <v>#VALUE!</v>
      </c>
      <c r="CT160" t="e">
        <f>AND('GA55 Entry'!G571,"AAAAAH3xe2E=")</f>
        <v>#VALUE!</v>
      </c>
      <c r="CU160" t="e">
        <f>AND('GA55 Entry'!H571,"AAAAAH3xe2I=")</f>
        <v>#VALUE!</v>
      </c>
      <c r="CV160" t="e">
        <f>AND('GA55 Entry'!I571,"AAAAAH3xe2M=")</f>
        <v>#VALUE!</v>
      </c>
      <c r="CW160" t="e">
        <f>AND('GA55 Entry'!J571,"AAAAAH3xe2Q=")</f>
        <v>#VALUE!</v>
      </c>
      <c r="CX160" t="e">
        <f>AND('GA55 Entry'!#REF!,"AAAAAH3xe2U=")</f>
        <v>#REF!</v>
      </c>
      <c r="CY160" t="e">
        <f>AND('GA55 Entry'!K571,"AAAAAH3xe2Y=")</f>
        <v>#VALUE!</v>
      </c>
      <c r="CZ160" t="e">
        <f>AND('GA55 Entry'!L571,"AAAAAH3xe2c=")</f>
        <v>#VALUE!</v>
      </c>
      <c r="DA160" t="e">
        <f>AND('GA55 Entry'!M571,"AAAAAH3xe2g=")</f>
        <v>#VALUE!</v>
      </c>
      <c r="DB160" t="e">
        <f>AND('GA55 Entry'!N571,"AAAAAH3xe2k=")</f>
        <v>#VALUE!</v>
      </c>
      <c r="DC160" t="e">
        <f>AND('GA55 Entry'!O571,"AAAAAH3xe2o=")</f>
        <v>#VALUE!</v>
      </c>
      <c r="DD160" t="e">
        <f>AND('GA55 Entry'!P571,"AAAAAH3xe2s=")</f>
        <v>#VALUE!</v>
      </c>
      <c r="DE160" t="e">
        <f>AND('GA55 Entry'!Q571,"AAAAAH3xe2w=")</f>
        <v>#VALUE!</v>
      </c>
      <c r="DF160" t="e">
        <f>AND('GA55 Entry'!S571,"AAAAAH3xe20=")</f>
        <v>#VALUE!</v>
      </c>
      <c r="DG160" t="e">
        <f>AND('GA55 Entry'!#REF!,"AAAAAH3xe24=")</f>
        <v>#REF!</v>
      </c>
      <c r="DH160" t="e">
        <f>AND('GA55 Entry'!T571,"AAAAAH3xe28=")</f>
        <v>#VALUE!</v>
      </c>
      <c r="DI160" t="e">
        <f>AND('GA55 Entry'!U571,"AAAAAH3xe3A=")</f>
        <v>#VALUE!</v>
      </c>
      <c r="DJ160" t="e">
        <f>AND('GA55 Entry'!V571,"AAAAAH3xe3E=")</f>
        <v>#VALUE!</v>
      </c>
      <c r="DK160" t="e">
        <f>AND('GA55 Entry'!#REF!,"AAAAAH3xe3I=")</f>
        <v>#REF!</v>
      </c>
      <c r="DL160" t="e">
        <f>AND('GA55 Entry'!#REF!,"AAAAAH3xe3M=")</f>
        <v>#REF!</v>
      </c>
      <c r="DM160" t="e">
        <f>AND('GA55 Entry'!X571,"AAAAAH3xe3Q=")</f>
        <v>#VALUE!</v>
      </c>
      <c r="DN160" t="e">
        <f>AND('GA55 Entry'!Y571,"AAAAAH3xe3U=")</f>
        <v>#VALUE!</v>
      </c>
      <c r="DO160" t="e">
        <f>AND('GA55 Entry'!#REF!,"AAAAAH3xe3Y=")</f>
        <v>#REF!</v>
      </c>
      <c r="DP160" t="e">
        <f>AND('GA55 Entry'!#REF!,"AAAAAH3xe3c=")</f>
        <v>#REF!</v>
      </c>
      <c r="DQ160" t="e">
        <f>AND('GA55 Entry'!#REF!,"AAAAAH3xe3g=")</f>
        <v>#REF!</v>
      </c>
      <c r="DR160" t="e">
        <f>AND('GA55 Entry'!#REF!,"AAAAAH3xe3k=")</f>
        <v>#REF!</v>
      </c>
      <c r="DS160" t="e">
        <f>AND('GA55 Entry'!#REF!,"AAAAAH3xe3o=")</f>
        <v>#REF!</v>
      </c>
      <c r="DT160" t="e">
        <f>AND('GA55 Entry'!#REF!,"AAAAAH3xe3s=")</f>
        <v>#REF!</v>
      </c>
      <c r="DU160" t="e">
        <f>AND('GA55 Entry'!#REF!,"AAAAAH3xe3w=")</f>
        <v>#REF!</v>
      </c>
      <c r="DV160" t="e">
        <f>AND('GA55 Entry'!#REF!,"AAAAAH3xe30=")</f>
        <v>#REF!</v>
      </c>
      <c r="DW160" t="e">
        <f>AND('GA55 Entry'!#REF!,"AAAAAH3xe34=")</f>
        <v>#REF!</v>
      </c>
      <c r="DX160" t="e">
        <f>AND('GA55 Entry'!Z571,"AAAAAH3xe38=")</f>
        <v>#VALUE!</v>
      </c>
      <c r="DY160" t="e">
        <f>AND('GA55 Entry'!AA571,"AAAAAH3xe4A=")</f>
        <v>#VALUE!</v>
      </c>
      <c r="DZ160" t="e">
        <f>AND('GA55 Entry'!#REF!,"AAAAAH3xe4E=")</f>
        <v>#REF!</v>
      </c>
      <c r="EA160" t="e">
        <f>AND('GA55 Entry'!#REF!,"AAAAAH3xe4I=")</f>
        <v>#REF!</v>
      </c>
      <c r="EB160" t="e">
        <f>AND('GA55 Entry'!#REF!,"AAAAAH3xe4M=")</f>
        <v>#REF!</v>
      </c>
      <c r="EC160" t="e">
        <f>AND('GA55 Entry'!AB571,"AAAAAH3xe4Q=")</f>
        <v>#VALUE!</v>
      </c>
      <c r="ED160" t="e">
        <f>AND('GA55 Entry'!AC571,"AAAAAH3xe4U=")</f>
        <v>#VALUE!</v>
      </c>
      <c r="EE160" t="e">
        <f>AND('GA55 Entry'!#REF!,"AAAAAH3xe4Y=")</f>
        <v>#REF!</v>
      </c>
      <c r="EF160">
        <f>IF('GA55 Entry'!572:572,"AAAAAH3xe4c=",0)</f>
        <v>0</v>
      </c>
      <c r="EG160" t="e">
        <f>AND('GA55 Entry'!B572,"AAAAAH3xe4g=")</f>
        <v>#VALUE!</v>
      </c>
      <c r="EH160" t="e">
        <f>AND('GA55 Entry'!#REF!,"AAAAAH3xe4k=")</f>
        <v>#REF!</v>
      </c>
      <c r="EI160" t="e">
        <f>AND('GA55 Entry'!C572,"AAAAAH3xe4o=")</f>
        <v>#VALUE!</v>
      </c>
      <c r="EJ160" t="e">
        <f>AND('GA55 Entry'!#REF!,"AAAAAH3xe4s=")</f>
        <v>#REF!</v>
      </c>
      <c r="EK160" t="e">
        <f>AND('GA55 Entry'!#REF!,"AAAAAH3xe4w=")</f>
        <v>#REF!</v>
      </c>
      <c r="EL160" t="e">
        <f>AND('GA55 Entry'!#REF!,"AAAAAH3xe40=")</f>
        <v>#REF!</v>
      </c>
      <c r="EM160" t="e">
        <f>AND('GA55 Entry'!#REF!,"AAAAAH3xe44=")</f>
        <v>#REF!</v>
      </c>
      <c r="EN160" t="e">
        <f>AND('GA55 Entry'!#REF!,"AAAAAH3xe48=")</f>
        <v>#REF!</v>
      </c>
      <c r="EO160" t="e">
        <f>AND('GA55 Entry'!D572,"AAAAAH3xe5A=")</f>
        <v>#VALUE!</v>
      </c>
      <c r="EP160" t="e">
        <f>AND('GA55 Entry'!#REF!,"AAAAAH3xe5E=")</f>
        <v>#REF!</v>
      </c>
      <c r="EQ160" t="e">
        <f>AND('GA55 Entry'!E572,"AAAAAH3xe5I=")</f>
        <v>#VALUE!</v>
      </c>
      <c r="ER160" t="e">
        <f>AND('GA55 Entry'!F572,"AAAAAH3xe5M=")</f>
        <v>#VALUE!</v>
      </c>
      <c r="ES160" t="e">
        <f>AND('GA55 Entry'!G572,"AAAAAH3xe5Q=")</f>
        <v>#VALUE!</v>
      </c>
      <c r="ET160" t="e">
        <f>AND('GA55 Entry'!H572,"AAAAAH3xe5U=")</f>
        <v>#VALUE!</v>
      </c>
      <c r="EU160" t="e">
        <f>AND('GA55 Entry'!I572,"AAAAAH3xe5Y=")</f>
        <v>#VALUE!</v>
      </c>
      <c r="EV160" t="e">
        <f>AND('GA55 Entry'!J572,"AAAAAH3xe5c=")</f>
        <v>#VALUE!</v>
      </c>
      <c r="EW160" t="e">
        <f>AND('GA55 Entry'!#REF!,"AAAAAH3xe5g=")</f>
        <v>#REF!</v>
      </c>
      <c r="EX160" t="e">
        <f>AND('GA55 Entry'!K572,"AAAAAH3xe5k=")</f>
        <v>#VALUE!</v>
      </c>
      <c r="EY160" t="e">
        <f>AND('GA55 Entry'!L572,"AAAAAH3xe5o=")</f>
        <v>#VALUE!</v>
      </c>
      <c r="EZ160" t="e">
        <f>AND('GA55 Entry'!M572,"AAAAAH3xe5s=")</f>
        <v>#VALUE!</v>
      </c>
      <c r="FA160" t="e">
        <f>AND('GA55 Entry'!N572,"AAAAAH3xe5w=")</f>
        <v>#VALUE!</v>
      </c>
      <c r="FB160" t="e">
        <f>AND('GA55 Entry'!O572,"AAAAAH3xe50=")</f>
        <v>#VALUE!</v>
      </c>
      <c r="FC160" t="e">
        <f>AND('GA55 Entry'!P572,"AAAAAH3xe54=")</f>
        <v>#VALUE!</v>
      </c>
      <c r="FD160" t="e">
        <f>AND('GA55 Entry'!Q572,"AAAAAH3xe58=")</f>
        <v>#VALUE!</v>
      </c>
      <c r="FE160" t="e">
        <f>AND('GA55 Entry'!S572,"AAAAAH3xe6A=")</f>
        <v>#VALUE!</v>
      </c>
      <c r="FF160" t="e">
        <f>AND('GA55 Entry'!#REF!,"AAAAAH3xe6E=")</f>
        <v>#REF!</v>
      </c>
      <c r="FG160" t="e">
        <f>AND('GA55 Entry'!T572,"AAAAAH3xe6I=")</f>
        <v>#VALUE!</v>
      </c>
      <c r="FH160" t="e">
        <f>AND('GA55 Entry'!U572,"AAAAAH3xe6M=")</f>
        <v>#VALUE!</v>
      </c>
      <c r="FI160" t="e">
        <f>AND('GA55 Entry'!V572,"AAAAAH3xe6Q=")</f>
        <v>#VALUE!</v>
      </c>
      <c r="FJ160" t="e">
        <f>AND('GA55 Entry'!#REF!,"AAAAAH3xe6U=")</f>
        <v>#REF!</v>
      </c>
      <c r="FK160" t="e">
        <f>AND('GA55 Entry'!#REF!,"AAAAAH3xe6Y=")</f>
        <v>#REF!</v>
      </c>
      <c r="FL160" t="e">
        <f>AND('GA55 Entry'!X572,"AAAAAH3xe6c=")</f>
        <v>#VALUE!</v>
      </c>
      <c r="FM160" t="e">
        <f>AND('GA55 Entry'!Y572,"AAAAAH3xe6g=")</f>
        <v>#VALUE!</v>
      </c>
      <c r="FN160" t="e">
        <f>AND('GA55 Entry'!#REF!,"AAAAAH3xe6k=")</f>
        <v>#REF!</v>
      </c>
      <c r="FO160" t="e">
        <f>AND('GA55 Entry'!#REF!,"AAAAAH3xe6o=")</f>
        <v>#REF!</v>
      </c>
      <c r="FP160" t="e">
        <f>AND('GA55 Entry'!#REF!,"AAAAAH3xe6s=")</f>
        <v>#REF!</v>
      </c>
      <c r="FQ160" t="e">
        <f>AND('GA55 Entry'!#REF!,"AAAAAH3xe6w=")</f>
        <v>#REF!</v>
      </c>
      <c r="FR160" t="e">
        <f>AND('GA55 Entry'!#REF!,"AAAAAH3xe60=")</f>
        <v>#REF!</v>
      </c>
      <c r="FS160" t="e">
        <f>AND('GA55 Entry'!#REF!,"AAAAAH3xe64=")</f>
        <v>#REF!</v>
      </c>
      <c r="FT160" t="e">
        <f>AND('GA55 Entry'!#REF!,"AAAAAH3xe68=")</f>
        <v>#REF!</v>
      </c>
      <c r="FU160" t="e">
        <f>AND('GA55 Entry'!#REF!,"AAAAAH3xe7A=")</f>
        <v>#REF!</v>
      </c>
      <c r="FV160" t="e">
        <f>AND('GA55 Entry'!#REF!,"AAAAAH3xe7E=")</f>
        <v>#REF!</v>
      </c>
      <c r="FW160" t="e">
        <f>AND('GA55 Entry'!Z572,"AAAAAH3xe7I=")</f>
        <v>#VALUE!</v>
      </c>
      <c r="FX160" t="e">
        <f>AND('GA55 Entry'!AA572,"AAAAAH3xe7M=")</f>
        <v>#VALUE!</v>
      </c>
      <c r="FY160" t="e">
        <f>AND('GA55 Entry'!#REF!,"AAAAAH3xe7Q=")</f>
        <v>#REF!</v>
      </c>
      <c r="FZ160" t="e">
        <f>AND('GA55 Entry'!#REF!,"AAAAAH3xe7U=")</f>
        <v>#REF!</v>
      </c>
      <c r="GA160" t="e">
        <f>AND('GA55 Entry'!#REF!,"AAAAAH3xe7Y=")</f>
        <v>#REF!</v>
      </c>
      <c r="GB160" t="e">
        <f>AND('GA55 Entry'!AB572,"AAAAAH3xe7c=")</f>
        <v>#VALUE!</v>
      </c>
      <c r="GC160" t="e">
        <f>AND('GA55 Entry'!AC572,"AAAAAH3xe7g=")</f>
        <v>#VALUE!</v>
      </c>
      <c r="GD160" t="e">
        <f>AND('GA55 Entry'!#REF!,"AAAAAH3xe7k=")</f>
        <v>#REF!</v>
      </c>
      <c r="GE160">
        <f>IF('GA55 Entry'!573:573,"AAAAAH3xe7o=",0)</f>
        <v>0</v>
      </c>
      <c r="GF160" t="e">
        <f>AND('GA55 Entry'!B573,"AAAAAH3xe7s=")</f>
        <v>#VALUE!</v>
      </c>
      <c r="GG160" t="e">
        <f>AND('GA55 Entry'!#REF!,"AAAAAH3xe7w=")</f>
        <v>#REF!</v>
      </c>
      <c r="GH160" t="e">
        <f>AND('GA55 Entry'!C573,"AAAAAH3xe70=")</f>
        <v>#VALUE!</v>
      </c>
      <c r="GI160" t="e">
        <f>AND('GA55 Entry'!#REF!,"AAAAAH3xe74=")</f>
        <v>#REF!</v>
      </c>
      <c r="GJ160" t="e">
        <f>AND('GA55 Entry'!#REF!,"AAAAAH3xe78=")</f>
        <v>#REF!</v>
      </c>
      <c r="GK160" t="e">
        <f>AND('GA55 Entry'!#REF!,"AAAAAH3xe8A=")</f>
        <v>#REF!</v>
      </c>
      <c r="GL160" t="e">
        <f>AND('GA55 Entry'!#REF!,"AAAAAH3xe8E=")</f>
        <v>#REF!</v>
      </c>
      <c r="GM160" t="e">
        <f>AND('GA55 Entry'!#REF!,"AAAAAH3xe8I=")</f>
        <v>#REF!</v>
      </c>
      <c r="GN160" t="e">
        <f>AND('GA55 Entry'!D573,"AAAAAH3xe8M=")</f>
        <v>#VALUE!</v>
      </c>
      <c r="GO160" t="e">
        <f>AND('GA55 Entry'!#REF!,"AAAAAH3xe8Q=")</f>
        <v>#REF!</v>
      </c>
      <c r="GP160" t="e">
        <f>AND('GA55 Entry'!E573,"AAAAAH3xe8U=")</f>
        <v>#VALUE!</v>
      </c>
      <c r="GQ160" t="e">
        <f>AND('GA55 Entry'!F573,"AAAAAH3xe8Y=")</f>
        <v>#VALUE!</v>
      </c>
      <c r="GR160" t="e">
        <f>AND('GA55 Entry'!G573,"AAAAAH3xe8c=")</f>
        <v>#VALUE!</v>
      </c>
      <c r="GS160" t="e">
        <f>AND('GA55 Entry'!H573,"AAAAAH3xe8g=")</f>
        <v>#VALUE!</v>
      </c>
      <c r="GT160" t="e">
        <f>AND('GA55 Entry'!I573,"AAAAAH3xe8k=")</f>
        <v>#VALUE!</v>
      </c>
      <c r="GU160" t="e">
        <f>AND('GA55 Entry'!J573,"AAAAAH3xe8o=")</f>
        <v>#VALUE!</v>
      </c>
      <c r="GV160" t="e">
        <f>AND('GA55 Entry'!#REF!,"AAAAAH3xe8s=")</f>
        <v>#REF!</v>
      </c>
      <c r="GW160" t="e">
        <f>AND('GA55 Entry'!K573,"AAAAAH3xe8w=")</f>
        <v>#VALUE!</v>
      </c>
      <c r="GX160" t="e">
        <f>AND('GA55 Entry'!L573,"AAAAAH3xe80=")</f>
        <v>#VALUE!</v>
      </c>
      <c r="GY160" t="e">
        <f>AND('GA55 Entry'!M573,"AAAAAH3xe84=")</f>
        <v>#VALUE!</v>
      </c>
      <c r="GZ160" t="e">
        <f>AND('GA55 Entry'!N573,"AAAAAH3xe88=")</f>
        <v>#VALUE!</v>
      </c>
      <c r="HA160" t="e">
        <f>AND('GA55 Entry'!O573,"AAAAAH3xe9A=")</f>
        <v>#VALUE!</v>
      </c>
      <c r="HB160" t="e">
        <f>AND('GA55 Entry'!P573,"AAAAAH3xe9E=")</f>
        <v>#VALUE!</v>
      </c>
      <c r="HC160" t="e">
        <f>AND('GA55 Entry'!Q573,"AAAAAH3xe9I=")</f>
        <v>#VALUE!</v>
      </c>
      <c r="HD160" t="e">
        <f>AND('GA55 Entry'!S573,"AAAAAH3xe9M=")</f>
        <v>#VALUE!</v>
      </c>
      <c r="HE160" t="e">
        <f>AND('GA55 Entry'!#REF!,"AAAAAH3xe9Q=")</f>
        <v>#REF!</v>
      </c>
      <c r="HF160" t="e">
        <f>AND('GA55 Entry'!T573,"AAAAAH3xe9U=")</f>
        <v>#VALUE!</v>
      </c>
      <c r="HG160" t="e">
        <f>AND('GA55 Entry'!U573,"AAAAAH3xe9Y=")</f>
        <v>#VALUE!</v>
      </c>
      <c r="HH160" t="e">
        <f>AND('GA55 Entry'!V573,"AAAAAH3xe9c=")</f>
        <v>#VALUE!</v>
      </c>
      <c r="HI160" t="e">
        <f>AND('GA55 Entry'!#REF!,"AAAAAH3xe9g=")</f>
        <v>#REF!</v>
      </c>
      <c r="HJ160" t="e">
        <f>AND('GA55 Entry'!#REF!,"AAAAAH3xe9k=")</f>
        <v>#REF!</v>
      </c>
      <c r="HK160" t="e">
        <f>AND('GA55 Entry'!X573,"AAAAAH3xe9o=")</f>
        <v>#VALUE!</v>
      </c>
      <c r="HL160" t="e">
        <f>AND('GA55 Entry'!Y573,"AAAAAH3xe9s=")</f>
        <v>#VALUE!</v>
      </c>
      <c r="HM160" t="e">
        <f>AND('GA55 Entry'!#REF!,"AAAAAH3xe9w=")</f>
        <v>#REF!</v>
      </c>
      <c r="HN160" t="e">
        <f>AND('GA55 Entry'!#REF!,"AAAAAH3xe90=")</f>
        <v>#REF!</v>
      </c>
      <c r="HO160" t="e">
        <f>AND('GA55 Entry'!#REF!,"AAAAAH3xe94=")</f>
        <v>#REF!</v>
      </c>
      <c r="HP160" t="e">
        <f>AND('GA55 Entry'!#REF!,"AAAAAH3xe98=")</f>
        <v>#REF!</v>
      </c>
      <c r="HQ160" t="e">
        <f>AND('GA55 Entry'!#REF!,"AAAAAH3xe+A=")</f>
        <v>#REF!</v>
      </c>
      <c r="HR160" t="e">
        <f>AND('GA55 Entry'!#REF!,"AAAAAH3xe+E=")</f>
        <v>#REF!</v>
      </c>
      <c r="HS160" t="e">
        <f>AND('GA55 Entry'!#REF!,"AAAAAH3xe+I=")</f>
        <v>#REF!</v>
      </c>
      <c r="HT160" t="e">
        <f>AND('GA55 Entry'!#REF!,"AAAAAH3xe+M=")</f>
        <v>#REF!</v>
      </c>
      <c r="HU160" t="e">
        <f>AND('GA55 Entry'!#REF!,"AAAAAH3xe+Q=")</f>
        <v>#REF!</v>
      </c>
      <c r="HV160" t="e">
        <f>AND('GA55 Entry'!Z573,"AAAAAH3xe+U=")</f>
        <v>#VALUE!</v>
      </c>
      <c r="HW160" t="e">
        <f>AND('GA55 Entry'!AA573,"AAAAAH3xe+Y=")</f>
        <v>#VALUE!</v>
      </c>
      <c r="HX160" t="e">
        <f>AND('GA55 Entry'!#REF!,"AAAAAH3xe+c=")</f>
        <v>#REF!</v>
      </c>
      <c r="HY160" t="e">
        <f>AND('GA55 Entry'!#REF!,"AAAAAH3xe+g=")</f>
        <v>#REF!</v>
      </c>
      <c r="HZ160" t="e">
        <f>AND('GA55 Entry'!#REF!,"AAAAAH3xe+k=")</f>
        <v>#REF!</v>
      </c>
      <c r="IA160" t="e">
        <f>AND('GA55 Entry'!AB573,"AAAAAH3xe+o=")</f>
        <v>#VALUE!</v>
      </c>
      <c r="IB160" t="e">
        <f>AND('GA55 Entry'!AC573,"AAAAAH3xe+s=")</f>
        <v>#VALUE!</v>
      </c>
      <c r="IC160" t="e">
        <f>AND('GA55 Entry'!#REF!,"AAAAAH3xe+w=")</f>
        <v>#REF!</v>
      </c>
      <c r="ID160">
        <f>IF('GA55 Entry'!574:574,"AAAAAH3xe+0=",0)</f>
        <v>0</v>
      </c>
      <c r="IE160" t="e">
        <f>AND('GA55 Entry'!B574,"AAAAAH3xe+4=")</f>
        <v>#VALUE!</v>
      </c>
      <c r="IF160" t="e">
        <f>AND('GA55 Entry'!#REF!,"AAAAAH3xe+8=")</f>
        <v>#REF!</v>
      </c>
      <c r="IG160" t="e">
        <f>AND('GA55 Entry'!C574,"AAAAAH3xe/A=")</f>
        <v>#VALUE!</v>
      </c>
      <c r="IH160" t="e">
        <f>AND('GA55 Entry'!#REF!,"AAAAAH3xe/E=")</f>
        <v>#REF!</v>
      </c>
      <c r="II160" t="e">
        <f>AND('GA55 Entry'!#REF!,"AAAAAH3xe/I=")</f>
        <v>#REF!</v>
      </c>
      <c r="IJ160" t="e">
        <f>AND('GA55 Entry'!#REF!,"AAAAAH3xe/M=")</f>
        <v>#REF!</v>
      </c>
      <c r="IK160" t="e">
        <f>AND('GA55 Entry'!#REF!,"AAAAAH3xe/Q=")</f>
        <v>#REF!</v>
      </c>
      <c r="IL160" t="e">
        <f>AND('GA55 Entry'!#REF!,"AAAAAH3xe/U=")</f>
        <v>#REF!</v>
      </c>
      <c r="IM160" t="e">
        <f>AND('GA55 Entry'!D574,"AAAAAH3xe/Y=")</f>
        <v>#VALUE!</v>
      </c>
      <c r="IN160" t="e">
        <f>AND('GA55 Entry'!#REF!,"AAAAAH3xe/c=")</f>
        <v>#REF!</v>
      </c>
      <c r="IO160" t="e">
        <f>AND('GA55 Entry'!E574,"AAAAAH3xe/g=")</f>
        <v>#VALUE!</v>
      </c>
      <c r="IP160" t="e">
        <f>AND('GA55 Entry'!F574,"AAAAAH3xe/k=")</f>
        <v>#VALUE!</v>
      </c>
      <c r="IQ160" t="e">
        <f>AND('GA55 Entry'!G574,"AAAAAH3xe/o=")</f>
        <v>#VALUE!</v>
      </c>
      <c r="IR160" t="e">
        <f>AND('GA55 Entry'!H574,"AAAAAH3xe/s=")</f>
        <v>#VALUE!</v>
      </c>
      <c r="IS160" t="e">
        <f>AND('GA55 Entry'!I574,"AAAAAH3xe/w=")</f>
        <v>#VALUE!</v>
      </c>
      <c r="IT160" t="e">
        <f>AND('GA55 Entry'!J574,"AAAAAH3xe/0=")</f>
        <v>#VALUE!</v>
      </c>
      <c r="IU160" t="e">
        <f>AND('GA55 Entry'!#REF!,"AAAAAH3xe/4=")</f>
        <v>#REF!</v>
      </c>
      <c r="IV160" t="e">
        <f>AND('GA55 Entry'!K574,"AAAAAH3xe/8=")</f>
        <v>#VALUE!</v>
      </c>
    </row>
    <row r="161" spans="1:256">
      <c r="A161" t="e">
        <f>AND('GA55 Entry'!L574,"AAAAAFr/7AA=")</f>
        <v>#VALUE!</v>
      </c>
      <c r="B161" t="e">
        <f>AND('GA55 Entry'!M574,"AAAAAFr/7AE=")</f>
        <v>#VALUE!</v>
      </c>
      <c r="C161" t="e">
        <f>AND('GA55 Entry'!N574,"AAAAAFr/7AI=")</f>
        <v>#VALUE!</v>
      </c>
      <c r="D161" t="e">
        <f>AND('GA55 Entry'!O574,"AAAAAFr/7AM=")</f>
        <v>#VALUE!</v>
      </c>
      <c r="E161" t="e">
        <f>AND('GA55 Entry'!P574,"AAAAAFr/7AQ=")</f>
        <v>#VALUE!</v>
      </c>
      <c r="F161" t="e">
        <f>AND('GA55 Entry'!Q574,"AAAAAFr/7AU=")</f>
        <v>#VALUE!</v>
      </c>
      <c r="G161" t="e">
        <f>AND('GA55 Entry'!S574,"AAAAAFr/7AY=")</f>
        <v>#VALUE!</v>
      </c>
      <c r="H161" t="e">
        <f>AND('GA55 Entry'!#REF!,"AAAAAFr/7Ac=")</f>
        <v>#REF!</v>
      </c>
      <c r="I161" t="e">
        <f>AND('GA55 Entry'!T574,"AAAAAFr/7Ag=")</f>
        <v>#VALUE!</v>
      </c>
      <c r="J161" t="e">
        <f>AND('GA55 Entry'!U574,"AAAAAFr/7Ak=")</f>
        <v>#VALUE!</v>
      </c>
      <c r="K161" t="e">
        <f>AND('GA55 Entry'!V574,"AAAAAFr/7Ao=")</f>
        <v>#VALUE!</v>
      </c>
      <c r="L161" t="e">
        <f>AND('GA55 Entry'!#REF!,"AAAAAFr/7As=")</f>
        <v>#REF!</v>
      </c>
      <c r="M161" t="e">
        <f>AND('GA55 Entry'!#REF!,"AAAAAFr/7Aw=")</f>
        <v>#REF!</v>
      </c>
      <c r="N161" t="e">
        <f>AND('GA55 Entry'!X574,"AAAAAFr/7A0=")</f>
        <v>#VALUE!</v>
      </c>
      <c r="O161" t="e">
        <f>AND('GA55 Entry'!Y574,"AAAAAFr/7A4=")</f>
        <v>#VALUE!</v>
      </c>
      <c r="P161" t="e">
        <f>AND('GA55 Entry'!#REF!,"AAAAAFr/7A8=")</f>
        <v>#REF!</v>
      </c>
      <c r="Q161" t="e">
        <f>AND('GA55 Entry'!#REF!,"AAAAAFr/7BA=")</f>
        <v>#REF!</v>
      </c>
      <c r="R161" t="e">
        <f>AND('GA55 Entry'!#REF!,"AAAAAFr/7BE=")</f>
        <v>#REF!</v>
      </c>
      <c r="S161" t="e">
        <f>AND('GA55 Entry'!#REF!,"AAAAAFr/7BI=")</f>
        <v>#REF!</v>
      </c>
      <c r="T161" t="e">
        <f>AND('GA55 Entry'!#REF!,"AAAAAFr/7BM=")</f>
        <v>#REF!</v>
      </c>
      <c r="U161" t="e">
        <f>AND('GA55 Entry'!#REF!,"AAAAAFr/7BQ=")</f>
        <v>#REF!</v>
      </c>
      <c r="V161" t="e">
        <f>AND('GA55 Entry'!#REF!,"AAAAAFr/7BU=")</f>
        <v>#REF!</v>
      </c>
      <c r="W161" t="e">
        <f>AND('GA55 Entry'!#REF!,"AAAAAFr/7BY=")</f>
        <v>#REF!</v>
      </c>
      <c r="X161" t="e">
        <f>AND('GA55 Entry'!#REF!,"AAAAAFr/7Bc=")</f>
        <v>#REF!</v>
      </c>
      <c r="Y161" t="e">
        <f>AND('GA55 Entry'!Z574,"AAAAAFr/7Bg=")</f>
        <v>#VALUE!</v>
      </c>
      <c r="Z161" t="e">
        <f>AND('GA55 Entry'!AA574,"AAAAAFr/7Bk=")</f>
        <v>#VALUE!</v>
      </c>
      <c r="AA161" t="e">
        <f>AND('GA55 Entry'!#REF!,"AAAAAFr/7Bo=")</f>
        <v>#REF!</v>
      </c>
      <c r="AB161" t="e">
        <f>AND('GA55 Entry'!#REF!,"AAAAAFr/7Bs=")</f>
        <v>#REF!</v>
      </c>
      <c r="AC161" t="e">
        <f>AND('GA55 Entry'!#REF!,"AAAAAFr/7Bw=")</f>
        <v>#REF!</v>
      </c>
      <c r="AD161" t="e">
        <f>AND('GA55 Entry'!AB574,"AAAAAFr/7B0=")</f>
        <v>#VALUE!</v>
      </c>
      <c r="AE161" t="e">
        <f>AND('GA55 Entry'!AC574,"AAAAAFr/7B4=")</f>
        <v>#VALUE!</v>
      </c>
      <c r="AF161" t="e">
        <f>AND('GA55 Entry'!#REF!,"AAAAAFr/7B8=")</f>
        <v>#REF!</v>
      </c>
      <c r="AG161">
        <f>IF('GA55 Entry'!575:575,"AAAAAFr/7CA=",0)</f>
        <v>0</v>
      </c>
      <c r="AH161" t="e">
        <f>AND('GA55 Entry'!B575,"AAAAAFr/7CE=")</f>
        <v>#VALUE!</v>
      </c>
      <c r="AI161" t="e">
        <f>AND('GA55 Entry'!#REF!,"AAAAAFr/7CI=")</f>
        <v>#REF!</v>
      </c>
      <c r="AJ161" t="e">
        <f>AND('GA55 Entry'!C575,"AAAAAFr/7CM=")</f>
        <v>#VALUE!</v>
      </c>
      <c r="AK161" t="e">
        <f>AND('GA55 Entry'!#REF!,"AAAAAFr/7CQ=")</f>
        <v>#REF!</v>
      </c>
      <c r="AL161" t="e">
        <f>AND('GA55 Entry'!#REF!,"AAAAAFr/7CU=")</f>
        <v>#REF!</v>
      </c>
      <c r="AM161" t="e">
        <f>AND('GA55 Entry'!#REF!,"AAAAAFr/7CY=")</f>
        <v>#REF!</v>
      </c>
      <c r="AN161" t="e">
        <f>AND('GA55 Entry'!#REF!,"AAAAAFr/7Cc=")</f>
        <v>#REF!</v>
      </c>
      <c r="AO161" t="e">
        <f>AND('GA55 Entry'!#REF!,"AAAAAFr/7Cg=")</f>
        <v>#REF!</v>
      </c>
      <c r="AP161" t="e">
        <f>AND('GA55 Entry'!D575,"AAAAAFr/7Ck=")</f>
        <v>#VALUE!</v>
      </c>
      <c r="AQ161" t="e">
        <f>AND('GA55 Entry'!#REF!,"AAAAAFr/7Co=")</f>
        <v>#REF!</v>
      </c>
      <c r="AR161" t="e">
        <f>AND('GA55 Entry'!E575,"AAAAAFr/7Cs=")</f>
        <v>#VALUE!</v>
      </c>
      <c r="AS161" t="e">
        <f>AND('GA55 Entry'!F575,"AAAAAFr/7Cw=")</f>
        <v>#VALUE!</v>
      </c>
      <c r="AT161" t="e">
        <f>AND('GA55 Entry'!G575,"AAAAAFr/7C0=")</f>
        <v>#VALUE!</v>
      </c>
      <c r="AU161" t="e">
        <f>AND('GA55 Entry'!H575,"AAAAAFr/7C4=")</f>
        <v>#VALUE!</v>
      </c>
      <c r="AV161" t="e">
        <f>AND('GA55 Entry'!I575,"AAAAAFr/7C8=")</f>
        <v>#VALUE!</v>
      </c>
      <c r="AW161" t="e">
        <f>AND('GA55 Entry'!J575,"AAAAAFr/7DA=")</f>
        <v>#VALUE!</v>
      </c>
      <c r="AX161" t="e">
        <f>AND('GA55 Entry'!#REF!,"AAAAAFr/7DE=")</f>
        <v>#REF!</v>
      </c>
      <c r="AY161" t="e">
        <f>AND('GA55 Entry'!K575,"AAAAAFr/7DI=")</f>
        <v>#VALUE!</v>
      </c>
      <c r="AZ161" t="e">
        <f>AND('GA55 Entry'!L575,"AAAAAFr/7DM=")</f>
        <v>#VALUE!</v>
      </c>
      <c r="BA161" t="e">
        <f>AND('GA55 Entry'!M575,"AAAAAFr/7DQ=")</f>
        <v>#VALUE!</v>
      </c>
      <c r="BB161" t="e">
        <f>AND('GA55 Entry'!N575,"AAAAAFr/7DU=")</f>
        <v>#VALUE!</v>
      </c>
      <c r="BC161" t="e">
        <f>AND('GA55 Entry'!O575,"AAAAAFr/7DY=")</f>
        <v>#VALUE!</v>
      </c>
      <c r="BD161" t="e">
        <f>AND('GA55 Entry'!P575,"AAAAAFr/7Dc=")</f>
        <v>#VALUE!</v>
      </c>
      <c r="BE161" t="e">
        <f>AND('GA55 Entry'!Q575,"AAAAAFr/7Dg=")</f>
        <v>#VALUE!</v>
      </c>
      <c r="BF161" t="e">
        <f>AND('GA55 Entry'!S575,"AAAAAFr/7Dk=")</f>
        <v>#VALUE!</v>
      </c>
      <c r="BG161" t="e">
        <f>AND('GA55 Entry'!#REF!,"AAAAAFr/7Do=")</f>
        <v>#REF!</v>
      </c>
      <c r="BH161" t="e">
        <f>AND('GA55 Entry'!T575,"AAAAAFr/7Ds=")</f>
        <v>#VALUE!</v>
      </c>
      <c r="BI161" t="e">
        <f>AND('GA55 Entry'!U575,"AAAAAFr/7Dw=")</f>
        <v>#VALUE!</v>
      </c>
      <c r="BJ161" t="e">
        <f>AND('GA55 Entry'!V575,"AAAAAFr/7D0=")</f>
        <v>#VALUE!</v>
      </c>
      <c r="BK161" t="e">
        <f>AND('GA55 Entry'!#REF!,"AAAAAFr/7D4=")</f>
        <v>#REF!</v>
      </c>
      <c r="BL161" t="e">
        <f>AND('GA55 Entry'!#REF!,"AAAAAFr/7D8=")</f>
        <v>#REF!</v>
      </c>
      <c r="BM161" t="e">
        <f>AND('GA55 Entry'!X575,"AAAAAFr/7EA=")</f>
        <v>#VALUE!</v>
      </c>
      <c r="BN161" t="e">
        <f>AND('GA55 Entry'!Y575,"AAAAAFr/7EE=")</f>
        <v>#VALUE!</v>
      </c>
      <c r="BO161" t="e">
        <f>AND('GA55 Entry'!#REF!,"AAAAAFr/7EI=")</f>
        <v>#REF!</v>
      </c>
      <c r="BP161" t="e">
        <f>AND('GA55 Entry'!#REF!,"AAAAAFr/7EM=")</f>
        <v>#REF!</v>
      </c>
      <c r="BQ161" t="e">
        <f>AND('GA55 Entry'!#REF!,"AAAAAFr/7EQ=")</f>
        <v>#REF!</v>
      </c>
      <c r="BR161" t="e">
        <f>AND('GA55 Entry'!#REF!,"AAAAAFr/7EU=")</f>
        <v>#REF!</v>
      </c>
      <c r="BS161" t="e">
        <f>AND('GA55 Entry'!#REF!,"AAAAAFr/7EY=")</f>
        <v>#REF!</v>
      </c>
      <c r="BT161" t="e">
        <f>AND('GA55 Entry'!#REF!,"AAAAAFr/7Ec=")</f>
        <v>#REF!</v>
      </c>
      <c r="BU161" t="e">
        <f>AND('GA55 Entry'!#REF!,"AAAAAFr/7Eg=")</f>
        <v>#REF!</v>
      </c>
      <c r="BV161" t="e">
        <f>AND('GA55 Entry'!#REF!,"AAAAAFr/7Ek=")</f>
        <v>#REF!</v>
      </c>
      <c r="BW161" t="e">
        <f>AND('GA55 Entry'!#REF!,"AAAAAFr/7Eo=")</f>
        <v>#REF!</v>
      </c>
      <c r="BX161" t="e">
        <f>AND('GA55 Entry'!Z575,"AAAAAFr/7Es=")</f>
        <v>#VALUE!</v>
      </c>
      <c r="BY161" t="e">
        <f>AND('GA55 Entry'!AA575,"AAAAAFr/7Ew=")</f>
        <v>#VALUE!</v>
      </c>
      <c r="BZ161" t="e">
        <f>AND('GA55 Entry'!#REF!,"AAAAAFr/7E0=")</f>
        <v>#REF!</v>
      </c>
      <c r="CA161" t="e">
        <f>AND('GA55 Entry'!#REF!,"AAAAAFr/7E4=")</f>
        <v>#REF!</v>
      </c>
      <c r="CB161" t="e">
        <f>AND('GA55 Entry'!#REF!,"AAAAAFr/7E8=")</f>
        <v>#REF!</v>
      </c>
      <c r="CC161" t="e">
        <f>AND('GA55 Entry'!AB575,"AAAAAFr/7FA=")</f>
        <v>#VALUE!</v>
      </c>
      <c r="CD161" t="e">
        <f>AND('GA55 Entry'!AC575,"AAAAAFr/7FE=")</f>
        <v>#VALUE!</v>
      </c>
      <c r="CE161" t="e">
        <f>AND('GA55 Entry'!#REF!,"AAAAAFr/7FI=")</f>
        <v>#REF!</v>
      </c>
      <c r="CF161">
        <f>IF('GA55 Entry'!576:576,"AAAAAFr/7FM=",0)</f>
        <v>0</v>
      </c>
      <c r="CG161" t="e">
        <f>AND('GA55 Entry'!B576,"AAAAAFr/7FQ=")</f>
        <v>#VALUE!</v>
      </c>
      <c r="CH161" t="e">
        <f>AND('GA55 Entry'!#REF!,"AAAAAFr/7FU=")</f>
        <v>#REF!</v>
      </c>
      <c r="CI161" t="e">
        <f>AND('GA55 Entry'!C576,"AAAAAFr/7FY=")</f>
        <v>#VALUE!</v>
      </c>
      <c r="CJ161" t="e">
        <f>AND('GA55 Entry'!#REF!,"AAAAAFr/7Fc=")</f>
        <v>#REF!</v>
      </c>
      <c r="CK161" t="e">
        <f>AND('GA55 Entry'!#REF!,"AAAAAFr/7Fg=")</f>
        <v>#REF!</v>
      </c>
      <c r="CL161" t="e">
        <f>AND('GA55 Entry'!#REF!,"AAAAAFr/7Fk=")</f>
        <v>#REF!</v>
      </c>
      <c r="CM161" t="e">
        <f>AND('GA55 Entry'!#REF!,"AAAAAFr/7Fo=")</f>
        <v>#REF!</v>
      </c>
      <c r="CN161" t="e">
        <f>AND('GA55 Entry'!#REF!,"AAAAAFr/7Fs=")</f>
        <v>#REF!</v>
      </c>
      <c r="CO161" t="e">
        <f>AND('GA55 Entry'!D576,"AAAAAFr/7Fw=")</f>
        <v>#VALUE!</v>
      </c>
      <c r="CP161" t="e">
        <f>AND('GA55 Entry'!#REF!,"AAAAAFr/7F0=")</f>
        <v>#REF!</v>
      </c>
      <c r="CQ161" t="e">
        <f>AND('GA55 Entry'!E576,"AAAAAFr/7F4=")</f>
        <v>#VALUE!</v>
      </c>
      <c r="CR161" t="e">
        <f>AND('GA55 Entry'!F576,"AAAAAFr/7F8=")</f>
        <v>#VALUE!</v>
      </c>
      <c r="CS161" t="e">
        <f>AND('GA55 Entry'!G576,"AAAAAFr/7GA=")</f>
        <v>#VALUE!</v>
      </c>
      <c r="CT161" t="e">
        <f>AND('GA55 Entry'!H576,"AAAAAFr/7GE=")</f>
        <v>#VALUE!</v>
      </c>
      <c r="CU161" t="e">
        <f>AND('GA55 Entry'!I576,"AAAAAFr/7GI=")</f>
        <v>#VALUE!</v>
      </c>
      <c r="CV161" t="e">
        <f>AND('GA55 Entry'!J576,"AAAAAFr/7GM=")</f>
        <v>#VALUE!</v>
      </c>
      <c r="CW161" t="e">
        <f>AND('GA55 Entry'!#REF!,"AAAAAFr/7GQ=")</f>
        <v>#REF!</v>
      </c>
      <c r="CX161" t="e">
        <f>AND('GA55 Entry'!K576,"AAAAAFr/7GU=")</f>
        <v>#VALUE!</v>
      </c>
      <c r="CY161" t="e">
        <f>AND('GA55 Entry'!L576,"AAAAAFr/7GY=")</f>
        <v>#VALUE!</v>
      </c>
      <c r="CZ161" t="e">
        <f>AND('GA55 Entry'!M576,"AAAAAFr/7Gc=")</f>
        <v>#VALUE!</v>
      </c>
      <c r="DA161" t="e">
        <f>AND('GA55 Entry'!N576,"AAAAAFr/7Gg=")</f>
        <v>#VALUE!</v>
      </c>
      <c r="DB161" t="e">
        <f>AND('GA55 Entry'!O576,"AAAAAFr/7Gk=")</f>
        <v>#VALUE!</v>
      </c>
      <c r="DC161" t="e">
        <f>AND('GA55 Entry'!P576,"AAAAAFr/7Go=")</f>
        <v>#VALUE!</v>
      </c>
      <c r="DD161" t="e">
        <f>AND('GA55 Entry'!Q576,"AAAAAFr/7Gs=")</f>
        <v>#VALUE!</v>
      </c>
      <c r="DE161" t="e">
        <f>AND('GA55 Entry'!S576,"AAAAAFr/7Gw=")</f>
        <v>#VALUE!</v>
      </c>
      <c r="DF161" t="e">
        <f>AND('GA55 Entry'!#REF!,"AAAAAFr/7G0=")</f>
        <v>#REF!</v>
      </c>
      <c r="DG161" t="e">
        <f>AND('GA55 Entry'!T576,"AAAAAFr/7G4=")</f>
        <v>#VALUE!</v>
      </c>
      <c r="DH161" t="e">
        <f>AND('GA55 Entry'!U576,"AAAAAFr/7G8=")</f>
        <v>#VALUE!</v>
      </c>
      <c r="DI161" t="e">
        <f>AND('GA55 Entry'!V576,"AAAAAFr/7HA=")</f>
        <v>#VALUE!</v>
      </c>
      <c r="DJ161" t="e">
        <f>AND('GA55 Entry'!#REF!,"AAAAAFr/7HE=")</f>
        <v>#REF!</v>
      </c>
      <c r="DK161" t="e">
        <f>AND('GA55 Entry'!#REF!,"AAAAAFr/7HI=")</f>
        <v>#REF!</v>
      </c>
      <c r="DL161" t="e">
        <f>AND('GA55 Entry'!X576,"AAAAAFr/7HM=")</f>
        <v>#VALUE!</v>
      </c>
      <c r="DM161" t="e">
        <f>AND('GA55 Entry'!Y576,"AAAAAFr/7HQ=")</f>
        <v>#VALUE!</v>
      </c>
      <c r="DN161" t="e">
        <f>AND('GA55 Entry'!#REF!,"AAAAAFr/7HU=")</f>
        <v>#REF!</v>
      </c>
      <c r="DO161" t="e">
        <f>AND('GA55 Entry'!#REF!,"AAAAAFr/7HY=")</f>
        <v>#REF!</v>
      </c>
      <c r="DP161" t="e">
        <f>AND('GA55 Entry'!#REF!,"AAAAAFr/7Hc=")</f>
        <v>#REF!</v>
      </c>
      <c r="DQ161" t="e">
        <f>AND('GA55 Entry'!#REF!,"AAAAAFr/7Hg=")</f>
        <v>#REF!</v>
      </c>
      <c r="DR161" t="e">
        <f>AND('GA55 Entry'!#REF!,"AAAAAFr/7Hk=")</f>
        <v>#REF!</v>
      </c>
      <c r="DS161" t="e">
        <f>AND('GA55 Entry'!#REF!,"AAAAAFr/7Ho=")</f>
        <v>#REF!</v>
      </c>
      <c r="DT161" t="e">
        <f>AND('GA55 Entry'!#REF!,"AAAAAFr/7Hs=")</f>
        <v>#REF!</v>
      </c>
      <c r="DU161" t="e">
        <f>AND('GA55 Entry'!#REF!,"AAAAAFr/7Hw=")</f>
        <v>#REF!</v>
      </c>
      <c r="DV161" t="e">
        <f>AND('GA55 Entry'!#REF!,"AAAAAFr/7H0=")</f>
        <v>#REF!</v>
      </c>
      <c r="DW161" t="e">
        <f>AND('GA55 Entry'!Z576,"AAAAAFr/7H4=")</f>
        <v>#VALUE!</v>
      </c>
      <c r="DX161" t="e">
        <f>AND('GA55 Entry'!AA576,"AAAAAFr/7H8=")</f>
        <v>#VALUE!</v>
      </c>
      <c r="DY161" t="e">
        <f>AND('GA55 Entry'!#REF!,"AAAAAFr/7IA=")</f>
        <v>#REF!</v>
      </c>
      <c r="DZ161" t="e">
        <f>AND('GA55 Entry'!#REF!,"AAAAAFr/7IE=")</f>
        <v>#REF!</v>
      </c>
      <c r="EA161" t="e">
        <f>AND('GA55 Entry'!#REF!,"AAAAAFr/7II=")</f>
        <v>#REF!</v>
      </c>
      <c r="EB161" t="e">
        <f>AND('GA55 Entry'!AB576,"AAAAAFr/7IM=")</f>
        <v>#VALUE!</v>
      </c>
      <c r="EC161" t="e">
        <f>AND('GA55 Entry'!AC576,"AAAAAFr/7IQ=")</f>
        <v>#VALUE!</v>
      </c>
      <c r="ED161" t="e">
        <f>AND('GA55 Entry'!#REF!,"AAAAAFr/7IU=")</f>
        <v>#REF!</v>
      </c>
      <c r="EE161">
        <f>IF('GA55 Entry'!577:577,"AAAAAFr/7IY=",0)</f>
        <v>0</v>
      </c>
      <c r="EF161" t="e">
        <f>AND('GA55 Entry'!B577,"AAAAAFr/7Ic=")</f>
        <v>#VALUE!</v>
      </c>
      <c r="EG161" t="e">
        <f>AND('GA55 Entry'!#REF!,"AAAAAFr/7Ig=")</f>
        <v>#REF!</v>
      </c>
      <c r="EH161" t="e">
        <f>AND('GA55 Entry'!C577,"AAAAAFr/7Ik=")</f>
        <v>#VALUE!</v>
      </c>
      <c r="EI161" t="e">
        <f>AND('GA55 Entry'!#REF!,"AAAAAFr/7Io=")</f>
        <v>#REF!</v>
      </c>
      <c r="EJ161" t="e">
        <f>AND('GA55 Entry'!#REF!,"AAAAAFr/7Is=")</f>
        <v>#REF!</v>
      </c>
      <c r="EK161" t="e">
        <f>AND('GA55 Entry'!#REF!,"AAAAAFr/7Iw=")</f>
        <v>#REF!</v>
      </c>
      <c r="EL161" t="e">
        <f>AND('GA55 Entry'!#REF!,"AAAAAFr/7I0=")</f>
        <v>#REF!</v>
      </c>
      <c r="EM161" t="e">
        <f>AND('GA55 Entry'!#REF!,"AAAAAFr/7I4=")</f>
        <v>#REF!</v>
      </c>
      <c r="EN161" t="e">
        <f>AND('GA55 Entry'!D577,"AAAAAFr/7I8=")</f>
        <v>#VALUE!</v>
      </c>
      <c r="EO161" t="e">
        <f>AND('GA55 Entry'!#REF!,"AAAAAFr/7JA=")</f>
        <v>#REF!</v>
      </c>
      <c r="EP161" t="e">
        <f>AND('GA55 Entry'!E577,"AAAAAFr/7JE=")</f>
        <v>#VALUE!</v>
      </c>
      <c r="EQ161" t="e">
        <f>AND('GA55 Entry'!F577,"AAAAAFr/7JI=")</f>
        <v>#VALUE!</v>
      </c>
      <c r="ER161" t="e">
        <f>AND('GA55 Entry'!G577,"AAAAAFr/7JM=")</f>
        <v>#VALUE!</v>
      </c>
      <c r="ES161" t="e">
        <f>AND('GA55 Entry'!H577,"AAAAAFr/7JQ=")</f>
        <v>#VALUE!</v>
      </c>
      <c r="ET161" t="e">
        <f>AND('GA55 Entry'!I577,"AAAAAFr/7JU=")</f>
        <v>#VALUE!</v>
      </c>
      <c r="EU161" t="e">
        <f>AND('GA55 Entry'!J577,"AAAAAFr/7JY=")</f>
        <v>#VALUE!</v>
      </c>
      <c r="EV161" t="e">
        <f>AND('GA55 Entry'!#REF!,"AAAAAFr/7Jc=")</f>
        <v>#REF!</v>
      </c>
      <c r="EW161" t="e">
        <f>AND('GA55 Entry'!K577,"AAAAAFr/7Jg=")</f>
        <v>#VALUE!</v>
      </c>
      <c r="EX161" t="e">
        <f>AND('GA55 Entry'!L577,"AAAAAFr/7Jk=")</f>
        <v>#VALUE!</v>
      </c>
      <c r="EY161" t="e">
        <f>AND('GA55 Entry'!M577,"AAAAAFr/7Jo=")</f>
        <v>#VALUE!</v>
      </c>
      <c r="EZ161" t="e">
        <f>AND('GA55 Entry'!N577,"AAAAAFr/7Js=")</f>
        <v>#VALUE!</v>
      </c>
      <c r="FA161" t="e">
        <f>AND('GA55 Entry'!O577,"AAAAAFr/7Jw=")</f>
        <v>#VALUE!</v>
      </c>
      <c r="FB161" t="e">
        <f>AND('GA55 Entry'!P577,"AAAAAFr/7J0=")</f>
        <v>#VALUE!</v>
      </c>
      <c r="FC161" t="e">
        <f>AND('GA55 Entry'!Q577,"AAAAAFr/7J4=")</f>
        <v>#VALUE!</v>
      </c>
      <c r="FD161" t="e">
        <f>AND('GA55 Entry'!S577,"AAAAAFr/7J8=")</f>
        <v>#VALUE!</v>
      </c>
      <c r="FE161" t="e">
        <f>AND('GA55 Entry'!#REF!,"AAAAAFr/7KA=")</f>
        <v>#REF!</v>
      </c>
      <c r="FF161" t="e">
        <f>AND('GA55 Entry'!T577,"AAAAAFr/7KE=")</f>
        <v>#VALUE!</v>
      </c>
      <c r="FG161" t="e">
        <f>AND('GA55 Entry'!U577,"AAAAAFr/7KI=")</f>
        <v>#VALUE!</v>
      </c>
      <c r="FH161" t="e">
        <f>AND('GA55 Entry'!V577,"AAAAAFr/7KM=")</f>
        <v>#VALUE!</v>
      </c>
      <c r="FI161" t="e">
        <f>AND('GA55 Entry'!#REF!,"AAAAAFr/7KQ=")</f>
        <v>#REF!</v>
      </c>
      <c r="FJ161" t="e">
        <f>AND('GA55 Entry'!#REF!,"AAAAAFr/7KU=")</f>
        <v>#REF!</v>
      </c>
      <c r="FK161" t="e">
        <f>AND('GA55 Entry'!X577,"AAAAAFr/7KY=")</f>
        <v>#VALUE!</v>
      </c>
      <c r="FL161" t="e">
        <f>AND('GA55 Entry'!Y577,"AAAAAFr/7Kc=")</f>
        <v>#VALUE!</v>
      </c>
      <c r="FM161" t="e">
        <f>AND('GA55 Entry'!#REF!,"AAAAAFr/7Kg=")</f>
        <v>#REF!</v>
      </c>
      <c r="FN161" t="e">
        <f>AND('GA55 Entry'!#REF!,"AAAAAFr/7Kk=")</f>
        <v>#REF!</v>
      </c>
      <c r="FO161" t="e">
        <f>AND('GA55 Entry'!#REF!,"AAAAAFr/7Ko=")</f>
        <v>#REF!</v>
      </c>
      <c r="FP161" t="e">
        <f>AND('GA55 Entry'!#REF!,"AAAAAFr/7Ks=")</f>
        <v>#REF!</v>
      </c>
      <c r="FQ161" t="e">
        <f>AND('GA55 Entry'!#REF!,"AAAAAFr/7Kw=")</f>
        <v>#REF!</v>
      </c>
      <c r="FR161" t="e">
        <f>AND('GA55 Entry'!#REF!,"AAAAAFr/7K0=")</f>
        <v>#REF!</v>
      </c>
      <c r="FS161" t="e">
        <f>AND('GA55 Entry'!#REF!,"AAAAAFr/7K4=")</f>
        <v>#REF!</v>
      </c>
      <c r="FT161" t="e">
        <f>AND('GA55 Entry'!#REF!,"AAAAAFr/7K8=")</f>
        <v>#REF!</v>
      </c>
      <c r="FU161" t="e">
        <f>AND('GA55 Entry'!#REF!,"AAAAAFr/7LA=")</f>
        <v>#REF!</v>
      </c>
      <c r="FV161" t="e">
        <f>AND('GA55 Entry'!Z577,"AAAAAFr/7LE=")</f>
        <v>#VALUE!</v>
      </c>
      <c r="FW161" t="e">
        <f>AND('GA55 Entry'!AA577,"AAAAAFr/7LI=")</f>
        <v>#VALUE!</v>
      </c>
      <c r="FX161" t="e">
        <f>AND('GA55 Entry'!#REF!,"AAAAAFr/7LM=")</f>
        <v>#REF!</v>
      </c>
      <c r="FY161" t="e">
        <f>AND('GA55 Entry'!#REF!,"AAAAAFr/7LQ=")</f>
        <v>#REF!</v>
      </c>
      <c r="FZ161" t="e">
        <f>AND('GA55 Entry'!#REF!,"AAAAAFr/7LU=")</f>
        <v>#REF!</v>
      </c>
      <c r="GA161" t="e">
        <f>AND('GA55 Entry'!AB577,"AAAAAFr/7LY=")</f>
        <v>#VALUE!</v>
      </c>
      <c r="GB161" t="e">
        <f>AND('GA55 Entry'!AC577,"AAAAAFr/7Lc=")</f>
        <v>#VALUE!</v>
      </c>
      <c r="GC161" t="e">
        <f>AND('GA55 Entry'!#REF!,"AAAAAFr/7Lg=")</f>
        <v>#REF!</v>
      </c>
      <c r="GD161">
        <f>IF('GA55 Entry'!578:578,"AAAAAFr/7Lk=",0)</f>
        <v>0</v>
      </c>
      <c r="GE161" t="e">
        <f>AND('GA55 Entry'!B578,"AAAAAFr/7Lo=")</f>
        <v>#VALUE!</v>
      </c>
      <c r="GF161" t="e">
        <f>AND('GA55 Entry'!#REF!,"AAAAAFr/7Ls=")</f>
        <v>#REF!</v>
      </c>
      <c r="GG161" t="e">
        <f>AND('GA55 Entry'!C578,"AAAAAFr/7Lw=")</f>
        <v>#VALUE!</v>
      </c>
      <c r="GH161" t="e">
        <f>AND('GA55 Entry'!#REF!,"AAAAAFr/7L0=")</f>
        <v>#REF!</v>
      </c>
      <c r="GI161" t="e">
        <f>AND('GA55 Entry'!#REF!,"AAAAAFr/7L4=")</f>
        <v>#REF!</v>
      </c>
      <c r="GJ161" t="e">
        <f>AND('GA55 Entry'!#REF!,"AAAAAFr/7L8=")</f>
        <v>#REF!</v>
      </c>
      <c r="GK161" t="e">
        <f>AND('GA55 Entry'!#REF!,"AAAAAFr/7MA=")</f>
        <v>#REF!</v>
      </c>
      <c r="GL161" t="e">
        <f>AND('GA55 Entry'!#REF!,"AAAAAFr/7ME=")</f>
        <v>#REF!</v>
      </c>
      <c r="GM161" t="e">
        <f>AND('GA55 Entry'!D578,"AAAAAFr/7MI=")</f>
        <v>#VALUE!</v>
      </c>
      <c r="GN161" t="e">
        <f>AND('GA55 Entry'!#REF!,"AAAAAFr/7MM=")</f>
        <v>#REF!</v>
      </c>
      <c r="GO161" t="e">
        <f>AND('GA55 Entry'!E578,"AAAAAFr/7MQ=")</f>
        <v>#VALUE!</v>
      </c>
      <c r="GP161" t="e">
        <f>AND('GA55 Entry'!F578,"AAAAAFr/7MU=")</f>
        <v>#VALUE!</v>
      </c>
      <c r="GQ161" t="e">
        <f>AND('GA55 Entry'!G578,"AAAAAFr/7MY=")</f>
        <v>#VALUE!</v>
      </c>
      <c r="GR161" t="e">
        <f>AND('GA55 Entry'!H578,"AAAAAFr/7Mc=")</f>
        <v>#VALUE!</v>
      </c>
      <c r="GS161" t="e">
        <f>AND('GA55 Entry'!I578,"AAAAAFr/7Mg=")</f>
        <v>#VALUE!</v>
      </c>
      <c r="GT161" t="e">
        <f>AND('GA55 Entry'!J578,"AAAAAFr/7Mk=")</f>
        <v>#VALUE!</v>
      </c>
      <c r="GU161" t="e">
        <f>AND('GA55 Entry'!#REF!,"AAAAAFr/7Mo=")</f>
        <v>#REF!</v>
      </c>
      <c r="GV161" t="e">
        <f>AND('GA55 Entry'!K578,"AAAAAFr/7Ms=")</f>
        <v>#VALUE!</v>
      </c>
      <c r="GW161" t="e">
        <f>AND('GA55 Entry'!L578,"AAAAAFr/7Mw=")</f>
        <v>#VALUE!</v>
      </c>
      <c r="GX161" t="e">
        <f>AND('GA55 Entry'!M578,"AAAAAFr/7M0=")</f>
        <v>#VALUE!</v>
      </c>
      <c r="GY161" t="e">
        <f>AND('GA55 Entry'!N578,"AAAAAFr/7M4=")</f>
        <v>#VALUE!</v>
      </c>
      <c r="GZ161" t="e">
        <f>AND('GA55 Entry'!O578,"AAAAAFr/7M8=")</f>
        <v>#VALUE!</v>
      </c>
      <c r="HA161" t="e">
        <f>AND('GA55 Entry'!P578,"AAAAAFr/7NA=")</f>
        <v>#VALUE!</v>
      </c>
      <c r="HB161" t="e">
        <f>AND('GA55 Entry'!Q578,"AAAAAFr/7NE=")</f>
        <v>#VALUE!</v>
      </c>
      <c r="HC161" t="e">
        <f>AND('GA55 Entry'!S578,"AAAAAFr/7NI=")</f>
        <v>#VALUE!</v>
      </c>
      <c r="HD161" t="e">
        <f>AND('GA55 Entry'!#REF!,"AAAAAFr/7NM=")</f>
        <v>#REF!</v>
      </c>
      <c r="HE161" t="e">
        <f>AND('GA55 Entry'!T578,"AAAAAFr/7NQ=")</f>
        <v>#VALUE!</v>
      </c>
      <c r="HF161" t="e">
        <f>AND('GA55 Entry'!U578,"AAAAAFr/7NU=")</f>
        <v>#VALUE!</v>
      </c>
      <c r="HG161" t="e">
        <f>AND('GA55 Entry'!V578,"AAAAAFr/7NY=")</f>
        <v>#VALUE!</v>
      </c>
      <c r="HH161" t="e">
        <f>AND('GA55 Entry'!#REF!,"AAAAAFr/7Nc=")</f>
        <v>#REF!</v>
      </c>
      <c r="HI161" t="e">
        <f>AND('GA55 Entry'!#REF!,"AAAAAFr/7Ng=")</f>
        <v>#REF!</v>
      </c>
      <c r="HJ161" t="e">
        <f>AND('GA55 Entry'!X578,"AAAAAFr/7Nk=")</f>
        <v>#VALUE!</v>
      </c>
      <c r="HK161" t="e">
        <f>AND('GA55 Entry'!Y578,"AAAAAFr/7No=")</f>
        <v>#VALUE!</v>
      </c>
      <c r="HL161" t="e">
        <f>AND('GA55 Entry'!#REF!,"AAAAAFr/7Ns=")</f>
        <v>#REF!</v>
      </c>
      <c r="HM161" t="e">
        <f>AND('GA55 Entry'!#REF!,"AAAAAFr/7Nw=")</f>
        <v>#REF!</v>
      </c>
      <c r="HN161" t="e">
        <f>AND('GA55 Entry'!#REF!,"AAAAAFr/7N0=")</f>
        <v>#REF!</v>
      </c>
      <c r="HO161" t="e">
        <f>AND('GA55 Entry'!#REF!,"AAAAAFr/7N4=")</f>
        <v>#REF!</v>
      </c>
      <c r="HP161" t="e">
        <f>AND('GA55 Entry'!#REF!,"AAAAAFr/7N8=")</f>
        <v>#REF!</v>
      </c>
      <c r="HQ161" t="e">
        <f>AND('GA55 Entry'!#REF!,"AAAAAFr/7OA=")</f>
        <v>#REF!</v>
      </c>
      <c r="HR161" t="e">
        <f>AND('GA55 Entry'!#REF!,"AAAAAFr/7OE=")</f>
        <v>#REF!</v>
      </c>
      <c r="HS161" t="e">
        <f>AND('GA55 Entry'!#REF!,"AAAAAFr/7OI=")</f>
        <v>#REF!</v>
      </c>
      <c r="HT161" t="e">
        <f>AND('GA55 Entry'!#REF!,"AAAAAFr/7OM=")</f>
        <v>#REF!</v>
      </c>
      <c r="HU161" t="e">
        <f>AND('GA55 Entry'!Z578,"AAAAAFr/7OQ=")</f>
        <v>#VALUE!</v>
      </c>
      <c r="HV161" t="e">
        <f>AND('GA55 Entry'!AA578,"AAAAAFr/7OU=")</f>
        <v>#VALUE!</v>
      </c>
      <c r="HW161" t="e">
        <f>AND('GA55 Entry'!#REF!,"AAAAAFr/7OY=")</f>
        <v>#REF!</v>
      </c>
      <c r="HX161" t="e">
        <f>AND('GA55 Entry'!#REF!,"AAAAAFr/7Oc=")</f>
        <v>#REF!</v>
      </c>
      <c r="HY161" t="e">
        <f>AND('GA55 Entry'!#REF!,"AAAAAFr/7Og=")</f>
        <v>#REF!</v>
      </c>
      <c r="HZ161" t="e">
        <f>AND('GA55 Entry'!AB578,"AAAAAFr/7Ok=")</f>
        <v>#VALUE!</v>
      </c>
      <c r="IA161" t="e">
        <f>AND('GA55 Entry'!AC578,"AAAAAFr/7Oo=")</f>
        <v>#VALUE!</v>
      </c>
      <c r="IB161" t="e">
        <f>AND('GA55 Entry'!#REF!,"AAAAAFr/7Os=")</f>
        <v>#REF!</v>
      </c>
      <c r="IC161">
        <f>IF('GA55 Entry'!579:579,"AAAAAFr/7Ow=",0)</f>
        <v>0</v>
      </c>
      <c r="ID161" t="e">
        <f>AND('GA55 Entry'!B579,"AAAAAFr/7O0=")</f>
        <v>#VALUE!</v>
      </c>
      <c r="IE161" t="e">
        <f>AND('GA55 Entry'!#REF!,"AAAAAFr/7O4=")</f>
        <v>#REF!</v>
      </c>
      <c r="IF161" t="e">
        <f>AND('GA55 Entry'!C579,"AAAAAFr/7O8=")</f>
        <v>#VALUE!</v>
      </c>
      <c r="IG161" t="e">
        <f>AND('GA55 Entry'!#REF!,"AAAAAFr/7PA=")</f>
        <v>#REF!</v>
      </c>
      <c r="IH161" t="e">
        <f>AND('GA55 Entry'!#REF!,"AAAAAFr/7PE=")</f>
        <v>#REF!</v>
      </c>
      <c r="II161" t="e">
        <f>AND('GA55 Entry'!#REF!,"AAAAAFr/7PI=")</f>
        <v>#REF!</v>
      </c>
      <c r="IJ161" t="e">
        <f>AND('GA55 Entry'!#REF!,"AAAAAFr/7PM=")</f>
        <v>#REF!</v>
      </c>
      <c r="IK161" t="e">
        <f>AND('GA55 Entry'!#REF!,"AAAAAFr/7PQ=")</f>
        <v>#REF!</v>
      </c>
      <c r="IL161" t="e">
        <f>AND('GA55 Entry'!D579,"AAAAAFr/7PU=")</f>
        <v>#VALUE!</v>
      </c>
      <c r="IM161" t="e">
        <f>AND('GA55 Entry'!#REF!,"AAAAAFr/7PY=")</f>
        <v>#REF!</v>
      </c>
      <c r="IN161" t="e">
        <f>AND('GA55 Entry'!E579,"AAAAAFr/7Pc=")</f>
        <v>#VALUE!</v>
      </c>
      <c r="IO161" t="e">
        <f>AND('GA55 Entry'!F579,"AAAAAFr/7Pg=")</f>
        <v>#VALUE!</v>
      </c>
      <c r="IP161" t="e">
        <f>AND('GA55 Entry'!G579,"AAAAAFr/7Pk=")</f>
        <v>#VALUE!</v>
      </c>
      <c r="IQ161" t="e">
        <f>AND('GA55 Entry'!H579,"AAAAAFr/7Po=")</f>
        <v>#VALUE!</v>
      </c>
      <c r="IR161" t="e">
        <f>AND('GA55 Entry'!I579,"AAAAAFr/7Ps=")</f>
        <v>#VALUE!</v>
      </c>
      <c r="IS161" t="e">
        <f>AND('GA55 Entry'!J579,"AAAAAFr/7Pw=")</f>
        <v>#VALUE!</v>
      </c>
      <c r="IT161" t="e">
        <f>AND('GA55 Entry'!#REF!,"AAAAAFr/7P0=")</f>
        <v>#REF!</v>
      </c>
      <c r="IU161" t="e">
        <f>AND('GA55 Entry'!K579,"AAAAAFr/7P4=")</f>
        <v>#VALUE!</v>
      </c>
      <c r="IV161" t="e">
        <f>AND('GA55 Entry'!L579,"AAAAAFr/7P8=")</f>
        <v>#VALUE!</v>
      </c>
    </row>
    <row r="162" spans="1:256">
      <c r="A162" t="e">
        <f>AND('GA55 Entry'!M579,"AAAAAHH/RQA=")</f>
        <v>#VALUE!</v>
      </c>
      <c r="B162" t="e">
        <f>AND('GA55 Entry'!N579,"AAAAAHH/RQE=")</f>
        <v>#VALUE!</v>
      </c>
      <c r="C162" t="e">
        <f>AND('GA55 Entry'!O579,"AAAAAHH/RQI=")</f>
        <v>#VALUE!</v>
      </c>
      <c r="D162" t="e">
        <f>AND('GA55 Entry'!P579,"AAAAAHH/RQM=")</f>
        <v>#VALUE!</v>
      </c>
      <c r="E162" t="e">
        <f>AND('GA55 Entry'!Q579,"AAAAAHH/RQQ=")</f>
        <v>#VALUE!</v>
      </c>
      <c r="F162" t="e">
        <f>AND('GA55 Entry'!S579,"AAAAAHH/RQU=")</f>
        <v>#VALUE!</v>
      </c>
      <c r="G162" t="e">
        <f>AND('GA55 Entry'!#REF!,"AAAAAHH/RQY=")</f>
        <v>#REF!</v>
      </c>
      <c r="H162" t="e">
        <f>AND('GA55 Entry'!T579,"AAAAAHH/RQc=")</f>
        <v>#VALUE!</v>
      </c>
      <c r="I162" t="e">
        <f>AND('GA55 Entry'!U579,"AAAAAHH/RQg=")</f>
        <v>#VALUE!</v>
      </c>
      <c r="J162" t="e">
        <f>AND('GA55 Entry'!V579,"AAAAAHH/RQk=")</f>
        <v>#VALUE!</v>
      </c>
      <c r="K162" t="e">
        <f>AND('GA55 Entry'!#REF!,"AAAAAHH/RQo=")</f>
        <v>#REF!</v>
      </c>
      <c r="L162" t="e">
        <f>AND('GA55 Entry'!#REF!,"AAAAAHH/RQs=")</f>
        <v>#REF!</v>
      </c>
      <c r="M162" t="e">
        <f>AND('GA55 Entry'!X579,"AAAAAHH/RQw=")</f>
        <v>#VALUE!</v>
      </c>
      <c r="N162" t="e">
        <f>AND('GA55 Entry'!Y579,"AAAAAHH/RQ0=")</f>
        <v>#VALUE!</v>
      </c>
      <c r="O162" t="e">
        <f>AND('GA55 Entry'!#REF!,"AAAAAHH/RQ4=")</f>
        <v>#REF!</v>
      </c>
      <c r="P162" t="e">
        <f>AND('GA55 Entry'!#REF!,"AAAAAHH/RQ8=")</f>
        <v>#REF!</v>
      </c>
      <c r="Q162" t="e">
        <f>AND('GA55 Entry'!#REF!,"AAAAAHH/RRA=")</f>
        <v>#REF!</v>
      </c>
      <c r="R162" t="e">
        <f>AND('GA55 Entry'!#REF!,"AAAAAHH/RRE=")</f>
        <v>#REF!</v>
      </c>
      <c r="S162" t="e">
        <f>AND('GA55 Entry'!#REF!,"AAAAAHH/RRI=")</f>
        <v>#REF!</v>
      </c>
      <c r="T162" t="e">
        <f>AND('GA55 Entry'!#REF!,"AAAAAHH/RRM=")</f>
        <v>#REF!</v>
      </c>
      <c r="U162" t="e">
        <f>AND('GA55 Entry'!#REF!,"AAAAAHH/RRQ=")</f>
        <v>#REF!</v>
      </c>
      <c r="V162" t="e">
        <f>AND('GA55 Entry'!#REF!,"AAAAAHH/RRU=")</f>
        <v>#REF!</v>
      </c>
      <c r="W162" t="e">
        <f>AND('GA55 Entry'!#REF!,"AAAAAHH/RRY=")</f>
        <v>#REF!</v>
      </c>
      <c r="X162" t="e">
        <f>AND('GA55 Entry'!Z579,"AAAAAHH/RRc=")</f>
        <v>#VALUE!</v>
      </c>
      <c r="Y162" t="e">
        <f>AND('GA55 Entry'!AA579,"AAAAAHH/RRg=")</f>
        <v>#VALUE!</v>
      </c>
      <c r="Z162" t="e">
        <f>AND('GA55 Entry'!#REF!,"AAAAAHH/RRk=")</f>
        <v>#REF!</v>
      </c>
      <c r="AA162" t="e">
        <f>AND('GA55 Entry'!#REF!,"AAAAAHH/RRo=")</f>
        <v>#REF!</v>
      </c>
      <c r="AB162" t="e">
        <f>AND('GA55 Entry'!#REF!,"AAAAAHH/RRs=")</f>
        <v>#REF!</v>
      </c>
      <c r="AC162" t="e">
        <f>AND('GA55 Entry'!AB579,"AAAAAHH/RRw=")</f>
        <v>#VALUE!</v>
      </c>
      <c r="AD162" t="e">
        <f>AND('GA55 Entry'!AC579,"AAAAAHH/RR0=")</f>
        <v>#VALUE!</v>
      </c>
      <c r="AE162" t="e">
        <f>AND('GA55 Entry'!#REF!,"AAAAAHH/RR4=")</f>
        <v>#REF!</v>
      </c>
      <c r="AF162">
        <f>IF('GA55 Entry'!580:580,"AAAAAHH/RR8=",0)</f>
        <v>0</v>
      </c>
      <c r="AG162" t="e">
        <f>AND('GA55 Entry'!B580,"AAAAAHH/RSA=")</f>
        <v>#VALUE!</v>
      </c>
      <c r="AH162" t="e">
        <f>AND('GA55 Entry'!#REF!,"AAAAAHH/RSE=")</f>
        <v>#REF!</v>
      </c>
      <c r="AI162" t="e">
        <f>AND('GA55 Entry'!C580,"AAAAAHH/RSI=")</f>
        <v>#VALUE!</v>
      </c>
      <c r="AJ162" t="e">
        <f>AND('GA55 Entry'!#REF!,"AAAAAHH/RSM=")</f>
        <v>#REF!</v>
      </c>
      <c r="AK162" t="e">
        <f>AND('GA55 Entry'!#REF!,"AAAAAHH/RSQ=")</f>
        <v>#REF!</v>
      </c>
      <c r="AL162" t="e">
        <f>AND('GA55 Entry'!#REF!,"AAAAAHH/RSU=")</f>
        <v>#REF!</v>
      </c>
      <c r="AM162" t="e">
        <f>AND('GA55 Entry'!#REF!,"AAAAAHH/RSY=")</f>
        <v>#REF!</v>
      </c>
      <c r="AN162" t="e">
        <f>AND('GA55 Entry'!#REF!,"AAAAAHH/RSc=")</f>
        <v>#REF!</v>
      </c>
      <c r="AO162" t="e">
        <f>AND('GA55 Entry'!D580,"AAAAAHH/RSg=")</f>
        <v>#VALUE!</v>
      </c>
      <c r="AP162" t="e">
        <f>AND('GA55 Entry'!#REF!,"AAAAAHH/RSk=")</f>
        <v>#REF!</v>
      </c>
      <c r="AQ162" t="e">
        <f>AND('GA55 Entry'!E580,"AAAAAHH/RSo=")</f>
        <v>#VALUE!</v>
      </c>
      <c r="AR162" t="e">
        <f>AND('GA55 Entry'!F580,"AAAAAHH/RSs=")</f>
        <v>#VALUE!</v>
      </c>
      <c r="AS162" t="e">
        <f>AND('GA55 Entry'!G580,"AAAAAHH/RSw=")</f>
        <v>#VALUE!</v>
      </c>
      <c r="AT162" t="e">
        <f>AND('GA55 Entry'!H580,"AAAAAHH/RS0=")</f>
        <v>#VALUE!</v>
      </c>
      <c r="AU162" t="e">
        <f>AND('GA55 Entry'!I580,"AAAAAHH/RS4=")</f>
        <v>#VALUE!</v>
      </c>
      <c r="AV162" t="e">
        <f>AND('GA55 Entry'!J580,"AAAAAHH/RS8=")</f>
        <v>#VALUE!</v>
      </c>
      <c r="AW162" t="e">
        <f>AND('GA55 Entry'!#REF!,"AAAAAHH/RTA=")</f>
        <v>#REF!</v>
      </c>
      <c r="AX162" t="e">
        <f>AND('GA55 Entry'!K580,"AAAAAHH/RTE=")</f>
        <v>#VALUE!</v>
      </c>
      <c r="AY162" t="e">
        <f>AND('GA55 Entry'!L580,"AAAAAHH/RTI=")</f>
        <v>#VALUE!</v>
      </c>
      <c r="AZ162" t="e">
        <f>AND('GA55 Entry'!M580,"AAAAAHH/RTM=")</f>
        <v>#VALUE!</v>
      </c>
      <c r="BA162" t="e">
        <f>AND('GA55 Entry'!N580,"AAAAAHH/RTQ=")</f>
        <v>#VALUE!</v>
      </c>
      <c r="BB162" t="e">
        <f>AND('GA55 Entry'!O580,"AAAAAHH/RTU=")</f>
        <v>#VALUE!</v>
      </c>
      <c r="BC162" t="e">
        <f>AND('GA55 Entry'!P580,"AAAAAHH/RTY=")</f>
        <v>#VALUE!</v>
      </c>
      <c r="BD162" t="e">
        <f>AND('GA55 Entry'!Q580,"AAAAAHH/RTc=")</f>
        <v>#VALUE!</v>
      </c>
      <c r="BE162" t="e">
        <f>AND('GA55 Entry'!S580,"AAAAAHH/RTg=")</f>
        <v>#VALUE!</v>
      </c>
      <c r="BF162" t="e">
        <f>AND('GA55 Entry'!#REF!,"AAAAAHH/RTk=")</f>
        <v>#REF!</v>
      </c>
      <c r="BG162" t="e">
        <f>AND('GA55 Entry'!T580,"AAAAAHH/RTo=")</f>
        <v>#VALUE!</v>
      </c>
      <c r="BH162" t="e">
        <f>AND('GA55 Entry'!U580,"AAAAAHH/RTs=")</f>
        <v>#VALUE!</v>
      </c>
      <c r="BI162" t="e">
        <f>AND('GA55 Entry'!V580,"AAAAAHH/RTw=")</f>
        <v>#VALUE!</v>
      </c>
      <c r="BJ162" t="e">
        <f>AND('GA55 Entry'!#REF!,"AAAAAHH/RT0=")</f>
        <v>#REF!</v>
      </c>
      <c r="BK162" t="e">
        <f>AND('GA55 Entry'!#REF!,"AAAAAHH/RT4=")</f>
        <v>#REF!</v>
      </c>
      <c r="BL162" t="e">
        <f>AND('GA55 Entry'!X580,"AAAAAHH/RT8=")</f>
        <v>#VALUE!</v>
      </c>
      <c r="BM162" t="e">
        <f>AND('GA55 Entry'!Y580,"AAAAAHH/RUA=")</f>
        <v>#VALUE!</v>
      </c>
      <c r="BN162" t="e">
        <f>AND('GA55 Entry'!#REF!,"AAAAAHH/RUE=")</f>
        <v>#REF!</v>
      </c>
      <c r="BO162" t="e">
        <f>AND('GA55 Entry'!#REF!,"AAAAAHH/RUI=")</f>
        <v>#REF!</v>
      </c>
      <c r="BP162" t="e">
        <f>AND('GA55 Entry'!#REF!,"AAAAAHH/RUM=")</f>
        <v>#REF!</v>
      </c>
      <c r="BQ162" t="e">
        <f>AND('GA55 Entry'!#REF!,"AAAAAHH/RUQ=")</f>
        <v>#REF!</v>
      </c>
      <c r="BR162" t="e">
        <f>AND('GA55 Entry'!#REF!,"AAAAAHH/RUU=")</f>
        <v>#REF!</v>
      </c>
      <c r="BS162" t="e">
        <f>AND('GA55 Entry'!#REF!,"AAAAAHH/RUY=")</f>
        <v>#REF!</v>
      </c>
      <c r="BT162" t="e">
        <f>AND('GA55 Entry'!#REF!,"AAAAAHH/RUc=")</f>
        <v>#REF!</v>
      </c>
      <c r="BU162" t="e">
        <f>AND('GA55 Entry'!#REF!,"AAAAAHH/RUg=")</f>
        <v>#REF!</v>
      </c>
      <c r="BV162" t="e">
        <f>AND('GA55 Entry'!#REF!,"AAAAAHH/RUk=")</f>
        <v>#REF!</v>
      </c>
      <c r="BW162" t="e">
        <f>AND('GA55 Entry'!Z580,"AAAAAHH/RUo=")</f>
        <v>#VALUE!</v>
      </c>
      <c r="BX162" t="e">
        <f>AND('GA55 Entry'!AA580,"AAAAAHH/RUs=")</f>
        <v>#VALUE!</v>
      </c>
      <c r="BY162" t="e">
        <f>AND('GA55 Entry'!#REF!,"AAAAAHH/RUw=")</f>
        <v>#REF!</v>
      </c>
      <c r="BZ162" t="e">
        <f>AND('GA55 Entry'!#REF!,"AAAAAHH/RU0=")</f>
        <v>#REF!</v>
      </c>
      <c r="CA162" t="e">
        <f>AND('GA55 Entry'!#REF!,"AAAAAHH/RU4=")</f>
        <v>#REF!</v>
      </c>
      <c r="CB162" t="e">
        <f>AND('GA55 Entry'!AB580,"AAAAAHH/RU8=")</f>
        <v>#VALUE!</v>
      </c>
      <c r="CC162" t="e">
        <f>AND('GA55 Entry'!AC580,"AAAAAHH/RVA=")</f>
        <v>#VALUE!</v>
      </c>
      <c r="CD162" t="e">
        <f>AND('GA55 Entry'!#REF!,"AAAAAHH/RVE=")</f>
        <v>#REF!</v>
      </c>
      <c r="CE162">
        <f>IF('GA55 Entry'!581:581,"AAAAAHH/RVI=",0)</f>
        <v>0</v>
      </c>
      <c r="CF162" t="e">
        <f>AND('GA55 Entry'!B581,"AAAAAHH/RVM=")</f>
        <v>#VALUE!</v>
      </c>
      <c r="CG162" t="e">
        <f>AND('GA55 Entry'!#REF!,"AAAAAHH/RVQ=")</f>
        <v>#REF!</v>
      </c>
      <c r="CH162" t="e">
        <f>AND('GA55 Entry'!C581,"AAAAAHH/RVU=")</f>
        <v>#VALUE!</v>
      </c>
      <c r="CI162" t="e">
        <f>AND('GA55 Entry'!#REF!,"AAAAAHH/RVY=")</f>
        <v>#REF!</v>
      </c>
      <c r="CJ162" t="e">
        <f>AND('GA55 Entry'!#REF!,"AAAAAHH/RVc=")</f>
        <v>#REF!</v>
      </c>
      <c r="CK162" t="e">
        <f>AND('GA55 Entry'!#REF!,"AAAAAHH/RVg=")</f>
        <v>#REF!</v>
      </c>
      <c r="CL162" t="e">
        <f>AND('GA55 Entry'!#REF!,"AAAAAHH/RVk=")</f>
        <v>#REF!</v>
      </c>
      <c r="CM162" t="e">
        <f>AND('GA55 Entry'!#REF!,"AAAAAHH/RVo=")</f>
        <v>#REF!</v>
      </c>
      <c r="CN162" t="e">
        <f>AND('GA55 Entry'!D581,"AAAAAHH/RVs=")</f>
        <v>#VALUE!</v>
      </c>
      <c r="CO162" t="e">
        <f>AND('GA55 Entry'!#REF!,"AAAAAHH/RVw=")</f>
        <v>#REF!</v>
      </c>
      <c r="CP162" t="e">
        <f>AND('GA55 Entry'!E581,"AAAAAHH/RV0=")</f>
        <v>#VALUE!</v>
      </c>
      <c r="CQ162" t="e">
        <f>AND('GA55 Entry'!F581,"AAAAAHH/RV4=")</f>
        <v>#VALUE!</v>
      </c>
      <c r="CR162" t="e">
        <f>AND('GA55 Entry'!G581,"AAAAAHH/RV8=")</f>
        <v>#VALUE!</v>
      </c>
      <c r="CS162" t="e">
        <f>AND('GA55 Entry'!H581,"AAAAAHH/RWA=")</f>
        <v>#VALUE!</v>
      </c>
      <c r="CT162" t="e">
        <f>AND('GA55 Entry'!I581,"AAAAAHH/RWE=")</f>
        <v>#VALUE!</v>
      </c>
      <c r="CU162" t="e">
        <f>AND('GA55 Entry'!J581,"AAAAAHH/RWI=")</f>
        <v>#VALUE!</v>
      </c>
      <c r="CV162" t="e">
        <f>AND('GA55 Entry'!#REF!,"AAAAAHH/RWM=")</f>
        <v>#REF!</v>
      </c>
      <c r="CW162" t="e">
        <f>AND('GA55 Entry'!K581,"AAAAAHH/RWQ=")</f>
        <v>#VALUE!</v>
      </c>
      <c r="CX162" t="e">
        <f>AND('GA55 Entry'!L581,"AAAAAHH/RWU=")</f>
        <v>#VALUE!</v>
      </c>
      <c r="CY162" t="e">
        <f>AND('GA55 Entry'!M581,"AAAAAHH/RWY=")</f>
        <v>#VALUE!</v>
      </c>
      <c r="CZ162" t="e">
        <f>AND('GA55 Entry'!N581,"AAAAAHH/RWc=")</f>
        <v>#VALUE!</v>
      </c>
      <c r="DA162" t="e">
        <f>AND('GA55 Entry'!O581,"AAAAAHH/RWg=")</f>
        <v>#VALUE!</v>
      </c>
      <c r="DB162" t="e">
        <f>AND('GA55 Entry'!P581,"AAAAAHH/RWk=")</f>
        <v>#VALUE!</v>
      </c>
      <c r="DC162" t="e">
        <f>AND('GA55 Entry'!Q581,"AAAAAHH/RWo=")</f>
        <v>#VALUE!</v>
      </c>
      <c r="DD162" t="e">
        <f>AND('GA55 Entry'!S581,"AAAAAHH/RWs=")</f>
        <v>#VALUE!</v>
      </c>
      <c r="DE162" t="e">
        <f>AND('GA55 Entry'!#REF!,"AAAAAHH/RWw=")</f>
        <v>#REF!</v>
      </c>
      <c r="DF162" t="e">
        <f>AND('GA55 Entry'!T581,"AAAAAHH/RW0=")</f>
        <v>#VALUE!</v>
      </c>
      <c r="DG162" t="e">
        <f>AND('GA55 Entry'!U581,"AAAAAHH/RW4=")</f>
        <v>#VALUE!</v>
      </c>
      <c r="DH162" t="e">
        <f>AND('GA55 Entry'!V581,"AAAAAHH/RW8=")</f>
        <v>#VALUE!</v>
      </c>
      <c r="DI162" t="e">
        <f>AND('GA55 Entry'!#REF!,"AAAAAHH/RXA=")</f>
        <v>#REF!</v>
      </c>
      <c r="DJ162" t="e">
        <f>AND('GA55 Entry'!#REF!,"AAAAAHH/RXE=")</f>
        <v>#REF!</v>
      </c>
      <c r="DK162" t="e">
        <f>AND('GA55 Entry'!X581,"AAAAAHH/RXI=")</f>
        <v>#VALUE!</v>
      </c>
      <c r="DL162" t="e">
        <f>AND('GA55 Entry'!Y581,"AAAAAHH/RXM=")</f>
        <v>#VALUE!</v>
      </c>
      <c r="DM162" t="e">
        <f>AND('GA55 Entry'!#REF!,"AAAAAHH/RXQ=")</f>
        <v>#REF!</v>
      </c>
      <c r="DN162" t="e">
        <f>AND('GA55 Entry'!#REF!,"AAAAAHH/RXU=")</f>
        <v>#REF!</v>
      </c>
      <c r="DO162" t="e">
        <f>AND('GA55 Entry'!#REF!,"AAAAAHH/RXY=")</f>
        <v>#REF!</v>
      </c>
      <c r="DP162" t="e">
        <f>AND('GA55 Entry'!#REF!,"AAAAAHH/RXc=")</f>
        <v>#REF!</v>
      </c>
      <c r="DQ162" t="e">
        <f>AND('GA55 Entry'!#REF!,"AAAAAHH/RXg=")</f>
        <v>#REF!</v>
      </c>
      <c r="DR162" t="e">
        <f>AND('GA55 Entry'!#REF!,"AAAAAHH/RXk=")</f>
        <v>#REF!</v>
      </c>
      <c r="DS162" t="e">
        <f>AND('GA55 Entry'!#REF!,"AAAAAHH/RXo=")</f>
        <v>#REF!</v>
      </c>
      <c r="DT162" t="e">
        <f>AND('GA55 Entry'!#REF!,"AAAAAHH/RXs=")</f>
        <v>#REF!</v>
      </c>
      <c r="DU162" t="e">
        <f>AND('GA55 Entry'!#REF!,"AAAAAHH/RXw=")</f>
        <v>#REF!</v>
      </c>
      <c r="DV162" t="e">
        <f>AND('GA55 Entry'!Z581,"AAAAAHH/RX0=")</f>
        <v>#VALUE!</v>
      </c>
      <c r="DW162" t="e">
        <f>AND('GA55 Entry'!AA581,"AAAAAHH/RX4=")</f>
        <v>#VALUE!</v>
      </c>
      <c r="DX162" t="e">
        <f>AND('GA55 Entry'!#REF!,"AAAAAHH/RX8=")</f>
        <v>#REF!</v>
      </c>
      <c r="DY162" t="e">
        <f>AND('GA55 Entry'!#REF!,"AAAAAHH/RYA=")</f>
        <v>#REF!</v>
      </c>
      <c r="DZ162" t="e">
        <f>AND('GA55 Entry'!#REF!,"AAAAAHH/RYE=")</f>
        <v>#REF!</v>
      </c>
      <c r="EA162" t="e">
        <f>AND('GA55 Entry'!AB581,"AAAAAHH/RYI=")</f>
        <v>#VALUE!</v>
      </c>
      <c r="EB162" t="e">
        <f>AND('GA55 Entry'!AC581,"AAAAAHH/RYM=")</f>
        <v>#VALUE!</v>
      </c>
      <c r="EC162" t="e">
        <f>AND('GA55 Entry'!#REF!,"AAAAAHH/RYQ=")</f>
        <v>#REF!</v>
      </c>
      <c r="ED162">
        <f>IF('GA55 Entry'!582:582,"AAAAAHH/RYU=",0)</f>
        <v>0</v>
      </c>
      <c r="EE162" t="e">
        <f>AND('GA55 Entry'!B582,"AAAAAHH/RYY=")</f>
        <v>#VALUE!</v>
      </c>
      <c r="EF162" t="e">
        <f>AND('GA55 Entry'!#REF!,"AAAAAHH/RYc=")</f>
        <v>#REF!</v>
      </c>
      <c r="EG162" t="e">
        <f>AND('GA55 Entry'!C582,"AAAAAHH/RYg=")</f>
        <v>#VALUE!</v>
      </c>
      <c r="EH162" t="e">
        <f>AND('GA55 Entry'!#REF!,"AAAAAHH/RYk=")</f>
        <v>#REF!</v>
      </c>
      <c r="EI162" t="e">
        <f>AND('GA55 Entry'!#REF!,"AAAAAHH/RYo=")</f>
        <v>#REF!</v>
      </c>
      <c r="EJ162" t="e">
        <f>AND('GA55 Entry'!#REF!,"AAAAAHH/RYs=")</f>
        <v>#REF!</v>
      </c>
      <c r="EK162" t="e">
        <f>AND('GA55 Entry'!#REF!,"AAAAAHH/RYw=")</f>
        <v>#REF!</v>
      </c>
      <c r="EL162" t="e">
        <f>AND('GA55 Entry'!#REF!,"AAAAAHH/RY0=")</f>
        <v>#REF!</v>
      </c>
      <c r="EM162" t="e">
        <f>AND('GA55 Entry'!D582,"AAAAAHH/RY4=")</f>
        <v>#VALUE!</v>
      </c>
      <c r="EN162" t="e">
        <f>AND('GA55 Entry'!#REF!,"AAAAAHH/RY8=")</f>
        <v>#REF!</v>
      </c>
      <c r="EO162" t="e">
        <f>AND('GA55 Entry'!E582,"AAAAAHH/RZA=")</f>
        <v>#VALUE!</v>
      </c>
      <c r="EP162" t="e">
        <f>AND('GA55 Entry'!F582,"AAAAAHH/RZE=")</f>
        <v>#VALUE!</v>
      </c>
      <c r="EQ162" t="e">
        <f>AND('GA55 Entry'!G582,"AAAAAHH/RZI=")</f>
        <v>#VALUE!</v>
      </c>
      <c r="ER162" t="e">
        <f>AND('GA55 Entry'!H582,"AAAAAHH/RZM=")</f>
        <v>#VALUE!</v>
      </c>
      <c r="ES162" t="e">
        <f>AND('GA55 Entry'!I582,"AAAAAHH/RZQ=")</f>
        <v>#VALUE!</v>
      </c>
      <c r="ET162" t="e">
        <f>AND('GA55 Entry'!J582,"AAAAAHH/RZU=")</f>
        <v>#VALUE!</v>
      </c>
      <c r="EU162" t="e">
        <f>AND('GA55 Entry'!#REF!,"AAAAAHH/RZY=")</f>
        <v>#REF!</v>
      </c>
      <c r="EV162" t="e">
        <f>AND('GA55 Entry'!K582,"AAAAAHH/RZc=")</f>
        <v>#VALUE!</v>
      </c>
      <c r="EW162" t="e">
        <f>AND('GA55 Entry'!L582,"AAAAAHH/RZg=")</f>
        <v>#VALUE!</v>
      </c>
      <c r="EX162" t="e">
        <f>AND('GA55 Entry'!M582,"AAAAAHH/RZk=")</f>
        <v>#VALUE!</v>
      </c>
      <c r="EY162" t="e">
        <f>AND('GA55 Entry'!N582,"AAAAAHH/RZo=")</f>
        <v>#VALUE!</v>
      </c>
      <c r="EZ162" t="e">
        <f>AND('GA55 Entry'!O582,"AAAAAHH/RZs=")</f>
        <v>#VALUE!</v>
      </c>
      <c r="FA162" t="e">
        <f>AND('GA55 Entry'!P582,"AAAAAHH/RZw=")</f>
        <v>#VALUE!</v>
      </c>
      <c r="FB162" t="e">
        <f>AND('GA55 Entry'!Q582,"AAAAAHH/RZ0=")</f>
        <v>#VALUE!</v>
      </c>
      <c r="FC162" t="e">
        <f>AND('GA55 Entry'!S582,"AAAAAHH/RZ4=")</f>
        <v>#VALUE!</v>
      </c>
      <c r="FD162" t="e">
        <f>AND('GA55 Entry'!#REF!,"AAAAAHH/RZ8=")</f>
        <v>#REF!</v>
      </c>
      <c r="FE162" t="e">
        <f>AND('GA55 Entry'!T582,"AAAAAHH/RaA=")</f>
        <v>#VALUE!</v>
      </c>
      <c r="FF162" t="e">
        <f>AND('GA55 Entry'!U582,"AAAAAHH/RaE=")</f>
        <v>#VALUE!</v>
      </c>
      <c r="FG162" t="e">
        <f>AND('GA55 Entry'!V582,"AAAAAHH/RaI=")</f>
        <v>#VALUE!</v>
      </c>
      <c r="FH162" t="e">
        <f>AND('GA55 Entry'!#REF!,"AAAAAHH/RaM=")</f>
        <v>#REF!</v>
      </c>
      <c r="FI162" t="e">
        <f>AND('GA55 Entry'!#REF!,"AAAAAHH/RaQ=")</f>
        <v>#REF!</v>
      </c>
      <c r="FJ162" t="e">
        <f>AND('GA55 Entry'!X582,"AAAAAHH/RaU=")</f>
        <v>#VALUE!</v>
      </c>
      <c r="FK162" t="e">
        <f>AND('GA55 Entry'!Y582,"AAAAAHH/RaY=")</f>
        <v>#VALUE!</v>
      </c>
      <c r="FL162" t="e">
        <f>AND('GA55 Entry'!#REF!,"AAAAAHH/Rac=")</f>
        <v>#REF!</v>
      </c>
      <c r="FM162" t="e">
        <f>AND('GA55 Entry'!#REF!,"AAAAAHH/Rag=")</f>
        <v>#REF!</v>
      </c>
      <c r="FN162" t="e">
        <f>AND('GA55 Entry'!#REF!,"AAAAAHH/Rak=")</f>
        <v>#REF!</v>
      </c>
      <c r="FO162" t="e">
        <f>AND('GA55 Entry'!#REF!,"AAAAAHH/Rao=")</f>
        <v>#REF!</v>
      </c>
      <c r="FP162" t="e">
        <f>AND('GA55 Entry'!#REF!,"AAAAAHH/Ras=")</f>
        <v>#REF!</v>
      </c>
      <c r="FQ162" t="e">
        <f>AND('GA55 Entry'!#REF!,"AAAAAHH/Raw=")</f>
        <v>#REF!</v>
      </c>
      <c r="FR162" t="e">
        <f>AND('GA55 Entry'!#REF!,"AAAAAHH/Ra0=")</f>
        <v>#REF!</v>
      </c>
      <c r="FS162" t="e">
        <f>AND('GA55 Entry'!#REF!,"AAAAAHH/Ra4=")</f>
        <v>#REF!</v>
      </c>
      <c r="FT162" t="e">
        <f>AND('GA55 Entry'!#REF!,"AAAAAHH/Ra8=")</f>
        <v>#REF!</v>
      </c>
      <c r="FU162" t="e">
        <f>AND('GA55 Entry'!Z582,"AAAAAHH/RbA=")</f>
        <v>#VALUE!</v>
      </c>
      <c r="FV162" t="e">
        <f>AND('GA55 Entry'!AA582,"AAAAAHH/RbE=")</f>
        <v>#VALUE!</v>
      </c>
      <c r="FW162" t="e">
        <f>AND('GA55 Entry'!#REF!,"AAAAAHH/RbI=")</f>
        <v>#REF!</v>
      </c>
      <c r="FX162" t="e">
        <f>AND('GA55 Entry'!#REF!,"AAAAAHH/RbM=")</f>
        <v>#REF!</v>
      </c>
      <c r="FY162" t="e">
        <f>AND('GA55 Entry'!#REF!,"AAAAAHH/RbQ=")</f>
        <v>#REF!</v>
      </c>
      <c r="FZ162" t="e">
        <f>AND('GA55 Entry'!AB582,"AAAAAHH/RbU=")</f>
        <v>#VALUE!</v>
      </c>
      <c r="GA162" t="e">
        <f>AND('GA55 Entry'!AC582,"AAAAAHH/RbY=")</f>
        <v>#VALUE!</v>
      </c>
      <c r="GB162" t="e">
        <f>AND('GA55 Entry'!#REF!,"AAAAAHH/Rbc=")</f>
        <v>#REF!</v>
      </c>
      <c r="GC162">
        <f>IF('GA55 Entry'!583:583,"AAAAAHH/Rbg=",0)</f>
        <v>0</v>
      </c>
      <c r="GD162" t="e">
        <f>AND('GA55 Entry'!B583,"AAAAAHH/Rbk=")</f>
        <v>#VALUE!</v>
      </c>
      <c r="GE162" t="e">
        <f>AND('GA55 Entry'!#REF!,"AAAAAHH/Rbo=")</f>
        <v>#REF!</v>
      </c>
      <c r="GF162" t="e">
        <f>AND('GA55 Entry'!C583,"AAAAAHH/Rbs=")</f>
        <v>#VALUE!</v>
      </c>
      <c r="GG162" t="e">
        <f>AND('GA55 Entry'!#REF!,"AAAAAHH/Rbw=")</f>
        <v>#REF!</v>
      </c>
      <c r="GH162" t="e">
        <f>AND('GA55 Entry'!#REF!,"AAAAAHH/Rb0=")</f>
        <v>#REF!</v>
      </c>
      <c r="GI162" t="e">
        <f>AND('GA55 Entry'!#REF!,"AAAAAHH/Rb4=")</f>
        <v>#REF!</v>
      </c>
      <c r="GJ162" t="e">
        <f>AND('GA55 Entry'!#REF!,"AAAAAHH/Rb8=")</f>
        <v>#REF!</v>
      </c>
      <c r="GK162" t="e">
        <f>AND('GA55 Entry'!#REF!,"AAAAAHH/RcA=")</f>
        <v>#REF!</v>
      </c>
      <c r="GL162" t="e">
        <f>AND('GA55 Entry'!D583,"AAAAAHH/RcE=")</f>
        <v>#VALUE!</v>
      </c>
      <c r="GM162" t="e">
        <f>AND('GA55 Entry'!#REF!,"AAAAAHH/RcI=")</f>
        <v>#REF!</v>
      </c>
      <c r="GN162" t="e">
        <f>AND('GA55 Entry'!E583,"AAAAAHH/RcM=")</f>
        <v>#VALUE!</v>
      </c>
      <c r="GO162" t="e">
        <f>AND('GA55 Entry'!F583,"AAAAAHH/RcQ=")</f>
        <v>#VALUE!</v>
      </c>
      <c r="GP162" t="e">
        <f>AND('GA55 Entry'!G583,"AAAAAHH/RcU=")</f>
        <v>#VALUE!</v>
      </c>
      <c r="GQ162" t="e">
        <f>AND('GA55 Entry'!H583,"AAAAAHH/RcY=")</f>
        <v>#VALUE!</v>
      </c>
      <c r="GR162" t="e">
        <f>AND('GA55 Entry'!I583,"AAAAAHH/Rcc=")</f>
        <v>#VALUE!</v>
      </c>
      <c r="GS162" t="e">
        <f>AND('GA55 Entry'!J583,"AAAAAHH/Rcg=")</f>
        <v>#VALUE!</v>
      </c>
      <c r="GT162" t="e">
        <f>AND('GA55 Entry'!#REF!,"AAAAAHH/Rck=")</f>
        <v>#REF!</v>
      </c>
      <c r="GU162" t="e">
        <f>AND('GA55 Entry'!K583,"AAAAAHH/Rco=")</f>
        <v>#VALUE!</v>
      </c>
      <c r="GV162" t="e">
        <f>AND('GA55 Entry'!L583,"AAAAAHH/Rcs=")</f>
        <v>#VALUE!</v>
      </c>
      <c r="GW162" t="e">
        <f>AND('GA55 Entry'!M583,"AAAAAHH/Rcw=")</f>
        <v>#VALUE!</v>
      </c>
      <c r="GX162" t="e">
        <f>AND('GA55 Entry'!N583,"AAAAAHH/Rc0=")</f>
        <v>#VALUE!</v>
      </c>
      <c r="GY162" t="e">
        <f>AND('GA55 Entry'!O583,"AAAAAHH/Rc4=")</f>
        <v>#VALUE!</v>
      </c>
      <c r="GZ162" t="e">
        <f>AND('GA55 Entry'!P583,"AAAAAHH/Rc8=")</f>
        <v>#VALUE!</v>
      </c>
      <c r="HA162" t="e">
        <f>AND('GA55 Entry'!Q583,"AAAAAHH/RdA=")</f>
        <v>#VALUE!</v>
      </c>
      <c r="HB162" t="e">
        <f>AND('GA55 Entry'!S583,"AAAAAHH/RdE=")</f>
        <v>#VALUE!</v>
      </c>
      <c r="HC162" t="e">
        <f>AND('GA55 Entry'!#REF!,"AAAAAHH/RdI=")</f>
        <v>#REF!</v>
      </c>
      <c r="HD162" t="e">
        <f>AND('GA55 Entry'!T583,"AAAAAHH/RdM=")</f>
        <v>#VALUE!</v>
      </c>
      <c r="HE162" t="e">
        <f>AND('GA55 Entry'!U583,"AAAAAHH/RdQ=")</f>
        <v>#VALUE!</v>
      </c>
      <c r="HF162" t="e">
        <f>AND('GA55 Entry'!V583,"AAAAAHH/RdU=")</f>
        <v>#VALUE!</v>
      </c>
      <c r="HG162" t="e">
        <f>AND('GA55 Entry'!#REF!,"AAAAAHH/RdY=")</f>
        <v>#REF!</v>
      </c>
      <c r="HH162" t="e">
        <f>AND('GA55 Entry'!#REF!,"AAAAAHH/Rdc=")</f>
        <v>#REF!</v>
      </c>
      <c r="HI162" t="e">
        <f>AND('GA55 Entry'!X583,"AAAAAHH/Rdg=")</f>
        <v>#VALUE!</v>
      </c>
      <c r="HJ162" t="e">
        <f>AND('GA55 Entry'!Y583,"AAAAAHH/Rdk=")</f>
        <v>#VALUE!</v>
      </c>
      <c r="HK162" t="e">
        <f>AND('GA55 Entry'!#REF!,"AAAAAHH/Rdo=")</f>
        <v>#REF!</v>
      </c>
      <c r="HL162" t="e">
        <f>AND('GA55 Entry'!#REF!,"AAAAAHH/Rds=")</f>
        <v>#REF!</v>
      </c>
      <c r="HM162" t="e">
        <f>AND('GA55 Entry'!#REF!,"AAAAAHH/Rdw=")</f>
        <v>#REF!</v>
      </c>
      <c r="HN162" t="e">
        <f>AND('GA55 Entry'!#REF!,"AAAAAHH/Rd0=")</f>
        <v>#REF!</v>
      </c>
      <c r="HO162" t="e">
        <f>AND('GA55 Entry'!#REF!,"AAAAAHH/Rd4=")</f>
        <v>#REF!</v>
      </c>
      <c r="HP162" t="e">
        <f>AND('GA55 Entry'!#REF!,"AAAAAHH/Rd8=")</f>
        <v>#REF!</v>
      </c>
      <c r="HQ162" t="e">
        <f>AND('GA55 Entry'!#REF!,"AAAAAHH/ReA=")</f>
        <v>#REF!</v>
      </c>
      <c r="HR162" t="e">
        <f>AND('GA55 Entry'!#REF!,"AAAAAHH/ReE=")</f>
        <v>#REF!</v>
      </c>
      <c r="HS162" t="e">
        <f>AND('GA55 Entry'!#REF!,"AAAAAHH/ReI=")</f>
        <v>#REF!</v>
      </c>
      <c r="HT162" t="e">
        <f>AND('GA55 Entry'!Z583,"AAAAAHH/ReM=")</f>
        <v>#VALUE!</v>
      </c>
      <c r="HU162" t="e">
        <f>AND('GA55 Entry'!AA583,"AAAAAHH/ReQ=")</f>
        <v>#VALUE!</v>
      </c>
      <c r="HV162" t="e">
        <f>AND('GA55 Entry'!#REF!,"AAAAAHH/ReU=")</f>
        <v>#REF!</v>
      </c>
      <c r="HW162" t="e">
        <f>AND('GA55 Entry'!#REF!,"AAAAAHH/ReY=")</f>
        <v>#REF!</v>
      </c>
      <c r="HX162" t="e">
        <f>AND('GA55 Entry'!#REF!,"AAAAAHH/Rec=")</f>
        <v>#REF!</v>
      </c>
      <c r="HY162" t="e">
        <f>AND('GA55 Entry'!AB583,"AAAAAHH/Reg=")</f>
        <v>#VALUE!</v>
      </c>
      <c r="HZ162" t="e">
        <f>AND('GA55 Entry'!AC583,"AAAAAHH/Rek=")</f>
        <v>#VALUE!</v>
      </c>
      <c r="IA162" t="e">
        <f>AND('GA55 Entry'!#REF!,"AAAAAHH/Reo=")</f>
        <v>#REF!</v>
      </c>
      <c r="IB162">
        <f>IF('GA55 Entry'!584:584,"AAAAAHH/Res=",0)</f>
        <v>0</v>
      </c>
      <c r="IC162" t="e">
        <f>AND('GA55 Entry'!B584,"AAAAAHH/Rew=")</f>
        <v>#VALUE!</v>
      </c>
      <c r="ID162" t="e">
        <f>AND('GA55 Entry'!#REF!,"AAAAAHH/Re0=")</f>
        <v>#REF!</v>
      </c>
      <c r="IE162" t="e">
        <f>AND('GA55 Entry'!C584,"AAAAAHH/Re4=")</f>
        <v>#VALUE!</v>
      </c>
      <c r="IF162" t="e">
        <f>AND('GA55 Entry'!#REF!,"AAAAAHH/Re8=")</f>
        <v>#REF!</v>
      </c>
      <c r="IG162" t="e">
        <f>AND('GA55 Entry'!#REF!,"AAAAAHH/RfA=")</f>
        <v>#REF!</v>
      </c>
      <c r="IH162" t="e">
        <f>AND('GA55 Entry'!#REF!,"AAAAAHH/RfE=")</f>
        <v>#REF!</v>
      </c>
      <c r="II162" t="e">
        <f>AND('GA55 Entry'!#REF!,"AAAAAHH/RfI=")</f>
        <v>#REF!</v>
      </c>
      <c r="IJ162" t="e">
        <f>AND('GA55 Entry'!#REF!,"AAAAAHH/RfM=")</f>
        <v>#REF!</v>
      </c>
      <c r="IK162" t="e">
        <f>AND('GA55 Entry'!D584,"AAAAAHH/RfQ=")</f>
        <v>#VALUE!</v>
      </c>
      <c r="IL162" t="e">
        <f>AND('GA55 Entry'!#REF!,"AAAAAHH/RfU=")</f>
        <v>#REF!</v>
      </c>
      <c r="IM162" t="e">
        <f>AND('GA55 Entry'!E584,"AAAAAHH/RfY=")</f>
        <v>#VALUE!</v>
      </c>
      <c r="IN162" t="e">
        <f>AND('GA55 Entry'!F584,"AAAAAHH/Rfc=")</f>
        <v>#VALUE!</v>
      </c>
      <c r="IO162" t="e">
        <f>AND('GA55 Entry'!G584,"AAAAAHH/Rfg=")</f>
        <v>#VALUE!</v>
      </c>
      <c r="IP162" t="e">
        <f>AND('GA55 Entry'!H584,"AAAAAHH/Rfk=")</f>
        <v>#VALUE!</v>
      </c>
      <c r="IQ162" t="e">
        <f>AND('GA55 Entry'!I584,"AAAAAHH/Rfo=")</f>
        <v>#VALUE!</v>
      </c>
      <c r="IR162" t="e">
        <f>AND('GA55 Entry'!J584,"AAAAAHH/Rfs=")</f>
        <v>#VALUE!</v>
      </c>
      <c r="IS162" t="e">
        <f>AND('GA55 Entry'!#REF!,"AAAAAHH/Rfw=")</f>
        <v>#REF!</v>
      </c>
      <c r="IT162" t="e">
        <f>AND('GA55 Entry'!K584,"AAAAAHH/Rf0=")</f>
        <v>#VALUE!</v>
      </c>
      <c r="IU162" t="e">
        <f>AND('GA55 Entry'!L584,"AAAAAHH/Rf4=")</f>
        <v>#VALUE!</v>
      </c>
      <c r="IV162" t="e">
        <f>AND('GA55 Entry'!M584,"AAAAAHH/Rf8=")</f>
        <v>#VALUE!</v>
      </c>
    </row>
    <row r="163" spans="1:256">
      <c r="A163" t="e">
        <f>AND('GA55 Entry'!N584,"AAAAAHZ+vwA=")</f>
        <v>#VALUE!</v>
      </c>
      <c r="B163" t="e">
        <f>AND('GA55 Entry'!O584,"AAAAAHZ+vwE=")</f>
        <v>#VALUE!</v>
      </c>
      <c r="C163" t="e">
        <f>AND('GA55 Entry'!P584,"AAAAAHZ+vwI=")</f>
        <v>#VALUE!</v>
      </c>
      <c r="D163" t="e">
        <f>AND('GA55 Entry'!Q584,"AAAAAHZ+vwM=")</f>
        <v>#VALUE!</v>
      </c>
      <c r="E163" t="e">
        <f>AND('GA55 Entry'!S584,"AAAAAHZ+vwQ=")</f>
        <v>#VALUE!</v>
      </c>
      <c r="F163" t="e">
        <f>AND('GA55 Entry'!#REF!,"AAAAAHZ+vwU=")</f>
        <v>#REF!</v>
      </c>
      <c r="G163" t="e">
        <f>AND('GA55 Entry'!T584,"AAAAAHZ+vwY=")</f>
        <v>#VALUE!</v>
      </c>
      <c r="H163" t="e">
        <f>AND('GA55 Entry'!U584,"AAAAAHZ+vwc=")</f>
        <v>#VALUE!</v>
      </c>
      <c r="I163" t="e">
        <f>AND('GA55 Entry'!V584,"AAAAAHZ+vwg=")</f>
        <v>#VALUE!</v>
      </c>
      <c r="J163" t="e">
        <f>AND('GA55 Entry'!#REF!,"AAAAAHZ+vwk=")</f>
        <v>#REF!</v>
      </c>
      <c r="K163" t="e">
        <f>AND('GA55 Entry'!#REF!,"AAAAAHZ+vwo=")</f>
        <v>#REF!</v>
      </c>
      <c r="L163" t="e">
        <f>AND('GA55 Entry'!X584,"AAAAAHZ+vws=")</f>
        <v>#VALUE!</v>
      </c>
      <c r="M163" t="e">
        <f>AND('GA55 Entry'!Y584,"AAAAAHZ+vww=")</f>
        <v>#VALUE!</v>
      </c>
      <c r="N163" t="e">
        <f>AND('GA55 Entry'!#REF!,"AAAAAHZ+vw0=")</f>
        <v>#REF!</v>
      </c>
      <c r="O163" t="e">
        <f>AND('GA55 Entry'!#REF!,"AAAAAHZ+vw4=")</f>
        <v>#REF!</v>
      </c>
      <c r="P163" t="e">
        <f>AND('GA55 Entry'!#REF!,"AAAAAHZ+vw8=")</f>
        <v>#REF!</v>
      </c>
      <c r="Q163" t="e">
        <f>AND('GA55 Entry'!#REF!,"AAAAAHZ+vxA=")</f>
        <v>#REF!</v>
      </c>
      <c r="R163" t="e">
        <f>AND('GA55 Entry'!#REF!,"AAAAAHZ+vxE=")</f>
        <v>#REF!</v>
      </c>
      <c r="S163" t="e">
        <f>AND('GA55 Entry'!#REF!,"AAAAAHZ+vxI=")</f>
        <v>#REF!</v>
      </c>
      <c r="T163" t="e">
        <f>AND('GA55 Entry'!#REF!,"AAAAAHZ+vxM=")</f>
        <v>#REF!</v>
      </c>
      <c r="U163" t="e">
        <f>AND('GA55 Entry'!#REF!,"AAAAAHZ+vxQ=")</f>
        <v>#REF!</v>
      </c>
      <c r="V163" t="e">
        <f>AND('GA55 Entry'!#REF!,"AAAAAHZ+vxU=")</f>
        <v>#REF!</v>
      </c>
      <c r="W163" t="e">
        <f>AND('GA55 Entry'!Z584,"AAAAAHZ+vxY=")</f>
        <v>#VALUE!</v>
      </c>
      <c r="X163" t="e">
        <f>AND('GA55 Entry'!AA584,"AAAAAHZ+vxc=")</f>
        <v>#VALUE!</v>
      </c>
      <c r="Y163" t="e">
        <f>AND('GA55 Entry'!#REF!,"AAAAAHZ+vxg=")</f>
        <v>#REF!</v>
      </c>
      <c r="Z163" t="e">
        <f>AND('GA55 Entry'!#REF!,"AAAAAHZ+vxk=")</f>
        <v>#REF!</v>
      </c>
      <c r="AA163" t="e">
        <f>AND('GA55 Entry'!#REF!,"AAAAAHZ+vxo=")</f>
        <v>#REF!</v>
      </c>
      <c r="AB163" t="e">
        <f>AND('GA55 Entry'!AB584,"AAAAAHZ+vxs=")</f>
        <v>#VALUE!</v>
      </c>
      <c r="AC163" t="e">
        <f>AND('GA55 Entry'!AC584,"AAAAAHZ+vxw=")</f>
        <v>#VALUE!</v>
      </c>
      <c r="AD163" t="e">
        <f>AND('GA55 Entry'!#REF!,"AAAAAHZ+vx0=")</f>
        <v>#REF!</v>
      </c>
      <c r="AE163">
        <f>IF('GA55 Entry'!585:585,"AAAAAHZ+vx4=",0)</f>
        <v>0</v>
      </c>
      <c r="AF163" t="e">
        <f>AND('GA55 Entry'!B585,"AAAAAHZ+vx8=")</f>
        <v>#VALUE!</v>
      </c>
      <c r="AG163" t="e">
        <f>AND('GA55 Entry'!#REF!,"AAAAAHZ+vyA=")</f>
        <v>#REF!</v>
      </c>
      <c r="AH163" t="e">
        <f>AND('GA55 Entry'!C585,"AAAAAHZ+vyE=")</f>
        <v>#VALUE!</v>
      </c>
      <c r="AI163" t="e">
        <f>AND('GA55 Entry'!#REF!,"AAAAAHZ+vyI=")</f>
        <v>#REF!</v>
      </c>
      <c r="AJ163" t="e">
        <f>AND('GA55 Entry'!#REF!,"AAAAAHZ+vyM=")</f>
        <v>#REF!</v>
      </c>
      <c r="AK163" t="e">
        <f>AND('GA55 Entry'!#REF!,"AAAAAHZ+vyQ=")</f>
        <v>#REF!</v>
      </c>
      <c r="AL163" t="e">
        <f>AND('GA55 Entry'!#REF!,"AAAAAHZ+vyU=")</f>
        <v>#REF!</v>
      </c>
      <c r="AM163" t="e">
        <f>AND('GA55 Entry'!#REF!,"AAAAAHZ+vyY=")</f>
        <v>#REF!</v>
      </c>
      <c r="AN163" t="e">
        <f>AND('GA55 Entry'!D585,"AAAAAHZ+vyc=")</f>
        <v>#VALUE!</v>
      </c>
      <c r="AO163" t="e">
        <f>AND('GA55 Entry'!#REF!,"AAAAAHZ+vyg=")</f>
        <v>#REF!</v>
      </c>
      <c r="AP163" t="e">
        <f>AND('GA55 Entry'!E585,"AAAAAHZ+vyk=")</f>
        <v>#VALUE!</v>
      </c>
      <c r="AQ163" t="e">
        <f>AND('GA55 Entry'!F585,"AAAAAHZ+vyo=")</f>
        <v>#VALUE!</v>
      </c>
      <c r="AR163" t="e">
        <f>AND('GA55 Entry'!G585,"AAAAAHZ+vys=")</f>
        <v>#VALUE!</v>
      </c>
      <c r="AS163" t="e">
        <f>AND('GA55 Entry'!H585,"AAAAAHZ+vyw=")</f>
        <v>#VALUE!</v>
      </c>
      <c r="AT163" t="e">
        <f>AND('GA55 Entry'!I585,"AAAAAHZ+vy0=")</f>
        <v>#VALUE!</v>
      </c>
      <c r="AU163" t="e">
        <f>AND('GA55 Entry'!J585,"AAAAAHZ+vy4=")</f>
        <v>#VALUE!</v>
      </c>
      <c r="AV163" t="e">
        <f>AND('GA55 Entry'!#REF!,"AAAAAHZ+vy8=")</f>
        <v>#REF!</v>
      </c>
      <c r="AW163" t="e">
        <f>AND('GA55 Entry'!K585,"AAAAAHZ+vzA=")</f>
        <v>#VALUE!</v>
      </c>
      <c r="AX163" t="e">
        <f>AND('GA55 Entry'!L585,"AAAAAHZ+vzE=")</f>
        <v>#VALUE!</v>
      </c>
      <c r="AY163" t="e">
        <f>AND('GA55 Entry'!M585,"AAAAAHZ+vzI=")</f>
        <v>#VALUE!</v>
      </c>
      <c r="AZ163" t="e">
        <f>AND('GA55 Entry'!N585,"AAAAAHZ+vzM=")</f>
        <v>#VALUE!</v>
      </c>
      <c r="BA163" t="e">
        <f>AND('GA55 Entry'!O585,"AAAAAHZ+vzQ=")</f>
        <v>#VALUE!</v>
      </c>
      <c r="BB163" t="e">
        <f>AND('GA55 Entry'!P585,"AAAAAHZ+vzU=")</f>
        <v>#VALUE!</v>
      </c>
      <c r="BC163" t="e">
        <f>AND('GA55 Entry'!Q585,"AAAAAHZ+vzY=")</f>
        <v>#VALUE!</v>
      </c>
      <c r="BD163" t="e">
        <f>AND('GA55 Entry'!S585,"AAAAAHZ+vzc=")</f>
        <v>#VALUE!</v>
      </c>
      <c r="BE163" t="e">
        <f>AND('GA55 Entry'!#REF!,"AAAAAHZ+vzg=")</f>
        <v>#REF!</v>
      </c>
      <c r="BF163" t="e">
        <f>AND('GA55 Entry'!T585,"AAAAAHZ+vzk=")</f>
        <v>#VALUE!</v>
      </c>
      <c r="BG163" t="e">
        <f>AND('GA55 Entry'!U585,"AAAAAHZ+vzo=")</f>
        <v>#VALUE!</v>
      </c>
      <c r="BH163" t="e">
        <f>AND('GA55 Entry'!V585,"AAAAAHZ+vzs=")</f>
        <v>#VALUE!</v>
      </c>
      <c r="BI163" t="e">
        <f>AND('GA55 Entry'!#REF!,"AAAAAHZ+vzw=")</f>
        <v>#REF!</v>
      </c>
      <c r="BJ163" t="e">
        <f>AND('GA55 Entry'!#REF!,"AAAAAHZ+vz0=")</f>
        <v>#REF!</v>
      </c>
      <c r="BK163" t="e">
        <f>AND('GA55 Entry'!X585,"AAAAAHZ+vz4=")</f>
        <v>#VALUE!</v>
      </c>
      <c r="BL163" t="e">
        <f>AND('GA55 Entry'!Y585,"AAAAAHZ+vz8=")</f>
        <v>#VALUE!</v>
      </c>
      <c r="BM163" t="e">
        <f>AND('GA55 Entry'!#REF!,"AAAAAHZ+v0A=")</f>
        <v>#REF!</v>
      </c>
      <c r="BN163" t="e">
        <f>AND('GA55 Entry'!#REF!,"AAAAAHZ+v0E=")</f>
        <v>#REF!</v>
      </c>
      <c r="BO163" t="e">
        <f>AND('GA55 Entry'!#REF!,"AAAAAHZ+v0I=")</f>
        <v>#REF!</v>
      </c>
      <c r="BP163" t="e">
        <f>AND('GA55 Entry'!#REF!,"AAAAAHZ+v0M=")</f>
        <v>#REF!</v>
      </c>
      <c r="BQ163" t="e">
        <f>AND('GA55 Entry'!#REF!,"AAAAAHZ+v0Q=")</f>
        <v>#REF!</v>
      </c>
      <c r="BR163" t="e">
        <f>AND('GA55 Entry'!#REF!,"AAAAAHZ+v0U=")</f>
        <v>#REF!</v>
      </c>
      <c r="BS163" t="e">
        <f>AND('GA55 Entry'!#REF!,"AAAAAHZ+v0Y=")</f>
        <v>#REF!</v>
      </c>
      <c r="BT163" t="e">
        <f>AND('GA55 Entry'!#REF!,"AAAAAHZ+v0c=")</f>
        <v>#REF!</v>
      </c>
      <c r="BU163" t="e">
        <f>AND('GA55 Entry'!#REF!,"AAAAAHZ+v0g=")</f>
        <v>#REF!</v>
      </c>
      <c r="BV163" t="e">
        <f>AND('GA55 Entry'!Z585,"AAAAAHZ+v0k=")</f>
        <v>#VALUE!</v>
      </c>
      <c r="BW163" t="e">
        <f>AND('GA55 Entry'!AA585,"AAAAAHZ+v0o=")</f>
        <v>#VALUE!</v>
      </c>
      <c r="BX163" t="e">
        <f>AND('GA55 Entry'!#REF!,"AAAAAHZ+v0s=")</f>
        <v>#REF!</v>
      </c>
      <c r="BY163" t="e">
        <f>AND('GA55 Entry'!#REF!,"AAAAAHZ+v0w=")</f>
        <v>#REF!</v>
      </c>
      <c r="BZ163" t="e">
        <f>AND('GA55 Entry'!#REF!,"AAAAAHZ+v00=")</f>
        <v>#REF!</v>
      </c>
      <c r="CA163" t="e">
        <f>AND('GA55 Entry'!AB585,"AAAAAHZ+v04=")</f>
        <v>#VALUE!</v>
      </c>
      <c r="CB163" t="e">
        <f>AND('GA55 Entry'!AC585,"AAAAAHZ+v08=")</f>
        <v>#VALUE!</v>
      </c>
      <c r="CC163" t="e">
        <f>AND('GA55 Entry'!#REF!,"AAAAAHZ+v1A=")</f>
        <v>#REF!</v>
      </c>
      <c r="CD163">
        <f>IF('GA55 Entry'!586:586,"AAAAAHZ+v1E=",0)</f>
        <v>0</v>
      </c>
      <c r="CE163" t="e">
        <f>AND('GA55 Entry'!B586,"AAAAAHZ+v1I=")</f>
        <v>#VALUE!</v>
      </c>
      <c r="CF163" t="e">
        <f>AND('GA55 Entry'!#REF!,"AAAAAHZ+v1M=")</f>
        <v>#REF!</v>
      </c>
      <c r="CG163" t="e">
        <f>AND('GA55 Entry'!C586,"AAAAAHZ+v1Q=")</f>
        <v>#VALUE!</v>
      </c>
      <c r="CH163" t="e">
        <f>AND('GA55 Entry'!#REF!,"AAAAAHZ+v1U=")</f>
        <v>#REF!</v>
      </c>
      <c r="CI163" t="e">
        <f>AND('GA55 Entry'!#REF!,"AAAAAHZ+v1Y=")</f>
        <v>#REF!</v>
      </c>
      <c r="CJ163" t="e">
        <f>AND('GA55 Entry'!#REF!,"AAAAAHZ+v1c=")</f>
        <v>#REF!</v>
      </c>
      <c r="CK163" t="e">
        <f>AND('GA55 Entry'!#REF!,"AAAAAHZ+v1g=")</f>
        <v>#REF!</v>
      </c>
      <c r="CL163" t="e">
        <f>AND('GA55 Entry'!#REF!,"AAAAAHZ+v1k=")</f>
        <v>#REF!</v>
      </c>
      <c r="CM163" t="e">
        <f>AND('GA55 Entry'!D586,"AAAAAHZ+v1o=")</f>
        <v>#VALUE!</v>
      </c>
      <c r="CN163" t="e">
        <f>AND('GA55 Entry'!#REF!,"AAAAAHZ+v1s=")</f>
        <v>#REF!</v>
      </c>
      <c r="CO163" t="e">
        <f>AND('GA55 Entry'!E586,"AAAAAHZ+v1w=")</f>
        <v>#VALUE!</v>
      </c>
      <c r="CP163" t="e">
        <f>AND('GA55 Entry'!F586,"AAAAAHZ+v10=")</f>
        <v>#VALUE!</v>
      </c>
      <c r="CQ163" t="e">
        <f>AND('GA55 Entry'!G586,"AAAAAHZ+v14=")</f>
        <v>#VALUE!</v>
      </c>
      <c r="CR163" t="e">
        <f>AND('GA55 Entry'!H586,"AAAAAHZ+v18=")</f>
        <v>#VALUE!</v>
      </c>
      <c r="CS163" t="e">
        <f>AND('GA55 Entry'!I586,"AAAAAHZ+v2A=")</f>
        <v>#VALUE!</v>
      </c>
      <c r="CT163" t="e">
        <f>AND('GA55 Entry'!J586,"AAAAAHZ+v2E=")</f>
        <v>#VALUE!</v>
      </c>
      <c r="CU163" t="e">
        <f>AND('GA55 Entry'!#REF!,"AAAAAHZ+v2I=")</f>
        <v>#REF!</v>
      </c>
      <c r="CV163" t="e">
        <f>AND('GA55 Entry'!K586,"AAAAAHZ+v2M=")</f>
        <v>#VALUE!</v>
      </c>
      <c r="CW163" t="e">
        <f>AND('GA55 Entry'!L586,"AAAAAHZ+v2Q=")</f>
        <v>#VALUE!</v>
      </c>
      <c r="CX163" t="e">
        <f>AND('GA55 Entry'!M586,"AAAAAHZ+v2U=")</f>
        <v>#VALUE!</v>
      </c>
      <c r="CY163" t="e">
        <f>AND('GA55 Entry'!N586,"AAAAAHZ+v2Y=")</f>
        <v>#VALUE!</v>
      </c>
      <c r="CZ163" t="e">
        <f>AND('GA55 Entry'!O586,"AAAAAHZ+v2c=")</f>
        <v>#VALUE!</v>
      </c>
      <c r="DA163" t="e">
        <f>AND('GA55 Entry'!P586,"AAAAAHZ+v2g=")</f>
        <v>#VALUE!</v>
      </c>
      <c r="DB163" t="e">
        <f>AND('GA55 Entry'!Q586,"AAAAAHZ+v2k=")</f>
        <v>#VALUE!</v>
      </c>
      <c r="DC163" t="e">
        <f>AND('GA55 Entry'!S586,"AAAAAHZ+v2o=")</f>
        <v>#VALUE!</v>
      </c>
      <c r="DD163" t="e">
        <f>AND('GA55 Entry'!#REF!,"AAAAAHZ+v2s=")</f>
        <v>#REF!</v>
      </c>
      <c r="DE163" t="e">
        <f>AND('GA55 Entry'!T586,"AAAAAHZ+v2w=")</f>
        <v>#VALUE!</v>
      </c>
      <c r="DF163" t="e">
        <f>AND('GA55 Entry'!U586,"AAAAAHZ+v20=")</f>
        <v>#VALUE!</v>
      </c>
      <c r="DG163" t="e">
        <f>AND('GA55 Entry'!V586,"AAAAAHZ+v24=")</f>
        <v>#VALUE!</v>
      </c>
      <c r="DH163" t="e">
        <f>AND('GA55 Entry'!#REF!,"AAAAAHZ+v28=")</f>
        <v>#REF!</v>
      </c>
      <c r="DI163" t="e">
        <f>AND('GA55 Entry'!#REF!,"AAAAAHZ+v3A=")</f>
        <v>#REF!</v>
      </c>
      <c r="DJ163" t="e">
        <f>AND('GA55 Entry'!X586,"AAAAAHZ+v3E=")</f>
        <v>#VALUE!</v>
      </c>
      <c r="DK163" t="e">
        <f>AND('GA55 Entry'!Y586,"AAAAAHZ+v3I=")</f>
        <v>#VALUE!</v>
      </c>
      <c r="DL163" t="e">
        <f>AND('GA55 Entry'!#REF!,"AAAAAHZ+v3M=")</f>
        <v>#REF!</v>
      </c>
      <c r="DM163" t="e">
        <f>AND('GA55 Entry'!#REF!,"AAAAAHZ+v3Q=")</f>
        <v>#REF!</v>
      </c>
      <c r="DN163" t="e">
        <f>AND('GA55 Entry'!#REF!,"AAAAAHZ+v3U=")</f>
        <v>#REF!</v>
      </c>
      <c r="DO163" t="e">
        <f>AND('GA55 Entry'!#REF!,"AAAAAHZ+v3Y=")</f>
        <v>#REF!</v>
      </c>
      <c r="DP163" t="e">
        <f>AND('GA55 Entry'!#REF!,"AAAAAHZ+v3c=")</f>
        <v>#REF!</v>
      </c>
      <c r="DQ163" t="e">
        <f>AND('GA55 Entry'!#REF!,"AAAAAHZ+v3g=")</f>
        <v>#REF!</v>
      </c>
      <c r="DR163" t="e">
        <f>AND('GA55 Entry'!#REF!,"AAAAAHZ+v3k=")</f>
        <v>#REF!</v>
      </c>
      <c r="DS163" t="e">
        <f>AND('GA55 Entry'!#REF!,"AAAAAHZ+v3o=")</f>
        <v>#REF!</v>
      </c>
      <c r="DT163" t="e">
        <f>AND('GA55 Entry'!#REF!,"AAAAAHZ+v3s=")</f>
        <v>#REF!</v>
      </c>
      <c r="DU163" t="e">
        <f>AND('GA55 Entry'!Z586,"AAAAAHZ+v3w=")</f>
        <v>#VALUE!</v>
      </c>
      <c r="DV163" t="e">
        <f>AND('GA55 Entry'!AA586,"AAAAAHZ+v30=")</f>
        <v>#VALUE!</v>
      </c>
      <c r="DW163" t="e">
        <f>AND('GA55 Entry'!#REF!,"AAAAAHZ+v34=")</f>
        <v>#REF!</v>
      </c>
      <c r="DX163" t="e">
        <f>AND('GA55 Entry'!#REF!,"AAAAAHZ+v38=")</f>
        <v>#REF!</v>
      </c>
      <c r="DY163" t="e">
        <f>AND('GA55 Entry'!#REF!,"AAAAAHZ+v4A=")</f>
        <v>#REF!</v>
      </c>
      <c r="DZ163" t="e">
        <f>AND('GA55 Entry'!AB586,"AAAAAHZ+v4E=")</f>
        <v>#VALUE!</v>
      </c>
      <c r="EA163" t="e">
        <f>AND('GA55 Entry'!AC586,"AAAAAHZ+v4I=")</f>
        <v>#VALUE!</v>
      </c>
      <c r="EB163" t="e">
        <f>AND('GA55 Entry'!#REF!,"AAAAAHZ+v4M=")</f>
        <v>#REF!</v>
      </c>
      <c r="EC163">
        <f>IF('GA55 Entry'!587:587,"AAAAAHZ+v4Q=",0)</f>
        <v>0</v>
      </c>
      <c r="ED163" t="e">
        <f>AND('GA55 Entry'!B587,"AAAAAHZ+v4U=")</f>
        <v>#VALUE!</v>
      </c>
      <c r="EE163" t="e">
        <f>AND('GA55 Entry'!#REF!,"AAAAAHZ+v4Y=")</f>
        <v>#REF!</v>
      </c>
      <c r="EF163" t="e">
        <f>AND('GA55 Entry'!C587,"AAAAAHZ+v4c=")</f>
        <v>#VALUE!</v>
      </c>
      <c r="EG163" t="e">
        <f>AND('GA55 Entry'!#REF!,"AAAAAHZ+v4g=")</f>
        <v>#REF!</v>
      </c>
      <c r="EH163" t="e">
        <f>AND('GA55 Entry'!#REF!,"AAAAAHZ+v4k=")</f>
        <v>#REF!</v>
      </c>
      <c r="EI163" t="e">
        <f>AND('GA55 Entry'!#REF!,"AAAAAHZ+v4o=")</f>
        <v>#REF!</v>
      </c>
      <c r="EJ163" t="e">
        <f>AND('GA55 Entry'!#REF!,"AAAAAHZ+v4s=")</f>
        <v>#REF!</v>
      </c>
      <c r="EK163" t="e">
        <f>AND('GA55 Entry'!#REF!,"AAAAAHZ+v4w=")</f>
        <v>#REF!</v>
      </c>
      <c r="EL163" t="e">
        <f>AND('GA55 Entry'!D587,"AAAAAHZ+v40=")</f>
        <v>#VALUE!</v>
      </c>
      <c r="EM163" t="e">
        <f>AND('GA55 Entry'!#REF!,"AAAAAHZ+v44=")</f>
        <v>#REF!</v>
      </c>
      <c r="EN163" t="e">
        <f>AND('GA55 Entry'!E587,"AAAAAHZ+v48=")</f>
        <v>#VALUE!</v>
      </c>
      <c r="EO163" t="e">
        <f>AND('GA55 Entry'!F587,"AAAAAHZ+v5A=")</f>
        <v>#VALUE!</v>
      </c>
      <c r="EP163" t="e">
        <f>AND('GA55 Entry'!G587,"AAAAAHZ+v5E=")</f>
        <v>#VALUE!</v>
      </c>
      <c r="EQ163" t="e">
        <f>AND('GA55 Entry'!H587,"AAAAAHZ+v5I=")</f>
        <v>#VALUE!</v>
      </c>
      <c r="ER163" t="e">
        <f>AND('GA55 Entry'!I587,"AAAAAHZ+v5M=")</f>
        <v>#VALUE!</v>
      </c>
      <c r="ES163" t="e">
        <f>AND('GA55 Entry'!J587,"AAAAAHZ+v5Q=")</f>
        <v>#VALUE!</v>
      </c>
      <c r="ET163" t="e">
        <f>AND('GA55 Entry'!#REF!,"AAAAAHZ+v5U=")</f>
        <v>#REF!</v>
      </c>
      <c r="EU163" t="e">
        <f>AND('GA55 Entry'!K587,"AAAAAHZ+v5Y=")</f>
        <v>#VALUE!</v>
      </c>
      <c r="EV163" t="e">
        <f>AND('GA55 Entry'!L587,"AAAAAHZ+v5c=")</f>
        <v>#VALUE!</v>
      </c>
      <c r="EW163" t="e">
        <f>AND('GA55 Entry'!M587,"AAAAAHZ+v5g=")</f>
        <v>#VALUE!</v>
      </c>
      <c r="EX163" t="e">
        <f>AND('GA55 Entry'!N587,"AAAAAHZ+v5k=")</f>
        <v>#VALUE!</v>
      </c>
      <c r="EY163" t="e">
        <f>AND('GA55 Entry'!O587,"AAAAAHZ+v5o=")</f>
        <v>#VALUE!</v>
      </c>
      <c r="EZ163" t="e">
        <f>AND('GA55 Entry'!P587,"AAAAAHZ+v5s=")</f>
        <v>#VALUE!</v>
      </c>
      <c r="FA163" t="e">
        <f>AND('GA55 Entry'!Q587,"AAAAAHZ+v5w=")</f>
        <v>#VALUE!</v>
      </c>
      <c r="FB163" t="e">
        <f>AND('GA55 Entry'!S587,"AAAAAHZ+v50=")</f>
        <v>#VALUE!</v>
      </c>
      <c r="FC163" t="e">
        <f>AND('GA55 Entry'!#REF!,"AAAAAHZ+v54=")</f>
        <v>#REF!</v>
      </c>
      <c r="FD163" t="e">
        <f>AND('GA55 Entry'!T587,"AAAAAHZ+v58=")</f>
        <v>#VALUE!</v>
      </c>
      <c r="FE163" t="e">
        <f>AND('GA55 Entry'!U587,"AAAAAHZ+v6A=")</f>
        <v>#VALUE!</v>
      </c>
      <c r="FF163" t="e">
        <f>AND('GA55 Entry'!V587,"AAAAAHZ+v6E=")</f>
        <v>#VALUE!</v>
      </c>
      <c r="FG163" t="e">
        <f>AND('GA55 Entry'!#REF!,"AAAAAHZ+v6I=")</f>
        <v>#REF!</v>
      </c>
      <c r="FH163" t="e">
        <f>AND('GA55 Entry'!#REF!,"AAAAAHZ+v6M=")</f>
        <v>#REF!</v>
      </c>
      <c r="FI163" t="e">
        <f>AND('GA55 Entry'!X587,"AAAAAHZ+v6Q=")</f>
        <v>#VALUE!</v>
      </c>
      <c r="FJ163" t="e">
        <f>AND('GA55 Entry'!Y587,"AAAAAHZ+v6U=")</f>
        <v>#VALUE!</v>
      </c>
      <c r="FK163" t="e">
        <f>AND('GA55 Entry'!#REF!,"AAAAAHZ+v6Y=")</f>
        <v>#REF!</v>
      </c>
      <c r="FL163" t="e">
        <f>AND('GA55 Entry'!#REF!,"AAAAAHZ+v6c=")</f>
        <v>#REF!</v>
      </c>
      <c r="FM163" t="e">
        <f>AND('GA55 Entry'!#REF!,"AAAAAHZ+v6g=")</f>
        <v>#REF!</v>
      </c>
      <c r="FN163" t="e">
        <f>AND('GA55 Entry'!#REF!,"AAAAAHZ+v6k=")</f>
        <v>#REF!</v>
      </c>
      <c r="FO163" t="e">
        <f>AND('GA55 Entry'!#REF!,"AAAAAHZ+v6o=")</f>
        <v>#REF!</v>
      </c>
      <c r="FP163" t="e">
        <f>AND('GA55 Entry'!#REF!,"AAAAAHZ+v6s=")</f>
        <v>#REF!</v>
      </c>
      <c r="FQ163" t="e">
        <f>AND('GA55 Entry'!#REF!,"AAAAAHZ+v6w=")</f>
        <v>#REF!</v>
      </c>
      <c r="FR163" t="e">
        <f>AND('GA55 Entry'!#REF!,"AAAAAHZ+v60=")</f>
        <v>#REF!</v>
      </c>
      <c r="FS163" t="e">
        <f>AND('GA55 Entry'!#REF!,"AAAAAHZ+v64=")</f>
        <v>#REF!</v>
      </c>
      <c r="FT163" t="e">
        <f>AND('GA55 Entry'!Z587,"AAAAAHZ+v68=")</f>
        <v>#VALUE!</v>
      </c>
      <c r="FU163" t="e">
        <f>AND('GA55 Entry'!AA587,"AAAAAHZ+v7A=")</f>
        <v>#VALUE!</v>
      </c>
      <c r="FV163" t="e">
        <f>AND('GA55 Entry'!#REF!,"AAAAAHZ+v7E=")</f>
        <v>#REF!</v>
      </c>
      <c r="FW163" t="e">
        <f>AND('GA55 Entry'!#REF!,"AAAAAHZ+v7I=")</f>
        <v>#REF!</v>
      </c>
      <c r="FX163" t="e">
        <f>AND('GA55 Entry'!#REF!,"AAAAAHZ+v7M=")</f>
        <v>#REF!</v>
      </c>
      <c r="FY163" t="e">
        <f>AND('GA55 Entry'!AB587,"AAAAAHZ+v7Q=")</f>
        <v>#VALUE!</v>
      </c>
      <c r="FZ163" t="e">
        <f>AND('GA55 Entry'!AC587,"AAAAAHZ+v7U=")</f>
        <v>#VALUE!</v>
      </c>
      <c r="GA163" t="e">
        <f>AND('GA55 Entry'!#REF!,"AAAAAHZ+v7Y=")</f>
        <v>#REF!</v>
      </c>
      <c r="GB163">
        <f>IF('GA55 Entry'!588:588,"AAAAAHZ+v7c=",0)</f>
        <v>0</v>
      </c>
      <c r="GC163" t="e">
        <f>AND('GA55 Entry'!B588,"AAAAAHZ+v7g=")</f>
        <v>#VALUE!</v>
      </c>
      <c r="GD163" t="e">
        <f>AND('GA55 Entry'!#REF!,"AAAAAHZ+v7k=")</f>
        <v>#REF!</v>
      </c>
      <c r="GE163" t="e">
        <f>AND('GA55 Entry'!C588,"AAAAAHZ+v7o=")</f>
        <v>#VALUE!</v>
      </c>
      <c r="GF163" t="e">
        <f>AND('GA55 Entry'!#REF!,"AAAAAHZ+v7s=")</f>
        <v>#REF!</v>
      </c>
      <c r="GG163" t="e">
        <f>AND('GA55 Entry'!#REF!,"AAAAAHZ+v7w=")</f>
        <v>#REF!</v>
      </c>
      <c r="GH163" t="e">
        <f>AND('GA55 Entry'!#REF!,"AAAAAHZ+v70=")</f>
        <v>#REF!</v>
      </c>
      <c r="GI163" t="e">
        <f>AND('GA55 Entry'!#REF!,"AAAAAHZ+v74=")</f>
        <v>#REF!</v>
      </c>
      <c r="GJ163" t="e">
        <f>AND('GA55 Entry'!#REF!,"AAAAAHZ+v78=")</f>
        <v>#REF!</v>
      </c>
      <c r="GK163" t="e">
        <f>AND('GA55 Entry'!D588,"AAAAAHZ+v8A=")</f>
        <v>#VALUE!</v>
      </c>
      <c r="GL163" t="e">
        <f>AND('GA55 Entry'!#REF!,"AAAAAHZ+v8E=")</f>
        <v>#REF!</v>
      </c>
      <c r="GM163" t="e">
        <f>AND('GA55 Entry'!E588,"AAAAAHZ+v8I=")</f>
        <v>#VALUE!</v>
      </c>
      <c r="GN163" t="e">
        <f>AND('GA55 Entry'!F588,"AAAAAHZ+v8M=")</f>
        <v>#VALUE!</v>
      </c>
      <c r="GO163" t="e">
        <f>AND('GA55 Entry'!G588,"AAAAAHZ+v8Q=")</f>
        <v>#VALUE!</v>
      </c>
      <c r="GP163" t="e">
        <f>AND('GA55 Entry'!H588,"AAAAAHZ+v8U=")</f>
        <v>#VALUE!</v>
      </c>
      <c r="GQ163" t="e">
        <f>AND('GA55 Entry'!I588,"AAAAAHZ+v8Y=")</f>
        <v>#VALUE!</v>
      </c>
      <c r="GR163" t="e">
        <f>AND('GA55 Entry'!J588,"AAAAAHZ+v8c=")</f>
        <v>#VALUE!</v>
      </c>
      <c r="GS163" t="e">
        <f>AND('GA55 Entry'!#REF!,"AAAAAHZ+v8g=")</f>
        <v>#REF!</v>
      </c>
      <c r="GT163" t="e">
        <f>AND('GA55 Entry'!K588,"AAAAAHZ+v8k=")</f>
        <v>#VALUE!</v>
      </c>
      <c r="GU163" t="e">
        <f>AND('GA55 Entry'!L588,"AAAAAHZ+v8o=")</f>
        <v>#VALUE!</v>
      </c>
      <c r="GV163" t="e">
        <f>AND('GA55 Entry'!M588,"AAAAAHZ+v8s=")</f>
        <v>#VALUE!</v>
      </c>
      <c r="GW163" t="e">
        <f>AND('GA55 Entry'!N588,"AAAAAHZ+v8w=")</f>
        <v>#VALUE!</v>
      </c>
      <c r="GX163" t="e">
        <f>AND('GA55 Entry'!O588,"AAAAAHZ+v80=")</f>
        <v>#VALUE!</v>
      </c>
      <c r="GY163" t="e">
        <f>AND('GA55 Entry'!P588,"AAAAAHZ+v84=")</f>
        <v>#VALUE!</v>
      </c>
      <c r="GZ163" t="e">
        <f>AND('GA55 Entry'!Q588,"AAAAAHZ+v88=")</f>
        <v>#VALUE!</v>
      </c>
      <c r="HA163" t="e">
        <f>AND('GA55 Entry'!S588,"AAAAAHZ+v9A=")</f>
        <v>#VALUE!</v>
      </c>
      <c r="HB163" t="e">
        <f>AND('GA55 Entry'!#REF!,"AAAAAHZ+v9E=")</f>
        <v>#REF!</v>
      </c>
      <c r="HC163" t="e">
        <f>AND('GA55 Entry'!T588,"AAAAAHZ+v9I=")</f>
        <v>#VALUE!</v>
      </c>
      <c r="HD163" t="e">
        <f>AND('GA55 Entry'!U588,"AAAAAHZ+v9M=")</f>
        <v>#VALUE!</v>
      </c>
      <c r="HE163" t="e">
        <f>AND('GA55 Entry'!V588,"AAAAAHZ+v9Q=")</f>
        <v>#VALUE!</v>
      </c>
      <c r="HF163" t="e">
        <f>AND('GA55 Entry'!#REF!,"AAAAAHZ+v9U=")</f>
        <v>#REF!</v>
      </c>
      <c r="HG163" t="e">
        <f>AND('GA55 Entry'!#REF!,"AAAAAHZ+v9Y=")</f>
        <v>#REF!</v>
      </c>
      <c r="HH163" t="e">
        <f>AND('GA55 Entry'!X588,"AAAAAHZ+v9c=")</f>
        <v>#VALUE!</v>
      </c>
      <c r="HI163" t="e">
        <f>AND('GA55 Entry'!Y588,"AAAAAHZ+v9g=")</f>
        <v>#VALUE!</v>
      </c>
      <c r="HJ163" t="e">
        <f>AND('GA55 Entry'!#REF!,"AAAAAHZ+v9k=")</f>
        <v>#REF!</v>
      </c>
      <c r="HK163" t="e">
        <f>AND('GA55 Entry'!#REF!,"AAAAAHZ+v9o=")</f>
        <v>#REF!</v>
      </c>
      <c r="HL163" t="e">
        <f>AND('GA55 Entry'!#REF!,"AAAAAHZ+v9s=")</f>
        <v>#REF!</v>
      </c>
      <c r="HM163" t="e">
        <f>AND('GA55 Entry'!#REF!,"AAAAAHZ+v9w=")</f>
        <v>#REF!</v>
      </c>
      <c r="HN163" t="e">
        <f>AND('GA55 Entry'!#REF!,"AAAAAHZ+v90=")</f>
        <v>#REF!</v>
      </c>
      <c r="HO163" t="e">
        <f>AND('GA55 Entry'!#REF!,"AAAAAHZ+v94=")</f>
        <v>#REF!</v>
      </c>
      <c r="HP163" t="e">
        <f>AND('GA55 Entry'!#REF!,"AAAAAHZ+v98=")</f>
        <v>#REF!</v>
      </c>
      <c r="HQ163" t="e">
        <f>AND('GA55 Entry'!#REF!,"AAAAAHZ+v+A=")</f>
        <v>#REF!</v>
      </c>
      <c r="HR163" t="e">
        <f>AND('GA55 Entry'!#REF!,"AAAAAHZ+v+E=")</f>
        <v>#REF!</v>
      </c>
      <c r="HS163" t="e">
        <f>AND('GA55 Entry'!Z588,"AAAAAHZ+v+I=")</f>
        <v>#VALUE!</v>
      </c>
      <c r="HT163" t="e">
        <f>AND('GA55 Entry'!AA588,"AAAAAHZ+v+M=")</f>
        <v>#VALUE!</v>
      </c>
      <c r="HU163" t="e">
        <f>AND('GA55 Entry'!#REF!,"AAAAAHZ+v+Q=")</f>
        <v>#REF!</v>
      </c>
      <c r="HV163" t="e">
        <f>AND('GA55 Entry'!#REF!,"AAAAAHZ+v+U=")</f>
        <v>#REF!</v>
      </c>
      <c r="HW163" t="e">
        <f>AND('GA55 Entry'!#REF!,"AAAAAHZ+v+Y=")</f>
        <v>#REF!</v>
      </c>
      <c r="HX163" t="e">
        <f>AND('GA55 Entry'!AB588,"AAAAAHZ+v+c=")</f>
        <v>#VALUE!</v>
      </c>
      <c r="HY163" t="e">
        <f>AND('GA55 Entry'!AC588,"AAAAAHZ+v+g=")</f>
        <v>#VALUE!</v>
      </c>
      <c r="HZ163" t="e">
        <f>AND('GA55 Entry'!#REF!,"AAAAAHZ+v+k=")</f>
        <v>#REF!</v>
      </c>
      <c r="IA163">
        <f>IF('GA55 Entry'!589:589,"AAAAAHZ+v+o=",0)</f>
        <v>0</v>
      </c>
      <c r="IB163" t="e">
        <f>AND('GA55 Entry'!B589,"AAAAAHZ+v+s=")</f>
        <v>#VALUE!</v>
      </c>
      <c r="IC163" t="e">
        <f>AND('GA55 Entry'!#REF!,"AAAAAHZ+v+w=")</f>
        <v>#REF!</v>
      </c>
      <c r="ID163" t="e">
        <f>AND('GA55 Entry'!C589,"AAAAAHZ+v+0=")</f>
        <v>#VALUE!</v>
      </c>
      <c r="IE163" t="e">
        <f>AND('GA55 Entry'!#REF!,"AAAAAHZ+v+4=")</f>
        <v>#REF!</v>
      </c>
      <c r="IF163" t="e">
        <f>AND('GA55 Entry'!#REF!,"AAAAAHZ+v+8=")</f>
        <v>#REF!</v>
      </c>
      <c r="IG163" t="e">
        <f>AND('GA55 Entry'!#REF!,"AAAAAHZ+v/A=")</f>
        <v>#REF!</v>
      </c>
      <c r="IH163" t="e">
        <f>AND('GA55 Entry'!#REF!,"AAAAAHZ+v/E=")</f>
        <v>#REF!</v>
      </c>
      <c r="II163" t="e">
        <f>AND('GA55 Entry'!#REF!,"AAAAAHZ+v/I=")</f>
        <v>#REF!</v>
      </c>
      <c r="IJ163" t="e">
        <f>AND('GA55 Entry'!D589,"AAAAAHZ+v/M=")</f>
        <v>#VALUE!</v>
      </c>
      <c r="IK163" t="e">
        <f>AND('GA55 Entry'!#REF!,"AAAAAHZ+v/Q=")</f>
        <v>#REF!</v>
      </c>
      <c r="IL163" t="e">
        <f>AND('GA55 Entry'!E589,"AAAAAHZ+v/U=")</f>
        <v>#VALUE!</v>
      </c>
      <c r="IM163" t="e">
        <f>AND('GA55 Entry'!F589,"AAAAAHZ+v/Y=")</f>
        <v>#VALUE!</v>
      </c>
      <c r="IN163" t="e">
        <f>AND('GA55 Entry'!G589,"AAAAAHZ+v/c=")</f>
        <v>#VALUE!</v>
      </c>
      <c r="IO163" t="e">
        <f>AND('GA55 Entry'!H589,"AAAAAHZ+v/g=")</f>
        <v>#VALUE!</v>
      </c>
      <c r="IP163" t="e">
        <f>AND('GA55 Entry'!I589,"AAAAAHZ+v/k=")</f>
        <v>#VALUE!</v>
      </c>
      <c r="IQ163" t="e">
        <f>AND('GA55 Entry'!J589,"AAAAAHZ+v/o=")</f>
        <v>#VALUE!</v>
      </c>
      <c r="IR163" t="e">
        <f>AND('GA55 Entry'!#REF!,"AAAAAHZ+v/s=")</f>
        <v>#REF!</v>
      </c>
      <c r="IS163" t="e">
        <f>AND('GA55 Entry'!K589,"AAAAAHZ+v/w=")</f>
        <v>#VALUE!</v>
      </c>
      <c r="IT163" t="e">
        <f>AND('GA55 Entry'!L589,"AAAAAHZ+v/0=")</f>
        <v>#VALUE!</v>
      </c>
      <c r="IU163" t="e">
        <f>AND('GA55 Entry'!M589,"AAAAAHZ+v/4=")</f>
        <v>#VALUE!</v>
      </c>
      <c r="IV163" t="e">
        <f>AND('GA55 Entry'!N589,"AAAAAHZ+v/8=")</f>
        <v>#VALUE!</v>
      </c>
    </row>
    <row r="164" spans="1:256">
      <c r="A164" t="e">
        <f>AND('GA55 Entry'!O589,"AAAAADe32wA=")</f>
        <v>#VALUE!</v>
      </c>
      <c r="B164" t="e">
        <f>AND('GA55 Entry'!P589,"AAAAADe32wE=")</f>
        <v>#VALUE!</v>
      </c>
      <c r="C164" t="e">
        <f>AND('GA55 Entry'!Q589,"AAAAADe32wI=")</f>
        <v>#VALUE!</v>
      </c>
      <c r="D164" t="e">
        <f>AND('GA55 Entry'!S589,"AAAAADe32wM=")</f>
        <v>#VALUE!</v>
      </c>
      <c r="E164" t="e">
        <f>AND('GA55 Entry'!#REF!,"AAAAADe32wQ=")</f>
        <v>#REF!</v>
      </c>
      <c r="F164" t="e">
        <f>AND('GA55 Entry'!T589,"AAAAADe32wU=")</f>
        <v>#VALUE!</v>
      </c>
      <c r="G164" t="e">
        <f>AND('GA55 Entry'!U589,"AAAAADe32wY=")</f>
        <v>#VALUE!</v>
      </c>
      <c r="H164" t="e">
        <f>AND('GA55 Entry'!V589,"AAAAADe32wc=")</f>
        <v>#VALUE!</v>
      </c>
      <c r="I164" t="e">
        <f>AND('GA55 Entry'!#REF!,"AAAAADe32wg=")</f>
        <v>#REF!</v>
      </c>
      <c r="J164" t="e">
        <f>AND('GA55 Entry'!#REF!,"AAAAADe32wk=")</f>
        <v>#REF!</v>
      </c>
      <c r="K164" t="e">
        <f>AND('GA55 Entry'!X589,"AAAAADe32wo=")</f>
        <v>#VALUE!</v>
      </c>
      <c r="L164" t="e">
        <f>AND('GA55 Entry'!Y589,"AAAAADe32ws=")</f>
        <v>#VALUE!</v>
      </c>
      <c r="M164" t="e">
        <f>AND('GA55 Entry'!#REF!,"AAAAADe32ww=")</f>
        <v>#REF!</v>
      </c>
      <c r="N164" t="e">
        <f>AND('GA55 Entry'!#REF!,"AAAAADe32w0=")</f>
        <v>#REF!</v>
      </c>
      <c r="O164" t="e">
        <f>AND('GA55 Entry'!#REF!,"AAAAADe32w4=")</f>
        <v>#REF!</v>
      </c>
      <c r="P164" t="e">
        <f>AND('GA55 Entry'!#REF!,"AAAAADe32w8=")</f>
        <v>#REF!</v>
      </c>
      <c r="Q164" t="e">
        <f>AND('GA55 Entry'!#REF!,"AAAAADe32xA=")</f>
        <v>#REF!</v>
      </c>
      <c r="R164" t="e">
        <f>AND('GA55 Entry'!#REF!,"AAAAADe32xE=")</f>
        <v>#REF!</v>
      </c>
      <c r="S164" t="e">
        <f>AND('GA55 Entry'!#REF!,"AAAAADe32xI=")</f>
        <v>#REF!</v>
      </c>
      <c r="T164" t="e">
        <f>AND('GA55 Entry'!#REF!,"AAAAADe32xM=")</f>
        <v>#REF!</v>
      </c>
      <c r="U164" t="e">
        <f>AND('GA55 Entry'!#REF!,"AAAAADe32xQ=")</f>
        <v>#REF!</v>
      </c>
      <c r="V164" t="e">
        <f>AND('GA55 Entry'!Z589,"AAAAADe32xU=")</f>
        <v>#VALUE!</v>
      </c>
      <c r="W164" t="e">
        <f>AND('GA55 Entry'!AA589,"AAAAADe32xY=")</f>
        <v>#VALUE!</v>
      </c>
      <c r="X164" t="e">
        <f>AND('GA55 Entry'!#REF!,"AAAAADe32xc=")</f>
        <v>#REF!</v>
      </c>
      <c r="Y164" t="e">
        <f>AND('GA55 Entry'!#REF!,"AAAAADe32xg=")</f>
        <v>#REF!</v>
      </c>
      <c r="Z164" t="e">
        <f>AND('GA55 Entry'!#REF!,"AAAAADe32xk=")</f>
        <v>#REF!</v>
      </c>
      <c r="AA164" t="e">
        <f>AND('GA55 Entry'!AB589,"AAAAADe32xo=")</f>
        <v>#VALUE!</v>
      </c>
      <c r="AB164" t="e">
        <f>AND('GA55 Entry'!AC589,"AAAAADe32xs=")</f>
        <v>#VALUE!</v>
      </c>
      <c r="AC164" t="e">
        <f>AND('GA55 Entry'!#REF!,"AAAAADe32xw=")</f>
        <v>#REF!</v>
      </c>
      <c r="AD164">
        <f>IF('GA55 Entry'!590:590,"AAAAADe32x0=",0)</f>
        <v>0</v>
      </c>
      <c r="AE164" t="e">
        <f>AND('GA55 Entry'!B590,"AAAAADe32x4=")</f>
        <v>#VALUE!</v>
      </c>
      <c r="AF164" t="e">
        <f>AND('GA55 Entry'!#REF!,"AAAAADe32x8=")</f>
        <v>#REF!</v>
      </c>
      <c r="AG164" t="e">
        <f>AND('GA55 Entry'!C590,"AAAAADe32yA=")</f>
        <v>#VALUE!</v>
      </c>
      <c r="AH164" t="e">
        <f>AND('GA55 Entry'!#REF!,"AAAAADe32yE=")</f>
        <v>#REF!</v>
      </c>
      <c r="AI164" t="e">
        <f>AND('GA55 Entry'!#REF!,"AAAAADe32yI=")</f>
        <v>#REF!</v>
      </c>
      <c r="AJ164" t="e">
        <f>AND('GA55 Entry'!#REF!,"AAAAADe32yM=")</f>
        <v>#REF!</v>
      </c>
      <c r="AK164" t="e">
        <f>AND('GA55 Entry'!#REF!,"AAAAADe32yQ=")</f>
        <v>#REF!</v>
      </c>
      <c r="AL164" t="e">
        <f>AND('GA55 Entry'!#REF!,"AAAAADe32yU=")</f>
        <v>#REF!</v>
      </c>
      <c r="AM164" t="e">
        <f>AND('GA55 Entry'!D590,"AAAAADe32yY=")</f>
        <v>#VALUE!</v>
      </c>
      <c r="AN164" t="e">
        <f>AND('GA55 Entry'!#REF!,"AAAAADe32yc=")</f>
        <v>#REF!</v>
      </c>
      <c r="AO164" t="e">
        <f>AND('GA55 Entry'!E590,"AAAAADe32yg=")</f>
        <v>#VALUE!</v>
      </c>
      <c r="AP164" t="e">
        <f>AND('GA55 Entry'!F590,"AAAAADe32yk=")</f>
        <v>#VALUE!</v>
      </c>
      <c r="AQ164" t="e">
        <f>AND('GA55 Entry'!G590,"AAAAADe32yo=")</f>
        <v>#VALUE!</v>
      </c>
      <c r="AR164" t="e">
        <f>AND('GA55 Entry'!H590,"AAAAADe32ys=")</f>
        <v>#VALUE!</v>
      </c>
      <c r="AS164" t="e">
        <f>AND('GA55 Entry'!I590,"AAAAADe32yw=")</f>
        <v>#VALUE!</v>
      </c>
      <c r="AT164" t="e">
        <f>AND('GA55 Entry'!J590,"AAAAADe32y0=")</f>
        <v>#VALUE!</v>
      </c>
      <c r="AU164" t="e">
        <f>AND('GA55 Entry'!#REF!,"AAAAADe32y4=")</f>
        <v>#REF!</v>
      </c>
      <c r="AV164" t="e">
        <f>AND('GA55 Entry'!K590,"AAAAADe32y8=")</f>
        <v>#VALUE!</v>
      </c>
      <c r="AW164" t="e">
        <f>AND('GA55 Entry'!L590,"AAAAADe32zA=")</f>
        <v>#VALUE!</v>
      </c>
      <c r="AX164" t="e">
        <f>AND('GA55 Entry'!M590,"AAAAADe32zE=")</f>
        <v>#VALUE!</v>
      </c>
      <c r="AY164" t="e">
        <f>AND('GA55 Entry'!N590,"AAAAADe32zI=")</f>
        <v>#VALUE!</v>
      </c>
      <c r="AZ164" t="e">
        <f>AND('GA55 Entry'!O590,"AAAAADe32zM=")</f>
        <v>#VALUE!</v>
      </c>
      <c r="BA164" t="e">
        <f>AND('GA55 Entry'!P590,"AAAAADe32zQ=")</f>
        <v>#VALUE!</v>
      </c>
      <c r="BB164" t="e">
        <f>AND('GA55 Entry'!Q590,"AAAAADe32zU=")</f>
        <v>#VALUE!</v>
      </c>
      <c r="BC164" t="e">
        <f>AND('GA55 Entry'!S590,"AAAAADe32zY=")</f>
        <v>#VALUE!</v>
      </c>
      <c r="BD164" t="e">
        <f>AND('GA55 Entry'!#REF!,"AAAAADe32zc=")</f>
        <v>#REF!</v>
      </c>
      <c r="BE164" t="e">
        <f>AND('GA55 Entry'!T590,"AAAAADe32zg=")</f>
        <v>#VALUE!</v>
      </c>
      <c r="BF164" t="e">
        <f>AND('GA55 Entry'!U590,"AAAAADe32zk=")</f>
        <v>#VALUE!</v>
      </c>
      <c r="BG164" t="e">
        <f>AND('GA55 Entry'!V590,"AAAAADe32zo=")</f>
        <v>#VALUE!</v>
      </c>
      <c r="BH164" t="e">
        <f>AND('GA55 Entry'!#REF!,"AAAAADe32zs=")</f>
        <v>#REF!</v>
      </c>
      <c r="BI164" t="e">
        <f>AND('GA55 Entry'!#REF!,"AAAAADe32zw=")</f>
        <v>#REF!</v>
      </c>
      <c r="BJ164" t="e">
        <f>AND('GA55 Entry'!X590,"AAAAADe32z0=")</f>
        <v>#VALUE!</v>
      </c>
      <c r="BK164" t="e">
        <f>AND('GA55 Entry'!Y590,"AAAAADe32z4=")</f>
        <v>#VALUE!</v>
      </c>
      <c r="BL164" t="e">
        <f>AND('GA55 Entry'!#REF!,"AAAAADe32z8=")</f>
        <v>#REF!</v>
      </c>
      <c r="BM164" t="e">
        <f>AND('GA55 Entry'!#REF!,"AAAAADe320A=")</f>
        <v>#REF!</v>
      </c>
      <c r="BN164" t="e">
        <f>AND('GA55 Entry'!#REF!,"AAAAADe320E=")</f>
        <v>#REF!</v>
      </c>
      <c r="BO164" t="e">
        <f>AND('GA55 Entry'!#REF!,"AAAAADe320I=")</f>
        <v>#REF!</v>
      </c>
      <c r="BP164" t="e">
        <f>AND('GA55 Entry'!#REF!,"AAAAADe320M=")</f>
        <v>#REF!</v>
      </c>
      <c r="BQ164" t="e">
        <f>AND('GA55 Entry'!#REF!,"AAAAADe320Q=")</f>
        <v>#REF!</v>
      </c>
      <c r="BR164" t="e">
        <f>AND('GA55 Entry'!#REF!,"AAAAADe320U=")</f>
        <v>#REF!</v>
      </c>
      <c r="BS164" t="e">
        <f>AND('GA55 Entry'!#REF!,"AAAAADe320Y=")</f>
        <v>#REF!</v>
      </c>
      <c r="BT164" t="e">
        <f>AND('GA55 Entry'!#REF!,"AAAAADe320c=")</f>
        <v>#REF!</v>
      </c>
      <c r="BU164" t="e">
        <f>AND('GA55 Entry'!Z590,"AAAAADe320g=")</f>
        <v>#VALUE!</v>
      </c>
      <c r="BV164" t="e">
        <f>AND('GA55 Entry'!AA590,"AAAAADe320k=")</f>
        <v>#VALUE!</v>
      </c>
      <c r="BW164" t="e">
        <f>AND('GA55 Entry'!#REF!,"AAAAADe320o=")</f>
        <v>#REF!</v>
      </c>
      <c r="BX164" t="e">
        <f>AND('GA55 Entry'!#REF!,"AAAAADe320s=")</f>
        <v>#REF!</v>
      </c>
      <c r="BY164" t="e">
        <f>AND('GA55 Entry'!#REF!,"AAAAADe320w=")</f>
        <v>#REF!</v>
      </c>
      <c r="BZ164" t="e">
        <f>AND('GA55 Entry'!AB590,"AAAAADe3200=")</f>
        <v>#VALUE!</v>
      </c>
      <c r="CA164" t="e">
        <f>AND('GA55 Entry'!AC590,"AAAAADe3204=")</f>
        <v>#VALUE!</v>
      </c>
      <c r="CB164" t="e">
        <f>AND('GA55 Entry'!#REF!,"AAAAADe3208=")</f>
        <v>#REF!</v>
      </c>
      <c r="CC164">
        <f>IF('GA55 Entry'!591:591,"AAAAADe321A=",0)</f>
        <v>0</v>
      </c>
      <c r="CD164" t="e">
        <f>AND('GA55 Entry'!B591,"AAAAADe321E=")</f>
        <v>#VALUE!</v>
      </c>
      <c r="CE164" t="e">
        <f>AND('GA55 Entry'!#REF!,"AAAAADe321I=")</f>
        <v>#REF!</v>
      </c>
      <c r="CF164" t="e">
        <f>AND('GA55 Entry'!C591,"AAAAADe321M=")</f>
        <v>#VALUE!</v>
      </c>
      <c r="CG164" t="e">
        <f>AND('GA55 Entry'!#REF!,"AAAAADe321Q=")</f>
        <v>#REF!</v>
      </c>
      <c r="CH164" t="e">
        <f>AND('GA55 Entry'!#REF!,"AAAAADe321U=")</f>
        <v>#REF!</v>
      </c>
      <c r="CI164" t="e">
        <f>AND('GA55 Entry'!#REF!,"AAAAADe321Y=")</f>
        <v>#REF!</v>
      </c>
      <c r="CJ164" t="e">
        <f>AND('GA55 Entry'!#REF!,"AAAAADe321c=")</f>
        <v>#REF!</v>
      </c>
      <c r="CK164" t="e">
        <f>AND('GA55 Entry'!#REF!,"AAAAADe321g=")</f>
        <v>#REF!</v>
      </c>
      <c r="CL164" t="e">
        <f>AND('GA55 Entry'!D591,"AAAAADe321k=")</f>
        <v>#VALUE!</v>
      </c>
      <c r="CM164" t="e">
        <f>AND('GA55 Entry'!#REF!,"AAAAADe321o=")</f>
        <v>#REF!</v>
      </c>
      <c r="CN164" t="e">
        <f>AND('GA55 Entry'!E591,"AAAAADe321s=")</f>
        <v>#VALUE!</v>
      </c>
      <c r="CO164" t="e">
        <f>AND('GA55 Entry'!F591,"AAAAADe321w=")</f>
        <v>#VALUE!</v>
      </c>
      <c r="CP164" t="e">
        <f>AND('GA55 Entry'!G591,"AAAAADe3210=")</f>
        <v>#VALUE!</v>
      </c>
      <c r="CQ164" t="e">
        <f>AND('GA55 Entry'!H591,"AAAAADe3214=")</f>
        <v>#VALUE!</v>
      </c>
      <c r="CR164" t="e">
        <f>AND('GA55 Entry'!I591,"AAAAADe3218=")</f>
        <v>#VALUE!</v>
      </c>
      <c r="CS164" t="e">
        <f>AND('GA55 Entry'!J591,"AAAAADe322A=")</f>
        <v>#VALUE!</v>
      </c>
      <c r="CT164" t="e">
        <f>AND('GA55 Entry'!#REF!,"AAAAADe322E=")</f>
        <v>#REF!</v>
      </c>
      <c r="CU164" t="e">
        <f>AND('GA55 Entry'!K591,"AAAAADe322I=")</f>
        <v>#VALUE!</v>
      </c>
      <c r="CV164" t="e">
        <f>AND('GA55 Entry'!L591,"AAAAADe322M=")</f>
        <v>#VALUE!</v>
      </c>
      <c r="CW164" t="e">
        <f>AND('GA55 Entry'!M591,"AAAAADe322Q=")</f>
        <v>#VALUE!</v>
      </c>
      <c r="CX164" t="e">
        <f>AND('GA55 Entry'!N591,"AAAAADe322U=")</f>
        <v>#VALUE!</v>
      </c>
      <c r="CY164" t="e">
        <f>AND('GA55 Entry'!O591,"AAAAADe322Y=")</f>
        <v>#VALUE!</v>
      </c>
      <c r="CZ164" t="e">
        <f>AND('GA55 Entry'!P591,"AAAAADe322c=")</f>
        <v>#VALUE!</v>
      </c>
      <c r="DA164" t="e">
        <f>AND('GA55 Entry'!Q591,"AAAAADe322g=")</f>
        <v>#VALUE!</v>
      </c>
      <c r="DB164" t="e">
        <f>AND('GA55 Entry'!S591,"AAAAADe322k=")</f>
        <v>#VALUE!</v>
      </c>
      <c r="DC164" t="e">
        <f>AND('GA55 Entry'!#REF!,"AAAAADe322o=")</f>
        <v>#REF!</v>
      </c>
      <c r="DD164" t="e">
        <f>AND('GA55 Entry'!T591,"AAAAADe322s=")</f>
        <v>#VALUE!</v>
      </c>
      <c r="DE164" t="e">
        <f>AND('GA55 Entry'!U591,"AAAAADe322w=")</f>
        <v>#VALUE!</v>
      </c>
      <c r="DF164" t="e">
        <f>AND('GA55 Entry'!V591,"AAAAADe3220=")</f>
        <v>#VALUE!</v>
      </c>
      <c r="DG164" t="e">
        <f>AND('GA55 Entry'!#REF!,"AAAAADe3224=")</f>
        <v>#REF!</v>
      </c>
      <c r="DH164" t="e">
        <f>AND('GA55 Entry'!#REF!,"AAAAADe3228=")</f>
        <v>#REF!</v>
      </c>
      <c r="DI164" t="e">
        <f>AND('GA55 Entry'!X591,"AAAAADe323A=")</f>
        <v>#VALUE!</v>
      </c>
      <c r="DJ164" t="e">
        <f>AND('GA55 Entry'!Y591,"AAAAADe323E=")</f>
        <v>#VALUE!</v>
      </c>
      <c r="DK164" t="e">
        <f>AND('GA55 Entry'!#REF!,"AAAAADe323I=")</f>
        <v>#REF!</v>
      </c>
      <c r="DL164" t="e">
        <f>AND('GA55 Entry'!#REF!,"AAAAADe323M=")</f>
        <v>#REF!</v>
      </c>
      <c r="DM164" t="e">
        <f>AND('GA55 Entry'!#REF!,"AAAAADe323Q=")</f>
        <v>#REF!</v>
      </c>
      <c r="DN164" t="e">
        <f>AND('GA55 Entry'!#REF!,"AAAAADe323U=")</f>
        <v>#REF!</v>
      </c>
      <c r="DO164" t="e">
        <f>AND('GA55 Entry'!#REF!,"AAAAADe323Y=")</f>
        <v>#REF!</v>
      </c>
      <c r="DP164" t="e">
        <f>AND('GA55 Entry'!#REF!,"AAAAADe323c=")</f>
        <v>#REF!</v>
      </c>
      <c r="DQ164" t="e">
        <f>AND('GA55 Entry'!#REF!,"AAAAADe323g=")</f>
        <v>#REF!</v>
      </c>
      <c r="DR164" t="e">
        <f>AND('GA55 Entry'!#REF!,"AAAAADe323k=")</f>
        <v>#REF!</v>
      </c>
      <c r="DS164" t="e">
        <f>AND('GA55 Entry'!#REF!,"AAAAADe323o=")</f>
        <v>#REF!</v>
      </c>
      <c r="DT164" t="e">
        <f>AND('GA55 Entry'!Z591,"AAAAADe323s=")</f>
        <v>#VALUE!</v>
      </c>
      <c r="DU164" t="e">
        <f>AND('GA55 Entry'!AA591,"AAAAADe323w=")</f>
        <v>#VALUE!</v>
      </c>
      <c r="DV164" t="e">
        <f>AND('GA55 Entry'!#REF!,"AAAAADe3230=")</f>
        <v>#REF!</v>
      </c>
      <c r="DW164" t="e">
        <f>AND('GA55 Entry'!#REF!,"AAAAADe3234=")</f>
        <v>#REF!</v>
      </c>
      <c r="DX164" t="e">
        <f>AND('GA55 Entry'!#REF!,"AAAAADe3238=")</f>
        <v>#REF!</v>
      </c>
      <c r="DY164" t="e">
        <f>AND('GA55 Entry'!AB591,"AAAAADe324A=")</f>
        <v>#VALUE!</v>
      </c>
      <c r="DZ164" t="e">
        <f>AND('GA55 Entry'!AC591,"AAAAADe324E=")</f>
        <v>#VALUE!</v>
      </c>
      <c r="EA164" t="e">
        <f>AND('GA55 Entry'!#REF!,"AAAAADe324I=")</f>
        <v>#REF!</v>
      </c>
      <c r="EB164">
        <f>IF('GA55 Entry'!592:592,"AAAAADe324M=",0)</f>
        <v>0</v>
      </c>
      <c r="EC164" t="e">
        <f>AND('GA55 Entry'!B592,"AAAAADe324Q=")</f>
        <v>#VALUE!</v>
      </c>
      <c r="ED164" t="e">
        <f>AND('GA55 Entry'!#REF!,"AAAAADe324U=")</f>
        <v>#REF!</v>
      </c>
      <c r="EE164" t="e">
        <f>AND('GA55 Entry'!C592,"AAAAADe324Y=")</f>
        <v>#VALUE!</v>
      </c>
      <c r="EF164" t="e">
        <f>AND('GA55 Entry'!#REF!,"AAAAADe324c=")</f>
        <v>#REF!</v>
      </c>
      <c r="EG164" t="e">
        <f>AND('GA55 Entry'!#REF!,"AAAAADe324g=")</f>
        <v>#REF!</v>
      </c>
      <c r="EH164" t="e">
        <f>AND('GA55 Entry'!#REF!,"AAAAADe324k=")</f>
        <v>#REF!</v>
      </c>
      <c r="EI164" t="e">
        <f>AND('GA55 Entry'!#REF!,"AAAAADe324o=")</f>
        <v>#REF!</v>
      </c>
      <c r="EJ164" t="e">
        <f>AND('GA55 Entry'!#REF!,"AAAAADe324s=")</f>
        <v>#REF!</v>
      </c>
      <c r="EK164" t="e">
        <f>AND('GA55 Entry'!D592,"AAAAADe324w=")</f>
        <v>#VALUE!</v>
      </c>
      <c r="EL164" t="e">
        <f>AND('GA55 Entry'!#REF!,"AAAAADe3240=")</f>
        <v>#REF!</v>
      </c>
      <c r="EM164" t="e">
        <f>AND('GA55 Entry'!E592,"AAAAADe3244=")</f>
        <v>#VALUE!</v>
      </c>
      <c r="EN164" t="e">
        <f>AND('GA55 Entry'!F592,"AAAAADe3248=")</f>
        <v>#VALUE!</v>
      </c>
      <c r="EO164" t="e">
        <f>AND('GA55 Entry'!G592,"AAAAADe325A=")</f>
        <v>#VALUE!</v>
      </c>
      <c r="EP164" t="e">
        <f>AND('GA55 Entry'!H592,"AAAAADe325E=")</f>
        <v>#VALUE!</v>
      </c>
      <c r="EQ164" t="e">
        <f>AND('GA55 Entry'!I592,"AAAAADe325I=")</f>
        <v>#VALUE!</v>
      </c>
      <c r="ER164" t="e">
        <f>AND('GA55 Entry'!J592,"AAAAADe325M=")</f>
        <v>#VALUE!</v>
      </c>
      <c r="ES164" t="e">
        <f>AND('GA55 Entry'!#REF!,"AAAAADe325Q=")</f>
        <v>#REF!</v>
      </c>
      <c r="ET164" t="e">
        <f>AND('GA55 Entry'!K592,"AAAAADe325U=")</f>
        <v>#VALUE!</v>
      </c>
      <c r="EU164" t="e">
        <f>AND('GA55 Entry'!L592,"AAAAADe325Y=")</f>
        <v>#VALUE!</v>
      </c>
      <c r="EV164" t="e">
        <f>AND('GA55 Entry'!M592,"AAAAADe325c=")</f>
        <v>#VALUE!</v>
      </c>
      <c r="EW164" t="e">
        <f>AND('GA55 Entry'!N592,"AAAAADe325g=")</f>
        <v>#VALUE!</v>
      </c>
      <c r="EX164" t="e">
        <f>AND('GA55 Entry'!O592,"AAAAADe325k=")</f>
        <v>#VALUE!</v>
      </c>
      <c r="EY164" t="e">
        <f>AND('GA55 Entry'!P592,"AAAAADe325o=")</f>
        <v>#VALUE!</v>
      </c>
      <c r="EZ164" t="e">
        <f>AND('GA55 Entry'!Q592,"AAAAADe325s=")</f>
        <v>#VALUE!</v>
      </c>
      <c r="FA164" t="e">
        <f>AND('GA55 Entry'!S592,"AAAAADe325w=")</f>
        <v>#VALUE!</v>
      </c>
      <c r="FB164" t="e">
        <f>AND('GA55 Entry'!#REF!,"AAAAADe3250=")</f>
        <v>#REF!</v>
      </c>
      <c r="FC164" t="e">
        <f>AND('GA55 Entry'!T592,"AAAAADe3254=")</f>
        <v>#VALUE!</v>
      </c>
      <c r="FD164" t="e">
        <f>AND('GA55 Entry'!U592,"AAAAADe3258=")</f>
        <v>#VALUE!</v>
      </c>
      <c r="FE164" t="e">
        <f>AND('GA55 Entry'!V592,"AAAAADe326A=")</f>
        <v>#VALUE!</v>
      </c>
      <c r="FF164" t="e">
        <f>AND('GA55 Entry'!#REF!,"AAAAADe326E=")</f>
        <v>#REF!</v>
      </c>
      <c r="FG164" t="e">
        <f>AND('GA55 Entry'!#REF!,"AAAAADe326I=")</f>
        <v>#REF!</v>
      </c>
      <c r="FH164" t="e">
        <f>AND('GA55 Entry'!X592,"AAAAADe326M=")</f>
        <v>#VALUE!</v>
      </c>
      <c r="FI164" t="e">
        <f>AND('GA55 Entry'!Y592,"AAAAADe326Q=")</f>
        <v>#VALUE!</v>
      </c>
      <c r="FJ164" t="e">
        <f>AND('GA55 Entry'!#REF!,"AAAAADe326U=")</f>
        <v>#REF!</v>
      </c>
      <c r="FK164" t="e">
        <f>AND('GA55 Entry'!#REF!,"AAAAADe326Y=")</f>
        <v>#REF!</v>
      </c>
      <c r="FL164" t="e">
        <f>AND('GA55 Entry'!#REF!,"AAAAADe326c=")</f>
        <v>#REF!</v>
      </c>
      <c r="FM164" t="e">
        <f>AND('GA55 Entry'!#REF!,"AAAAADe326g=")</f>
        <v>#REF!</v>
      </c>
      <c r="FN164" t="e">
        <f>AND('GA55 Entry'!#REF!,"AAAAADe326k=")</f>
        <v>#REF!</v>
      </c>
      <c r="FO164" t="e">
        <f>AND('GA55 Entry'!#REF!,"AAAAADe326o=")</f>
        <v>#REF!</v>
      </c>
      <c r="FP164" t="e">
        <f>AND('GA55 Entry'!#REF!,"AAAAADe326s=")</f>
        <v>#REF!</v>
      </c>
      <c r="FQ164" t="e">
        <f>AND('GA55 Entry'!#REF!,"AAAAADe326w=")</f>
        <v>#REF!</v>
      </c>
      <c r="FR164" t="e">
        <f>AND('GA55 Entry'!#REF!,"AAAAADe3260=")</f>
        <v>#REF!</v>
      </c>
      <c r="FS164" t="e">
        <f>AND('GA55 Entry'!Z592,"AAAAADe3264=")</f>
        <v>#VALUE!</v>
      </c>
      <c r="FT164" t="e">
        <f>AND('GA55 Entry'!AA592,"AAAAADe3268=")</f>
        <v>#VALUE!</v>
      </c>
      <c r="FU164" t="e">
        <f>AND('GA55 Entry'!#REF!,"AAAAADe327A=")</f>
        <v>#REF!</v>
      </c>
      <c r="FV164" t="e">
        <f>AND('GA55 Entry'!#REF!,"AAAAADe327E=")</f>
        <v>#REF!</v>
      </c>
      <c r="FW164" t="e">
        <f>AND('GA55 Entry'!#REF!,"AAAAADe327I=")</f>
        <v>#REF!</v>
      </c>
      <c r="FX164" t="e">
        <f>AND('GA55 Entry'!AB592,"AAAAADe327M=")</f>
        <v>#VALUE!</v>
      </c>
      <c r="FY164" t="e">
        <f>AND('GA55 Entry'!AC592,"AAAAADe327Q=")</f>
        <v>#VALUE!</v>
      </c>
      <c r="FZ164" t="e">
        <f>AND('GA55 Entry'!#REF!,"AAAAADe327U=")</f>
        <v>#REF!</v>
      </c>
      <c r="GA164">
        <f>IF('GA55 Entry'!593:593,"AAAAADe327Y=",0)</f>
        <v>0</v>
      </c>
      <c r="GB164" t="e">
        <f>AND('GA55 Entry'!B593,"AAAAADe327c=")</f>
        <v>#VALUE!</v>
      </c>
      <c r="GC164" t="e">
        <f>AND('GA55 Entry'!#REF!,"AAAAADe327g=")</f>
        <v>#REF!</v>
      </c>
      <c r="GD164" t="e">
        <f>AND('GA55 Entry'!C593,"AAAAADe327k=")</f>
        <v>#VALUE!</v>
      </c>
      <c r="GE164" t="e">
        <f>AND('GA55 Entry'!#REF!,"AAAAADe327o=")</f>
        <v>#REF!</v>
      </c>
      <c r="GF164" t="e">
        <f>AND('GA55 Entry'!#REF!,"AAAAADe327s=")</f>
        <v>#REF!</v>
      </c>
      <c r="GG164" t="e">
        <f>AND('GA55 Entry'!#REF!,"AAAAADe327w=")</f>
        <v>#REF!</v>
      </c>
      <c r="GH164" t="e">
        <f>AND('GA55 Entry'!#REF!,"AAAAADe3270=")</f>
        <v>#REF!</v>
      </c>
      <c r="GI164" t="e">
        <f>AND('GA55 Entry'!#REF!,"AAAAADe3274=")</f>
        <v>#REF!</v>
      </c>
      <c r="GJ164" t="e">
        <f>AND('GA55 Entry'!D593,"AAAAADe3278=")</f>
        <v>#VALUE!</v>
      </c>
      <c r="GK164" t="e">
        <f>AND('GA55 Entry'!#REF!,"AAAAADe328A=")</f>
        <v>#REF!</v>
      </c>
      <c r="GL164" t="e">
        <f>AND('GA55 Entry'!E593,"AAAAADe328E=")</f>
        <v>#VALUE!</v>
      </c>
      <c r="GM164" t="e">
        <f>AND('GA55 Entry'!F593,"AAAAADe328I=")</f>
        <v>#VALUE!</v>
      </c>
      <c r="GN164" t="e">
        <f>AND('GA55 Entry'!G593,"AAAAADe328M=")</f>
        <v>#VALUE!</v>
      </c>
      <c r="GO164" t="e">
        <f>AND('GA55 Entry'!H593,"AAAAADe328Q=")</f>
        <v>#VALUE!</v>
      </c>
      <c r="GP164" t="e">
        <f>AND('GA55 Entry'!I593,"AAAAADe328U=")</f>
        <v>#VALUE!</v>
      </c>
      <c r="GQ164" t="e">
        <f>AND('GA55 Entry'!J593,"AAAAADe328Y=")</f>
        <v>#VALUE!</v>
      </c>
      <c r="GR164" t="e">
        <f>AND('GA55 Entry'!#REF!,"AAAAADe328c=")</f>
        <v>#REF!</v>
      </c>
      <c r="GS164" t="e">
        <f>AND('GA55 Entry'!K593,"AAAAADe328g=")</f>
        <v>#VALUE!</v>
      </c>
      <c r="GT164" t="e">
        <f>AND('GA55 Entry'!L593,"AAAAADe328k=")</f>
        <v>#VALUE!</v>
      </c>
      <c r="GU164" t="e">
        <f>AND('GA55 Entry'!M593,"AAAAADe328o=")</f>
        <v>#VALUE!</v>
      </c>
      <c r="GV164" t="e">
        <f>AND('GA55 Entry'!N593,"AAAAADe328s=")</f>
        <v>#VALUE!</v>
      </c>
      <c r="GW164" t="e">
        <f>AND('GA55 Entry'!O593,"AAAAADe328w=")</f>
        <v>#VALUE!</v>
      </c>
      <c r="GX164" t="e">
        <f>AND('GA55 Entry'!P593,"AAAAADe3280=")</f>
        <v>#VALUE!</v>
      </c>
      <c r="GY164" t="e">
        <f>AND('GA55 Entry'!Q593,"AAAAADe3284=")</f>
        <v>#VALUE!</v>
      </c>
      <c r="GZ164" t="e">
        <f>AND('GA55 Entry'!S593,"AAAAADe3288=")</f>
        <v>#VALUE!</v>
      </c>
      <c r="HA164" t="e">
        <f>AND('GA55 Entry'!#REF!,"AAAAADe329A=")</f>
        <v>#REF!</v>
      </c>
      <c r="HB164" t="e">
        <f>AND('GA55 Entry'!T593,"AAAAADe329E=")</f>
        <v>#VALUE!</v>
      </c>
      <c r="HC164" t="e">
        <f>AND('GA55 Entry'!U593,"AAAAADe329I=")</f>
        <v>#VALUE!</v>
      </c>
      <c r="HD164" t="e">
        <f>AND('GA55 Entry'!V593,"AAAAADe329M=")</f>
        <v>#VALUE!</v>
      </c>
      <c r="HE164" t="e">
        <f>AND('GA55 Entry'!#REF!,"AAAAADe329Q=")</f>
        <v>#REF!</v>
      </c>
      <c r="HF164" t="e">
        <f>AND('GA55 Entry'!#REF!,"AAAAADe329U=")</f>
        <v>#REF!</v>
      </c>
      <c r="HG164" t="e">
        <f>AND('GA55 Entry'!X593,"AAAAADe329Y=")</f>
        <v>#VALUE!</v>
      </c>
      <c r="HH164" t="e">
        <f>AND('GA55 Entry'!Y593,"AAAAADe329c=")</f>
        <v>#VALUE!</v>
      </c>
      <c r="HI164" t="e">
        <f>AND('GA55 Entry'!#REF!,"AAAAADe329g=")</f>
        <v>#REF!</v>
      </c>
      <c r="HJ164" t="e">
        <f>AND('GA55 Entry'!#REF!,"AAAAADe329k=")</f>
        <v>#REF!</v>
      </c>
      <c r="HK164" t="e">
        <f>AND('GA55 Entry'!#REF!,"AAAAADe329o=")</f>
        <v>#REF!</v>
      </c>
      <c r="HL164" t="e">
        <f>AND('GA55 Entry'!#REF!,"AAAAADe329s=")</f>
        <v>#REF!</v>
      </c>
      <c r="HM164" t="e">
        <f>AND('GA55 Entry'!#REF!,"AAAAADe329w=")</f>
        <v>#REF!</v>
      </c>
      <c r="HN164" t="e">
        <f>AND('GA55 Entry'!#REF!,"AAAAADe3290=")</f>
        <v>#REF!</v>
      </c>
      <c r="HO164" t="e">
        <f>AND('GA55 Entry'!#REF!,"AAAAADe3294=")</f>
        <v>#REF!</v>
      </c>
      <c r="HP164" t="e">
        <f>AND('GA55 Entry'!#REF!,"AAAAADe3298=")</f>
        <v>#REF!</v>
      </c>
      <c r="HQ164" t="e">
        <f>AND('GA55 Entry'!#REF!,"AAAAADe32+A=")</f>
        <v>#REF!</v>
      </c>
      <c r="HR164" t="e">
        <f>AND('GA55 Entry'!Z593,"AAAAADe32+E=")</f>
        <v>#VALUE!</v>
      </c>
      <c r="HS164" t="e">
        <f>AND('GA55 Entry'!AA593,"AAAAADe32+I=")</f>
        <v>#VALUE!</v>
      </c>
      <c r="HT164" t="e">
        <f>AND('GA55 Entry'!#REF!,"AAAAADe32+M=")</f>
        <v>#REF!</v>
      </c>
      <c r="HU164" t="e">
        <f>AND('GA55 Entry'!#REF!,"AAAAADe32+Q=")</f>
        <v>#REF!</v>
      </c>
      <c r="HV164" t="e">
        <f>AND('GA55 Entry'!#REF!,"AAAAADe32+U=")</f>
        <v>#REF!</v>
      </c>
      <c r="HW164" t="e">
        <f>AND('GA55 Entry'!AB593,"AAAAADe32+Y=")</f>
        <v>#VALUE!</v>
      </c>
      <c r="HX164" t="e">
        <f>AND('GA55 Entry'!AC593,"AAAAADe32+c=")</f>
        <v>#VALUE!</v>
      </c>
      <c r="HY164" t="e">
        <f>AND('GA55 Entry'!#REF!,"AAAAADe32+g=")</f>
        <v>#REF!</v>
      </c>
      <c r="HZ164">
        <f>IF('GA55 Entry'!594:594,"AAAAADe32+k=",0)</f>
        <v>0</v>
      </c>
      <c r="IA164" t="e">
        <f>AND('GA55 Entry'!B594,"AAAAADe32+o=")</f>
        <v>#VALUE!</v>
      </c>
      <c r="IB164" t="e">
        <f>AND('GA55 Entry'!#REF!,"AAAAADe32+s=")</f>
        <v>#REF!</v>
      </c>
      <c r="IC164" t="e">
        <f>AND('GA55 Entry'!C594,"AAAAADe32+w=")</f>
        <v>#VALUE!</v>
      </c>
      <c r="ID164" t="e">
        <f>AND('GA55 Entry'!#REF!,"AAAAADe32+0=")</f>
        <v>#REF!</v>
      </c>
      <c r="IE164" t="e">
        <f>AND('GA55 Entry'!#REF!,"AAAAADe32+4=")</f>
        <v>#REF!</v>
      </c>
      <c r="IF164" t="e">
        <f>AND('GA55 Entry'!#REF!,"AAAAADe32+8=")</f>
        <v>#REF!</v>
      </c>
      <c r="IG164" t="e">
        <f>AND('GA55 Entry'!#REF!,"AAAAADe32/A=")</f>
        <v>#REF!</v>
      </c>
      <c r="IH164" t="e">
        <f>AND('GA55 Entry'!#REF!,"AAAAADe32/E=")</f>
        <v>#REF!</v>
      </c>
      <c r="II164" t="e">
        <f>AND('GA55 Entry'!D594,"AAAAADe32/I=")</f>
        <v>#VALUE!</v>
      </c>
      <c r="IJ164" t="e">
        <f>AND('GA55 Entry'!#REF!,"AAAAADe32/M=")</f>
        <v>#REF!</v>
      </c>
      <c r="IK164" t="e">
        <f>AND('GA55 Entry'!E594,"AAAAADe32/Q=")</f>
        <v>#VALUE!</v>
      </c>
      <c r="IL164" t="e">
        <f>AND('GA55 Entry'!F594,"AAAAADe32/U=")</f>
        <v>#VALUE!</v>
      </c>
      <c r="IM164" t="e">
        <f>AND('GA55 Entry'!G594,"AAAAADe32/Y=")</f>
        <v>#VALUE!</v>
      </c>
      <c r="IN164" t="e">
        <f>AND('GA55 Entry'!H594,"AAAAADe32/c=")</f>
        <v>#VALUE!</v>
      </c>
      <c r="IO164" t="e">
        <f>AND('GA55 Entry'!I594,"AAAAADe32/g=")</f>
        <v>#VALUE!</v>
      </c>
      <c r="IP164" t="e">
        <f>AND('GA55 Entry'!J594,"AAAAADe32/k=")</f>
        <v>#VALUE!</v>
      </c>
      <c r="IQ164" t="e">
        <f>AND('GA55 Entry'!#REF!,"AAAAADe32/o=")</f>
        <v>#REF!</v>
      </c>
      <c r="IR164" t="e">
        <f>AND('GA55 Entry'!K594,"AAAAADe32/s=")</f>
        <v>#VALUE!</v>
      </c>
      <c r="IS164" t="e">
        <f>AND('GA55 Entry'!L594,"AAAAADe32/w=")</f>
        <v>#VALUE!</v>
      </c>
      <c r="IT164" t="e">
        <f>AND('GA55 Entry'!M594,"AAAAADe32/0=")</f>
        <v>#VALUE!</v>
      </c>
      <c r="IU164" t="e">
        <f>AND('GA55 Entry'!N594,"AAAAADe32/4=")</f>
        <v>#VALUE!</v>
      </c>
      <c r="IV164" t="e">
        <f>AND('GA55 Entry'!O594,"AAAAADe32/8=")</f>
        <v>#VALUE!</v>
      </c>
    </row>
    <row r="165" spans="1:256">
      <c r="A165" t="e">
        <f>AND('GA55 Entry'!P594,"AAAAAFp/JQA=")</f>
        <v>#VALUE!</v>
      </c>
      <c r="B165" t="e">
        <f>AND('GA55 Entry'!Q594,"AAAAAFp/JQE=")</f>
        <v>#VALUE!</v>
      </c>
      <c r="C165" t="e">
        <f>AND('GA55 Entry'!S594,"AAAAAFp/JQI=")</f>
        <v>#VALUE!</v>
      </c>
      <c r="D165" t="e">
        <f>AND('GA55 Entry'!#REF!,"AAAAAFp/JQM=")</f>
        <v>#REF!</v>
      </c>
      <c r="E165" t="e">
        <f>AND('GA55 Entry'!T594,"AAAAAFp/JQQ=")</f>
        <v>#VALUE!</v>
      </c>
      <c r="F165" t="e">
        <f>AND('GA55 Entry'!U594,"AAAAAFp/JQU=")</f>
        <v>#VALUE!</v>
      </c>
      <c r="G165" t="e">
        <f>AND('GA55 Entry'!V594,"AAAAAFp/JQY=")</f>
        <v>#VALUE!</v>
      </c>
      <c r="H165" t="e">
        <f>AND('GA55 Entry'!#REF!,"AAAAAFp/JQc=")</f>
        <v>#REF!</v>
      </c>
      <c r="I165" t="e">
        <f>AND('GA55 Entry'!#REF!,"AAAAAFp/JQg=")</f>
        <v>#REF!</v>
      </c>
      <c r="J165" t="e">
        <f>AND('GA55 Entry'!X594,"AAAAAFp/JQk=")</f>
        <v>#VALUE!</v>
      </c>
      <c r="K165" t="e">
        <f>AND('GA55 Entry'!Y594,"AAAAAFp/JQo=")</f>
        <v>#VALUE!</v>
      </c>
      <c r="L165" t="e">
        <f>AND('GA55 Entry'!#REF!,"AAAAAFp/JQs=")</f>
        <v>#REF!</v>
      </c>
      <c r="M165" t="e">
        <f>AND('GA55 Entry'!#REF!,"AAAAAFp/JQw=")</f>
        <v>#REF!</v>
      </c>
      <c r="N165" t="e">
        <f>AND('GA55 Entry'!#REF!,"AAAAAFp/JQ0=")</f>
        <v>#REF!</v>
      </c>
      <c r="O165" t="e">
        <f>AND('GA55 Entry'!#REF!,"AAAAAFp/JQ4=")</f>
        <v>#REF!</v>
      </c>
      <c r="P165" t="e">
        <f>AND('GA55 Entry'!#REF!,"AAAAAFp/JQ8=")</f>
        <v>#REF!</v>
      </c>
      <c r="Q165" t="e">
        <f>AND('GA55 Entry'!#REF!,"AAAAAFp/JRA=")</f>
        <v>#REF!</v>
      </c>
      <c r="R165" t="e">
        <f>AND('GA55 Entry'!#REF!,"AAAAAFp/JRE=")</f>
        <v>#REF!</v>
      </c>
      <c r="S165" t="e">
        <f>AND('GA55 Entry'!#REF!,"AAAAAFp/JRI=")</f>
        <v>#REF!</v>
      </c>
      <c r="T165" t="e">
        <f>AND('GA55 Entry'!#REF!,"AAAAAFp/JRM=")</f>
        <v>#REF!</v>
      </c>
      <c r="U165" t="e">
        <f>AND('GA55 Entry'!Z594,"AAAAAFp/JRQ=")</f>
        <v>#VALUE!</v>
      </c>
      <c r="V165" t="e">
        <f>AND('GA55 Entry'!AA594,"AAAAAFp/JRU=")</f>
        <v>#VALUE!</v>
      </c>
      <c r="W165" t="e">
        <f>AND('GA55 Entry'!#REF!,"AAAAAFp/JRY=")</f>
        <v>#REF!</v>
      </c>
      <c r="X165" t="e">
        <f>AND('GA55 Entry'!#REF!,"AAAAAFp/JRc=")</f>
        <v>#REF!</v>
      </c>
      <c r="Y165" t="e">
        <f>AND('GA55 Entry'!#REF!,"AAAAAFp/JRg=")</f>
        <v>#REF!</v>
      </c>
      <c r="Z165" t="e">
        <f>AND('GA55 Entry'!AB594,"AAAAAFp/JRk=")</f>
        <v>#VALUE!</v>
      </c>
      <c r="AA165" t="e">
        <f>AND('GA55 Entry'!AC594,"AAAAAFp/JRo=")</f>
        <v>#VALUE!</v>
      </c>
      <c r="AB165" t="e">
        <f>AND('GA55 Entry'!#REF!,"AAAAAFp/JRs=")</f>
        <v>#REF!</v>
      </c>
      <c r="AC165">
        <f>IF('GA55 Entry'!595:595,"AAAAAFp/JRw=",0)</f>
        <v>0</v>
      </c>
      <c r="AD165" t="e">
        <f>AND('GA55 Entry'!B595,"AAAAAFp/JR0=")</f>
        <v>#VALUE!</v>
      </c>
      <c r="AE165" t="e">
        <f>AND('GA55 Entry'!#REF!,"AAAAAFp/JR4=")</f>
        <v>#REF!</v>
      </c>
      <c r="AF165" t="e">
        <f>AND('GA55 Entry'!C595,"AAAAAFp/JR8=")</f>
        <v>#VALUE!</v>
      </c>
      <c r="AG165" t="e">
        <f>AND('GA55 Entry'!#REF!,"AAAAAFp/JSA=")</f>
        <v>#REF!</v>
      </c>
      <c r="AH165" t="e">
        <f>AND('GA55 Entry'!#REF!,"AAAAAFp/JSE=")</f>
        <v>#REF!</v>
      </c>
      <c r="AI165" t="e">
        <f>AND('GA55 Entry'!#REF!,"AAAAAFp/JSI=")</f>
        <v>#REF!</v>
      </c>
      <c r="AJ165" t="e">
        <f>AND('GA55 Entry'!#REF!,"AAAAAFp/JSM=")</f>
        <v>#REF!</v>
      </c>
      <c r="AK165" t="e">
        <f>AND('GA55 Entry'!#REF!,"AAAAAFp/JSQ=")</f>
        <v>#REF!</v>
      </c>
      <c r="AL165" t="e">
        <f>AND('GA55 Entry'!D595,"AAAAAFp/JSU=")</f>
        <v>#VALUE!</v>
      </c>
      <c r="AM165" t="e">
        <f>AND('GA55 Entry'!#REF!,"AAAAAFp/JSY=")</f>
        <v>#REF!</v>
      </c>
      <c r="AN165" t="e">
        <f>AND('GA55 Entry'!E595,"AAAAAFp/JSc=")</f>
        <v>#VALUE!</v>
      </c>
      <c r="AO165" t="e">
        <f>AND('GA55 Entry'!F595,"AAAAAFp/JSg=")</f>
        <v>#VALUE!</v>
      </c>
      <c r="AP165" t="e">
        <f>AND('GA55 Entry'!G595,"AAAAAFp/JSk=")</f>
        <v>#VALUE!</v>
      </c>
      <c r="AQ165" t="e">
        <f>AND('GA55 Entry'!H595,"AAAAAFp/JSo=")</f>
        <v>#VALUE!</v>
      </c>
      <c r="AR165" t="e">
        <f>AND('GA55 Entry'!I595,"AAAAAFp/JSs=")</f>
        <v>#VALUE!</v>
      </c>
      <c r="AS165" t="e">
        <f>AND('GA55 Entry'!J595,"AAAAAFp/JSw=")</f>
        <v>#VALUE!</v>
      </c>
      <c r="AT165" t="e">
        <f>AND('GA55 Entry'!#REF!,"AAAAAFp/JS0=")</f>
        <v>#REF!</v>
      </c>
      <c r="AU165" t="e">
        <f>AND('GA55 Entry'!K595,"AAAAAFp/JS4=")</f>
        <v>#VALUE!</v>
      </c>
      <c r="AV165" t="e">
        <f>AND('GA55 Entry'!L595,"AAAAAFp/JS8=")</f>
        <v>#VALUE!</v>
      </c>
      <c r="AW165" t="e">
        <f>AND('GA55 Entry'!M595,"AAAAAFp/JTA=")</f>
        <v>#VALUE!</v>
      </c>
      <c r="AX165" t="e">
        <f>AND('GA55 Entry'!N595,"AAAAAFp/JTE=")</f>
        <v>#VALUE!</v>
      </c>
      <c r="AY165" t="e">
        <f>AND('GA55 Entry'!O595,"AAAAAFp/JTI=")</f>
        <v>#VALUE!</v>
      </c>
      <c r="AZ165" t="e">
        <f>AND('GA55 Entry'!P595,"AAAAAFp/JTM=")</f>
        <v>#VALUE!</v>
      </c>
      <c r="BA165" t="e">
        <f>AND('GA55 Entry'!Q595,"AAAAAFp/JTQ=")</f>
        <v>#VALUE!</v>
      </c>
      <c r="BB165" t="e">
        <f>AND('GA55 Entry'!S595,"AAAAAFp/JTU=")</f>
        <v>#VALUE!</v>
      </c>
      <c r="BC165" t="e">
        <f>AND('GA55 Entry'!#REF!,"AAAAAFp/JTY=")</f>
        <v>#REF!</v>
      </c>
      <c r="BD165" t="e">
        <f>AND('GA55 Entry'!T595,"AAAAAFp/JTc=")</f>
        <v>#VALUE!</v>
      </c>
      <c r="BE165" t="e">
        <f>AND('GA55 Entry'!U595,"AAAAAFp/JTg=")</f>
        <v>#VALUE!</v>
      </c>
      <c r="BF165" t="e">
        <f>AND('GA55 Entry'!V595,"AAAAAFp/JTk=")</f>
        <v>#VALUE!</v>
      </c>
      <c r="BG165" t="e">
        <f>AND('GA55 Entry'!#REF!,"AAAAAFp/JTo=")</f>
        <v>#REF!</v>
      </c>
      <c r="BH165" t="e">
        <f>AND('GA55 Entry'!#REF!,"AAAAAFp/JTs=")</f>
        <v>#REF!</v>
      </c>
      <c r="BI165" t="e">
        <f>AND('GA55 Entry'!X595,"AAAAAFp/JTw=")</f>
        <v>#VALUE!</v>
      </c>
      <c r="BJ165" t="e">
        <f>AND('GA55 Entry'!Y595,"AAAAAFp/JT0=")</f>
        <v>#VALUE!</v>
      </c>
      <c r="BK165" t="e">
        <f>AND('GA55 Entry'!#REF!,"AAAAAFp/JT4=")</f>
        <v>#REF!</v>
      </c>
      <c r="BL165" t="e">
        <f>AND('GA55 Entry'!#REF!,"AAAAAFp/JT8=")</f>
        <v>#REF!</v>
      </c>
      <c r="BM165" t="e">
        <f>AND('GA55 Entry'!#REF!,"AAAAAFp/JUA=")</f>
        <v>#REF!</v>
      </c>
      <c r="BN165" t="e">
        <f>AND('GA55 Entry'!#REF!,"AAAAAFp/JUE=")</f>
        <v>#REF!</v>
      </c>
      <c r="BO165" t="e">
        <f>AND('GA55 Entry'!#REF!,"AAAAAFp/JUI=")</f>
        <v>#REF!</v>
      </c>
      <c r="BP165" t="e">
        <f>AND('GA55 Entry'!#REF!,"AAAAAFp/JUM=")</f>
        <v>#REF!</v>
      </c>
      <c r="BQ165" t="e">
        <f>AND('GA55 Entry'!#REF!,"AAAAAFp/JUQ=")</f>
        <v>#REF!</v>
      </c>
      <c r="BR165" t="e">
        <f>AND('GA55 Entry'!#REF!,"AAAAAFp/JUU=")</f>
        <v>#REF!</v>
      </c>
      <c r="BS165" t="e">
        <f>AND('GA55 Entry'!#REF!,"AAAAAFp/JUY=")</f>
        <v>#REF!</v>
      </c>
      <c r="BT165" t="e">
        <f>AND('GA55 Entry'!Z595,"AAAAAFp/JUc=")</f>
        <v>#VALUE!</v>
      </c>
      <c r="BU165" t="e">
        <f>AND('GA55 Entry'!AA595,"AAAAAFp/JUg=")</f>
        <v>#VALUE!</v>
      </c>
      <c r="BV165" t="e">
        <f>AND('GA55 Entry'!#REF!,"AAAAAFp/JUk=")</f>
        <v>#REF!</v>
      </c>
      <c r="BW165" t="e">
        <f>AND('GA55 Entry'!#REF!,"AAAAAFp/JUo=")</f>
        <v>#REF!</v>
      </c>
      <c r="BX165" t="e">
        <f>AND('GA55 Entry'!#REF!,"AAAAAFp/JUs=")</f>
        <v>#REF!</v>
      </c>
      <c r="BY165" t="e">
        <f>AND('GA55 Entry'!AB595,"AAAAAFp/JUw=")</f>
        <v>#VALUE!</v>
      </c>
      <c r="BZ165" t="e">
        <f>AND('GA55 Entry'!AC595,"AAAAAFp/JU0=")</f>
        <v>#VALUE!</v>
      </c>
      <c r="CA165" t="e">
        <f>AND('GA55 Entry'!#REF!,"AAAAAFp/JU4=")</f>
        <v>#REF!</v>
      </c>
      <c r="CB165">
        <f>IF('GA55 Entry'!596:596,"AAAAAFp/JU8=",0)</f>
        <v>0</v>
      </c>
      <c r="CC165" t="e">
        <f>AND('GA55 Entry'!B596,"AAAAAFp/JVA=")</f>
        <v>#VALUE!</v>
      </c>
      <c r="CD165" t="e">
        <f>AND('GA55 Entry'!#REF!,"AAAAAFp/JVE=")</f>
        <v>#REF!</v>
      </c>
      <c r="CE165" t="e">
        <f>AND('GA55 Entry'!C596,"AAAAAFp/JVI=")</f>
        <v>#VALUE!</v>
      </c>
      <c r="CF165" t="e">
        <f>AND('GA55 Entry'!#REF!,"AAAAAFp/JVM=")</f>
        <v>#REF!</v>
      </c>
      <c r="CG165" t="e">
        <f>AND('GA55 Entry'!#REF!,"AAAAAFp/JVQ=")</f>
        <v>#REF!</v>
      </c>
      <c r="CH165" t="e">
        <f>AND('GA55 Entry'!#REF!,"AAAAAFp/JVU=")</f>
        <v>#REF!</v>
      </c>
      <c r="CI165" t="e">
        <f>AND('GA55 Entry'!#REF!,"AAAAAFp/JVY=")</f>
        <v>#REF!</v>
      </c>
      <c r="CJ165" t="e">
        <f>AND('GA55 Entry'!#REF!,"AAAAAFp/JVc=")</f>
        <v>#REF!</v>
      </c>
      <c r="CK165" t="e">
        <f>AND('GA55 Entry'!D596,"AAAAAFp/JVg=")</f>
        <v>#VALUE!</v>
      </c>
      <c r="CL165" t="e">
        <f>AND('GA55 Entry'!#REF!,"AAAAAFp/JVk=")</f>
        <v>#REF!</v>
      </c>
      <c r="CM165" t="e">
        <f>AND('GA55 Entry'!E596,"AAAAAFp/JVo=")</f>
        <v>#VALUE!</v>
      </c>
      <c r="CN165" t="e">
        <f>AND('GA55 Entry'!F596,"AAAAAFp/JVs=")</f>
        <v>#VALUE!</v>
      </c>
      <c r="CO165" t="e">
        <f>AND('GA55 Entry'!G596,"AAAAAFp/JVw=")</f>
        <v>#VALUE!</v>
      </c>
      <c r="CP165" t="e">
        <f>AND('GA55 Entry'!H596,"AAAAAFp/JV0=")</f>
        <v>#VALUE!</v>
      </c>
      <c r="CQ165" t="e">
        <f>AND('GA55 Entry'!I596,"AAAAAFp/JV4=")</f>
        <v>#VALUE!</v>
      </c>
      <c r="CR165" t="e">
        <f>AND('GA55 Entry'!J596,"AAAAAFp/JV8=")</f>
        <v>#VALUE!</v>
      </c>
      <c r="CS165" t="e">
        <f>AND('GA55 Entry'!#REF!,"AAAAAFp/JWA=")</f>
        <v>#REF!</v>
      </c>
      <c r="CT165" t="e">
        <f>AND('GA55 Entry'!K596,"AAAAAFp/JWE=")</f>
        <v>#VALUE!</v>
      </c>
      <c r="CU165" t="e">
        <f>AND('GA55 Entry'!L596,"AAAAAFp/JWI=")</f>
        <v>#VALUE!</v>
      </c>
      <c r="CV165" t="e">
        <f>AND('GA55 Entry'!M596,"AAAAAFp/JWM=")</f>
        <v>#VALUE!</v>
      </c>
      <c r="CW165" t="e">
        <f>AND('GA55 Entry'!N596,"AAAAAFp/JWQ=")</f>
        <v>#VALUE!</v>
      </c>
      <c r="CX165" t="e">
        <f>AND('GA55 Entry'!O596,"AAAAAFp/JWU=")</f>
        <v>#VALUE!</v>
      </c>
      <c r="CY165" t="e">
        <f>AND('GA55 Entry'!P596,"AAAAAFp/JWY=")</f>
        <v>#VALUE!</v>
      </c>
      <c r="CZ165" t="e">
        <f>AND('GA55 Entry'!Q596,"AAAAAFp/JWc=")</f>
        <v>#VALUE!</v>
      </c>
      <c r="DA165" t="e">
        <f>AND('GA55 Entry'!S596,"AAAAAFp/JWg=")</f>
        <v>#VALUE!</v>
      </c>
      <c r="DB165" t="e">
        <f>AND('GA55 Entry'!#REF!,"AAAAAFp/JWk=")</f>
        <v>#REF!</v>
      </c>
      <c r="DC165" t="e">
        <f>AND('GA55 Entry'!T596,"AAAAAFp/JWo=")</f>
        <v>#VALUE!</v>
      </c>
      <c r="DD165" t="e">
        <f>AND('GA55 Entry'!U596,"AAAAAFp/JWs=")</f>
        <v>#VALUE!</v>
      </c>
      <c r="DE165" t="e">
        <f>AND('GA55 Entry'!V596,"AAAAAFp/JWw=")</f>
        <v>#VALUE!</v>
      </c>
      <c r="DF165" t="e">
        <f>AND('GA55 Entry'!#REF!,"AAAAAFp/JW0=")</f>
        <v>#REF!</v>
      </c>
      <c r="DG165" t="e">
        <f>AND('GA55 Entry'!#REF!,"AAAAAFp/JW4=")</f>
        <v>#REF!</v>
      </c>
      <c r="DH165" t="e">
        <f>AND('GA55 Entry'!X596,"AAAAAFp/JW8=")</f>
        <v>#VALUE!</v>
      </c>
      <c r="DI165" t="e">
        <f>AND('GA55 Entry'!Y596,"AAAAAFp/JXA=")</f>
        <v>#VALUE!</v>
      </c>
      <c r="DJ165" t="e">
        <f>AND('GA55 Entry'!#REF!,"AAAAAFp/JXE=")</f>
        <v>#REF!</v>
      </c>
      <c r="DK165" t="e">
        <f>AND('GA55 Entry'!#REF!,"AAAAAFp/JXI=")</f>
        <v>#REF!</v>
      </c>
      <c r="DL165" t="e">
        <f>AND('GA55 Entry'!#REF!,"AAAAAFp/JXM=")</f>
        <v>#REF!</v>
      </c>
      <c r="DM165" t="e">
        <f>AND('GA55 Entry'!#REF!,"AAAAAFp/JXQ=")</f>
        <v>#REF!</v>
      </c>
      <c r="DN165" t="e">
        <f>AND('GA55 Entry'!#REF!,"AAAAAFp/JXU=")</f>
        <v>#REF!</v>
      </c>
      <c r="DO165" t="e">
        <f>AND('GA55 Entry'!#REF!,"AAAAAFp/JXY=")</f>
        <v>#REF!</v>
      </c>
      <c r="DP165" t="e">
        <f>AND('GA55 Entry'!#REF!,"AAAAAFp/JXc=")</f>
        <v>#REF!</v>
      </c>
      <c r="DQ165" t="e">
        <f>AND('GA55 Entry'!#REF!,"AAAAAFp/JXg=")</f>
        <v>#REF!</v>
      </c>
      <c r="DR165" t="e">
        <f>AND('GA55 Entry'!#REF!,"AAAAAFp/JXk=")</f>
        <v>#REF!</v>
      </c>
      <c r="DS165" t="e">
        <f>AND('GA55 Entry'!Z596,"AAAAAFp/JXo=")</f>
        <v>#VALUE!</v>
      </c>
      <c r="DT165" t="e">
        <f>AND('GA55 Entry'!AA596,"AAAAAFp/JXs=")</f>
        <v>#VALUE!</v>
      </c>
      <c r="DU165" t="e">
        <f>AND('GA55 Entry'!#REF!,"AAAAAFp/JXw=")</f>
        <v>#REF!</v>
      </c>
      <c r="DV165" t="e">
        <f>AND('GA55 Entry'!#REF!,"AAAAAFp/JX0=")</f>
        <v>#REF!</v>
      </c>
      <c r="DW165" t="e">
        <f>AND('GA55 Entry'!#REF!,"AAAAAFp/JX4=")</f>
        <v>#REF!</v>
      </c>
      <c r="DX165" t="e">
        <f>AND('GA55 Entry'!AB596,"AAAAAFp/JX8=")</f>
        <v>#VALUE!</v>
      </c>
      <c r="DY165" t="e">
        <f>AND('GA55 Entry'!AC596,"AAAAAFp/JYA=")</f>
        <v>#VALUE!</v>
      </c>
      <c r="DZ165" t="e">
        <f>AND('GA55 Entry'!#REF!,"AAAAAFp/JYE=")</f>
        <v>#REF!</v>
      </c>
      <c r="EA165">
        <f>IF('GA55 Entry'!597:597,"AAAAAFp/JYI=",0)</f>
        <v>0</v>
      </c>
      <c r="EB165" t="e">
        <f>AND('GA55 Entry'!B597,"AAAAAFp/JYM=")</f>
        <v>#VALUE!</v>
      </c>
      <c r="EC165" t="e">
        <f>AND('GA55 Entry'!#REF!,"AAAAAFp/JYQ=")</f>
        <v>#REF!</v>
      </c>
      <c r="ED165" t="e">
        <f>AND('GA55 Entry'!C597,"AAAAAFp/JYU=")</f>
        <v>#VALUE!</v>
      </c>
      <c r="EE165" t="e">
        <f>AND('GA55 Entry'!#REF!,"AAAAAFp/JYY=")</f>
        <v>#REF!</v>
      </c>
      <c r="EF165" t="e">
        <f>AND('GA55 Entry'!#REF!,"AAAAAFp/JYc=")</f>
        <v>#REF!</v>
      </c>
      <c r="EG165" t="e">
        <f>AND('GA55 Entry'!#REF!,"AAAAAFp/JYg=")</f>
        <v>#REF!</v>
      </c>
      <c r="EH165" t="e">
        <f>AND('GA55 Entry'!#REF!,"AAAAAFp/JYk=")</f>
        <v>#REF!</v>
      </c>
      <c r="EI165" t="e">
        <f>AND('GA55 Entry'!#REF!,"AAAAAFp/JYo=")</f>
        <v>#REF!</v>
      </c>
      <c r="EJ165" t="e">
        <f>AND('GA55 Entry'!D597,"AAAAAFp/JYs=")</f>
        <v>#VALUE!</v>
      </c>
      <c r="EK165" t="e">
        <f>AND('GA55 Entry'!#REF!,"AAAAAFp/JYw=")</f>
        <v>#REF!</v>
      </c>
      <c r="EL165" t="e">
        <f>AND('GA55 Entry'!E597,"AAAAAFp/JY0=")</f>
        <v>#VALUE!</v>
      </c>
      <c r="EM165" t="e">
        <f>AND('GA55 Entry'!F597,"AAAAAFp/JY4=")</f>
        <v>#VALUE!</v>
      </c>
      <c r="EN165" t="e">
        <f>AND('GA55 Entry'!G597,"AAAAAFp/JY8=")</f>
        <v>#VALUE!</v>
      </c>
      <c r="EO165" t="e">
        <f>AND('GA55 Entry'!H597,"AAAAAFp/JZA=")</f>
        <v>#VALUE!</v>
      </c>
      <c r="EP165" t="e">
        <f>AND('GA55 Entry'!I597,"AAAAAFp/JZE=")</f>
        <v>#VALUE!</v>
      </c>
      <c r="EQ165" t="e">
        <f>AND('GA55 Entry'!J597,"AAAAAFp/JZI=")</f>
        <v>#VALUE!</v>
      </c>
      <c r="ER165" t="e">
        <f>AND('GA55 Entry'!#REF!,"AAAAAFp/JZM=")</f>
        <v>#REF!</v>
      </c>
      <c r="ES165" t="e">
        <f>AND('GA55 Entry'!K597,"AAAAAFp/JZQ=")</f>
        <v>#VALUE!</v>
      </c>
      <c r="ET165" t="e">
        <f>AND('GA55 Entry'!L597,"AAAAAFp/JZU=")</f>
        <v>#VALUE!</v>
      </c>
      <c r="EU165" t="e">
        <f>AND('GA55 Entry'!M597,"AAAAAFp/JZY=")</f>
        <v>#VALUE!</v>
      </c>
      <c r="EV165" t="e">
        <f>AND('GA55 Entry'!N597,"AAAAAFp/JZc=")</f>
        <v>#VALUE!</v>
      </c>
      <c r="EW165" t="e">
        <f>AND('GA55 Entry'!O597,"AAAAAFp/JZg=")</f>
        <v>#VALUE!</v>
      </c>
      <c r="EX165" t="e">
        <f>AND('GA55 Entry'!P597,"AAAAAFp/JZk=")</f>
        <v>#VALUE!</v>
      </c>
      <c r="EY165" t="e">
        <f>AND('GA55 Entry'!Q597,"AAAAAFp/JZo=")</f>
        <v>#VALUE!</v>
      </c>
      <c r="EZ165" t="e">
        <f>AND('GA55 Entry'!S597,"AAAAAFp/JZs=")</f>
        <v>#VALUE!</v>
      </c>
      <c r="FA165" t="e">
        <f>AND('GA55 Entry'!#REF!,"AAAAAFp/JZw=")</f>
        <v>#REF!</v>
      </c>
      <c r="FB165" t="e">
        <f>AND('GA55 Entry'!T597,"AAAAAFp/JZ0=")</f>
        <v>#VALUE!</v>
      </c>
      <c r="FC165" t="e">
        <f>AND('GA55 Entry'!U597,"AAAAAFp/JZ4=")</f>
        <v>#VALUE!</v>
      </c>
      <c r="FD165" t="e">
        <f>AND('GA55 Entry'!V597,"AAAAAFp/JZ8=")</f>
        <v>#VALUE!</v>
      </c>
      <c r="FE165" t="e">
        <f>AND('GA55 Entry'!#REF!,"AAAAAFp/JaA=")</f>
        <v>#REF!</v>
      </c>
      <c r="FF165" t="e">
        <f>AND('GA55 Entry'!#REF!,"AAAAAFp/JaE=")</f>
        <v>#REF!</v>
      </c>
      <c r="FG165" t="e">
        <f>AND('GA55 Entry'!X597,"AAAAAFp/JaI=")</f>
        <v>#VALUE!</v>
      </c>
      <c r="FH165" t="e">
        <f>AND('GA55 Entry'!Y597,"AAAAAFp/JaM=")</f>
        <v>#VALUE!</v>
      </c>
      <c r="FI165" t="e">
        <f>AND('GA55 Entry'!#REF!,"AAAAAFp/JaQ=")</f>
        <v>#REF!</v>
      </c>
      <c r="FJ165" t="e">
        <f>AND('GA55 Entry'!#REF!,"AAAAAFp/JaU=")</f>
        <v>#REF!</v>
      </c>
      <c r="FK165" t="e">
        <f>AND('GA55 Entry'!#REF!,"AAAAAFp/JaY=")</f>
        <v>#REF!</v>
      </c>
      <c r="FL165" t="e">
        <f>AND('GA55 Entry'!#REF!,"AAAAAFp/Jac=")</f>
        <v>#REF!</v>
      </c>
      <c r="FM165" t="e">
        <f>AND('GA55 Entry'!#REF!,"AAAAAFp/Jag=")</f>
        <v>#REF!</v>
      </c>
      <c r="FN165" t="e">
        <f>AND('GA55 Entry'!#REF!,"AAAAAFp/Jak=")</f>
        <v>#REF!</v>
      </c>
      <c r="FO165" t="e">
        <f>AND('GA55 Entry'!#REF!,"AAAAAFp/Jao=")</f>
        <v>#REF!</v>
      </c>
      <c r="FP165" t="e">
        <f>AND('GA55 Entry'!#REF!,"AAAAAFp/Jas=")</f>
        <v>#REF!</v>
      </c>
      <c r="FQ165" t="e">
        <f>AND('GA55 Entry'!#REF!,"AAAAAFp/Jaw=")</f>
        <v>#REF!</v>
      </c>
      <c r="FR165" t="e">
        <f>AND('GA55 Entry'!Z597,"AAAAAFp/Ja0=")</f>
        <v>#VALUE!</v>
      </c>
      <c r="FS165" t="e">
        <f>AND('GA55 Entry'!AA597,"AAAAAFp/Ja4=")</f>
        <v>#VALUE!</v>
      </c>
      <c r="FT165" t="e">
        <f>AND('GA55 Entry'!#REF!,"AAAAAFp/Ja8=")</f>
        <v>#REF!</v>
      </c>
      <c r="FU165" t="e">
        <f>AND('GA55 Entry'!#REF!,"AAAAAFp/JbA=")</f>
        <v>#REF!</v>
      </c>
      <c r="FV165" t="e">
        <f>AND('GA55 Entry'!#REF!,"AAAAAFp/JbE=")</f>
        <v>#REF!</v>
      </c>
      <c r="FW165" t="e">
        <f>AND('GA55 Entry'!AB597,"AAAAAFp/JbI=")</f>
        <v>#VALUE!</v>
      </c>
      <c r="FX165" t="e">
        <f>AND('GA55 Entry'!AC597,"AAAAAFp/JbM=")</f>
        <v>#VALUE!</v>
      </c>
      <c r="FY165" t="e">
        <f>AND('GA55 Entry'!#REF!,"AAAAAFp/JbQ=")</f>
        <v>#REF!</v>
      </c>
      <c r="FZ165">
        <f>IF('GA55 Entry'!598:598,"AAAAAFp/JbU=",0)</f>
        <v>0</v>
      </c>
      <c r="GA165" t="e">
        <f>AND('GA55 Entry'!B598,"AAAAAFp/JbY=")</f>
        <v>#VALUE!</v>
      </c>
      <c r="GB165" t="e">
        <f>AND('GA55 Entry'!#REF!,"AAAAAFp/Jbc=")</f>
        <v>#REF!</v>
      </c>
      <c r="GC165" t="e">
        <f>AND('GA55 Entry'!C598,"AAAAAFp/Jbg=")</f>
        <v>#VALUE!</v>
      </c>
      <c r="GD165" t="e">
        <f>AND('GA55 Entry'!#REF!,"AAAAAFp/Jbk=")</f>
        <v>#REF!</v>
      </c>
      <c r="GE165" t="e">
        <f>AND('GA55 Entry'!#REF!,"AAAAAFp/Jbo=")</f>
        <v>#REF!</v>
      </c>
      <c r="GF165" t="e">
        <f>AND('GA55 Entry'!#REF!,"AAAAAFp/Jbs=")</f>
        <v>#REF!</v>
      </c>
      <c r="GG165" t="e">
        <f>AND('GA55 Entry'!#REF!,"AAAAAFp/Jbw=")</f>
        <v>#REF!</v>
      </c>
      <c r="GH165" t="e">
        <f>AND('GA55 Entry'!#REF!,"AAAAAFp/Jb0=")</f>
        <v>#REF!</v>
      </c>
      <c r="GI165" t="e">
        <f>AND('GA55 Entry'!D598,"AAAAAFp/Jb4=")</f>
        <v>#VALUE!</v>
      </c>
      <c r="GJ165" t="e">
        <f>AND('GA55 Entry'!#REF!,"AAAAAFp/Jb8=")</f>
        <v>#REF!</v>
      </c>
      <c r="GK165" t="e">
        <f>AND('GA55 Entry'!E598,"AAAAAFp/JcA=")</f>
        <v>#VALUE!</v>
      </c>
      <c r="GL165" t="e">
        <f>AND('GA55 Entry'!F598,"AAAAAFp/JcE=")</f>
        <v>#VALUE!</v>
      </c>
      <c r="GM165" t="e">
        <f>AND('GA55 Entry'!G598,"AAAAAFp/JcI=")</f>
        <v>#VALUE!</v>
      </c>
      <c r="GN165" t="e">
        <f>AND('GA55 Entry'!H598,"AAAAAFp/JcM=")</f>
        <v>#VALUE!</v>
      </c>
      <c r="GO165" t="e">
        <f>AND('GA55 Entry'!I598,"AAAAAFp/JcQ=")</f>
        <v>#VALUE!</v>
      </c>
      <c r="GP165" t="e">
        <f>AND('GA55 Entry'!J598,"AAAAAFp/JcU=")</f>
        <v>#VALUE!</v>
      </c>
      <c r="GQ165" t="e">
        <f>AND('GA55 Entry'!#REF!,"AAAAAFp/JcY=")</f>
        <v>#REF!</v>
      </c>
      <c r="GR165" t="e">
        <f>AND('GA55 Entry'!K598,"AAAAAFp/Jcc=")</f>
        <v>#VALUE!</v>
      </c>
      <c r="GS165" t="e">
        <f>AND('GA55 Entry'!L598,"AAAAAFp/Jcg=")</f>
        <v>#VALUE!</v>
      </c>
      <c r="GT165" t="e">
        <f>AND('GA55 Entry'!M598,"AAAAAFp/Jck=")</f>
        <v>#VALUE!</v>
      </c>
      <c r="GU165" t="e">
        <f>AND('GA55 Entry'!N598,"AAAAAFp/Jco=")</f>
        <v>#VALUE!</v>
      </c>
      <c r="GV165" t="e">
        <f>AND('GA55 Entry'!O598,"AAAAAFp/Jcs=")</f>
        <v>#VALUE!</v>
      </c>
      <c r="GW165" t="e">
        <f>AND('GA55 Entry'!P598,"AAAAAFp/Jcw=")</f>
        <v>#VALUE!</v>
      </c>
      <c r="GX165" t="e">
        <f>AND('GA55 Entry'!Q598,"AAAAAFp/Jc0=")</f>
        <v>#VALUE!</v>
      </c>
      <c r="GY165" t="e">
        <f>AND('GA55 Entry'!S598,"AAAAAFp/Jc4=")</f>
        <v>#VALUE!</v>
      </c>
      <c r="GZ165" t="e">
        <f>AND('GA55 Entry'!#REF!,"AAAAAFp/Jc8=")</f>
        <v>#REF!</v>
      </c>
      <c r="HA165" t="e">
        <f>AND('GA55 Entry'!T598,"AAAAAFp/JdA=")</f>
        <v>#VALUE!</v>
      </c>
      <c r="HB165" t="e">
        <f>AND('GA55 Entry'!U598,"AAAAAFp/JdE=")</f>
        <v>#VALUE!</v>
      </c>
      <c r="HC165" t="e">
        <f>AND('GA55 Entry'!V598,"AAAAAFp/JdI=")</f>
        <v>#VALUE!</v>
      </c>
      <c r="HD165" t="e">
        <f>AND('GA55 Entry'!#REF!,"AAAAAFp/JdM=")</f>
        <v>#REF!</v>
      </c>
      <c r="HE165" t="e">
        <f>AND('GA55 Entry'!#REF!,"AAAAAFp/JdQ=")</f>
        <v>#REF!</v>
      </c>
      <c r="HF165" t="e">
        <f>AND('GA55 Entry'!X598,"AAAAAFp/JdU=")</f>
        <v>#VALUE!</v>
      </c>
      <c r="HG165" t="e">
        <f>AND('GA55 Entry'!Y598,"AAAAAFp/JdY=")</f>
        <v>#VALUE!</v>
      </c>
      <c r="HH165" t="e">
        <f>AND('GA55 Entry'!#REF!,"AAAAAFp/Jdc=")</f>
        <v>#REF!</v>
      </c>
      <c r="HI165" t="e">
        <f>AND('GA55 Entry'!#REF!,"AAAAAFp/Jdg=")</f>
        <v>#REF!</v>
      </c>
      <c r="HJ165" t="e">
        <f>AND('GA55 Entry'!#REF!,"AAAAAFp/Jdk=")</f>
        <v>#REF!</v>
      </c>
      <c r="HK165" t="e">
        <f>AND('GA55 Entry'!#REF!,"AAAAAFp/Jdo=")</f>
        <v>#REF!</v>
      </c>
      <c r="HL165" t="e">
        <f>AND('GA55 Entry'!#REF!,"AAAAAFp/Jds=")</f>
        <v>#REF!</v>
      </c>
      <c r="HM165" t="e">
        <f>AND('GA55 Entry'!#REF!,"AAAAAFp/Jdw=")</f>
        <v>#REF!</v>
      </c>
      <c r="HN165" t="e">
        <f>AND('GA55 Entry'!#REF!,"AAAAAFp/Jd0=")</f>
        <v>#REF!</v>
      </c>
      <c r="HO165" t="e">
        <f>AND('GA55 Entry'!#REF!,"AAAAAFp/Jd4=")</f>
        <v>#REF!</v>
      </c>
      <c r="HP165" t="e">
        <f>AND('GA55 Entry'!#REF!,"AAAAAFp/Jd8=")</f>
        <v>#REF!</v>
      </c>
      <c r="HQ165" t="e">
        <f>AND('GA55 Entry'!Z598,"AAAAAFp/JeA=")</f>
        <v>#VALUE!</v>
      </c>
      <c r="HR165" t="e">
        <f>AND('GA55 Entry'!AA598,"AAAAAFp/JeE=")</f>
        <v>#VALUE!</v>
      </c>
      <c r="HS165" t="e">
        <f>AND('GA55 Entry'!#REF!,"AAAAAFp/JeI=")</f>
        <v>#REF!</v>
      </c>
      <c r="HT165" t="e">
        <f>AND('GA55 Entry'!#REF!,"AAAAAFp/JeM=")</f>
        <v>#REF!</v>
      </c>
      <c r="HU165" t="e">
        <f>AND('GA55 Entry'!#REF!,"AAAAAFp/JeQ=")</f>
        <v>#REF!</v>
      </c>
      <c r="HV165" t="e">
        <f>AND('GA55 Entry'!AB598,"AAAAAFp/JeU=")</f>
        <v>#VALUE!</v>
      </c>
      <c r="HW165" t="e">
        <f>AND('GA55 Entry'!AC598,"AAAAAFp/JeY=")</f>
        <v>#VALUE!</v>
      </c>
      <c r="HX165" t="e">
        <f>AND('GA55 Entry'!#REF!,"AAAAAFp/Jec=")</f>
        <v>#REF!</v>
      </c>
      <c r="HY165">
        <f>IF('GA55 Entry'!599:599,"AAAAAFp/Jeg=",0)</f>
        <v>0</v>
      </c>
      <c r="HZ165" t="e">
        <f>AND('GA55 Entry'!B599,"AAAAAFp/Jek=")</f>
        <v>#VALUE!</v>
      </c>
      <c r="IA165" t="e">
        <f>AND('GA55 Entry'!#REF!,"AAAAAFp/Jeo=")</f>
        <v>#REF!</v>
      </c>
      <c r="IB165" t="e">
        <f>AND('GA55 Entry'!C599,"AAAAAFp/Jes=")</f>
        <v>#VALUE!</v>
      </c>
      <c r="IC165" t="e">
        <f>AND('GA55 Entry'!#REF!,"AAAAAFp/Jew=")</f>
        <v>#REF!</v>
      </c>
      <c r="ID165" t="e">
        <f>AND('GA55 Entry'!#REF!,"AAAAAFp/Je0=")</f>
        <v>#REF!</v>
      </c>
      <c r="IE165" t="e">
        <f>AND('GA55 Entry'!#REF!,"AAAAAFp/Je4=")</f>
        <v>#REF!</v>
      </c>
      <c r="IF165" t="e">
        <f>AND('GA55 Entry'!#REF!,"AAAAAFp/Je8=")</f>
        <v>#REF!</v>
      </c>
      <c r="IG165" t="e">
        <f>AND('GA55 Entry'!#REF!,"AAAAAFp/JfA=")</f>
        <v>#REF!</v>
      </c>
      <c r="IH165" t="e">
        <f>AND('GA55 Entry'!D599,"AAAAAFp/JfE=")</f>
        <v>#VALUE!</v>
      </c>
      <c r="II165" t="e">
        <f>AND('GA55 Entry'!#REF!,"AAAAAFp/JfI=")</f>
        <v>#REF!</v>
      </c>
      <c r="IJ165" t="e">
        <f>AND('GA55 Entry'!E599,"AAAAAFp/JfM=")</f>
        <v>#VALUE!</v>
      </c>
      <c r="IK165" t="e">
        <f>AND('GA55 Entry'!F599,"AAAAAFp/JfQ=")</f>
        <v>#VALUE!</v>
      </c>
      <c r="IL165" t="e">
        <f>AND('GA55 Entry'!G599,"AAAAAFp/JfU=")</f>
        <v>#VALUE!</v>
      </c>
      <c r="IM165" t="e">
        <f>AND('GA55 Entry'!H599,"AAAAAFp/JfY=")</f>
        <v>#VALUE!</v>
      </c>
      <c r="IN165" t="e">
        <f>AND('GA55 Entry'!I599,"AAAAAFp/Jfc=")</f>
        <v>#VALUE!</v>
      </c>
      <c r="IO165" t="e">
        <f>AND('GA55 Entry'!J599,"AAAAAFp/Jfg=")</f>
        <v>#VALUE!</v>
      </c>
      <c r="IP165" t="e">
        <f>AND('GA55 Entry'!#REF!,"AAAAAFp/Jfk=")</f>
        <v>#REF!</v>
      </c>
      <c r="IQ165" t="e">
        <f>AND('GA55 Entry'!K599,"AAAAAFp/Jfo=")</f>
        <v>#VALUE!</v>
      </c>
      <c r="IR165" t="e">
        <f>AND('GA55 Entry'!L599,"AAAAAFp/Jfs=")</f>
        <v>#VALUE!</v>
      </c>
      <c r="IS165" t="e">
        <f>AND('GA55 Entry'!M599,"AAAAAFp/Jfw=")</f>
        <v>#VALUE!</v>
      </c>
      <c r="IT165" t="e">
        <f>AND('GA55 Entry'!N599,"AAAAAFp/Jf0=")</f>
        <v>#VALUE!</v>
      </c>
      <c r="IU165" t="e">
        <f>AND('GA55 Entry'!O599,"AAAAAFp/Jf4=")</f>
        <v>#VALUE!</v>
      </c>
      <c r="IV165" t="e">
        <f>AND('GA55 Entry'!P599,"AAAAAFp/Jf8=")</f>
        <v>#VALUE!</v>
      </c>
    </row>
    <row r="166" spans="1:256">
      <c r="A166" t="e">
        <f>AND('GA55 Entry'!Q599,"AAAAAH2XPwA=")</f>
        <v>#VALUE!</v>
      </c>
      <c r="B166" t="e">
        <f>AND('GA55 Entry'!S599,"AAAAAH2XPwE=")</f>
        <v>#VALUE!</v>
      </c>
      <c r="C166" t="e">
        <f>AND('GA55 Entry'!#REF!,"AAAAAH2XPwI=")</f>
        <v>#REF!</v>
      </c>
      <c r="D166" t="e">
        <f>AND('GA55 Entry'!T599,"AAAAAH2XPwM=")</f>
        <v>#VALUE!</v>
      </c>
      <c r="E166" t="e">
        <f>AND('GA55 Entry'!U599,"AAAAAH2XPwQ=")</f>
        <v>#VALUE!</v>
      </c>
      <c r="F166" t="e">
        <f>AND('GA55 Entry'!V599,"AAAAAH2XPwU=")</f>
        <v>#VALUE!</v>
      </c>
      <c r="G166" t="e">
        <f>AND('GA55 Entry'!#REF!,"AAAAAH2XPwY=")</f>
        <v>#REF!</v>
      </c>
      <c r="H166" t="e">
        <f>AND('GA55 Entry'!#REF!,"AAAAAH2XPwc=")</f>
        <v>#REF!</v>
      </c>
      <c r="I166" t="e">
        <f>AND('GA55 Entry'!X599,"AAAAAH2XPwg=")</f>
        <v>#VALUE!</v>
      </c>
      <c r="J166" t="e">
        <f>AND('GA55 Entry'!Y599,"AAAAAH2XPwk=")</f>
        <v>#VALUE!</v>
      </c>
      <c r="K166" t="e">
        <f>AND('GA55 Entry'!#REF!,"AAAAAH2XPwo=")</f>
        <v>#REF!</v>
      </c>
      <c r="L166" t="e">
        <f>AND('GA55 Entry'!#REF!,"AAAAAH2XPws=")</f>
        <v>#REF!</v>
      </c>
      <c r="M166" t="e">
        <f>AND('GA55 Entry'!#REF!,"AAAAAH2XPww=")</f>
        <v>#REF!</v>
      </c>
      <c r="N166" t="e">
        <f>AND('GA55 Entry'!#REF!,"AAAAAH2XPw0=")</f>
        <v>#REF!</v>
      </c>
      <c r="O166" t="e">
        <f>AND('GA55 Entry'!#REF!,"AAAAAH2XPw4=")</f>
        <v>#REF!</v>
      </c>
      <c r="P166" t="e">
        <f>AND('GA55 Entry'!#REF!,"AAAAAH2XPw8=")</f>
        <v>#REF!</v>
      </c>
      <c r="Q166" t="e">
        <f>AND('GA55 Entry'!#REF!,"AAAAAH2XPxA=")</f>
        <v>#REF!</v>
      </c>
      <c r="R166" t="e">
        <f>AND('GA55 Entry'!#REF!,"AAAAAH2XPxE=")</f>
        <v>#REF!</v>
      </c>
      <c r="S166" t="e">
        <f>AND('GA55 Entry'!#REF!,"AAAAAH2XPxI=")</f>
        <v>#REF!</v>
      </c>
      <c r="T166" t="e">
        <f>AND('GA55 Entry'!Z599,"AAAAAH2XPxM=")</f>
        <v>#VALUE!</v>
      </c>
      <c r="U166" t="e">
        <f>AND('GA55 Entry'!AA599,"AAAAAH2XPxQ=")</f>
        <v>#VALUE!</v>
      </c>
      <c r="V166" t="e">
        <f>AND('GA55 Entry'!#REF!,"AAAAAH2XPxU=")</f>
        <v>#REF!</v>
      </c>
      <c r="W166" t="e">
        <f>AND('GA55 Entry'!#REF!,"AAAAAH2XPxY=")</f>
        <v>#REF!</v>
      </c>
      <c r="X166" t="e">
        <f>AND('GA55 Entry'!#REF!,"AAAAAH2XPxc=")</f>
        <v>#REF!</v>
      </c>
      <c r="Y166" t="e">
        <f>AND('GA55 Entry'!AB599,"AAAAAH2XPxg=")</f>
        <v>#VALUE!</v>
      </c>
      <c r="Z166" t="e">
        <f>AND('GA55 Entry'!AC599,"AAAAAH2XPxk=")</f>
        <v>#VALUE!</v>
      </c>
      <c r="AA166" t="e">
        <f>AND('GA55 Entry'!#REF!,"AAAAAH2XPxo=")</f>
        <v>#REF!</v>
      </c>
      <c r="AB166">
        <f>IF('GA55 Entry'!600:600,"AAAAAH2XPxs=",0)</f>
        <v>0</v>
      </c>
      <c r="AC166" t="e">
        <f>AND('GA55 Entry'!B600,"AAAAAH2XPxw=")</f>
        <v>#VALUE!</v>
      </c>
      <c r="AD166" t="e">
        <f>AND('GA55 Entry'!#REF!,"AAAAAH2XPx0=")</f>
        <v>#REF!</v>
      </c>
      <c r="AE166" t="e">
        <f>AND('GA55 Entry'!C600,"AAAAAH2XPx4=")</f>
        <v>#VALUE!</v>
      </c>
      <c r="AF166" t="e">
        <f>AND('GA55 Entry'!#REF!,"AAAAAH2XPx8=")</f>
        <v>#REF!</v>
      </c>
      <c r="AG166" t="e">
        <f>AND('GA55 Entry'!#REF!,"AAAAAH2XPyA=")</f>
        <v>#REF!</v>
      </c>
      <c r="AH166" t="e">
        <f>AND('GA55 Entry'!#REF!,"AAAAAH2XPyE=")</f>
        <v>#REF!</v>
      </c>
      <c r="AI166" t="e">
        <f>AND('GA55 Entry'!#REF!,"AAAAAH2XPyI=")</f>
        <v>#REF!</v>
      </c>
      <c r="AJ166" t="e">
        <f>AND('GA55 Entry'!#REF!,"AAAAAH2XPyM=")</f>
        <v>#REF!</v>
      </c>
      <c r="AK166" t="e">
        <f>AND('GA55 Entry'!D600,"AAAAAH2XPyQ=")</f>
        <v>#VALUE!</v>
      </c>
      <c r="AL166" t="e">
        <f>AND('GA55 Entry'!#REF!,"AAAAAH2XPyU=")</f>
        <v>#REF!</v>
      </c>
      <c r="AM166" t="e">
        <f>AND('GA55 Entry'!E600,"AAAAAH2XPyY=")</f>
        <v>#VALUE!</v>
      </c>
      <c r="AN166" t="e">
        <f>AND('GA55 Entry'!F600,"AAAAAH2XPyc=")</f>
        <v>#VALUE!</v>
      </c>
      <c r="AO166" t="e">
        <f>AND('GA55 Entry'!G600,"AAAAAH2XPyg=")</f>
        <v>#VALUE!</v>
      </c>
      <c r="AP166" t="e">
        <f>AND('GA55 Entry'!H600,"AAAAAH2XPyk=")</f>
        <v>#VALUE!</v>
      </c>
      <c r="AQ166" t="e">
        <f>AND('GA55 Entry'!I600,"AAAAAH2XPyo=")</f>
        <v>#VALUE!</v>
      </c>
      <c r="AR166" t="e">
        <f>AND('GA55 Entry'!J600,"AAAAAH2XPys=")</f>
        <v>#VALUE!</v>
      </c>
      <c r="AS166" t="e">
        <f>AND('GA55 Entry'!#REF!,"AAAAAH2XPyw=")</f>
        <v>#REF!</v>
      </c>
      <c r="AT166" t="e">
        <f>AND('GA55 Entry'!K600,"AAAAAH2XPy0=")</f>
        <v>#VALUE!</v>
      </c>
      <c r="AU166" t="e">
        <f>AND('GA55 Entry'!L600,"AAAAAH2XPy4=")</f>
        <v>#VALUE!</v>
      </c>
      <c r="AV166" t="e">
        <f>AND('GA55 Entry'!M600,"AAAAAH2XPy8=")</f>
        <v>#VALUE!</v>
      </c>
      <c r="AW166" t="e">
        <f>AND('GA55 Entry'!N600,"AAAAAH2XPzA=")</f>
        <v>#VALUE!</v>
      </c>
      <c r="AX166" t="e">
        <f>AND('GA55 Entry'!O600,"AAAAAH2XPzE=")</f>
        <v>#VALUE!</v>
      </c>
      <c r="AY166" t="e">
        <f>AND('GA55 Entry'!P600,"AAAAAH2XPzI=")</f>
        <v>#VALUE!</v>
      </c>
      <c r="AZ166" t="e">
        <f>AND('GA55 Entry'!Q600,"AAAAAH2XPzM=")</f>
        <v>#VALUE!</v>
      </c>
      <c r="BA166" t="e">
        <f>AND('GA55 Entry'!S600,"AAAAAH2XPzQ=")</f>
        <v>#VALUE!</v>
      </c>
      <c r="BB166" t="e">
        <f>AND('GA55 Entry'!#REF!,"AAAAAH2XPzU=")</f>
        <v>#REF!</v>
      </c>
      <c r="BC166" t="e">
        <f>AND('GA55 Entry'!T600,"AAAAAH2XPzY=")</f>
        <v>#VALUE!</v>
      </c>
      <c r="BD166" t="e">
        <f>AND('GA55 Entry'!U600,"AAAAAH2XPzc=")</f>
        <v>#VALUE!</v>
      </c>
      <c r="BE166" t="e">
        <f>AND('GA55 Entry'!V600,"AAAAAH2XPzg=")</f>
        <v>#VALUE!</v>
      </c>
      <c r="BF166" t="e">
        <f>AND('GA55 Entry'!#REF!,"AAAAAH2XPzk=")</f>
        <v>#REF!</v>
      </c>
      <c r="BG166" t="e">
        <f>AND('GA55 Entry'!#REF!,"AAAAAH2XPzo=")</f>
        <v>#REF!</v>
      </c>
      <c r="BH166" t="e">
        <f>AND('GA55 Entry'!X600,"AAAAAH2XPzs=")</f>
        <v>#VALUE!</v>
      </c>
      <c r="BI166" t="e">
        <f>AND('GA55 Entry'!Y600,"AAAAAH2XPzw=")</f>
        <v>#VALUE!</v>
      </c>
      <c r="BJ166" t="e">
        <f>AND('GA55 Entry'!#REF!,"AAAAAH2XPz0=")</f>
        <v>#REF!</v>
      </c>
      <c r="BK166" t="e">
        <f>AND('GA55 Entry'!#REF!,"AAAAAH2XPz4=")</f>
        <v>#REF!</v>
      </c>
      <c r="BL166" t="e">
        <f>AND('GA55 Entry'!#REF!,"AAAAAH2XPz8=")</f>
        <v>#REF!</v>
      </c>
      <c r="BM166" t="e">
        <f>AND('GA55 Entry'!#REF!,"AAAAAH2XP0A=")</f>
        <v>#REF!</v>
      </c>
      <c r="BN166" t="e">
        <f>AND('GA55 Entry'!#REF!,"AAAAAH2XP0E=")</f>
        <v>#REF!</v>
      </c>
      <c r="BO166" t="e">
        <f>AND('GA55 Entry'!#REF!,"AAAAAH2XP0I=")</f>
        <v>#REF!</v>
      </c>
      <c r="BP166" t="e">
        <f>AND('GA55 Entry'!#REF!,"AAAAAH2XP0M=")</f>
        <v>#REF!</v>
      </c>
      <c r="BQ166" t="e">
        <f>AND('GA55 Entry'!#REF!,"AAAAAH2XP0Q=")</f>
        <v>#REF!</v>
      </c>
      <c r="BR166" t="e">
        <f>AND('GA55 Entry'!#REF!,"AAAAAH2XP0U=")</f>
        <v>#REF!</v>
      </c>
      <c r="BS166" t="e">
        <f>AND('GA55 Entry'!Z600,"AAAAAH2XP0Y=")</f>
        <v>#VALUE!</v>
      </c>
      <c r="BT166" t="e">
        <f>AND('GA55 Entry'!AA600,"AAAAAH2XP0c=")</f>
        <v>#VALUE!</v>
      </c>
      <c r="BU166" t="e">
        <f>AND('GA55 Entry'!#REF!,"AAAAAH2XP0g=")</f>
        <v>#REF!</v>
      </c>
      <c r="BV166" t="e">
        <f>AND('GA55 Entry'!#REF!,"AAAAAH2XP0k=")</f>
        <v>#REF!</v>
      </c>
      <c r="BW166" t="e">
        <f>AND('GA55 Entry'!#REF!,"AAAAAH2XP0o=")</f>
        <v>#REF!</v>
      </c>
      <c r="BX166" t="e">
        <f>AND('GA55 Entry'!AB600,"AAAAAH2XP0s=")</f>
        <v>#VALUE!</v>
      </c>
      <c r="BY166" t="e">
        <f>AND('GA55 Entry'!AC600,"AAAAAH2XP0w=")</f>
        <v>#VALUE!</v>
      </c>
      <c r="BZ166" t="e">
        <f>AND('GA55 Entry'!#REF!,"AAAAAH2XP00=")</f>
        <v>#REF!</v>
      </c>
      <c r="CA166">
        <f>IF('GA55 Entry'!601:601,"AAAAAH2XP04=",0)</f>
        <v>0</v>
      </c>
      <c r="CB166" t="e">
        <f>AND('GA55 Entry'!B601,"AAAAAH2XP08=")</f>
        <v>#VALUE!</v>
      </c>
      <c r="CC166" t="e">
        <f>AND('GA55 Entry'!#REF!,"AAAAAH2XP1A=")</f>
        <v>#REF!</v>
      </c>
      <c r="CD166" t="e">
        <f>AND('GA55 Entry'!C601,"AAAAAH2XP1E=")</f>
        <v>#VALUE!</v>
      </c>
      <c r="CE166" t="e">
        <f>AND('GA55 Entry'!#REF!,"AAAAAH2XP1I=")</f>
        <v>#REF!</v>
      </c>
      <c r="CF166" t="e">
        <f>AND('GA55 Entry'!#REF!,"AAAAAH2XP1M=")</f>
        <v>#REF!</v>
      </c>
      <c r="CG166" t="e">
        <f>AND('GA55 Entry'!#REF!,"AAAAAH2XP1Q=")</f>
        <v>#REF!</v>
      </c>
      <c r="CH166" t="e">
        <f>AND('GA55 Entry'!#REF!,"AAAAAH2XP1U=")</f>
        <v>#REF!</v>
      </c>
      <c r="CI166" t="e">
        <f>AND('GA55 Entry'!#REF!,"AAAAAH2XP1Y=")</f>
        <v>#REF!</v>
      </c>
      <c r="CJ166" t="e">
        <f>AND('GA55 Entry'!D601,"AAAAAH2XP1c=")</f>
        <v>#VALUE!</v>
      </c>
      <c r="CK166" t="e">
        <f>AND('GA55 Entry'!#REF!,"AAAAAH2XP1g=")</f>
        <v>#REF!</v>
      </c>
      <c r="CL166" t="e">
        <f>AND('GA55 Entry'!E601,"AAAAAH2XP1k=")</f>
        <v>#VALUE!</v>
      </c>
      <c r="CM166" t="e">
        <f>AND('GA55 Entry'!F601,"AAAAAH2XP1o=")</f>
        <v>#VALUE!</v>
      </c>
      <c r="CN166" t="e">
        <f>AND('GA55 Entry'!G601,"AAAAAH2XP1s=")</f>
        <v>#VALUE!</v>
      </c>
      <c r="CO166" t="e">
        <f>AND('GA55 Entry'!H601,"AAAAAH2XP1w=")</f>
        <v>#VALUE!</v>
      </c>
      <c r="CP166" t="e">
        <f>AND('GA55 Entry'!I601,"AAAAAH2XP10=")</f>
        <v>#VALUE!</v>
      </c>
      <c r="CQ166" t="e">
        <f>AND('GA55 Entry'!J601,"AAAAAH2XP14=")</f>
        <v>#VALUE!</v>
      </c>
      <c r="CR166" t="e">
        <f>AND('GA55 Entry'!#REF!,"AAAAAH2XP18=")</f>
        <v>#REF!</v>
      </c>
      <c r="CS166" t="e">
        <f>AND('GA55 Entry'!K601,"AAAAAH2XP2A=")</f>
        <v>#VALUE!</v>
      </c>
      <c r="CT166" t="e">
        <f>AND('GA55 Entry'!L601,"AAAAAH2XP2E=")</f>
        <v>#VALUE!</v>
      </c>
      <c r="CU166" t="e">
        <f>AND('GA55 Entry'!M601,"AAAAAH2XP2I=")</f>
        <v>#VALUE!</v>
      </c>
      <c r="CV166" t="e">
        <f>AND('GA55 Entry'!N601,"AAAAAH2XP2M=")</f>
        <v>#VALUE!</v>
      </c>
      <c r="CW166" t="e">
        <f>AND('GA55 Entry'!O601,"AAAAAH2XP2Q=")</f>
        <v>#VALUE!</v>
      </c>
      <c r="CX166" t="e">
        <f>AND('GA55 Entry'!P601,"AAAAAH2XP2U=")</f>
        <v>#VALUE!</v>
      </c>
      <c r="CY166" t="e">
        <f>AND('GA55 Entry'!Q601,"AAAAAH2XP2Y=")</f>
        <v>#VALUE!</v>
      </c>
      <c r="CZ166" t="e">
        <f>AND('GA55 Entry'!S601,"AAAAAH2XP2c=")</f>
        <v>#VALUE!</v>
      </c>
      <c r="DA166" t="e">
        <f>AND('GA55 Entry'!#REF!,"AAAAAH2XP2g=")</f>
        <v>#REF!</v>
      </c>
      <c r="DB166" t="e">
        <f>AND('GA55 Entry'!T601,"AAAAAH2XP2k=")</f>
        <v>#VALUE!</v>
      </c>
      <c r="DC166" t="e">
        <f>AND('GA55 Entry'!U601,"AAAAAH2XP2o=")</f>
        <v>#VALUE!</v>
      </c>
      <c r="DD166" t="e">
        <f>AND('GA55 Entry'!V601,"AAAAAH2XP2s=")</f>
        <v>#VALUE!</v>
      </c>
      <c r="DE166" t="e">
        <f>AND('GA55 Entry'!#REF!,"AAAAAH2XP2w=")</f>
        <v>#REF!</v>
      </c>
      <c r="DF166" t="e">
        <f>AND('GA55 Entry'!#REF!,"AAAAAH2XP20=")</f>
        <v>#REF!</v>
      </c>
      <c r="DG166" t="e">
        <f>AND('GA55 Entry'!X601,"AAAAAH2XP24=")</f>
        <v>#VALUE!</v>
      </c>
      <c r="DH166" t="e">
        <f>AND('GA55 Entry'!Y601,"AAAAAH2XP28=")</f>
        <v>#VALUE!</v>
      </c>
      <c r="DI166" t="e">
        <f>AND('GA55 Entry'!#REF!,"AAAAAH2XP3A=")</f>
        <v>#REF!</v>
      </c>
      <c r="DJ166" t="e">
        <f>AND('GA55 Entry'!#REF!,"AAAAAH2XP3E=")</f>
        <v>#REF!</v>
      </c>
      <c r="DK166" t="e">
        <f>AND('GA55 Entry'!#REF!,"AAAAAH2XP3I=")</f>
        <v>#REF!</v>
      </c>
      <c r="DL166" t="e">
        <f>AND('GA55 Entry'!#REF!,"AAAAAH2XP3M=")</f>
        <v>#REF!</v>
      </c>
      <c r="DM166" t="e">
        <f>AND('GA55 Entry'!#REF!,"AAAAAH2XP3Q=")</f>
        <v>#REF!</v>
      </c>
      <c r="DN166" t="e">
        <f>AND('GA55 Entry'!#REF!,"AAAAAH2XP3U=")</f>
        <v>#REF!</v>
      </c>
      <c r="DO166" t="e">
        <f>AND('GA55 Entry'!#REF!,"AAAAAH2XP3Y=")</f>
        <v>#REF!</v>
      </c>
      <c r="DP166" t="e">
        <f>AND('GA55 Entry'!#REF!,"AAAAAH2XP3c=")</f>
        <v>#REF!</v>
      </c>
      <c r="DQ166" t="e">
        <f>AND('GA55 Entry'!#REF!,"AAAAAH2XP3g=")</f>
        <v>#REF!</v>
      </c>
      <c r="DR166" t="e">
        <f>AND('GA55 Entry'!Z601,"AAAAAH2XP3k=")</f>
        <v>#VALUE!</v>
      </c>
      <c r="DS166" t="e">
        <f>AND('GA55 Entry'!AA601,"AAAAAH2XP3o=")</f>
        <v>#VALUE!</v>
      </c>
      <c r="DT166" t="e">
        <f>AND('GA55 Entry'!#REF!,"AAAAAH2XP3s=")</f>
        <v>#REF!</v>
      </c>
      <c r="DU166" t="e">
        <f>AND('GA55 Entry'!#REF!,"AAAAAH2XP3w=")</f>
        <v>#REF!</v>
      </c>
      <c r="DV166" t="e">
        <f>AND('GA55 Entry'!#REF!,"AAAAAH2XP30=")</f>
        <v>#REF!</v>
      </c>
      <c r="DW166" t="e">
        <f>AND('GA55 Entry'!AB601,"AAAAAH2XP34=")</f>
        <v>#VALUE!</v>
      </c>
      <c r="DX166" t="e">
        <f>AND('GA55 Entry'!AC601,"AAAAAH2XP38=")</f>
        <v>#VALUE!</v>
      </c>
      <c r="DY166" t="e">
        <f>AND('GA55 Entry'!#REF!,"AAAAAH2XP4A=")</f>
        <v>#REF!</v>
      </c>
      <c r="DZ166">
        <f>IF('GA55 Entry'!602:602,"AAAAAH2XP4E=",0)</f>
        <v>0</v>
      </c>
      <c r="EA166" t="e">
        <f>AND('GA55 Entry'!B602,"AAAAAH2XP4I=")</f>
        <v>#VALUE!</v>
      </c>
      <c r="EB166" t="e">
        <f>AND('GA55 Entry'!#REF!,"AAAAAH2XP4M=")</f>
        <v>#REF!</v>
      </c>
      <c r="EC166" t="e">
        <f>AND('GA55 Entry'!C602,"AAAAAH2XP4Q=")</f>
        <v>#VALUE!</v>
      </c>
      <c r="ED166" t="e">
        <f>AND('GA55 Entry'!#REF!,"AAAAAH2XP4U=")</f>
        <v>#REF!</v>
      </c>
      <c r="EE166" t="e">
        <f>AND('GA55 Entry'!#REF!,"AAAAAH2XP4Y=")</f>
        <v>#REF!</v>
      </c>
      <c r="EF166" t="e">
        <f>AND('GA55 Entry'!#REF!,"AAAAAH2XP4c=")</f>
        <v>#REF!</v>
      </c>
      <c r="EG166" t="e">
        <f>AND('GA55 Entry'!#REF!,"AAAAAH2XP4g=")</f>
        <v>#REF!</v>
      </c>
      <c r="EH166" t="e">
        <f>AND('GA55 Entry'!#REF!,"AAAAAH2XP4k=")</f>
        <v>#REF!</v>
      </c>
      <c r="EI166" t="e">
        <f>AND('GA55 Entry'!D602,"AAAAAH2XP4o=")</f>
        <v>#VALUE!</v>
      </c>
      <c r="EJ166" t="e">
        <f>AND('GA55 Entry'!#REF!,"AAAAAH2XP4s=")</f>
        <v>#REF!</v>
      </c>
      <c r="EK166" t="e">
        <f>AND('GA55 Entry'!E602,"AAAAAH2XP4w=")</f>
        <v>#VALUE!</v>
      </c>
      <c r="EL166" t="e">
        <f>AND('GA55 Entry'!F602,"AAAAAH2XP40=")</f>
        <v>#VALUE!</v>
      </c>
      <c r="EM166" t="e">
        <f>AND('GA55 Entry'!G602,"AAAAAH2XP44=")</f>
        <v>#VALUE!</v>
      </c>
      <c r="EN166" t="e">
        <f>AND('GA55 Entry'!H602,"AAAAAH2XP48=")</f>
        <v>#VALUE!</v>
      </c>
      <c r="EO166" t="e">
        <f>AND('GA55 Entry'!I602,"AAAAAH2XP5A=")</f>
        <v>#VALUE!</v>
      </c>
      <c r="EP166" t="e">
        <f>AND('GA55 Entry'!J602,"AAAAAH2XP5E=")</f>
        <v>#VALUE!</v>
      </c>
      <c r="EQ166" t="e">
        <f>AND('GA55 Entry'!#REF!,"AAAAAH2XP5I=")</f>
        <v>#REF!</v>
      </c>
      <c r="ER166" t="e">
        <f>AND('GA55 Entry'!K602,"AAAAAH2XP5M=")</f>
        <v>#VALUE!</v>
      </c>
      <c r="ES166" t="e">
        <f>AND('GA55 Entry'!L602,"AAAAAH2XP5Q=")</f>
        <v>#VALUE!</v>
      </c>
      <c r="ET166" t="e">
        <f>AND('GA55 Entry'!M602,"AAAAAH2XP5U=")</f>
        <v>#VALUE!</v>
      </c>
      <c r="EU166" t="e">
        <f>AND('GA55 Entry'!N602,"AAAAAH2XP5Y=")</f>
        <v>#VALUE!</v>
      </c>
      <c r="EV166" t="e">
        <f>AND('GA55 Entry'!O602,"AAAAAH2XP5c=")</f>
        <v>#VALUE!</v>
      </c>
      <c r="EW166" t="e">
        <f>AND('GA55 Entry'!P602,"AAAAAH2XP5g=")</f>
        <v>#VALUE!</v>
      </c>
      <c r="EX166" t="e">
        <f>AND('GA55 Entry'!Q602,"AAAAAH2XP5k=")</f>
        <v>#VALUE!</v>
      </c>
      <c r="EY166" t="e">
        <f>AND('GA55 Entry'!S602,"AAAAAH2XP5o=")</f>
        <v>#VALUE!</v>
      </c>
      <c r="EZ166" t="e">
        <f>AND('GA55 Entry'!#REF!,"AAAAAH2XP5s=")</f>
        <v>#REF!</v>
      </c>
      <c r="FA166" t="e">
        <f>AND('GA55 Entry'!T602,"AAAAAH2XP5w=")</f>
        <v>#VALUE!</v>
      </c>
      <c r="FB166" t="e">
        <f>AND('GA55 Entry'!U602,"AAAAAH2XP50=")</f>
        <v>#VALUE!</v>
      </c>
      <c r="FC166" t="e">
        <f>AND('GA55 Entry'!V602,"AAAAAH2XP54=")</f>
        <v>#VALUE!</v>
      </c>
      <c r="FD166" t="e">
        <f>AND('GA55 Entry'!#REF!,"AAAAAH2XP58=")</f>
        <v>#REF!</v>
      </c>
      <c r="FE166" t="e">
        <f>AND('GA55 Entry'!#REF!,"AAAAAH2XP6A=")</f>
        <v>#REF!</v>
      </c>
      <c r="FF166" t="e">
        <f>AND('GA55 Entry'!X602,"AAAAAH2XP6E=")</f>
        <v>#VALUE!</v>
      </c>
      <c r="FG166" t="e">
        <f>AND('GA55 Entry'!Y602,"AAAAAH2XP6I=")</f>
        <v>#VALUE!</v>
      </c>
      <c r="FH166" t="e">
        <f>AND('GA55 Entry'!#REF!,"AAAAAH2XP6M=")</f>
        <v>#REF!</v>
      </c>
      <c r="FI166" t="e">
        <f>AND('GA55 Entry'!#REF!,"AAAAAH2XP6Q=")</f>
        <v>#REF!</v>
      </c>
      <c r="FJ166" t="e">
        <f>AND('GA55 Entry'!#REF!,"AAAAAH2XP6U=")</f>
        <v>#REF!</v>
      </c>
      <c r="FK166" t="e">
        <f>AND('GA55 Entry'!#REF!,"AAAAAH2XP6Y=")</f>
        <v>#REF!</v>
      </c>
      <c r="FL166" t="e">
        <f>AND('GA55 Entry'!#REF!,"AAAAAH2XP6c=")</f>
        <v>#REF!</v>
      </c>
      <c r="FM166" t="e">
        <f>AND('GA55 Entry'!#REF!,"AAAAAH2XP6g=")</f>
        <v>#REF!</v>
      </c>
      <c r="FN166" t="e">
        <f>AND('GA55 Entry'!#REF!,"AAAAAH2XP6k=")</f>
        <v>#REF!</v>
      </c>
      <c r="FO166" t="e">
        <f>AND('GA55 Entry'!#REF!,"AAAAAH2XP6o=")</f>
        <v>#REF!</v>
      </c>
      <c r="FP166" t="e">
        <f>AND('GA55 Entry'!#REF!,"AAAAAH2XP6s=")</f>
        <v>#REF!</v>
      </c>
      <c r="FQ166" t="e">
        <f>AND('GA55 Entry'!Z602,"AAAAAH2XP6w=")</f>
        <v>#VALUE!</v>
      </c>
      <c r="FR166" t="e">
        <f>AND('GA55 Entry'!AA602,"AAAAAH2XP60=")</f>
        <v>#VALUE!</v>
      </c>
      <c r="FS166" t="e">
        <f>AND('GA55 Entry'!#REF!,"AAAAAH2XP64=")</f>
        <v>#REF!</v>
      </c>
      <c r="FT166" t="e">
        <f>AND('GA55 Entry'!#REF!,"AAAAAH2XP68=")</f>
        <v>#REF!</v>
      </c>
      <c r="FU166" t="e">
        <f>AND('GA55 Entry'!#REF!,"AAAAAH2XP7A=")</f>
        <v>#REF!</v>
      </c>
      <c r="FV166" t="e">
        <f>AND('GA55 Entry'!AB602,"AAAAAH2XP7E=")</f>
        <v>#VALUE!</v>
      </c>
      <c r="FW166" t="e">
        <f>AND('GA55 Entry'!AC602,"AAAAAH2XP7I=")</f>
        <v>#VALUE!</v>
      </c>
      <c r="FX166" t="e">
        <f>AND('GA55 Entry'!#REF!,"AAAAAH2XP7M=")</f>
        <v>#REF!</v>
      </c>
      <c r="FY166">
        <f>IF('GA55 Entry'!603:603,"AAAAAH2XP7Q=",0)</f>
        <v>0</v>
      </c>
      <c r="FZ166" t="e">
        <f>AND('GA55 Entry'!B603,"AAAAAH2XP7U=")</f>
        <v>#VALUE!</v>
      </c>
      <c r="GA166" t="e">
        <f>AND('GA55 Entry'!#REF!,"AAAAAH2XP7Y=")</f>
        <v>#REF!</v>
      </c>
      <c r="GB166" t="e">
        <f>AND('GA55 Entry'!C603,"AAAAAH2XP7c=")</f>
        <v>#VALUE!</v>
      </c>
      <c r="GC166" t="e">
        <f>AND('GA55 Entry'!#REF!,"AAAAAH2XP7g=")</f>
        <v>#REF!</v>
      </c>
      <c r="GD166" t="e">
        <f>AND('GA55 Entry'!#REF!,"AAAAAH2XP7k=")</f>
        <v>#REF!</v>
      </c>
      <c r="GE166" t="e">
        <f>AND('GA55 Entry'!#REF!,"AAAAAH2XP7o=")</f>
        <v>#REF!</v>
      </c>
      <c r="GF166" t="e">
        <f>AND('GA55 Entry'!#REF!,"AAAAAH2XP7s=")</f>
        <v>#REF!</v>
      </c>
      <c r="GG166" t="e">
        <f>AND('GA55 Entry'!#REF!,"AAAAAH2XP7w=")</f>
        <v>#REF!</v>
      </c>
      <c r="GH166" t="e">
        <f>AND('GA55 Entry'!D603,"AAAAAH2XP70=")</f>
        <v>#VALUE!</v>
      </c>
      <c r="GI166" t="e">
        <f>AND('GA55 Entry'!#REF!,"AAAAAH2XP74=")</f>
        <v>#REF!</v>
      </c>
      <c r="GJ166" t="e">
        <f>AND('GA55 Entry'!E603,"AAAAAH2XP78=")</f>
        <v>#VALUE!</v>
      </c>
      <c r="GK166" t="e">
        <f>AND('GA55 Entry'!F603,"AAAAAH2XP8A=")</f>
        <v>#VALUE!</v>
      </c>
      <c r="GL166" t="e">
        <f>AND('GA55 Entry'!G603,"AAAAAH2XP8E=")</f>
        <v>#VALUE!</v>
      </c>
      <c r="GM166" t="e">
        <f>AND('GA55 Entry'!H603,"AAAAAH2XP8I=")</f>
        <v>#VALUE!</v>
      </c>
      <c r="GN166" t="e">
        <f>AND('GA55 Entry'!I603,"AAAAAH2XP8M=")</f>
        <v>#VALUE!</v>
      </c>
      <c r="GO166" t="e">
        <f>AND('GA55 Entry'!J603,"AAAAAH2XP8Q=")</f>
        <v>#VALUE!</v>
      </c>
      <c r="GP166" t="e">
        <f>AND('GA55 Entry'!#REF!,"AAAAAH2XP8U=")</f>
        <v>#REF!</v>
      </c>
      <c r="GQ166" t="e">
        <f>AND('GA55 Entry'!K603,"AAAAAH2XP8Y=")</f>
        <v>#VALUE!</v>
      </c>
      <c r="GR166" t="e">
        <f>AND('GA55 Entry'!L603,"AAAAAH2XP8c=")</f>
        <v>#VALUE!</v>
      </c>
      <c r="GS166" t="e">
        <f>AND('GA55 Entry'!M603,"AAAAAH2XP8g=")</f>
        <v>#VALUE!</v>
      </c>
      <c r="GT166" t="e">
        <f>AND('GA55 Entry'!N603,"AAAAAH2XP8k=")</f>
        <v>#VALUE!</v>
      </c>
      <c r="GU166" t="e">
        <f>AND('GA55 Entry'!O603,"AAAAAH2XP8o=")</f>
        <v>#VALUE!</v>
      </c>
      <c r="GV166" t="e">
        <f>AND('GA55 Entry'!P603,"AAAAAH2XP8s=")</f>
        <v>#VALUE!</v>
      </c>
      <c r="GW166" t="e">
        <f>AND('GA55 Entry'!Q603,"AAAAAH2XP8w=")</f>
        <v>#VALUE!</v>
      </c>
      <c r="GX166" t="e">
        <f>AND('GA55 Entry'!S603,"AAAAAH2XP80=")</f>
        <v>#VALUE!</v>
      </c>
      <c r="GY166" t="e">
        <f>AND('GA55 Entry'!#REF!,"AAAAAH2XP84=")</f>
        <v>#REF!</v>
      </c>
      <c r="GZ166" t="e">
        <f>AND('GA55 Entry'!T603,"AAAAAH2XP88=")</f>
        <v>#VALUE!</v>
      </c>
      <c r="HA166" t="e">
        <f>AND('GA55 Entry'!U603,"AAAAAH2XP9A=")</f>
        <v>#VALUE!</v>
      </c>
      <c r="HB166" t="e">
        <f>AND('GA55 Entry'!V603,"AAAAAH2XP9E=")</f>
        <v>#VALUE!</v>
      </c>
      <c r="HC166" t="e">
        <f>AND('GA55 Entry'!#REF!,"AAAAAH2XP9I=")</f>
        <v>#REF!</v>
      </c>
      <c r="HD166" t="e">
        <f>AND('GA55 Entry'!#REF!,"AAAAAH2XP9M=")</f>
        <v>#REF!</v>
      </c>
      <c r="HE166" t="e">
        <f>AND('GA55 Entry'!X603,"AAAAAH2XP9Q=")</f>
        <v>#VALUE!</v>
      </c>
      <c r="HF166" t="e">
        <f>AND('GA55 Entry'!Y603,"AAAAAH2XP9U=")</f>
        <v>#VALUE!</v>
      </c>
      <c r="HG166" t="e">
        <f>AND('GA55 Entry'!#REF!,"AAAAAH2XP9Y=")</f>
        <v>#REF!</v>
      </c>
      <c r="HH166" t="e">
        <f>AND('GA55 Entry'!#REF!,"AAAAAH2XP9c=")</f>
        <v>#REF!</v>
      </c>
      <c r="HI166" t="e">
        <f>AND('GA55 Entry'!#REF!,"AAAAAH2XP9g=")</f>
        <v>#REF!</v>
      </c>
      <c r="HJ166" t="e">
        <f>AND('GA55 Entry'!#REF!,"AAAAAH2XP9k=")</f>
        <v>#REF!</v>
      </c>
      <c r="HK166" t="e">
        <f>AND('GA55 Entry'!#REF!,"AAAAAH2XP9o=")</f>
        <v>#REF!</v>
      </c>
      <c r="HL166" t="e">
        <f>AND('GA55 Entry'!#REF!,"AAAAAH2XP9s=")</f>
        <v>#REF!</v>
      </c>
      <c r="HM166" t="e">
        <f>AND('GA55 Entry'!#REF!,"AAAAAH2XP9w=")</f>
        <v>#REF!</v>
      </c>
      <c r="HN166" t="e">
        <f>AND('GA55 Entry'!#REF!,"AAAAAH2XP90=")</f>
        <v>#REF!</v>
      </c>
      <c r="HO166" t="e">
        <f>AND('GA55 Entry'!#REF!,"AAAAAH2XP94=")</f>
        <v>#REF!</v>
      </c>
      <c r="HP166" t="e">
        <f>AND('GA55 Entry'!Z603,"AAAAAH2XP98=")</f>
        <v>#VALUE!</v>
      </c>
      <c r="HQ166" t="e">
        <f>AND('GA55 Entry'!AA603,"AAAAAH2XP+A=")</f>
        <v>#VALUE!</v>
      </c>
      <c r="HR166" t="e">
        <f>AND('GA55 Entry'!#REF!,"AAAAAH2XP+E=")</f>
        <v>#REF!</v>
      </c>
      <c r="HS166" t="e">
        <f>AND('GA55 Entry'!#REF!,"AAAAAH2XP+I=")</f>
        <v>#REF!</v>
      </c>
      <c r="HT166" t="e">
        <f>AND('GA55 Entry'!#REF!,"AAAAAH2XP+M=")</f>
        <v>#REF!</v>
      </c>
      <c r="HU166" t="e">
        <f>AND('GA55 Entry'!AB603,"AAAAAH2XP+Q=")</f>
        <v>#VALUE!</v>
      </c>
      <c r="HV166" t="e">
        <f>AND('GA55 Entry'!AC603,"AAAAAH2XP+U=")</f>
        <v>#VALUE!</v>
      </c>
      <c r="HW166" t="e">
        <f>AND('GA55 Entry'!#REF!,"AAAAAH2XP+Y=")</f>
        <v>#REF!</v>
      </c>
      <c r="HX166">
        <f>IF('GA55 Entry'!604:604,"AAAAAH2XP+c=",0)</f>
        <v>0</v>
      </c>
      <c r="HY166" t="e">
        <f>AND('GA55 Entry'!B604,"AAAAAH2XP+g=")</f>
        <v>#VALUE!</v>
      </c>
      <c r="HZ166" t="e">
        <f>AND('GA55 Entry'!#REF!,"AAAAAH2XP+k=")</f>
        <v>#REF!</v>
      </c>
      <c r="IA166" t="e">
        <f>AND('GA55 Entry'!C604,"AAAAAH2XP+o=")</f>
        <v>#VALUE!</v>
      </c>
      <c r="IB166" t="e">
        <f>AND('GA55 Entry'!#REF!,"AAAAAH2XP+s=")</f>
        <v>#REF!</v>
      </c>
      <c r="IC166" t="e">
        <f>AND('GA55 Entry'!#REF!,"AAAAAH2XP+w=")</f>
        <v>#REF!</v>
      </c>
      <c r="ID166" t="e">
        <f>AND('GA55 Entry'!#REF!,"AAAAAH2XP+0=")</f>
        <v>#REF!</v>
      </c>
      <c r="IE166" t="e">
        <f>AND('GA55 Entry'!#REF!,"AAAAAH2XP+4=")</f>
        <v>#REF!</v>
      </c>
      <c r="IF166" t="e">
        <f>AND('GA55 Entry'!#REF!,"AAAAAH2XP+8=")</f>
        <v>#REF!</v>
      </c>
      <c r="IG166" t="e">
        <f>AND('GA55 Entry'!D604,"AAAAAH2XP/A=")</f>
        <v>#VALUE!</v>
      </c>
      <c r="IH166" t="e">
        <f>AND('GA55 Entry'!#REF!,"AAAAAH2XP/E=")</f>
        <v>#REF!</v>
      </c>
      <c r="II166" t="e">
        <f>AND('GA55 Entry'!E604,"AAAAAH2XP/I=")</f>
        <v>#VALUE!</v>
      </c>
      <c r="IJ166" t="e">
        <f>AND('GA55 Entry'!F604,"AAAAAH2XP/M=")</f>
        <v>#VALUE!</v>
      </c>
      <c r="IK166" t="e">
        <f>AND('GA55 Entry'!G604,"AAAAAH2XP/Q=")</f>
        <v>#VALUE!</v>
      </c>
      <c r="IL166" t="e">
        <f>AND('GA55 Entry'!H604,"AAAAAH2XP/U=")</f>
        <v>#VALUE!</v>
      </c>
      <c r="IM166" t="e">
        <f>AND('GA55 Entry'!I604,"AAAAAH2XP/Y=")</f>
        <v>#VALUE!</v>
      </c>
      <c r="IN166" t="e">
        <f>AND('GA55 Entry'!J604,"AAAAAH2XP/c=")</f>
        <v>#VALUE!</v>
      </c>
      <c r="IO166" t="e">
        <f>AND('GA55 Entry'!#REF!,"AAAAAH2XP/g=")</f>
        <v>#REF!</v>
      </c>
      <c r="IP166" t="e">
        <f>AND('GA55 Entry'!K604,"AAAAAH2XP/k=")</f>
        <v>#VALUE!</v>
      </c>
      <c r="IQ166" t="e">
        <f>AND('GA55 Entry'!L604,"AAAAAH2XP/o=")</f>
        <v>#VALUE!</v>
      </c>
      <c r="IR166" t="e">
        <f>AND('GA55 Entry'!M604,"AAAAAH2XP/s=")</f>
        <v>#VALUE!</v>
      </c>
      <c r="IS166" t="e">
        <f>AND('GA55 Entry'!N604,"AAAAAH2XP/w=")</f>
        <v>#VALUE!</v>
      </c>
      <c r="IT166" t="e">
        <f>AND('GA55 Entry'!O604,"AAAAAH2XP/0=")</f>
        <v>#VALUE!</v>
      </c>
      <c r="IU166" t="e">
        <f>AND('GA55 Entry'!P604,"AAAAAH2XP/4=")</f>
        <v>#VALUE!</v>
      </c>
      <c r="IV166" t="e">
        <f>AND('GA55 Entry'!Q604,"AAAAAH2XP/8=")</f>
        <v>#VALUE!</v>
      </c>
    </row>
    <row r="167" spans="1:256">
      <c r="A167" t="e">
        <f>AND('GA55 Entry'!S604,"AAAAAH/egwA=")</f>
        <v>#VALUE!</v>
      </c>
      <c r="B167" t="e">
        <f>AND('GA55 Entry'!#REF!,"AAAAAH/egwE=")</f>
        <v>#REF!</v>
      </c>
      <c r="C167" t="e">
        <f>AND('GA55 Entry'!T604,"AAAAAH/egwI=")</f>
        <v>#VALUE!</v>
      </c>
      <c r="D167" t="e">
        <f>AND('GA55 Entry'!U604,"AAAAAH/egwM=")</f>
        <v>#VALUE!</v>
      </c>
      <c r="E167" t="e">
        <f>AND('GA55 Entry'!V604,"AAAAAH/egwQ=")</f>
        <v>#VALUE!</v>
      </c>
      <c r="F167" t="e">
        <f>AND('GA55 Entry'!#REF!,"AAAAAH/egwU=")</f>
        <v>#REF!</v>
      </c>
      <c r="G167" t="e">
        <f>AND('GA55 Entry'!#REF!,"AAAAAH/egwY=")</f>
        <v>#REF!</v>
      </c>
      <c r="H167" t="e">
        <f>AND('GA55 Entry'!X604,"AAAAAH/egwc=")</f>
        <v>#VALUE!</v>
      </c>
      <c r="I167" t="e">
        <f>AND('GA55 Entry'!Y604,"AAAAAH/egwg=")</f>
        <v>#VALUE!</v>
      </c>
      <c r="J167" t="e">
        <f>AND('GA55 Entry'!#REF!,"AAAAAH/egwk=")</f>
        <v>#REF!</v>
      </c>
      <c r="K167" t="e">
        <f>AND('GA55 Entry'!#REF!,"AAAAAH/egwo=")</f>
        <v>#REF!</v>
      </c>
      <c r="L167" t="e">
        <f>AND('GA55 Entry'!#REF!,"AAAAAH/egws=")</f>
        <v>#REF!</v>
      </c>
      <c r="M167" t="e">
        <f>AND('GA55 Entry'!#REF!,"AAAAAH/egww=")</f>
        <v>#REF!</v>
      </c>
      <c r="N167" t="e">
        <f>AND('GA55 Entry'!#REF!,"AAAAAH/egw0=")</f>
        <v>#REF!</v>
      </c>
      <c r="O167" t="e">
        <f>AND('GA55 Entry'!#REF!,"AAAAAH/egw4=")</f>
        <v>#REF!</v>
      </c>
      <c r="P167" t="e">
        <f>AND('GA55 Entry'!#REF!,"AAAAAH/egw8=")</f>
        <v>#REF!</v>
      </c>
      <c r="Q167" t="e">
        <f>AND('GA55 Entry'!#REF!,"AAAAAH/egxA=")</f>
        <v>#REF!</v>
      </c>
      <c r="R167" t="e">
        <f>AND('GA55 Entry'!#REF!,"AAAAAH/egxE=")</f>
        <v>#REF!</v>
      </c>
      <c r="S167" t="e">
        <f>AND('GA55 Entry'!Z604,"AAAAAH/egxI=")</f>
        <v>#VALUE!</v>
      </c>
      <c r="T167" t="e">
        <f>AND('GA55 Entry'!AA604,"AAAAAH/egxM=")</f>
        <v>#VALUE!</v>
      </c>
      <c r="U167" t="e">
        <f>AND('GA55 Entry'!#REF!,"AAAAAH/egxQ=")</f>
        <v>#REF!</v>
      </c>
      <c r="V167" t="e">
        <f>AND('GA55 Entry'!#REF!,"AAAAAH/egxU=")</f>
        <v>#REF!</v>
      </c>
      <c r="W167" t="e">
        <f>AND('GA55 Entry'!#REF!,"AAAAAH/egxY=")</f>
        <v>#REF!</v>
      </c>
      <c r="X167" t="e">
        <f>AND('GA55 Entry'!AB604,"AAAAAH/egxc=")</f>
        <v>#VALUE!</v>
      </c>
      <c r="Y167" t="e">
        <f>AND('GA55 Entry'!AC604,"AAAAAH/egxg=")</f>
        <v>#VALUE!</v>
      </c>
      <c r="Z167" t="e">
        <f>AND('GA55 Entry'!#REF!,"AAAAAH/egxk=")</f>
        <v>#REF!</v>
      </c>
      <c r="AA167">
        <f>IF('GA55 Entry'!605:605,"AAAAAH/egxo=",0)</f>
        <v>0</v>
      </c>
      <c r="AB167" t="e">
        <f>AND('GA55 Entry'!B605,"AAAAAH/egxs=")</f>
        <v>#VALUE!</v>
      </c>
      <c r="AC167" t="e">
        <f>AND('GA55 Entry'!#REF!,"AAAAAH/egxw=")</f>
        <v>#REF!</v>
      </c>
      <c r="AD167" t="e">
        <f>AND('GA55 Entry'!C605,"AAAAAH/egx0=")</f>
        <v>#VALUE!</v>
      </c>
      <c r="AE167" t="e">
        <f>AND('GA55 Entry'!#REF!,"AAAAAH/egx4=")</f>
        <v>#REF!</v>
      </c>
      <c r="AF167" t="e">
        <f>AND('GA55 Entry'!#REF!,"AAAAAH/egx8=")</f>
        <v>#REF!</v>
      </c>
      <c r="AG167" t="e">
        <f>AND('GA55 Entry'!#REF!,"AAAAAH/egyA=")</f>
        <v>#REF!</v>
      </c>
      <c r="AH167" t="e">
        <f>AND('GA55 Entry'!#REF!,"AAAAAH/egyE=")</f>
        <v>#REF!</v>
      </c>
      <c r="AI167" t="e">
        <f>AND('GA55 Entry'!#REF!,"AAAAAH/egyI=")</f>
        <v>#REF!</v>
      </c>
      <c r="AJ167" t="e">
        <f>AND('GA55 Entry'!D605,"AAAAAH/egyM=")</f>
        <v>#VALUE!</v>
      </c>
      <c r="AK167" t="e">
        <f>AND('GA55 Entry'!#REF!,"AAAAAH/egyQ=")</f>
        <v>#REF!</v>
      </c>
      <c r="AL167" t="e">
        <f>AND('GA55 Entry'!E605,"AAAAAH/egyU=")</f>
        <v>#VALUE!</v>
      </c>
      <c r="AM167" t="e">
        <f>AND('GA55 Entry'!F605,"AAAAAH/egyY=")</f>
        <v>#VALUE!</v>
      </c>
      <c r="AN167" t="e">
        <f>AND('GA55 Entry'!G605,"AAAAAH/egyc=")</f>
        <v>#VALUE!</v>
      </c>
      <c r="AO167" t="e">
        <f>AND('GA55 Entry'!H605,"AAAAAH/egyg=")</f>
        <v>#VALUE!</v>
      </c>
      <c r="AP167" t="e">
        <f>AND('GA55 Entry'!I605,"AAAAAH/egyk=")</f>
        <v>#VALUE!</v>
      </c>
      <c r="AQ167" t="e">
        <f>AND('GA55 Entry'!J605,"AAAAAH/egyo=")</f>
        <v>#VALUE!</v>
      </c>
      <c r="AR167" t="e">
        <f>AND('GA55 Entry'!#REF!,"AAAAAH/egys=")</f>
        <v>#REF!</v>
      </c>
      <c r="AS167" t="e">
        <f>AND('GA55 Entry'!K605,"AAAAAH/egyw=")</f>
        <v>#VALUE!</v>
      </c>
      <c r="AT167" t="e">
        <f>AND('GA55 Entry'!L605,"AAAAAH/egy0=")</f>
        <v>#VALUE!</v>
      </c>
      <c r="AU167" t="e">
        <f>AND('GA55 Entry'!M605,"AAAAAH/egy4=")</f>
        <v>#VALUE!</v>
      </c>
      <c r="AV167" t="e">
        <f>AND('GA55 Entry'!N605,"AAAAAH/egy8=")</f>
        <v>#VALUE!</v>
      </c>
      <c r="AW167" t="e">
        <f>AND('GA55 Entry'!O605,"AAAAAH/egzA=")</f>
        <v>#VALUE!</v>
      </c>
      <c r="AX167" t="e">
        <f>AND('GA55 Entry'!P605,"AAAAAH/egzE=")</f>
        <v>#VALUE!</v>
      </c>
      <c r="AY167" t="e">
        <f>AND('GA55 Entry'!Q605,"AAAAAH/egzI=")</f>
        <v>#VALUE!</v>
      </c>
      <c r="AZ167" t="e">
        <f>AND('GA55 Entry'!S605,"AAAAAH/egzM=")</f>
        <v>#VALUE!</v>
      </c>
      <c r="BA167" t="e">
        <f>AND('GA55 Entry'!#REF!,"AAAAAH/egzQ=")</f>
        <v>#REF!</v>
      </c>
      <c r="BB167" t="e">
        <f>AND('GA55 Entry'!T605,"AAAAAH/egzU=")</f>
        <v>#VALUE!</v>
      </c>
      <c r="BC167" t="e">
        <f>AND('GA55 Entry'!U605,"AAAAAH/egzY=")</f>
        <v>#VALUE!</v>
      </c>
      <c r="BD167" t="e">
        <f>AND('GA55 Entry'!V605,"AAAAAH/egzc=")</f>
        <v>#VALUE!</v>
      </c>
      <c r="BE167" t="e">
        <f>AND('GA55 Entry'!#REF!,"AAAAAH/egzg=")</f>
        <v>#REF!</v>
      </c>
      <c r="BF167" t="e">
        <f>AND('GA55 Entry'!#REF!,"AAAAAH/egzk=")</f>
        <v>#REF!</v>
      </c>
      <c r="BG167" t="e">
        <f>AND('GA55 Entry'!X605,"AAAAAH/egzo=")</f>
        <v>#VALUE!</v>
      </c>
      <c r="BH167" t="e">
        <f>AND('GA55 Entry'!Y605,"AAAAAH/egzs=")</f>
        <v>#VALUE!</v>
      </c>
      <c r="BI167" t="e">
        <f>AND('GA55 Entry'!#REF!,"AAAAAH/egzw=")</f>
        <v>#REF!</v>
      </c>
      <c r="BJ167" t="e">
        <f>AND('GA55 Entry'!#REF!,"AAAAAH/egz0=")</f>
        <v>#REF!</v>
      </c>
      <c r="BK167" t="e">
        <f>AND('GA55 Entry'!#REF!,"AAAAAH/egz4=")</f>
        <v>#REF!</v>
      </c>
      <c r="BL167" t="e">
        <f>AND('GA55 Entry'!#REF!,"AAAAAH/egz8=")</f>
        <v>#REF!</v>
      </c>
      <c r="BM167" t="e">
        <f>AND('GA55 Entry'!#REF!,"AAAAAH/eg0A=")</f>
        <v>#REF!</v>
      </c>
      <c r="BN167" t="e">
        <f>AND('GA55 Entry'!#REF!,"AAAAAH/eg0E=")</f>
        <v>#REF!</v>
      </c>
      <c r="BO167" t="e">
        <f>AND('GA55 Entry'!#REF!,"AAAAAH/eg0I=")</f>
        <v>#REF!</v>
      </c>
      <c r="BP167" t="e">
        <f>AND('GA55 Entry'!#REF!,"AAAAAH/eg0M=")</f>
        <v>#REF!</v>
      </c>
      <c r="BQ167" t="e">
        <f>AND('GA55 Entry'!#REF!,"AAAAAH/eg0Q=")</f>
        <v>#REF!</v>
      </c>
      <c r="BR167" t="e">
        <f>AND('GA55 Entry'!Z605,"AAAAAH/eg0U=")</f>
        <v>#VALUE!</v>
      </c>
      <c r="BS167" t="e">
        <f>AND('GA55 Entry'!AA605,"AAAAAH/eg0Y=")</f>
        <v>#VALUE!</v>
      </c>
      <c r="BT167" t="e">
        <f>AND('GA55 Entry'!#REF!,"AAAAAH/eg0c=")</f>
        <v>#REF!</v>
      </c>
      <c r="BU167" t="e">
        <f>AND('GA55 Entry'!#REF!,"AAAAAH/eg0g=")</f>
        <v>#REF!</v>
      </c>
      <c r="BV167" t="e">
        <f>AND('GA55 Entry'!#REF!,"AAAAAH/eg0k=")</f>
        <v>#REF!</v>
      </c>
      <c r="BW167" t="e">
        <f>AND('GA55 Entry'!AB605,"AAAAAH/eg0o=")</f>
        <v>#VALUE!</v>
      </c>
      <c r="BX167" t="e">
        <f>AND('GA55 Entry'!AC605,"AAAAAH/eg0s=")</f>
        <v>#VALUE!</v>
      </c>
      <c r="BY167" t="e">
        <f>AND('GA55 Entry'!#REF!,"AAAAAH/eg0w=")</f>
        <v>#REF!</v>
      </c>
      <c r="BZ167">
        <f>IF('GA55 Entry'!606:606,"AAAAAH/eg00=",0)</f>
        <v>0</v>
      </c>
      <c r="CA167" t="e">
        <f>AND('GA55 Entry'!B606,"AAAAAH/eg04=")</f>
        <v>#VALUE!</v>
      </c>
      <c r="CB167" t="e">
        <f>AND('GA55 Entry'!#REF!,"AAAAAH/eg08=")</f>
        <v>#REF!</v>
      </c>
      <c r="CC167" t="e">
        <f>AND('GA55 Entry'!C606,"AAAAAH/eg1A=")</f>
        <v>#VALUE!</v>
      </c>
      <c r="CD167" t="e">
        <f>AND('GA55 Entry'!#REF!,"AAAAAH/eg1E=")</f>
        <v>#REF!</v>
      </c>
      <c r="CE167" t="e">
        <f>AND('GA55 Entry'!#REF!,"AAAAAH/eg1I=")</f>
        <v>#REF!</v>
      </c>
      <c r="CF167" t="e">
        <f>AND('GA55 Entry'!#REF!,"AAAAAH/eg1M=")</f>
        <v>#REF!</v>
      </c>
      <c r="CG167" t="e">
        <f>AND('GA55 Entry'!#REF!,"AAAAAH/eg1Q=")</f>
        <v>#REF!</v>
      </c>
      <c r="CH167" t="e">
        <f>AND('GA55 Entry'!#REF!,"AAAAAH/eg1U=")</f>
        <v>#REF!</v>
      </c>
      <c r="CI167" t="e">
        <f>AND('GA55 Entry'!D606,"AAAAAH/eg1Y=")</f>
        <v>#VALUE!</v>
      </c>
      <c r="CJ167" t="e">
        <f>AND('GA55 Entry'!#REF!,"AAAAAH/eg1c=")</f>
        <v>#REF!</v>
      </c>
      <c r="CK167" t="e">
        <f>AND('GA55 Entry'!E606,"AAAAAH/eg1g=")</f>
        <v>#VALUE!</v>
      </c>
      <c r="CL167" t="e">
        <f>AND('GA55 Entry'!F606,"AAAAAH/eg1k=")</f>
        <v>#VALUE!</v>
      </c>
      <c r="CM167" t="e">
        <f>AND('GA55 Entry'!G606,"AAAAAH/eg1o=")</f>
        <v>#VALUE!</v>
      </c>
      <c r="CN167" t="e">
        <f>AND('GA55 Entry'!H606,"AAAAAH/eg1s=")</f>
        <v>#VALUE!</v>
      </c>
      <c r="CO167" t="e">
        <f>AND('GA55 Entry'!I606,"AAAAAH/eg1w=")</f>
        <v>#VALUE!</v>
      </c>
      <c r="CP167" t="e">
        <f>AND('GA55 Entry'!J606,"AAAAAH/eg10=")</f>
        <v>#VALUE!</v>
      </c>
      <c r="CQ167" t="e">
        <f>AND('GA55 Entry'!#REF!,"AAAAAH/eg14=")</f>
        <v>#REF!</v>
      </c>
      <c r="CR167" t="e">
        <f>AND('GA55 Entry'!K606,"AAAAAH/eg18=")</f>
        <v>#VALUE!</v>
      </c>
      <c r="CS167" t="e">
        <f>AND('GA55 Entry'!L606,"AAAAAH/eg2A=")</f>
        <v>#VALUE!</v>
      </c>
      <c r="CT167" t="e">
        <f>AND('GA55 Entry'!M606,"AAAAAH/eg2E=")</f>
        <v>#VALUE!</v>
      </c>
      <c r="CU167" t="e">
        <f>AND('GA55 Entry'!N606,"AAAAAH/eg2I=")</f>
        <v>#VALUE!</v>
      </c>
      <c r="CV167" t="e">
        <f>AND('GA55 Entry'!O606,"AAAAAH/eg2M=")</f>
        <v>#VALUE!</v>
      </c>
      <c r="CW167" t="e">
        <f>AND('GA55 Entry'!P606,"AAAAAH/eg2Q=")</f>
        <v>#VALUE!</v>
      </c>
      <c r="CX167" t="e">
        <f>AND('GA55 Entry'!Q606,"AAAAAH/eg2U=")</f>
        <v>#VALUE!</v>
      </c>
      <c r="CY167" t="e">
        <f>AND('GA55 Entry'!S606,"AAAAAH/eg2Y=")</f>
        <v>#VALUE!</v>
      </c>
      <c r="CZ167" t="e">
        <f>AND('GA55 Entry'!#REF!,"AAAAAH/eg2c=")</f>
        <v>#REF!</v>
      </c>
      <c r="DA167" t="e">
        <f>AND('GA55 Entry'!T606,"AAAAAH/eg2g=")</f>
        <v>#VALUE!</v>
      </c>
      <c r="DB167" t="e">
        <f>AND('GA55 Entry'!U606,"AAAAAH/eg2k=")</f>
        <v>#VALUE!</v>
      </c>
      <c r="DC167" t="e">
        <f>AND('GA55 Entry'!V606,"AAAAAH/eg2o=")</f>
        <v>#VALUE!</v>
      </c>
      <c r="DD167" t="e">
        <f>AND('GA55 Entry'!#REF!,"AAAAAH/eg2s=")</f>
        <v>#REF!</v>
      </c>
      <c r="DE167" t="e">
        <f>AND('GA55 Entry'!#REF!,"AAAAAH/eg2w=")</f>
        <v>#REF!</v>
      </c>
      <c r="DF167" t="e">
        <f>AND('GA55 Entry'!X606,"AAAAAH/eg20=")</f>
        <v>#VALUE!</v>
      </c>
      <c r="DG167" t="e">
        <f>AND('GA55 Entry'!Y606,"AAAAAH/eg24=")</f>
        <v>#VALUE!</v>
      </c>
      <c r="DH167" t="e">
        <f>AND('GA55 Entry'!#REF!,"AAAAAH/eg28=")</f>
        <v>#REF!</v>
      </c>
      <c r="DI167" t="e">
        <f>AND('GA55 Entry'!#REF!,"AAAAAH/eg3A=")</f>
        <v>#REF!</v>
      </c>
      <c r="DJ167" t="e">
        <f>AND('GA55 Entry'!#REF!,"AAAAAH/eg3E=")</f>
        <v>#REF!</v>
      </c>
      <c r="DK167" t="e">
        <f>AND('GA55 Entry'!#REF!,"AAAAAH/eg3I=")</f>
        <v>#REF!</v>
      </c>
      <c r="DL167" t="e">
        <f>AND('GA55 Entry'!#REF!,"AAAAAH/eg3M=")</f>
        <v>#REF!</v>
      </c>
      <c r="DM167" t="e">
        <f>AND('GA55 Entry'!#REF!,"AAAAAH/eg3Q=")</f>
        <v>#REF!</v>
      </c>
      <c r="DN167" t="e">
        <f>AND('GA55 Entry'!#REF!,"AAAAAH/eg3U=")</f>
        <v>#REF!</v>
      </c>
      <c r="DO167" t="e">
        <f>AND('GA55 Entry'!#REF!,"AAAAAH/eg3Y=")</f>
        <v>#REF!</v>
      </c>
      <c r="DP167" t="e">
        <f>AND('GA55 Entry'!#REF!,"AAAAAH/eg3c=")</f>
        <v>#REF!</v>
      </c>
      <c r="DQ167" t="e">
        <f>AND('GA55 Entry'!Z606,"AAAAAH/eg3g=")</f>
        <v>#VALUE!</v>
      </c>
      <c r="DR167" t="e">
        <f>AND('GA55 Entry'!AA606,"AAAAAH/eg3k=")</f>
        <v>#VALUE!</v>
      </c>
      <c r="DS167" t="e">
        <f>AND('GA55 Entry'!#REF!,"AAAAAH/eg3o=")</f>
        <v>#REF!</v>
      </c>
      <c r="DT167" t="e">
        <f>AND('GA55 Entry'!#REF!,"AAAAAH/eg3s=")</f>
        <v>#REF!</v>
      </c>
      <c r="DU167" t="e">
        <f>AND('GA55 Entry'!#REF!,"AAAAAH/eg3w=")</f>
        <v>#REF!</v>
      </c>
      <c r="DV167" t="e">
        <f>AND('GA55 Entry'!AB606,"AAAAAH/eg30=")</f>
        <v>#VALUE!</v>
      </c>
      <c r="DW167" t="e">
        <f>AND('GA55 Entry'!AC606,"AAAAAH/eg34=")</f>
        <v>#VALUE!</v>
      </c>
      <c r="DX167" t="e">
        <f>AND('GA55 Entry'!#REF!,"AAAAAH/eg38=")</f>
        <v>#REF!</v>
      </c>
      <c r="DY167">
        <f>IF('GA55 Entry'!607:607,"AAAAAH/eg4A=",0)</f>
        <v>0</v>
      </c>
      <c r="DZ167" t="e">
        <f>AND('GA55 Entry'!B607,"AAAAAH/eg4E=")</f>
        <v>#VALUE!</v>
      </c>
      <c r="EA167" t="e">
        <f>AND('GA55 Entry'!#REF!,"AAAAAH/eg4I=")</f>
        <v>#REF!</v>
      </c>
      <c r="EB167" t="e">
        <f>AND('GA55 Entry'!C607,"AAAAAH/eg4M=")</f>
        <v>#VALUE!</v>
      </c>
      <c r="EC167" t="e">
        <f>AND('GA55 Entry'!#REF!,"AAAAAH/eg4Q=")</f>
        <v>#REF!</v>
      </c>
      <c r="ED167" t="e">
        <f>AND('GA55 Entry'!#REF!,"AAAAAH/eg4U=")</f>
        <v>#REF!</v>
      </c>
      <c r="EE167" t="e">
        <f>AND('GA55 Entry'!#REF!,"AAAAAH/eg4Y=")</f>
        <v>#REF!</v>
      </c>
      <c r="EF167" t="e">
        <f>AND('GA55 Entry'!#REF!,"AAAAAH/eg4c=")</f>
        <v>#REF!</v>
      </c>
      <c r="EG167" t="e">
        <f>AND('GA55 Entry'!#REF!,"AAAAAH/eg4g=")</f>
        <v>#REF!</v>
      </c>
      <c r="EH167" t="e">
        <f>AND('GA55 Entry'!D607,"AAAAAH/eg4k=")</f>
        <v>#VALUE!</v>
      </c>
      <c r="EI167" t="e">
        <f>AND('GA55 Entry'!#REF!,"AAAAAH/eg4o=")</f>
        <v>#REF!</v>
      </c>
      <c r="EJ167" t="e">
        <f>AND('GA55 Entry'!E607,"AAAAAH/eg4s=")</f>
        <v>#VALUE!</v>
      </c>
      <c r="EK167" t="e">
        <f>AND('GA55 Entry'!F607,"AAAAAH/eg4w=")</f>
        <v>#VALUE!</v>
      </c>
      <c r="EL167" t="e">
        <f>AND('GA55 Entry'!G607,"AAAAAH/eg40=")</f>
        <v>#VALUE!</v>
      </c>
      <c r="EM167" t="e">
        <f>AND('GA55 Entry'!H607,"AAAAAH/eg44=")</f>
        <v>#VALUE!</v>
      </c>
      <c r="EN167" t="e">
        <f>AND('GA55 Entry'!I607,"AAAAAH/eg48=")</f>
        <v>#VALUE!</v>
      </c>
      <c r="EO167" t="e">
        <f>AND('GA55 Entry'!J607,"AAAAAH/eg5A=")</f>
        <v>#VALUE!</v>
      </c>
      <c r="EP167" t="e">
        <f>AND('GA55 Entry'!#REF!,"AAAAAH/eg5E=")</f>
        <v>#REF!</v>
      </c>
      <c r="EQ167" t="e">
        <f>AND('GA55 Entry'!K607,"AAAAAH/eg5I=")</f>
        <v>#VALUE!</v>
      </c>
      <c r="ER167" t="e">
        <f>AND('GA55 Entry'!L607,"AAAAAH/eg5M=")</f>
        <v>#VALUE!</v>
      </c>
      <c r="ES167" t="e">
        <f>AND('GA55 Entry'!M607,"AAAAAH/eg5Q=")</f>
        <v>#VALUE!</v>
      </c>
      <c r="ET167" t="e">
        <f>AND('GA55 Entry'!N607,"AAAAAH/eg5U=")</f>
        <v>#VALUE!</v>
      </c>
      <c r="EU167" t="e">
        <f>AND('GA55 Entry'!O607,"AAAAAH/eg5Y=")</f>
        <v>#VALUE!</v>
      </c>
      <c r="EV167" t="e">
        <f>AND('GA55 Entry'!P607,"AAAAAH/eg5c=")</f>
        <v>#VALUE!</v>
      </c>
      <c r="EW167" t="e">
        <f>AND('GA55 Entry'!Q607,"AAAAAH/eg5g=")</f>
        <v>#VALUE!</v>
      </c>
      <c r="EX167" t="e">
        <f>AND('GA55 Entry'!S607,"AAAAAH/eg5k=")</f>
        <v>#VALUE!</v>
      </c>
      <c r="EY167" t="e">
        <f>AND('GA55 Entry'!#REF!,"AAAAAH/eg5o=")</f>
        <v>#REF!</v>
      </c>
      <c r="EZ167" t="e">
        <f>AND('GA55 Entry'!T607,"AAAAAH/eg5s=")</f>
        <v>#VALUE!</v>
      </c>
      <c r="FA167" t="e">
        <f>AND('GA55 Entry'!U607,"AAAAAH/eg5w=")</f>
        <v>#VALUE!</v>
      </c>
      <c r="FB167" t="e">
        <f>AND('GA55 Entry'!V607,"AAAAAH/eg50=")</f>
        <v>#VALUE!</v>
      </c>
      <c r="FC167" t="e">
        <f>AND('GA55 Entry'!#REF!,"AAAAAH/eg54=")</f>
        <v>#REF!</v>
      </c>
      <c r="FD167" t="e">
        <f>AND('GA55 Entry'!#REF!,"AAAAAH/eg58=")</f>
        <v>#REF!</v>
      </c>
      <c r="FE167" t="e">
        <f>AND('GA55 Entry'!X607,"AAAAAH/eg6A=")</f>
        <v>#VALUE!</v>
      </c>
      <c r="FF167" t="e">
        <f>AND('GA55 Entry'!Y607,"AAAAAH/eg6E=")</f>
        <v>#VALUE!</v>
      </c>
      <c r="FG167" t="e">
        <f>AND('GA55 Entry'!#REF!,"AAAAAH/eg6I=")</f>
        <v>#REF!</v>
      </c>
      <c r="FH167" t="e">
        <f>AND('GA55 Entry'!#REF!,"AAAAAH/eg6M=")</f>
        <v>#REF!</v>
      </c>
      <c r="FI167" t="e">
        <f>AND('GA55 Entry'!#REF!,"AAAAAH/eg6Q=")</f>
        <v>#REF!</v>
      </c>
      <c r="FJ167" t="e">
        <f>AND('GA55 Entry'!#REF!,"AAAAAH/eg6U=")</f>
        <v>#REF!</v>
      </c>
      <c r="FK167" t="e">
        <f>AND('GA55 Entry'!#REF!,"AAAAAH/eg6Y=")</f>
        <v>#REF!</v>
      </c>
      <c r="FL167" t="e">
        <f>AND('GA55 Entry'!#REF!,"AAAAAH/eg6c=")</f>
        <v>#REF!</v>
      </c>
      <c r="FM167" t="e">
        <f>AND('GA55 Entry'!#REF!,"AAAAAH/eg6g=")</f>
        <v>#REF!</v>
      </c>
      <c r="FN167" t="e">
        <f>AND('GA55 Entry'!#REF!,"AAAAAH/eg6k=")</f>
        <v>#REF!</v>
      </c>
      <c r="FO167" t="e">
        <f>AND('GA55 Entry'!#REF!,"AAAAAH/eg6o=")</f>
        <v>#REF!</v>
      </c>
      <c r="FP167" t="e">
        <f>AND('GA55 Entry'!Z607,"AAAAAH/eg6s=")</f>
        <v>#VALUE!</v>
      </c>
      <c r="FQ167" t="e">
        <f>AND('GA55 Entry'!AA607,"AAAAAH/eg6w=")</f>
        <v>#VALUE!</v>
      </c>
      <c r="FR167" t="e">
        <f>AND('GA55 Entry'!#REF!,"AAAAAH/eg60=")</f>
        <v>#REF!</v>
      </c>
      <c r="FS167" t="e">
        <f>AND('GA55 Entry'!#REF!,"AAAAAH/eg64=")</f>
        <v>#REF!</v>
      </c>
      <c r="FT167" t="e">
        <f>AND('GA55 Entry'!#REF!,"AAAAAH/eg68=")</f>
        <v>#REF!</v>
      </c>
      <c r="FU167" t="e">
        <f>AND('GA55 Entry'!AB607,"AAAAAH/eg7A=")</f>
        <v>#VALUE!</v>
      </c>
      <c r="FV167" t="e">
        <f>AND('GA55 Entry'!AC607,"AAAAAH/eg7E=")</f>
        <v>#VALUE!</v>
      </c>
      <c r="FW167" t="e">
        <f>AND('GA55 Entry'!#REF!,"AAAAAH/eg7I=")</f>
        <v>#REF!</v>
      </c>
      <c r="FX167">
        <f>IF('GA55 Entry'!608:608,"AAAAAH/eg7M=",0)</f>
        <v>0</v>
      </c>
      <c r="FY167" t="e">
        <f>AND('GA55 Entry'!B608,"AAAAAH/eg7Q=")</f>
        <v>#VALUE!</v>
      </c>
      <c r="FZ167" t="e">
        <f>AND('GA55 Entry'!#REF!,"AAAAAH/eg7U=")</f>
        <v>#REF!</v>
      </c>
      <c r="GA167" t="e">
        <f>AND('GA55 Entry'!C608,"AAAAAH/eg7Y=")</f>
        <v>#VALUE!</v>
      </c>
      <c r="GB167" t="e">
        <f>AND('GA55 Entry'!#REF!,"AAAAAH/eg7c=")</f>
        <v>#REF!</v>
      </c>
      <c r="GC167" t="e">
        <f>AND('GA55 Entry'!#REF!,"AAAAAH/eg7g=")</f>
        <v>#REF!</v>
      </c>
      <c r="GD167" t="e">
        <f>AND('GA55 Entry'!#REF!,"AAAAAH/eg7k=")</f>
        <v>#REF!</v>
      </c>
      <c r="GE167" t="e">
        <f>AND('GA55 Entry'!#REF!,"AAAAAH/eg7o=")</f>
        <v>#REF!</v>
      </c>
      <c r="GF167" t="e">
        <f>AND('GA55 Entry'!#REF!,"AAAAAH/eg7s=")</f>
        <v>#REF!</v>
      </c>
      <c r="GG167" t="e">
        <f>AND('GA55 Entry'!D608,"AAAAAH/eg7w=")</f>
        <v>#VALUE!</v>
      </c>
      <c r="GH167" t="e">
        <f>AND('GA55 Entry'!#REF!,"AAAAAH/eg70=")</f>
        <v>#REF!</v>
      </c>
      <c r="GI167" t="e">
        <f>AND('GA55 Entry'!E608,"AAAAAH/eg74=")</f>
        <v>#VALUE!</v>
      </c>
      <c r="GJ167" t="e">
        <f>AND('GA55 Entry'!F608,"AAAAAH/eg78=")</f>
        <v>#VALUE!</v>
      </c>
      <c r="GK167" t="e">
        <f>AND('GA55 Entry'!G608,"AAAAAH/eg8A=")</f>
        <v>#VALUE!</v>
      </c>
      <c r="GL167" t="e">
        <f>AND('GA55 Entry'!H608,"AAAAAH/eg8E=")</f>
        <v>#VALUE!</v>
      </c>
      <c r="GM167" t="e">
        <f>AND('GA55 Entry'!I608,"AAAAAH/eg8I=")</f>
        <v>#VALUE!</v>
      </c>
      <c r="GN167" t="e">
        <f>AND('GA55 Entry'!J608,"AAAAAH/eg8M=")</f>
        <v>#VALUE!</v>
      </c>
      <c r="GO167" t="e">
        <f>AND('GA55 Entry'!#REF!,"AAAAAH/eg8Q=")</f>
        <v>#REF!</v>
      </c>
      <c r="GP167" t="e">
        <f>AND('GA55 Entry'!K608,"AAAAAH/eg8U=")</f>
        <v>#VALUE!</v>
      </c>
      <c r="GQ167" t="e">
        <f>AND('GA55 Entry'!L608,"AAAAAH/eg8Y=")</f>
        <v>#VALUE!</v>
      </c>
      <c r="GR167" t="e">
        <f>AND('GA55 Entry'!M608,"AAAAAH/eg8c=")</f>
        <v>#VALUE!</v>
      </c>
      <c r="GS167" t="e">
        <f>AND('GA55 Entry'!N608,"AAAAAH/eg8g=")</f>
        <v>#VALUE!</v>
      </c>
      <c r="GT167" t="e">
        <f>AND('GA55 Entry'!O608,"AAAAAH/eg8k=")</f>
        <v>#VALUE!</v>
      </c>
      <c r="GU167" t="e">
        <f>AND('GA55 Entry'!P608,"AAAAAH/eg8o=")</f>
        <v>#VALUE!</v>
      </c>
      <c r="GV167" t="e">
        <f>AND('GA55 Entry'!Q608,"AAAAAH/eg8s=")</f>
        <v>#VALUE!</v>
      </c>
      <c r="GW167" t="e">
        <f>AND('GA55 Entry'!S608,"AAAAAH/eg8w=")</f>
        <v>#VALUE!</v>
      </c>
      <c r="GX167" t="e">
        <f>AND('GA55 Entry'!#REF!,"AAAAAH/eg80=")</f>
        <v>#REF!</v>
      </c>
      <c r="GY167" t="e">
        <f>AND('GA55 Entry'!T608,"AAAAAH/eg84=")</f>
        <v>#VALUE!</v>
      </c>
      <c r="GZ167" t="e">
        <f>AND('GA55 Entry'!U608,"AAAAAH/eg88=")</f>
        <v>#VALUE!</v>
      </c>
      <c r="HA167" t="e">
        <f>AND('GA55 Entry'!V608,"AAAAAH/eg9A=")</f>
        <v>#VALUE!</v>
      </c>
      <c r="HB167" t="e">
        <f>AND('GA55 Entry'!#REF!,"AAAAAH/eg9E=")</f>
        <v>#REF!</v>
      </c>
      <c r="HC167" t="e">
        <f>AND('GA55 Entry'!#REF!,"AAAAAH/eg9I=")</f>
        <v>#REF!</v>
      </c>
      <c r="HD167" t="e">
        <f>AND('GA55 Entry'!X608,"AAAAAH/eg9M=")</f>
        <v>#VALUE!</v>
      </c>
      <c r="HE167" t="e">
        <f>AND('GA55 Entry'!Y608,"AAAAAH/eg9Q=")</f>
        <v>#VALUE!</v>
      </c>
      <c r="HF167" t="e">
        <f>AND('GA55 Entry'!#REF!,"AAAAAH/eg9U=")</f>
        <v>#REF!</v>
      </c>
      <c r="HG167" t="e">
        <f>AND('GA55 Entry'!#REF!,"AAAAAH/eg9Y=")</f>
        <v>#REF!</v>
      </c>
      <c r="HH167" t="e">
        <f>AND('GA55 Entry'!#REF!,"AAAAAH/eg9c=")</f>
        <v>#REF!</v>
      </c>
      <c r="HI167" t="e">
        <f>AND('GA55 Entry'!#REF!,"AAAAAH/eg9g=")</f>
        <v>#REF!</v>
      </c>
      <c r="HJ167" t="e">
        <f>AND('GA55 Entry'!#REF!,"AAAAAH/eg9k=")</f>
        <v>#REF!</v>
      </c>
      <c r="HK167" t="e">
        <f>AND('GA55 Entry'!#REF!,"AAAAAH/eg9o=")</f>
        <v>#REF!</v>
      </c>
      <c r="HL167" t="e">
        <f>AND('GA55 Entry'!#REF!,"AAAAAH/eg9s=")</f>
        <v>#REF!</v>
      </c>
      <c r="HM167" t="e">
        <f>AND('GA55 Entry'!#REF!,"AAAAAH/eg9w=")</f>
        <v>#REF!</v>
      </c>
      <c r="HN167" t="e">
        <f>AND('GA55 Entry'!#REF!,"AAAAAH/eg90=")</f>
        <v>#REF!</v>
      </c>
      <c r="HO167" t="e">
        <f>AND('GA55 Entry'!Z608,"AAAAAH/eg94=")</f>
        <v>#VALUE!</v>
      </c>
      <c r="HP167" t="e">
        <f>AND('GA55 Entry'!AA608,"AAAAAH/eg98=")</f>
        <v>#VALUE!</v>
      </c>
      <c r="HQ167" t="e">
        <f>AND('GA55 Entry'!#REF!,"AAAAAH/eg+A=")</f>
        <v>#REF!</v>
      </c>
      <c r="HR167" t="e">
        <f>AND('GA55 Entry'!#REF!,"AAAAAH/eg+E=")</f>
        <v>#REF!</v>
      </c>
      <c r="HS167" t="e">
        <f>AND('GA55 Entry'!#REF!,"AAAAAH/eg+I=")</f>
        <v>#REF!</v>
      </c>
      <c r="HT167" t="e">
        <f>AND('GA55 Entry'!AB608,"AAAAAH/eg+M=")</f>
        <v>#VALUE!</v>
      </c>
      <c r="HU167" t="e">
        <f>AND('GA55 Entry'!AC608,"AAAAAH/eg+Q=")</f>
        <v>#VALUE!</v>
      </c>
      <c r="HV167" t="e">
        <f>AND('GA55 Entry'!#REF!,"AAAAAH/eg+U=")</f>
        <v>#REF!</v>
      </c>
      <c r="HW167">
        <f>IF('GA55 Entry'!609:609,"AAAAAH/eg+Y=",0)</f>
        <v>0</v>
      </c>
      <c r="HX167" t="e">
        <f>AND('GA55 Entry'!B609,"AAAAAH/eg+c=")</f>
        <v>#VALUE!</v>
      </c>
      <c r="HY167" t="e">
        <f>AND('GA55 Entry'!#REF!,"AAAAAH/eg+g=")</f>
        <v>#REF!</v>
      </c>
      <c r="HZ167" t="e">
        <f>AND('GA55 Entry'!C609,"AAAAAH/eg+k=")</f>
        <v>#VALUE!</v>
      </c>
      <c r="IA167" t="e">
        <f>AND('GA55 Entry'!#REF!,"AAAAAH/eg+o=")</f>
        <v>#REF!</v>
      </c>
      <c r="IB167" t="e">
        <f>AND('GA55 Entry'!#REF!,"AAAAAH/eg+s=")</f>
        <v>#REF!</v>
      </c>
      <c r="IC167" t="e">
        <f>AND('GA55 Entry'!#REF!,"AAAAAH/eg+w=")</f>
        <v>#REF!</v>
      </c>
      <c r="ID167" t="e">
        <f>AND('GA55 Entry'!#REF!,"AAAAAH/eg+0=")</f>
        <v>#REF!</v>
      </c>
      <c r="IE167" t="e">
        <f>AND('GA55 Entry'!#REF!,"AAAAAH/eg+4=")</f>
        <v>#REF!</v>
      </c>
      <c r="IF167" t="e">
        <f>AND('GA55 Entry'!D609,"AAAAAH/eg+8=")</f>
        <v>#VALUE!</v>
      </c>
      <c r="IG167" t="e">
        <f>AND('GA55 Entry'!#REF!,"AAAAAH/eg/A=")</f>
        <v>#REF!</v>
      </c>
      <c r="IH167" t="e">
        <f>AND('GA55 Entry'!E609,"AAAAAH/eg/E=")</f>
        <v>#VALUE!</v>
      </c>
      <c r="II167" t="e">
        <f>AND('GA55 Entry'!F609,"AAAAAH/eg/I=")</f>
        <v>#VALUE!</v>
      </c>
      <c r="IJ167" t="e">
        <f>AND('GA55 Entry'!G609,"AAAAAH/eg/M=")</f>
        <v>#VALUE!</v>
      </c>
      <c r="IK167" t="e">
        <f>AND('GA55 Entry'!H609,"AAAAAH/eg/Q=")</f>
        <v>#VALUE!</v>
      </c>
      <c r="IL167" t="e">
        <f>AND('GA55 Entry'!I609,"AAAAAH/eg/U=")</f>
        <v>#VALUE!</v>
      </c>
      <c r="IM167" t="e">
        <f>AND('GA55 Entry'!J609,"AAAAAH/eg/Y=")</f>
        <v>#VALUE!</v>
      </c>
      <c r="IN167" t="e">
        <f>AND('GA55 Entry'!#REF!,"AAAAAH/eg/c=")</f>
        <v>#REF!</v>
      </c>
      <c r="IO167" t="e">
        <f>AND('GA55 Entry'!K609,"AAAAAH/eg/g=")</f>
        <v>#VALUE!</v>
      </c>
      <c r="IP167" t="e">
        <f>AND('GA55 Entry'!L609,"AAAAAH/eg/k=")</f>
        <v>#VALUE!</v>
      </c>
      <c r="IQ167" t="e">
        <f>AND('GA55 Entry'!M609,"AAAAAH/eg/o=")</f>
        <v>#VALUE!</v>
      </c>
      <c r="IR167" t="e">
        <f>AND('GA55 Entry'!N609,"AAAAAH/eg/s=")</f>
        <v>#VALUE!</v>
      </c>
      <c r="IS167" t="e">
        <f>AND('GA55 Entry'!O609,"AAAAAH/eg/w=")</f>
        <v>#VALUE!</v>
      </c>
      <c r="IT167" t="e">
        <f>AND('GA55 Entry'!P609,"AAAAAH/eg/0=")</f>
        <v>#VALUE!</v>
      </c>
      <c r="IU167" t="e">
        <f>AND('GA55 Entry'!Q609,"AAAAAH/eg/4=")</f>
        <v>#VALUE!</v>
      </c>
      <c r="IV167" t="e">
        <f>AND('GA55 Entry'!S609,"AAAAAH/eg/8=")</f>
        <v>#VALUE!</v>
      </c>
    </row>
    <row r="168" spans="1:256">
      <c r="A168" t="e">
        <f>AND('GA55 Entry'!#REF!,"AAAAAA3v3wA=")</f>
        <v>#REF!</v>
      </c>
      <c r="B168" t="e">
        <f>AND('GA55 Entry'!T609,"AAAAAA3v3wE=")</f>
        <v>#VALUE!</v>
      </c>
      <c r="C168" t="e">
        <f>AND('GA55 Entry'!U609,"AAAAAA3v3wI=")</f>
        <v>#VALUE!</v>
      </c>
      <c r="D168" t="e">
        <f>AND('GA55 Entry'!V609,"AAAAAA3v3wM=")</f>
        <v>#VALUE!</v>
      </c>
      <c r="E168" t="e">
        <f>AND('GA55 Entry'!#REF!,"AAAAAA3v3wQ=")</f>
        <v>#REF!</v>
      </c>
      <c r="F168" t="e">
        <f>AND('GA55 Entry'!#REF!,"AAAAAA3v3wU=")</f>
        <v>#REF!</v>
      </c>
      <c r="G168" t="e">
        <f>AND('GA55 Entry'!X609,"AAAAAA3v3wY=")</f>
        <v>#VALUE!</v>
      </c>
      <c r="H168" t="e">
        <f>AND('GA55 Entry'!Y609,"AAAAAA3v3wc=")</f>
        <v>#VALUE!</v>
      </c>
      <c r="I168" t="e">
        <f>AND('GA55 Entry'!#REF!,"AAAAAA3v3wg=")</f>
        <v>#REF!</v>
      </c>
      <c r="J168" t="e">
        <f>AND('GA55 Entry'!#REF!,"AAAAAA3v3wk=")</f>
        <v>#REF!</v>
      </c>
      <c r="K168" t="e">
        <f>AND('GA55 Entry'!#REF!,"AAAAAA3v3wo=")</f>
        <v>#REF!</v>
      </c>
      <c r="L168" t="e">
        <f>AND('GA55 Entry'!#REF!,"AAAAAA3v3ws=")</f>
        <v>#REF!</v>
      </c>
      <c r="M168" t="e">
        <f>AND('GA55 Entry'!#REF!,"AAAAAA3v3ww=")</f>
        <v>#REF!</v>
      </c>
      <c r="N168" t="e">
        <f>AND('GA55 Entry'!#REF!,"AAAAAA3v3w0=")</f>
        <v>#REF!</v>
      </c>
      <c r="O168" t="e">
        <f>AND('GA55 Entry'!#REF!,"AAAAAA3v3w4=")</f>
        <v>#REF!</v>
      </c>
      <c r="P168" t="e">
        <f>AND('GA55 Entry'!#REF!,"AAAAAA3v3w8=")</f>
        <v>#REF!</v>
      </c>
      <c r="Q168" t="e">
        <f>AND('GA55 Entry'!#REF!,"AAAAAA3v3xA=")</f>
        <v>#REF!</v>
      </c>
      <c r="R168" t="e">
        <f>AND('GA55 Entry'!Z609,"AAAAAA3v3xE=")</f>
        <v>#VALUE!</v>
      </c>
      <c r="S168" t="e">
        <f>AND('GA55 Entry'!AA609,"AAAAAA3v3xI=")</f>
        <v>#VALUE!</v>
      </c>
      <c r="T168" t="e">
        <f>AND('GA55 Entry'!#REF!,"AAAAAA3v3xM=")</f>
        <v>#REF!</v>
      </c>
      <c r="U168" t="e">
        <f>AND('GA55 Entry'!#REF!,"AAAAAA3v3xQ=")</f>
        <v>#REF!</v>
      </c>
      <c r="V168" t="e">
        <f>AND('GA55 Entry'!#REF!,"AAAAAA3v3xU=")</f>
        <v>#REF!</v>
      </c>
      <c r="W168" t="e">
        <f>AND('GA55 Entry'!AB609,"AAAAAA3v3xY=")</f>
        <v>#VALUE!</v>
      </c>
      <c r="X168" t="e">
        <f>AND('GA55 Entry'!AC609,"AAAAAA3v3xc=")</f>
        <v>#VALUE!</v>
      </c>
      <c r="Y168" t="e">
        <f>AND('GA55 Entry'!#REF!,"AAAAAA3v3xg=")</f>
        <v>#REF!</v>
      </c>
      <c r="Z168">
        <f>IF('GA55 Entry'!610:610,"AAAAAA3v3xk=",0)</f>
        <v>0</v>
      </c>
      <c r="AA168" t="e">
        <f>AND('GA55 Entry'!B610,"AAAAAA3v3xo=")</f>
        <v>#VALUE!</v>
      </c>
      <c r="AB168" t="e">
        <f>AND('GA55 Entry'!#REF!,"AAAAAA3v3xs=")</f>
        <v>#REF!</v>
      </c>
      <c r="AC168" t="e">
        <f>AND('GA55 Entry'!C610,"AAAAAA3v3xw=")</f>
        <v>#VALUE!</v>
      </c>
      <c r="AD168" t="e">
        <f>AND('GA55 Entry'!#REF!,"AAAAAA3v3x0=")</f>
        <v>#REF!</v>
      </c>
      <c r="AE168" t="e">
        <f>AND('GA55 Entry'!#REF!,"AAAAAA3v3x4=")</f>
        <v>#REF!</v>
      </c>
      <c r="AF168" t="e">
        <f>AND('GA55 Entry'!#REF!,"AAAAAA3v3x8=")</f>
        <v>#REF!</v>
      </c>
      <c r="AG168" t="e">
        <f>AND('GA55 Entry'!#REF!,"AAAAAA3v3yA=")</f>
        <v>#REF!</v>
      </c>
      <c r="AH168" t="e">
        <f>AND('GA55 Entry'!#REF!,"AAAAAA3v3yE=")</f>
        <v>#REF!</v>
      </c>
      <c r="AI168" t="e">
        <f>AND('GA55 Entry'!D610,"AAAAAA3v3yI=")</f>
        <v>#VALUE!</v>
      </c>
      <c r="AJ168" t="e">
        <f>AND('GA55 Entry'!#REF!,"AAAAAA3v3yM=")</f>
        <v>#REF!</v>
      </c>
      <c r="AK168" t="e">
        <f>AND('GA55 Entry'!E610,"AAAAAA3v3yQ=")</f>
        <v>#VALUE!</v>
      </c>
      <c r="AL168" t="e">
        <f>AND('GA55 Entry'!F610,"AAAAAA3v3yU=")</f>
        <v>#VALUE!</v>
      </c>
      <c r="AM168" t="e">
        <f>AND('GA55 Entry'!G610,"AAAAAA3v3yY=")</f>
        <v>#VALUE!</v>
      </c>
      <c r="AN168" t="e">
        <f>AND('GA55 Entry'!H610,"AAAAAA3v3yc=")</f>
        <v>#VALUE!</v>
      </c>
      <c r="AO168" t="e">
        <f>AND('GA55 Entry'!I610,"AAAAAA3v3yg=")</f>
        <v>#VALUE!</v>
      </c>
      <c r="AP168" t="e">
        <f>AND('GA55 Entry'!J610,"AAAAAA3v3yk=")</f>
        <v>#VALUE!</v>
      </c>
      <c r="AQ168" t="e">
        <f>AND('GA55 Entry'!#REF!,"AAAAAA3v3yo=")</f>
        <v>#REF!</v>
      </c>
      <c r="AR168" t="e">
        <f>AND('GA55 Entry'!K610,"AAAAAA3v3ys=")</f>
        <v>#VALUE!</v>
      </c>
      <c r="AS168" t="e">
        <f>AND('GA55 Entry'!L610,"AAAAAA3v3yw=")</f>
        <v>#VALUE!</v>
      </c>
      <c r="AT168" t="e">
        <f>AND('GA55 Entry'!M610,"AAAAAA3v3y0=")</f>
        <v>#VALUE!</v>
      </c>
      <c r="AU168" t="e">
        <f>AND('GA55 Entry'!N610,"AAAAAA3v3y4=")</f>
        <v>#VALUE!</v>
      </c>
      <c r="AV168" t="e">
        <f>AND('GA55 Entry'!O610,"AAAAAA3v3y8=")</f>
        <v>#VALUE!</v>
      </c>
      <c r="AW168" t="e">
        <f>AND('GA55 Entry'!P610,"AAAAAA3v3zA=")</f>
        <v>#VALUE!</v>
      </c>
      <c r="AX168" t="e">
        <f>AND('GA55 Entry'!Q610,"AAAAAA3v3zE=")</f>
        <v>#VALUE!</v>
      </c>
      <c r="AY168" t="e">
        <f>AND('GA55 Entry'!S610,"AAAAAA3v3zI=")</f>
        <v>#VALUE!</v>
      </c>
      <c r="AZ168" t="e">
        <f>AND('GA55 Entry'!#REF!,"AAAAAA3v3zM=")</f>
        <v>#REF!</v>
      </c>
      <c r="BA168" t="e">
        <f>AND('GA55 Entry'!T610,"AAAAAA3v3zQ=")</f>
        <v>#VALUE!</v>
      </c>
      <c r="BB168" t="e">
        <f>AND('GA55 Entry'!U610,"AAAAAA3v3zU=")</f>
        <v>#VALUE!</v>
      </c>
      <c r="BC168" t="e">
        <f>AND('GA55 Entry'!V610,"AAAAAA3v3zY=")</f>
        <v>#VALUE!</v>
      </c>
      <c r="BD168" t="e">
        <f>AND('GA55 Entry'!#REF!,"AAAAAA3v3zc=")</f>
        <v>#REF!</v>
      </c>
      <c r="BE168" t="e">
        <f>AND('GA55 Entry'!#REF!,"AAAAAA3v3zg=")</f>
        <v>#REF!</v>
      </c>
      <c r="BF168" t="e">
        <f>AND('GA55 Entry'!X610,"AAAAAA3v3zk=")</f>
        <v>#VALUE!</v>
      </c>
      <c r="BG168" t="e">
        <f>AND('GA55 Entry'!Y610,"AAAAAA3v3zo=")</f>
        <v>#VALUE!</v>
      </c>
      <c r="BH168" t="e">
        <f>AND('GA55 Entry'!#REF!,"AAAAAA3v3zs=")</f>
        <v>#REF!</v>
      </c>
      <c r="BI168" t="e">
        <f>AND('GA55 Entry'!#REF!,"AAAAAA3v3zw=")</f>
        <v>#REF!</v>
      </c>
      <c r="BJ168" t="e">
        <f>AND('GA55 Entry'!#REF!,"AAAAAA3v3z0=")</f>
        <v>#REF!</v>
      </c>
      <c r="BK168" t="e">
        <f>AND('GA55 Entry'!#REF!,"AAAAAA3v3z4=")</f>
        <v>#REF!</v>
      </c>
      <c r="BL168" t="e">
        <f>AND('GA55 Entry'!#REF!,"AAAAAA3v3z8=")</f>
        <v>#REF!</v>
      </c>
      <c r="BM168" t="e">
        <f>AND('GA55 Entry'!#REF!,"AAAAAA3v30A=")</f>
        <v>#REF!</v>
      </c>
      <c r="BN168" t="e">
        <f>AND('GA55 Entry'!#REF!,"AAAAAA3v30E=")</f>
        <v>#REF!</v>
      </c>
      <c r="BO168" t="e">
        <f>AND('GA55 Entry'!#REF!,"AAAAAA3v30I=")</f>
        <v>#REF!</v>
      </c>
      <c r="BP168" t="e">
        <f>AND('GA55 Entry'!#REF!,"AAAAAA3v30M=")</f>
        <v>#REF!</v>
      </c>
      <c r="BQ168" t="e">
        <f>AND('GA55 Entry'!Z610,"AAAAAA3v30Q=")</f>
        <v>#VALUE!</v>
      </c>
      <c r="BR168" t="e">
        <f>AND('GA55 Entry'!AA610,"AAAAAA3v30U=")</f>
        <v>#VALUE!</v>
      </c>
      <c r="BS168" t="e">
        <f>AND('GA55 Entry'!#REF!,"AAAAAA3v30Y=")</f>
        <v>#REF!</v>
      </c>
      <c r="BT168" t="e">
        <f>AND('GA55 Entry'!#REF!,"AAAAAA3v30c=")</f>
        <v>#REF!</v>
      </c>
      <c r="BU168" t="e">
        <f>AND('GA55 Entry'!#REF!,"AAAAAA3v30g=")</f>
        <v>#REF!</v>
      </c>
      <c r="BV168" t="e">
        <f>AND('GA55 Entry'!AB610,"AAAAAA3v30k=")</f>
        <v>#VALUE!</v>
      </c>
      <c r="BW168" t="e">
        <f>AND('GA55 Entry'!AC610,"AAAAAA3v30o=")</f>
        <v>#VALUE!</v>
      </c>
      <c r="BX168" t="e">
        <f>AND('GA55 Entry'!#REF!,"AAAAAA3v30s=")</f>
        <v>#REF!</v>
      </c>
      <c r="BY168">
        <f>IF('GA55 Entry'!611:611,"AAAAAA3v30w=",0)</f>
        <v>0</v>
      </c>
      <c r="BZ168" t="e">
        <f>AND('GA55 Entry'!B611,"AAAAAA3v300=")</f>
        <v>#VALUE!</v>
      </c>
      <c r="CA168" t="e">
        <f>AND('GA55 Entry'!#REF!,"AAAAAA3v304=")</f>
        <v>#REF!</v>
      </c>
      <c r="CB168" t="e">
        <f>AND('GA55 Entry'!C611,"AAAAAA3v308=")</f>
        <v>#VALUE!</v>
      </c>
      <c r="CC168" t="e">
        <f>AND('GA55 Entry'!#REF!,"AAAAAA3v31A=")</f>
        <v>#REF!</v>
      </c>
      <c r="CD168" t="e">
        <f>AND('GA55 Entry'!#REF!,"AAAAAA3v31E=")</f>
        <v>#REF!</v>
      </c>
      <c r="CE168" t="e">
        <f>AND('GA55 Entry'!#REF!,"AAAAAA3v31I=")</f>
        <v>#REF!</v>
      </c>
      <c r="CF168" t="e">
        <f>AND('GA55 Entry'!#REF!,"AAAAAA3v31M=")</f>
        <v>#REF!</v>
      </c>
      <c r="CG168" t="e">
        <f>AND('GA55 Entry'!#REF!,"AAAAAA3v31Q=")</f>
        <v>#REF!</v>
      </c>
      <c r="CH168" t="e">
        <f>AND('GA55 Entry'!D611,"AAAAAA3v31U=")</f>
        <v>#VALUE!</v>
      </c>
      <c r="CI168" t="e">
        <f>AND('GA55 Entry'!#REF!,"AAAAAA3v31Y=")</f>
        <v>#REF!</v>
      </c>
      <c r="CJ168" t="e">
        <f>AND('GA55 Entry'!E611,"AAAAAA3v31c=")</f>
        <v>#VALUE!</v>
      </c>
      <c r="CK168" t="e">
        <f>AND('GA55 Entry'!F611,"AAAAAA3v31g=")</f>
        <v>#VALUE!</v>
      </c>
      <c r="CL168" t="e">
        <f>AND('GA55 Entry'!G611,"AAAAAA3v31k=")</f>
        <v>#VALUE!</v>
      </c>
      <c r="CM168" t="e">
        <f>AND('GA55 Entry'!H611,"AAAAAA3v31o=")</f>
        <v>#VALUE!</v>
      </c>
      <c r="CN168" t="e">
        <f>AND('GA55 Entry'!I611,"AAAAAA3v31s=")</f>
        <v>#VALUE!</v>
      </c>
      <c r="CO168" t="e">
        <f>AND('GA55 Entry'!J611,"AAAAAA3v31w=")</f>
        <v>#VALUE!</v>
      </c>
      <c r="CP168" t="e">
        <f>AND('GA55 Entry'!#REF!,"AAAAAA3v310=")</f>
        <v>#REF!</v>
      </c>
      <c r="CQ168" t="e">
        <f>AND('GA55 Entry'!K611,"AAAAAA3v314=")</f>
        <v>#VALUE!</v>
      </c>
      <c r="CR168" t="e">
        <f>AND('GA55 Entry'!L611,"AAAAAA3v318=")</f>
        <v>#VALUE!</v>
      </c>
      <c r="CS168" t="e">
        <f>AND('GA55 Entry'!M611,"AAAAAA3v32A=")</f>
        <v>#VALUE!</v>
      </c>
      <c r="CT168" t="e">
        <f>AND('GA55 Entry'!N611,"AAAAAA3v32E=")</f>
        <v>#VALUE!</v>
      </c>
      <c r="CU168" t="e">
        <f>AND('GA55 Entry'!O611,"AAAAAA3v32I=")</f>
        <v>#VALUE!</v>
      </c>
      <c r="CV168" t="e">
        <f>AND('GA55 Entry'!P611,"AAAAAA3v32M=")</f>
        <v>#VALUE!</v>
      </c>
      <c r="CW168" t="e">
        <f>AND('GA55 Entry'!Q611,"AAAAAA3v32Q=")</f>
        <v>#VALUE!</v>
      </c>
      <c r="CX168" t="e">
        <f>AND('GA55 Entry'!S611,"AAAAAA3v32U=")</f>
        <v>#VALUE!</v>
      </c>
      <c r="CY168" t="e">
        <f>AND('GA55 Entry'!#REF!,"AAAAAA3v32Y=")</f>
        <v>#REF!</v>
      </c>
      <c r="CZ168" t="e">
        <f>AND('GA55 Entry'!T611,"AAAAAA3v32c=")</f>
        <v>#VALUE!</v>
      </c>
      <c r="DA168" t="e">
        <f>AND('GA55 Entry'!U611,"AAAAAA3v32g=")</f>
        <v>#VALUE!</v>
      </c>
      <c r="DB168" t="e">
        <f>AND('GA55 Entry'!V611,"AAAAAA3v32k=")</f>
        <v>#VALUE!</v>
      </c>
      <c r="DC168" t="e">
        <f>AND('GA55 Entry'!#REF!,"AAAAAA3v32o=")</f>
        <v>#REF!</v>
      </c>
      <c r="DD168" t="e">
        <f>AND('GA55 Entry'!#REF!,"AAAAAA3v32s=")</f>
        <v>#REF!</v>
      </c>
      <c r="DE168" t="e">
        <f>AND('GA55 Entry'!X611,"AAAAAA3v32w=")</f>
        <v>#VALUE!</v>
      </c>
      <c r="DF168" t="e">
        <f>AND('GA55 Entry'!Y611,"AAAAAA3v320=")</f>
        <v>#VALUE!</v>
      </c>
      <c r="DG168" t="e">
        <f>AND('GA55 Entry'!#REF!,"AAAAAA3v324=")</f>
        <v>#REF!</v>
      </c>
      <c r="DH168" t="e">
        <f>AND('GA55 Entry'!#REF!,"AAAAAA3v328=")</f>
        <v>#REF!</v>
      </c>
      <c r="DI168" t="e">
        <f>AND('GA55 Entry'!#REF!,"AAAAAA3v33A=")</f>
        <v>#REF!</v>
      </c>
      <c r="DJ168" t="e">
        <f>AND('GA55 Entry'!#REF!,"AAAAAA3v33E=")</f>
        <v>#REF!</v>
      </c>
      <c r="DK168" t="e">
        <f>AND('GA55 Entry'!#REF!,"AAAAAA3v33I=")</f>
        <v>#REF!</v>
      </c>
      <c r="DL168" t="e">
        <f>AND('GA55 Entry'!#REF!,"AAAAAA3v33M=")</f>
        <v>#REF!</v>
      </c>
      <c r="DM168" t="e">
        <f>AND('GA55 Entry'!#REF!,"AAAAAA3v33Q=")</f>
        <v>#REF!</v>
      </c>
      <c r="DN168" t="e">
        <f>AND('GA55 Entry'!#REF!,"AAAAAA3v33U=")</f>
        <v>#REF!</v>
      </c>
      <c r="DO168" t="e">
        <f>AND('GA55 Entry'!#REF!,"AAAAAA3v33Y=")</f>
        <v>#REF!</v>
      </c>
      <c r="DP168" t="e">
        <f>AND('GA55 Entry'!Z611,"AAAAAA3v33c=")</f>
        <v>#VALUE!</v>
      </c>
      <c r="DQ168" t="e">
        <f>AND('GA55 Entry'!AA611,"AAAAAA3v33g=")</f>
        <v>#VALUE!</v>
      </c>
      <c r="DR168" t="e">
        <f>AND('GA55 Entry'!#REF!,"AAAAAA3v33k=")</f>
        <v>#REF!</v>
      </c>
      <c r="DS168" t="e">
        <f>AND('GA55 Entry'!#REF!,"AAAAAA3v33o=")</f>
        <v>#REF!</v>
      </c>
      <c r="DT168" t="e">
        <f>AND('GA55 Entry'!#REF!,"AAAAAA3v33s=")</f>
        <v>#REF!</v>
      </c>
      <c r="DU168" t="e">
        <f>AND('GA55 Entry'!AB611,"AAAAAA3v33w=")</f>
        <v>#VALUE!</v>
      </c>
      <c r="DV168" t="e">
        <f>AND('GA55 Entry'!AC611,"AAAAAA3v330=")</f>
        <v>#VALUE!</v>
      </c>
      <c r="DW168" t="e">
        <f>AND('GA55 Entry'!#REF!,"AAAAAA3v334=")</f>
        <v>#REF!</v>
      </c>
      <c r="DX168">
        <f>IF('GA55 Entry'!612:612,"AAAAAA3v338=",0)</f>
        <v>0</v>
      </c>
      <c r="DY168" t="e">
        <f>AND('GA55 Entry'!B612,"AAAAAA3v34A=")</f>
        <v>#VALUE!</v>
      </c>
      <c r="DZ168" t="e">
        <f>AND('GA55 Entry'!#REF!,"AAAAAA3v34E=")</f>
        <v>#REF!</v>
      </c>
      <c r="EA168" t="e">
        <f>AND('GA55 Entry'!C612,"AAAAAA3v34I=")</f>
        <v>#VALUE!</v>
      </c>
      <c r="EB168" t="e">
        <f>AND('GA55 Entry'!#REF!,"AAAAAA3v34M=")</f>
        <v>#REF!</v>
      </c>
      <c r="EC168" t="e">
        <f>AND('GA55 Entry'!#REF!,"AAAAAA3v34Q=")</f>
        <v>#REF!</v>
      </c>
      <c r="ED168" t="e">
        <f>AND('GA55 Entry'!#REF!,"AAAAAA3v34U=")</f>
        <v>#REF!</v>
      </c>
      <c r="EE168" t="e">
        <f>AND('GA55 Entry'!#REF!,"AAAAAA3v34Y=")</f>
        <v>#REF!</v>
      </c>
      <c r="EF168" t="e">
        <f>AND('GA55 Entry'!#REF!,"AAAAAA3v34c=")</f>
        <v>#REF!</v>
      </c>
      <c r="EG168" t="e">
        <f>AND('GA55 Entry'!D612,"AAAAAA3v34g=")</f>
        <v>#VALUE!</v>
      </c>
      <c r="EH168" t="e">
        <f>AND('GA55 Entry'!#REF!,"AAAAAA3v34k=")</f>
        <v>#REF!</v>
      </c>
      <c r="EI168" t="e">
        <f>AND('GA55 Entry'!E612,"AAAAAA3v34o=")</f>
        <v>#VALUE!</v>
      </c>
      <c r="EJ168" t="e">
        <f>AND('GA55 Entry'!F612,"AAAAAA3v34s=")</f>
        <v>#VALUE!</v>
      </c>
      <c r="EK168" t="e">
        <f>AND('GA55 Entry'!G612,"AAAAAA3v34w=")</f>
        <v>#VALUE!</v>
      </c>
      <c r="EL168" t="e">
        <f>AND('GA55 Entry'!H612,"AAAAAA3v340=")</f>
        <v>#VALUE!</v>
      </c>
      <c r="EM168" t="e">
        <f>AND('GA55 Entry'!I612,"AAAAAA3v344=")</f>
        <v>#VALUE!</v>
      </c>
      <c r="EN168" t="e">
        <f>AND('GA55 Entry'!J612,"AAAAAA3v348=")</f>
        <v>#VALUE!</v>
      </c>
      <c r="EO168" t="e">
        <f>AND('GA55 Entry'!#REF!,"AAAAAA3v35A=")</f>
        <v>#REF!</v>
      </c>
      <c r="EP168" t="e">
        <f>AND('GA55 Entry'!K612,"AAAAAA3v35E=")</f>
        <v>#VALUE!</v>
      </c>
      <c r="EQ168" t="e">
        <f>AND('GA55 Entry'!L612,"AAAAAA3v35I=")</f>
        <v>#VALUE!</v>
      </c>
      <c r="ER168" t="e">
        <f>AND('GA55 Entry'!M612,"AAAAAA3v35M=")</f>
        <v>#VALUE!</v>
      </c>
      <c r="ES168" t="e">
        <f>AND('GA55 Entry'!N612,"AAAAAA3v35Q=")</f>
        <v>#VALUE!</v>
      </c>
      <c r="ET168" t="e">
        <f>AND('GA55 Entry'!O612,"AAAAAA3v35U=")</f>
        <v>#VALUE!</v>
      </c>
      <c r="EU168" t="e">
        <f>AND('GA55 Entry'!P612,"AAAAAA3v35Y=")</f>
        <v>#VALUE!</v>
      </c>
      <c r="EV168" t="e">
        <f>AND('GA55 Entry'!Q612,"AAAAAA3v35c=")</f>
        <v>#VALUE!</v>
      </c>
      <c r="EW168" t="e">
        <f>AND('GA55 Entry'!S612,"AAAAAA3v35g=")</f>
        <v>#VALUE!</v>
      </c>
      <c r="EX168" t="e">
        <f>AND('GA55 Entry'!#REF!,"AAAAAA3v35k=")</f>
        <v>#REF!</v>
      </c>
      <c r="EY168" t="e">
        <f>AND('GA55 Entry'!T612,"AAAAAA3v35o=")</f>
        <v>#VALUE!</v>
      </c>
      <c r="EZ168" t="e">
        <f>AND('GA55 Entry'!U612,"AAAAAA3v35s=")</f>
        <v>#VALUE!</v>
      </c>
      <c r="FA168" t="e">
        <f>AND('GA55 Entry'!V612,"AAAAAA3v35w=")</f>
        <v>#VALUE!</v>
      </c>
      <c r="FB168" t="e">
        <f>AND('GA55 Entry'!#REF!,"AAAAAA3v350=")</f>
        <v>#REF!</v>
      </c>
      <c r="FC168" t="e">
        <f>AND('GA55 Entry'!#REF!,"AAAAAA3v354=")</f>
        <v>#REF!</v>
      </c>
      <c r="FD168" t="e">
        <f>AND('GA55 Entry'!X612,"AAAAAA3v358=")</f>
        <v>#VALUE!</v>
      </c>
      <c r="FE168" t="e">
        <f>AND('GA55 Entry'!Y612,"AAAAAA3v36A=")</f>
        <v>#VALUE!</v>
      </c>
      <c r="FF168" t="e">
        <f>AND('GA55 Entry'!#REF!,"AAAAAA3v36E=")</f>
        <v>#REF!</v>
      </c>
      <c r="FG168" t="e">
        <f>AND('GA55 Entry'!#REF!,"AAAAAA3v36I=")</f>
        <v>#REF!</v>
      </c>
      <c r="FH168" t="e">
        <f>AND('GA55 Entry'!#REF!,"AAAAAA3v36M=")</f>
        <v>#REF!</v>
      </c>
      <c r="FI168" t="e">
        <f>AND('GA55 Entry'!#REF!,"AAAAAA3v36Q=")</f>
        <v>#REF!</v>
      </c>
      <c r="FJ168" t="e">
        <f>AND('GA55 Entry'!#REF!,"AAAAAA3v36U=")</f>
        <v>#REF!</v>
      </c>
      <c r="FK168" t="e">
        <f>AND('GA55 Entry'!#REF!,"AAAAAA3v36Y=")</f>
        <v>#REF!</v>
      </c>
      <c r="FL168" t="e">
        <f>AND('GA55 Entry'!#REF!,"AAAAAA3v36c=")</f>
        <v>#REF!</v>
      </c>
      <c r="FM168" t="e">
        <f>AND('GA55 Entry'!#REF!,"AAAAAA3v36g=")</f>
        <v>#REF!</v>
      </c>
      <c r="FN168" t="e">
        <f>AND('GA55 Entry'!#REF!,"AAAAAA3v36k=")</f>
        <v>#REF!</v>
      </c>
      <c r="FO168" t="e">
        <f>AND('GA55 Entry'!Z612,"AAAAAA3v36o=")</f>
        <v>#VALUE!</v>
      </c>
      <c r="FP168" t="e">
        <f>AND('GA55 Entry'!AA612,"AAAAAA3v36s=")</f>
        <v>#VALUE!</v>
      </c>
      <c r="FQ168" t="e">
        <f>AND('GA55 Entry'!#REF!,"AAAAAA3v36w=")</f>
        <v>#REF!</v>
      </c>
      <c r="FR168" t="e">
        <f>AND('GA55 Entry'!#REF!,"AAAAAA3v360=")</f>
        <v>#REF!</v>
      </c>
      <c r="FS168" t="e">
        <f>AND('GA55 Entry'!#REF!,"AAAAAA3v364=")</f>
        <v>#REF!</v>
      </c>
      <c r="FT168" t="e">
        <f>AND('GA55 Entry'!AB612,"AAAAAA3v368=")</f>
        <v>#VALUE!</v>
      </c>
      <c r="FU168" t="e">
        <f>AND('GA55 Entry'!AC612,"AAAAAA3v37A=")</f>
        <v>#VALUE!</v>
      </c>
      <c r="FV168" t="e">
        <f>AND('GA55 Entry'!#REF!,"AAAAAA3v37E=")</f>
        <v>#REF!</v>
      </c>
      <c r="FW168">
        <f>IF('GA55 Entry'!613:613,"AAAAAA3v37I=",0)</f>
        <v>0</v>
      </c>
      <c r="FX168" t="e">
        <f>AND('GA55 Entry'!B613,"AAAAAA3v37M=")</f>
        <v>#VALUE!</v>
      </c>
      <c r="FY168" t="e">
        <f>AND('GA55 Entry'!#REF!,"AAAAAA3v37Q=")</f>
        <v>#REF!</v>
      </c>
      <c r="FZ168" t="e">
        <f>AND('GA55 Entry'!C613,"AAAAAA3v37U=")</f>
        <v>#VALUE!</v>
      </c>
      <c r="GA168" t="e">
        <f>AND('GA55 Entry'!#REF!,"AAAAAA3v37Y=")</f>
        <v>#REF!</v>
      </c>
      <c r="GB168" t="e">
        <f>AND('GA55 Entry'!#REF!,"AAAAAA3v37c=")</f>
        <v>#REF!</v>
      </c>
      <c r="GC168" t="e">
        <f>AND('GA55 Entry'!#REF!,"AAAAAA3v37g=")</f>
        <v>#REF!</v>
      </c>
      <c r="GD168" t="e">
        <f>AND('GA55 Entry'!#REF!,"AAAAAA3v37k=")</f>
        <v>#REF!</v>
      </c>
      <c r="GE168" t="e">
        <f>AND('GA55 Entry'!#REF!,"AAAAAA3v37o=")</f>
        <v>#REF!</v>
      </c>
      <c r="GF168" t="e">
        <f>AND('GA55 Entry'!D613,"AAAAAA3v37s=")</f>
        <v>#VALUE!</v>
      </c>
      <c r="GG168" t="e">
        <f>AND('GA55 Entry'!#REF!,"AAAAAA3v37w=")</f>
        <v>#REF!</v>
      </c>
      <c r="GH168" t="e">
        <f>AND('GA55 Entry'!E613,"AAAAAA3v370=")</f>
        <v>#VALUE!</v>
      </c>
      <c r="GI168" t="e">
        <f>AND('GA55 Entry'!F613,"AAAAAA3v374=")</f>
        <v>#VALUE!</v>
      </c>
      <c r="GJ168" t="e">
        <f>AND('GA55 Entry'!G613,"AAAAAA3v378=")</f>
        <v>#VALUE!</v>
      </c>
      <c r="GK168" t="e">
        <f>AND('GA55 Entry'!H613,"AAAAAA3v38A=")</f>
        <v>#VALUE!</v>
      </c>
      <c r="GL168" t="e">
        <f>AND('GA55 Entry'!I613,"AAAAAA3v38E=")</f>
        <v>#VALUE!</v>
      </c>
      <c r="GM168" t="e">
        <f>AND('GA55 Entry'!J613,"AAAAAA3v38I=")</f>
        <v>#VALUE!</v>
      </c>
      <c r="GN168" t="e">
        <f>AND('GA55 Entry'!#REF!,"AAAAAA3v38M=")</f>
        <v>#REF!</v>
      </c>
      <c r="GO168" t="e">
        <f>AND('GA55 Entry'!K613,"AAAAAA3v38Q=")</f>
        <v>#VALUE!</v>
      </c>
      <c r="GP168" t="e">
        <f>AND('GA55 Entry'!L613,"AAAAAA3v38U=")</f>
        <v>#VALUE!</v>
      </c>
      <c r="GQ168" t="e">
        <f>AND('GA55 Entry'!M613,"AAAAAA3v38Y=")</f>
        <v>#VALUE!</v>
      </c>
      <c r="GR168" t="e">
        <f>AND('GA55 Entry'!N613,"AAAAAA3v38c=")</f>
        <v>#VALUE!</v>
      </c>
      <c r="GS168" t="e">
        <f>AND('GA55 Entry'!O613,"AAAAAA3v38g=")</f>
        <v>#VALUE!</v>
      </c>
      <c r="GT168" t="e">
        <f>AND('GA55 Entry'!P613,"AAAAAA3v38k=")</f>
        <v>#VALUE!</v>
      </c>
      <c r="GU168" t="e">
        <f>AND('GA55 Entry'!Q613,"AAAAAA3v38o=")</f>
        <v>#VALUE!</v>
      </c>
      <c r="GV168" t="e">
        <f>AND('GA55 Entry'!S613,"AAAAAA3v38s=")</f>
        <v>#VALUE!</v>
      </c>
      <c r="GW168" t="e">
        <f>AND('GA55 Entry'!#REF!,"AAAAAA3v38w=")</f>
        <v>#REF!</v>
      </c>
      <c r="GX168" t="e">
        <f>AND('GA55 Entry'!T613,"AAAAAA3v380=")</f>
        <v>#VALUE!</v>
      </c>
      <c r="GY168" t="e">
        <f>AND('GA55 Entry'!U613,"AAAAAA3v384=")</f>
        <v>#VALUE!</v>
      </c>
      <c r="GZ168" t="e">
        <f>AND('GA55 Entry'!V613,"AAAAAA3v388=")</f>
        <v>#VALUE!</v>
      </c>
      <c r="HA168" t="e">
        <f>AND('GA55 Entry'!#REF!,"AAAAAA3v39A=")</f>
        <v>#REF!</v>
      </c>
      <c r="HB168" t="e">
        <f>AND('GA55 Entry'!#REF!,"AAAAAA3v39E=")</f>
        <v>#REF!</v>
      </c>
      <c r="HC168" t="e">
        <f>AND('GA55 Entry'!X613,"AAAAAA3v39I=")</f>
        <v>#VALUE!</v>
      </c>
      <c r="HD168" t="e">
        <f>AND('GA55 Entry'!Y613,"AAAAAA3v39M=")</f>
        <v>#VALUE!</v>
      </c>
      <c r="HE168" t="e">
        <f>AND('GA55 Entry'!#REF!,"AAAAAA3v39Q=")</f>
        <v>#REF!</v>
      </c>
      <c r="HF168" t="e">
        <f>AND('GA55 Entry'!#REF!,"AAAAAA3v39U=")</f>
        <v>#REF!</v>
      </c>
      <c r="HG168" t="e">
        <f>AND('GA55 Entry'!#REF!,"AAAAAA3v39Y=")</f>
        <v>#REF!</v>
      </c>
      <c r="HH168" t="e">
        <f>AND('GA55 Entry'!#REF!,"AAAAAA3v39c=")</f>
        <v>#REF!</v>
      </c>
      <c r="HI168" t="e">
        <f>AND('GA55 Entry'!#REF!,"AAAAAA3v39g=")</f>
        <v>#REF!</v>
      </c>
      <c r="HJ168" t="e">
        <f>AND('GA55 Entry'!#REF!,"AAAAAA3v39k=")</f>
        <v>#REF!</v>
      </c>
      <c r="HK168" t="e">
        <f>AND('GA55 Entry'!#REF!,"AAAAAA3v39o=")</f>
        <v>#REF!</v>
      </c>
      <c r="HL168" t="e">
        <f>AND('GA55 Entry'!#REF!,"AAAAAA3v39s=")</f>
        <v>#REF!</v>
      </c>
      <c r="HM168" t="e">
        <f>AND('GA55 Entry'!#REF!,"AAAAAA3v39w=")</f>
        <v>#REF!</v>
      </c>
      <c r="HN168" t="e">
        <f>AND('GA55 Entry'!Z613,"AAAAAA3v390=")</f>
        <v>#VALUE!</v>
      </c>
      <c r="HO168" t="e">
        <f>AND('GA55 Entry'!AA613,"AAAAAA3v394=")</f>
        <v>#VALUE!</v>
      </c>
      <c r="HP168" t="e">
        <f>AND('GA55 Entry'!#REF!,"AAAAAA3v398=")</f>
        <v>#REF!</v>
      </c>
      <c r="HQ168" t="e">
        <f>AND('GA55 Entry'!#REF!,"AAAAAA3v3+A=")</f>
        <v>#REF!</v>
      </c>
      <c r="HR168" t="e">
        <f>AND('GA55 Entry'!#REF!,"AAAAAA3v3+E=")</f>
        <v>#REF!</v>
      </c>
      <c r="HS168" t="e">
        <f>AND('GA55 Entry'!AB613,"AAAAAA3v3+I=")</f>
        <v>#VALUE!</v>
      </c>
      <c r="HT168" t="e">
        <f>AND('GA55 Entry'!AC613,"AAAAAA3v3+M=")</f>
        <v>#VALUE!</v>
      </c>
      <c r="HU168" t="e">
        <f>AND('GA55 Entry'!#REF!,"AAAAAA3v3+Q=")</f>
        <v>#REF!</v>
      </c>
      <c r="HV168">
        <f>IF('GA55 Entry'!614:614,"AAAAAA3v3+U=",0)</f>
        <v>0</v>
      </c>
      <c r="HW168" t="e">
        <f>AND('GA55 Entry'!B614,"AAAAAA3v3+Y=")</f>
        <v>#VALUE!</v>
      </c>
      <c r="HX168" t="e">
        <f>AND('GA55 Entry'!#REF!,"AAAAAA3v3+c=")</f>
        <v>#REF!</v>
      </c>
      <c r="HY168" t="e">
        <f>AND('GA55 Entry'!C614,"AAAAAA3v3+g=")</f>
        <v>#VALUE!</v>
      </c>
      <c r="HZ168" t="e">
        <f>AND('GA55 Entry'!#REF!,"AAAAAA3v3+k=")</f>
        <v>#REF!</v>
      </c>
      <c r="IA168" t="e">
        <f>AND('GA55 Entry'!#REF!,"AAAAAA3v3+o=")</f>
        <v>#REF!</v>
      </c>
      <c r="IB168" t="e">
        <f>AND('GA55 Entry'!#REF!,"AAAAAA3v3+s=")</f>
        <v>#REF!</v>
      </c>
      <c r="IC168" t="e">
        <f>AND('GA55 Entry'!#REF!,"AAAAAA3v3+w=")</f>
        <v>#REF!</v>
      </c>
      <c r="ID168" t="e">
        <f>AND('GA55 Entry'!#REF!,"AAAAAA3v3+0=")</f>
        <v>#REF!</v>
      </c>
      <c r="IE168" t="e">
        <f>AND('GA55 Entry'!D614,"AAAAAA3v3+4=")</f>
        <v>#VALUE!</v>
      </c>
      <c r="IF168" t="e">
        <f>AND('GA55 Entry'!#REF!,"AAAAAA3v3+8=")</f>
        <v>#REF!</v>
      </c>
      <c r="IG168" t="e">
        <f>AND('GA55 Entry'!E614,"AAAAAA3v3/A=")</f>
        <v>#VALUE!</v>
      </c>
      <c r="IH168" t="e">
        <f>AND('GA55 Entry'!F614,"AAAAAA3v3/E=")</f>
        <v>#VALUE!</v>
      </c>
      <c r="II168" t="e">
        <f>AND('GA55 Entry'!G614,"AAAAAA3v3/I=")</f>
        <v>#VALUE!</v>
      </c>
      <c r="IJ168" t="e">
        <f>AND('GA55 Entry'!H614,"AAAAAA3v3/M=")</f>
        <v>#VALUE!</v>
      </c>
      <c r="IK168" t="e">
        <f>AND('GA55 Entry'!I614,"AAAAAA3v3/Q=")</f>
        <v>#VALUE!</v>
      </c>
      <c r="IL168" t="e">
        <f>AND('GA55 Entry'!J614,"AAAAAA3v3/U=")</f>
        <v>#VALUE!</v>
      </c>
      <c r="IM168" t="e">
        <f>AND('GA55 Entry'!#REF!,"AAAAAA3v3/Y=")</f>
        <v>#REF!</v>
      </c>
      <c r="IN168" t="e">
        <f>AND('GA55 Entry'!K614,"AAAAAA3v3/c=")</f>
        <v>#VALUE!</v>
      </c>
      <c r="IO168" t="e">
        <f>AND('GA55 Entry'!L614,"AAAAAA3v3/g=")</f>
        <v>#VALUE!</v>
      </c>
      <c r="IP168" t="e">
        <f>AND('GA55 Entry'!M614,"AAAAAA3v3/k=")</f>
        <v>#VALUE!</v>
      </c>
      <c r="IQ168" t="e">
        <f>AND('GA55 Entry'!N614,"AAAAAA3v3/o=")</f>
        <v>#VALUE!</v>
      </c>
      <c r="IR168" t="e">
        <f>AND('GA55 Entry'!O614,"AAAAAA3v3/s=")</f>
        <v>#VALUE!</v>
      </c>
      <c r="IS168" t="e">
        <f>AND('GA55 Entry'!P614,"AAAAAA3v3/w=")</f>
        <v>#VALUE!</v>
      </c>
      <c r="IT168" t="e">
        <f>AND('GA55 Entry'!Q614,"AAAAAA3v3/0=")</f>
        <v>#VALUE!</v>
      </c>
      <c r="IU168" t="e">
        <f>AND('GA55 Entry'!S614,"AAAAAA3v3/4=")</f>
        <v>#VALUE!</v>
      </c>
      <c r="IV168" t="e">
        <f>AND('GA55 Entry'!#REF!,"AAAAAA3v3/8=")</f>
        <v>#REF!</v>
      </c>
    </row>
    <row r="169" spans="1:256">
      <c r="A169" t="e">
        <f>AND('GA55 Entry'!T614,"AAAAAD9uuwA=")</f>
        <v>#VALUE!</v>
      </c>
      <c r="B169" t="e">
        <f>AND('GA55 Entry'!U614,"AAAAAD9uuwE=")</f>
        <v>#VALUE!</v>
      </c>
      <c r="C169" t="e">
        <f>AND('GA55 Entry'!V614,"AAAAAD9uuwI=")</f>
        <v>#VALUE!</v>
      </c>
      <c r="D169" t="e">
        <f>AND('GA55 Entry'!#REF!,"AAAAAD9uuwM=")</f>
        <v>#REF!</v>
      </c>
      <c r="E169" t="e">
        <f>AND('GA55 Entry'!#REF!,"AAAAAD9uuwQ=")</f>
        <v>#REF!</v>
      </c>
      <c r="F169" t="e">
        <f>AND('GA55 Entry'!X614,"AAAAAD9uuwU=")</f>
        <v>#VALUE!</v>
      </c>
      <c r="G169" t="e">
        <f>AND('GA55 Entry'!Y614,"AAAAAD9uuwY=")</f>
        <v>#VALUE!</v>
      </c>
      <c r="H169" t="e">
        <f>AND('GA55 Entry'!#REF!,"AAAAAD9uuwc=")</f>
        <v>#REF!</v>
      </c>
      <c r="I169" t="e">
        <f>AND('GA55 Entry'!#REF!,"AAAAAD9uuwg=")</f>
        <v>#REF!</v>
      </c>
      <c r="J169" t="e">
        <f>AND('GA55 Entry'!#REF!,"AAAAAD9uuwk=")</f>
        <v>#REF!</v>
      </c>
      <c r="K169" t="e">
        <f>AND('GA55 Entry'!#REF!,"AAAAAD9uuwo=")</f>
        <v>#REF!</v>
      </c>
      <c r="L169" t="e">
        <f>AND('GA55 Entry'!#REF!,"AAAAAD9uuws=")</f>
        <v>#REF!</v>
      </c>
      <c r="M169" t="e">
        <f>AND('GA55 Entry'!#REF!,"AAAAAD9uuww=")</f>
        <v>#REF!</v>
      </c>
      <c r="N169" t="e">
        <f>AND('GA55 Entry'!#REF!,"AAAAAD9uuw0=")</f>
        <v>#REF!</v>
      </c>
      <c r="O169" t="e">
        <f>AND('GA55 Entry'!#REF!,"AAAAAD9uuw4=")</f>
        <v>#REF!</v>
      </c>
      <c r="P169" t="e">
        <f>AND('GA55 Entry'!#REF!,"AAAAAD9uuw8=")</f>
        <v>#REF!</v>
      </c>
      <c r="Q169" t="e">
        <f>AND('GA55 Entry'!Z614,"AAAAAD9uuxA=")</f>
        <v>#VALUE!</v>
      </c>
      <c r="R169" t="e">
        <f>AND('GA55 Entry'!AA614,"AAAAAD9uuxE=")</f>
        <v>#VALUE!</v>
      </c>
      <c r="S169" t="e">
        <f>AND('GA55 Entry'!#REF!,"AAAAAD9uuxI=")</f>
        <v>#REF!</v>
      </c>
      <c r="T169" t="e">
        <f>AND('GA55 Entry'!#REF!,"AAAAAD9uuxM=")</f>
        <v>#REF!</v>
      </c>
      <c r="U169" t="e">
        <f>AND('GA55 Entry'!#REF!,"AAAAAD9uuxQ=")</f>
        <v>#REF!</v>
      </c>
      <c r="V169" t="e">
        <f>AND('GA55 Entry'!AB614,"AAAAAD9uuxU=")</f>
        <v>#VALUE!</v>
      </c>
      <c r="W169" t="e">
        <f>AND('GA55 Entry'!AC614,"AAAAAD9uuxY=")</f>
        <v>#VALUE!</v>
      </c>
      <c r="X169" t="e">
        <f>AND('GA55 Entry'!#REF!,"AAAAAD9uuxc=")</f>
        <v>#REF!</v>
      </c>
      <c r="Y169">
        <f>IF('GA55 Entry'!615:615,"AAAAAD9uuxg=",0)</f>
        <v>0</v>
      </c>
      <c r="Z169" t="e">
        <f>AND('GA55 Entry'!B615,"AAAAAD9uuxk=")</f>
        <v>#VALUE!</v>
      </c>
      <c r="AA169" t="e">
        <f>AND('GA55 Entry'!#REF!,"AAAAAD9uuxo=")</f>
        <v>#REF!</v>
      </c>
      <c r="AB169" t="e">
        <f>AND('GA55 Entry'!C615,"AAAAAD9uuxs=")</f>
        <v>#VALUE!</v>
      </c>
      <c r="AC169" t="e">
        <f>AND('GA55 Entry'!#REF!,"AAAAAD9uuxw=")</f>
        <v>#REF!</v>
      </c>
      <c r="AD169" t="e">
        <f>AND('GA55 Entry'!#REF!,"AAAAAD9uux0=")</f>
        <v>#REF!</v>
      </c>
      <c r="AE169" t="e">
        <f>AND('GA55 Entry'!#REF!,"AAAAAD9uux4=")</f>
        <v>#REF!</v>
      </c>
      <c r="AF169" t="e">
        <f>AND('GA55 Entry'!#REF!,"AAAAAD9uux8=")</f>
        <v>#REF!</v>
      </c>
      <c r="AG169" t="e">
        <f>AND('GA55 Entry'!#REF!,"AAAAAD9uuyA=")</f>
        <v>#REF!</v>
      </c>
      <c r="AH169" t="e">
        <f>AND('GA55 Entry'!D615,"AAAAAD9uuyE=")</f>
        <v>#VALUE!</v>
      </c>
      <c r="AI169" t="e">
        <f>AND('GA55 Entry'!#REF!,"AAAAAD9uuyI=")</f>
        <v>#REF!</v>
      </c>
      <c r="AJ169" t="e">
        <f>AND('GA55 Entry'!E615,"AAAAAD9uuyM=")</f>
        <v>#VALUE!</v>
      </c>
      <c r="AK169" t="e">
        <f>AND('GA55 Entry'!F615,"AAAAAD9uuyQ=")</f>
        <v>#VALUE!</v>
      </c>
      <c r="AL169" t="e">
        <f>AND('GA55 Entry'!G615,"AAAAAD9uuyU=")</f>
        <v>#VALUE!</v>
      </c>
      <c r="AM169" t="e">
        <f>AND('GA55 Entry'!H615,"AAAAAD9uuyY=")</f>
        <v>#VALUE!</v>
      </c>
      <c r="AN169" t="e">
        <f>AND('GA55 Entry'!I615,"AAAAAD9uuyc=")</f>
        <v>#VALUE!</v>
      </c>
      <c r="AO169" t="e">
        <f>AND('GA55 Entry'!J615,"AAAAAD9uuyg=")</f>
        <v>#VALUE!</v>
      </c>
      <c r="AP169" t="e">
        <f>AND('GA55 Entry'!#REF!,"AAAAAD9uuyk=")</f>
        <v>#REF!</v>
      </c>
      <c r="AQ169" t="e">
        <f>AND('GA55 Entry'!K615,"AAAAAD9uuyo=")</f>
        <v>#VALUE!</v>
      </c>
      <c r="AR169" t="e">
        <f>AND('GA55 Entry'!L615,"AAAAAD9uuys=")</f>
        <v>#VALUE!</v>
      </c>
      <c r="AS169" t="e">
        <f>AND('GA55 Entry'!M615,"AAAAAD9uuyw=")</f>
        <v>#VALUE!</v>
      </c>
      <c r="AT169" t="e">
        <f>AND('GA55 Entry'!N615,"AAAAAD9uuy0=")</f>
        <v>#VALUE!</v>
      </c>
      <c r="AU169" t="e">
        <f>AND('GA55 Entry'!O615,"AAAAAD9uuy4=")</f>
        <v>#VALUE!</v>
      </c>
      <c r="AV169" t="e">
        <f>AND('GA55 Entry'!P615,"AAAAAD9uuy8=")</f>
        <v>#VALUE!</v>
      </c>
      <c r="AW169" t="e">
        <f>AND('GA55 Entry'!Q615,"AAAAAD9uuzA=")</f>
        <v>#VALUE!</v>
      </c>
      <c r="AX169" t="e">
        <f>AND('GA55 Entry'!S615,"AAAAAD9uuzE=")</f>
        <v>#VALUE!</v>
      </c>
      <c r="AY169" t="e">
        <f>AND('GA55 Entry'!#REF!,"AAAAAD9uuzI=")</f>
        <v>#REF!</v>
      </c>
      <c r="AZ169" t="e">
        <f>AND('GA55 Entry'!T615,"AAAAAD9uuzM=")</f>
        <v>#VALUE!</v>
      </c>
      <c r="BA169" t="e">
        <f>AND('GA55 Entry'!U615,"AAAAAD9uuzQ=")</f>
        <v>#VALUE!</v>
      </c>
      <c r="BB169" t="e">
        <f>AND('GA55 Entry'!V615,"AAAAAD9uuzU=")</f>
        <v>#VALUE!</v>
      </c>
      <c r="BC169" t="e">
        <f>AND('GA55 Entry'!#REF!,"AAAAAD9uuzY=")</f>
        <v>#REF!</v>
      </c>
      <c r="BD169" t="e">
        <f>AND('GA55 Entry'!#REF!,"AAAAAD9uuzc=")</f>
        <v>#REF!</v>
      </c>
      <c r="BE169" t="e">
        <f>AND('GA55 Entry'!X615,"AAAAAD9uuzg=")</f>
        <v>#VALUE!</v>
      </c>
      <c r="BF169" t="e">
        <f>AND('GA55 Entry'!Y615,"AAAAAD9uuzk=")</f>
        <v>#VALUE!</v>
      </c>
      <c r="BG169" t="e">
        <f>AND('GA55 Entry'!#REF!,"AAAAAD9uuzo=")</f>
        <v>#REF!</v>
      </c>
      <c r="BH169" t="e">
        <f>AND('GA55 Entry'!#REF!,"AAAAAD9uuzs=")</f>
        <v>#REF!</v>
      </c>
      <c r="BI169" t="e">
        <f>AND('GA55 Entry'!#REF!,"AAAAAD9uuzw=")</f>
        <v>#REF!</v>
      </c>
      <c r="BJ169" t="e">
        <f>AND('GA55 Entry'!#REF!,"AAAAAD9uuz0=")</f>
        <v>#REF!</v>
      </c>
      <c r="BK169" t="e">
        <f>AND('GA55 Entry'!#REF!,"AAAAAD9uuz4=")</f>
        <v>#REF!</v>
      </c>
      <c r="BL169" t="e">
        <f>AND('GA55 Entry'!#REF!,"AAAAAD9uuz8=")</f>
        <v>#REF!</v>
      </c>
      <c r="BM169" t="e">
        <f>AND('GA55 Entry'!#REF!,"AAAAAD9uu0A=")</f>
        <v>#REF!</v>
      </c>
      <c r="BN169" t="e">
        <f>AND('GA55 Entry'!#REF!,"AAAAAD9uu0E=")</f>
        <v>#REF!</v>
      </c>
      <c r="BO169" t="e">
        <f>AND('GA55 Entry'!#REF!,"AAAAAD9uu0I=")</f>
        <v>#REF!</v>
      </c>
      <c r="BP169" t="e">
        <f>AND('GA55 Entry'!Z615,"AAAAAD9uu0M=")</f>
        <v>#VALUE!</v>
      </c>
      <c r="BQ169" t="e">
        <f>AND('GA55 Entry'!AA615,"AAAAAD9uu0Q=")</f>
        <v>#VALUE!</v>
      </c>
      <c r="BR169" t="e">
        <f>AND('GA55 Entry'!#REF!,"AAAAAD9uu0U=")</f>
        <v>#REF!</v>
      </c>
      <c r="BS169" t="e">
        <f>AND('GA55 Entry'!#REF!,"AAAAAD9uu0Y=")</f>
        <v>#REF!</v>
      </c>
      <c r="BT169" t="e">
        <f>AND('GA55 Entry'!#REF!,"AAAAAD9uu0c=")</f>
        <v>#REF!</v>
      </c>
      <c r="BU169" t="e">
        <f>AND('GA55 Entry'!AB615,"AAAAAD9uu0g=")</f>
        <v>#VALUE!</v>
      </c>
      <c r="BV169" t="e">
        <f>AND('GA55 Entry'!AC615,"AAAAAD9uu0k=")</f>
        <v>#VALUE!</v>
      </c>
      <c r="BW169" t="e">
        <f>AND('GA55 Entry'!#REF!,"AAAAAD9uu0o=")</f>
        <v>#REF!</v>
      </c>
      <c r="BX169">
        <f>IF('GA55 Entry'!616:616,"AAAAAD9uu0s=",0)</f>
        <v>0</v>
      </c>
      <c r="BY169" t="e">
        <f>AND('GA55 Entry'!B616,"AAAAAD9uu0w=")</f>
        <v>#VALUE!</v>
      </c>
      <c r="BZ169" t="e">
        <f>AND('GA55 Entry'!#REF!,"AAAAAD9uu00=")</f>
        <v>#REF!</v>
      </c>
      <c r="CA169" t="e">
        <f>AND('GA55 Entry'!C616,"AAAAAD9uu04=")</f>
        <v>#VALUE!</v>
      </c>
      <c r="CB169" t="e">
        <f>AND('GA55 Entry'!#REF!,"AAAAAD9uu08=")</f>
        <v>#REF!</v>
      </c>
      <c r="CC169" t="e">
        <f>AND('GA55 Entry'!#REF!,"AAAAAD9uu1A=")</f>
        <v>#REF!</v>
      </c>
      <c r="CD169" t="e">
        <f>AND('GA55 Entry'!#REF!,"AAAAAD9uu1E=")</f>
        <v>#REF!</v>
      </c>
      <c r="CE169" t="e">
        <f>AND('GA55 Entry'!#REF!,"AAAAAD9uu1I=")</f>
        <v>#REF!</v>
      </c>
      <c r="CF169" t="e">
        <f>AND('GA55 Entry'!#REF!,"AAAAAD9uu1M=")</f>
        <v>#REF!</v>
      </c>
      <c r="CG169" t="e">
        <f>AND('GA55 Entry'!D616,"AAAAAD9uu1Q=")</f>
        <v>#VALUE!</v>
      </c>
      <c r="CH169" t="e">
        <f>AND('GA55 Entry'!#REF!,"AAAAAD9uu1U=")</f>
        <v>#REF!</v>
      </c>
      <c r="CI169" t="e">
        <f>AND('GA55 Entry'!E616,"AAAAAD9uu1Y=")</f>
        <v>#VALUE!</v>
      </c>
      <c r="CJ169" t="e">
        <f>AND('GA55 Entry'!F616,"AAAAAD9uu1c=")</f>
        <v>#VALUE!</v>
      </c>
      <c r="CK169" t="e">
        <f>AND('GA55 Entry'!G616,"AAAAAD9uu1g=")</f>
        <v>#VALUE!</v>
      </c>
      <c r="CL169" t="e">
        <f>AND('GA55 Entry'!H616,"AAAAAD9uu1k=")</f>
        <v>#VALUE!</v>
      </c>
      <c r="CM169" t="e">
        <f>AND('GA55 Entry'!I616,"AAAAAD9uu1o=")</f>
        <v>#VALUE!</v>
      </c>
      <c r="CN169" t="e">
        <f>AND('GA55 Entry'!J616,"AAAAAD9uu1s=")</f>
        <v>#VALUE!</v>
      </c>
      <c r="CO169" t="e">
        <f>AND('GA55 Entry'!#REF!,"AAAAAD9uu1w=")</f>
        <v>#REF!</v>
      </c>
      <c r="CP169" t="e">
        <f>AND('GA55 Entry'!K616,"AAAAAD9uu10=")</f>
        <v>#VALUE!</v>
      </c>
      <c r="CQ169" t="e">
        <f>AND('GA55 Entry'!L616,"AAAAAD9uu14=")</f>
        <v>#VALUE!</v>
      </c>
      <c r="CR169" t="e">
        <f>AND('GA55 Entry'!M616,"AAAAAD9uu18=")</f>
        <v>#VALUE!</v>
      </c>
      <c r="CS169" t="e">
        <f>AND('GA55 Entry'!N616,"AAAAAD9uu2A=")</f>
        <v>#VALUE!</v>
      </c>
      <c r="CT169" t="e">
        <f>AND('GA55 Entry'!O616,"AAAAAD9uu2E=")</f>
        <v>#VALUE!</v>
      </c>
      <c r="CU169" t="e">
        <f>AND('GA55 Entry'!P616,"AAAAAD9uu2I=")</f>
        <v>#VALUE!</v>
      </c>
      <c r="CV169" t="e">
        <f>AND('GA55 Entry'!Q616,"AAAAAD9uu2M=")</f>
        <v>#VALUE!</v>
      </c>
      <c r="CW169" t="e">
        <f>AND('GA55 Entry'!S616,"AAAAAD9uu2Q=")</f>
        <v>#VALUE!</v>
      </c>
      <c r="CX169" t="e">
        <f>AND('GA55 Entry'!#REF!,"AAAAAD9uu2U=")</f>
        <v>#REF!</v>
      </c>
      <c r="CY169" t="e">
        <f>AND('GA55 Entry'!T616,"AAAAAD9uu2Y=")</f>
        <v>#VALUE!</v>
      </c>
      <c r="CZ169" t="e">
        <f>AND('GA55 Entry'!U616,"AAAAAD9uu2c=")</f>
        <v>#VALUE!</v>
      </c>
      <c r="DA169" t="e">
        <f>AND('GA55 Entry'!V616,"AAAAAD9uu2g=")</f>
        <v>#VALUE!</v>
      </c>
      <c r="DB169" t="e">
        <f>AND('GA55 Entry'!#REF!,"AAAAAD9uu2k=")</f>
        <v>#REF!</v>
      </c>
      <c r="DC169" t="e">
        <f>AND('GA55 Entry'!#REF!,"AAAAAD9uu2o=")</f>
        <v>#REF!</v>
      </c>
      <c r="DD169" t="e">
        <f>AND('GA55 Entry'!X616,"AAAAAD9uu2s=")</f>
        <v>#VALUE!</v>
      </c>
      <c r="DE169" t="e">
        <f>AND('GA55 Entry'!Y616,"AAAAAD9uu2w=")</f>
        <v>#VALUE!</v>
      </c>
      <c r="DF169" t="e">
        <f>AND('GA55 Entry'!#REF!,"AAAAAD9uu20=")</f>
        <v>#REF!</v>
      </c>
      <c r="DG169" t="e">
        <f>AND('GA55 Entry'!#REF!,"AAAAAD9uu24=")</f>
        <v>#REF!</v>
      </c>
      <c r="DH169" t="e">
        <f>AND('GA55 Entry'!#REF!,"AAAAAD9uu28=")</f>
        <v>#REF!</v>
      </c>
      <c r="DI169" t="e">
        <f>AND('GA55 Entry'!#REF!,"AAAAAD9uu3A=")</f>
        <v>#REF!</v>
      </c>
      <c r="DJ169" t="e">
        <f>AND('GA55 Entry'!#REF!,"AAAAAD9uu3E=")</f>
        <v>#REF!</v>
      </c>
      <c r="DK169" t="e">
        <f>AND('GA55 Entry'!#REF!,"AAAAAD9uu3I=")</f>
        <v>#REF!</v>
      </c>
      <c r="DL169" t="e">
        <f>AND('GA55 Entry'!#REF!,"AAAAAD9uu3M=")</f>
        <v>#REF!</v>
      </c>
      <c r="DM169" t="e">
        <f>AND('GA55 Entry'!#REF!,"AAAAAD9uu3Q=")</f>
        <v>#REF!</v>
      </c>
      <c r="DN169" t="e">
        <f>AND('GA55 Entry'!#REF!,"AAAAAD9uu3U=")</f>
        <v>#REF!</v>
      </c>
      <c r="DO169" t="e">
        <f>AND('GA55 Entry'!Z616,"AAAAAD9uu3Y=")</f>
        <v>#VALUE!</v>
      </c>
      <c r="DP169" t="e">
        <f>AND('GA55 Entry'!AA616,"AAAAAD9uu3c=")</f>
        <v>#VALUE!</v>
      </c>
      <c r="DQ169" t="e">
        <f>AND('GA55 Entry'!#REF!,"AAAAAD9uu3g=")</f>
        <v>#REF!</v>
      </c>
      <c r="DR169" t="e">
        <f>AND('GA55 Entry'!#REF!,"AAAAAD9uu3k=")</f>
        <v>#REF!</v>
      </c>
      <c r="DS169" t="e">
        <f>AND('GA55 Entry'!#REF!,"AAAAAD9uu3o=")</f>
        <v>#REF!</v>
      </c>
      <c r="DT169" t="e">
        <f>AND('GA55 Entry'!AB616,"AAAAAD9uu3s=")</f>
        <v>#VALUE!</v>
      </c>
      <c r="DU169" t="e">
        <f>AND('GA55 Entry'!AC616,"AAAAAD9uu3w=")</f>
        <v>#VALUE!</v>
      </c>
      <c r="DV169" t="e">
        <f>AND('GA55 Entry'!#REF!,"AAAAAD9uu30=")</f>
        <v>#REF!</v>
      </c>
      <c r="DW169">
        <f>IF('GA55 Entry'!617:617,"AAAAAD9uu34=",0)</f>
        <v>0</v>
      </c>
      <c r="DX169" t="e">
        <f>AND('GA55 Entry'!B617,"AAAAAD9uu38=")</f>
        <v>#VALUE!</v>
      </c>
      <c r="DY169" t="e">
        <f>AND('GA55 Entry'!#REF!,"AAAAAD9uu4A=")</f>
        <v>#REF!</v>
      </c>
      <c r="DZ169" t="e">
        <f>AND('GA55 Entry'!C617,"AAAAAD9uu4E=")</f>
        <v>#VALUE!</v>
      </c>
      <c r="EA169" t="e">
        <f>AND('GA55 Entry'!#REF!,"AAAAAD9uu4I=")</f>
        <v>#REF!</v>
      </c>
      <c r="EB169" t="e">
        <f>AND('GA55 Entry'!#REF!,"AAAAAD9uu4M=")</f>
        <v>#REF!</v>
      </c>
      <c r="EC169" t="e">
        <f>AND('GA55 Entry'!#REF!,"AAAAAD9uu4Q=")</f>
        <v>#REF!</v>
      </c>
      <c r="ED169" t="e">
        <f>AND('GA55 Entry'!#REF!,"AAAAAD9uu4U=")</f>
        <v>#REF!</v>
      </c>
      <c r="EE169" t="e">
        <f>AND('GA55 Entry'!#REF!,"AAAAAD9uu4Y=")</f>
        <v>#REF!</v>
      </c>
      <c r="EF169" t="e">
        <f>AND('GA55 Entry'!D617,"AAAAAD9uu4c=")</f>
        <v>#VALUE!</v>
      </c>
      <c r="EG169" t="e">
        <f>AND('GA55 Entry'!#REF!,"AAAAAD9uu4g=")</f>
        <v>#REF!</v>
      </c>
      <c r="EH169" t="e">
        <f>AND('GA55 Entry'!E617,"AAAAAD9uu4k=")</f>
        <v>#VALUE!</v>
      </c>
      <c r="EI169" t="e">
        <f>AND('GA55 Entry'!F617,"AAAAAD9uu4o=")</f>
        <v>#VALUE!</v>
      </c>
      <c r="EJ169" t="e">
        <f>AND('GA55 Entry'!G617,"AAAAAD9uu4s=")</f>
        <v>#VALUE!</v>
      </c>
      <c r="EK169" t="e">
        <f>AND('GA55 Entry'!H617,"AAAAAD9uu4w=")</f>
        <v>#VALUE!</v>
      </c>
      <c r="EL169" t="e">
        <f>AND('GA55 Entry'!I617,"AAAAAD9uu40=")</f>
        <v>#VALUE!</v>
      </c>
      <c r="EM169" t="e">
        <f>AND('GA55 Entry'!J617,"AAAAAD9uu44=")</f>
        <v>#VALUE!</v>
      </c>
      <c r="EN169" t="e">
        <f>AND('GA55 Entry'!#REF!,"AAAAAD9uu48=")</f>
        <v>#REF!</v>
      </c>
      <c r="EO169" t="e">
        <f>AND('GA55 Entry'!K617,"AAAAAD9uu5A=")</f>
        <v>#VALUE!</v>
      </c>
      <c r="EP169" t="e">
        <f>AND('GA55 Entry'!L617,"AAAAAD9uu5E=")</f>
        <v>#VALUE!</v>
      </c>
      <c r="EQ169" t="e">
        <f>AND('GA55 Entry'!M617,"AAAAAD9uu5I=")</f>
        <v>#VALUE!</v>
      </c>
      <c r="ER169" t="e">
        <f>AND('GA55 Entry'!N617,"AAAAAD9uu5M=")</f>
        <v>#VALUE!</v>
      </c>
      <c r="ES169" t="e">
        <f>AND('GA55 Entry'!O617,"AAAAAD9uu5Q=")</f>
        <v>#VALUE!</v>
      </c>
      <c r="ET169" t="e">
        <f>AND('GA55 Entry'!P617,"AAAAAD9uu5U=")</f>
        <v>#VALUE!</v>
      </c>
      <c r="EU169" t="e">
        <f>AND('GA55 Entry'!Q617,"AAAAAD9uu5Y=")</f>
        <v>#VALUE!</v>
      </c>
      <c r="EV169" t="e">
        <f>AND('GA55 Entry'!S617,"AAAAAD9uu5c=")</f>
        <v>#VALUE!</v>
      </c>
      <c r="EW169" t="e">
        <f>AND('GA55 Entry'!#REF!,"AAAAAD9uu5g=")</f>
        <v>#REF!</v>
      </c>
      <c r="EX169" t="e">
        <f>AND('GA55 Entry'!T617,"AAAAAD9uu5k=")</f>
        <v>#VALUE!</v>
      </c>
      <c r="EY169" t="e">
        <f>AND('GA55 Entry'!U617,"AAAAAD9uu5o=")</f>
        <v>#VALUE!</v>
      </c>
      <c r="EZ169" t="e">
        <f>AND('GA55 Entry'!V617,"AAAAAD9uu5s=")</f>
        <v>#VALUE!</v>
      </c>
      <c r="FA169" t="e">
        <f>AND('GA55 Entry'!#REF!,"AAAAAD9uu5w=")</f>
        <v>#REF!</v>
      </c>
      <c r="FB169" t="e">
        <f>AND('GA55 Entry'!#REF!,"AAAAAD9uu50=")</f>
        <v>#REF!</v>
      </c>
      <c r="FC169" t="e">
        <f>AND('GA55 Entry'!X617,"AAAAAD9uu54=")</f>
        <v>#VALUE!</v>
      </c>
      <c r="FD169" t="e">
        <f>AND('GA55 Entry'!Y617,"AAAAAD9uu58=")</f>
        <v>#VALUE!</v>
      </c>
      <c r="FE169" t="e">
        <f>AND('GA55 Entry'!#REF!,"AAAAAD9uu6A=")</f>
        <v>#REF!</v>
      </c>
      <c r="FF169" t="e">
        <f>AND('GA55 Entry'!#REF!,"AAAAAD9uu6E=")</f>
        <v>#REF!</v>
      </c>
      <c r="FG169" t="e">
        <f>AND('GA55 Entry'!#REF!,"AAAAAD9uu6I=")</f>
        <v>#REF!</v>
      </c>
      <c r="FH169" t="e">
        <f>AND('GA55 Entry'!#REF!,"AAAAAD9uu6M=")</f>
        <v>#REF!</v>
      </c>
      <c r="FI169" t="e">
        <f>AND('GA55 Entry'!#REF!,"AAAAAD9uu6Q=")</f>
        <v>#REF!</v>
      </c>
      <c r="FJ169" t="e">
        <f>AND('GA55 Entry'!#REF!,"AAAAAD9uu6U=")</f>
        <v>#REF!</v>
      </c>
      <c r="FK169" t="e">
        <f>AND('GA55 Entry'!#REF!,"AAAAAD9uu6Y=")</f>
        <v>#REF!</v>
      </c>
      <c r="FL169" t="e">
        <f>AND('GA55 Entry'!#REF!,"AAAAAD9uu6c=")</f>
        <v>#REF!</v>
      </c>
      <c r="FM169" t="e">
        <f>AND('GA55 Entry'!#REF!,"AAAAAD9uu6g=")</f>
        <v>#REF!</v>
      </c>
      <c r="FN169" t="e">
        <f>AND('GA55 Entry'!Z617,"AAAAAD9uu6k=")</f>
        <v>#VALUE!</v>
      </c>
      <c r="FO169" t="e">
        <f>AND('GA55 Entry'!AA617,"AAAAAD9uu6o=")</f>
        <v>#VALUE!</v>
      </c>
      <c r="FP169" t="e">
        <f>AND('GA55 Entry'!#REF!,"AAAAAD9uu6s=")</f>
        <v>#REF!</v>
      </c>
      <c r="FQ169" t="e">
        <f>AND('GA55 Entry'!#REF!,"AAAAAD9uu6w=")</f>
        <v>#REF!</v>
      </c>
      <c r="FR169" t="e">
        <f>AND('GA55 Entry'!#REF!,"AAAAAD9uu60=")</f>
        <v>#REF!</v>
      </c>
      <c r="FS169" t="e">
        <f>AND('GA55 Entry'!AB617,"AAAAAD9uu64=")</f>
        <v>#VALUE!</v>
      </c>
      <c r="FT169" t="e">
        <f>AND('GA55 Entry'!AC617,"AAAAAD9uu68=")</f>
        <v>#VALUE!</v>
      </c>
      <c r="FU169" t="e">
        <f>AND('GA55 Entry'!#REF!,"AAAAAD9uu7A=")</f>
        <v>#REF!</v>
      </c>
      <c r="FV169">
        <f>IF('GA55 Entry'!618:618,"AAAAAD9uu7E=",0)</f>
        <v>0</v>
      </c>
      <c r="FW169" t="e">
        <f>AND('GA55 Entry'!B618,"AAAAAD9uu7I=")</f>
        <v>#VALUE!</v>
      </c>
      <c r="FX169" t="e">
        <f>AND('GA55 Entry'!#REF!,"AAAAAD9uu7M=")</f>
        <v>#REF!</v>
      </c>
      <c r="FY169" t="e">
        <f>AND('GA55 Entry'!C618,"AAAAAD9uu7Q=")</f>
        <v>#VALUE!</v>
      </c>
      <c r="FZ169" t="e">
        <f>AND('GA55 Entry'!#REF!,"AAAAAD9uu7U=")</f>
        <v>#REF!</v>
      </c>
      <c r="GA169" t="e">
        <f>AND('GA55 Entry'!#REF!,"AAAAAD9uu7Y=")</f>
        <v>#REF!</v>
      </c>
      <c r="GB169" t="e">
        <f>AND('GA55 Entry'!#REF!,"AAAAAD9uu7c=")</f>
        <v>#REF!</v>
      </c>
      <c r="GC169" t="e">
        <f>AND('GA55 Entry'!#REF!,"AAAAAD9uu7g=")</f>
        <v>#REF!</v>
      </c>
      <c r="GD169" t="e">
        <f>AND('GA55 Entry'!#REF!,"AAAAAD9uu7k=")</f>
        <v>#REF!</v>
      </c>
      <c r="GE169" t="e">
        <f>AND('GA55 Entry'!D618,"AAAAAD9uu7o=")</f>
        <v>#VALUE!</v>
      </c>
      <c r="GF169" t="e">
        <f>AND('GA55 Entry'!#REF!,"AAAAAD9uu7s=")</f>
        <v>#REF!</v>
      </c>
      <c r="GG169" t="e">
        <f>AND('GA55 Entry'!E618,"AAAAAD9uu7w=")</f>
        <v>#VALUE!</v>
      </c>
      <c r="GH169" t="e">
        <f>AND('GA55 Entry'!F618,"AAAAAD9uu70=")</f>
        <v>#VALUE!</v>
      </c>
      <c r="GI169" t="e">
        <f>AND('GA55 Entry'!G618,"AAAAAD9uu74=")</f>
        <v>#VALUE!</v>
      </c>
      <c r="GJ169" t="e">
        <f>AND('GA55 Entry'!H618,"AAAAAD9uu78=")</f>
        <v>#VALUE!</v>
      </c>
      <c r="GK169" t="e">
        <f>AND('GA55 Entry'!I618,"AAAAAD9uu8A=")</f>
        <v>#VALUE!</v>
      </c>
      <c r="GL169" t="e">
        <f>AND('GA55 Entry'!J618,"AAAAAD9uu8E=")</f>
        <v>#VALUE!</v>
      </c>
      <c r="GM169" t="e">
        <f>AND('GA55 Entry'!#REF!,"AAAAAD9uu8I=")</f>
        <v>#REF!</v>
      </c>
      <c r="GN169" t="e">
        <f>AND('GA55 Entry'!K618,"AAAAAD9uu8M=")</f>
        <v>#VALUE!</v>
      </c>
      <c r="GO169" t="e">
        <f>AND('GA55 Entry'!L618,"AAAAAD9uu8Q=")</f>
        <v>#VALUE!</v>
      </c>
      <c r="GP169" t="e">
        <f>AND('GA55 Entry'!M618,"AAAAAD9uu8U=")</f>
        <v>#VALUE!</v>
      </c>
      <c r="GQ169" t="e">
        <f>AND('GA55 Entry'!N618,"AAAAAD9uu8Y=")</f>
        <v>#VALUE!</v>
      </c>
      <c r="GR169" t="e">
        <f>AND('GA55 Entry'!O618,"AAAAAD9uu8c=")</f>
        <v>#VALUE!</v>
      </c>
      <c r="GS169" t="e">
        <f>AND('GA55 Entry'!P618,"AAAAAD9uu8g=")</f>
        <v>#VALUE!</v>
      </c>
      <c r="GT169" t="e">
        <f>AND('GA55 Entry'!Q618,"AAAAAD9uu8k=")</f>
        <v>#VALUE!</v>
      </c>
      <c r="GU169" t="e">
        <f>AND('GA55 Entry'!S618,"AAAAAD9uu8o=")</f>
        <v>#VALUE!</v>
      </c>
      <c r="GV169" t="e">
        <f>AND('GA55 Entry'!#REF!,"AAAAAD9uu8s=")</f>
        <v>#REF!</v>
      </c>
      <c r="GW169" t="e">
        <f>AND('GA55 Entry'!T618,"AAAAAD9uu8w=")</f>
        <v>#VALUE!</v>
      </c>
      <c r="GX169" t="e">
        <f>AND('GA55 Entry'!U618,"AAAAAD9uu80=")</f>
        <v>#VALUE!</v>
      </c>
      <c r="GY169" t="e">
        <f>AND('GA55 Entry'!V618,"AAAAAD9uu84=")</f>
        <v>#VALUE!</v>
      </c>
      <c r="GZ169" t="e">
        <f>AND('GA55 Entry'!#REF!,"AAAAAD9uu88=")</f>
        <v>#REF!</v>
      </c>
      <c r="HA169" t="e">
        <f>AND('GA55 Entry'!#REF!,"AAAAAD9uu9A=")</f>
        <v>#REF!</v>
      </c>
      <c r="HB169" t="e">
        <f>AND('GA55 Entry'!X618,"AAAAAD9uu9E=")</f>
        <v>#VALUE!</v>
      </c>
      <c r="HC169" t="e">
        <f>AND('GA55 Entry'!Y618,"AAAAAD9uu9I=")</f>
        <v>#VALUE!</v>
      </c>
      <c r="HD169" t="e">
        <f>AND('GA55 Entry'!#REF!,"AAAAAD9uu9M=")</f>
        <v>#REF!</v>
      </c>
      <c r="HE169" t="e">
        <f>AND('GA55 Entry'!#REF!,"AAAAAD9uu9Q=")</f>
        <v>#REF!</v>
      </c>
      <c r="HF169" t="e">
        <f>AND('GA55 Entry'!#REF!,"AAAAAD9uu9U=")</f>
        <v>#REF!</v>
      </c>
      <c r="HG169" t="e">
        <f>AND('GA55 Entry'!#REF!,"AAAAAD9uu9Y=")</f>
        <v>#REF!</v>
      </c>
      <c r="HH169" t="e">
        <f>AND('GA55 Entry'!#REF!,"AAAAAD9uu9c=")</f>
        <v>#REF!</v>
      </c>
      <c r="HI169" t="e">
        <f>AND('GA55 Entry'!#REF!,"AAAAAD9uu9g=")</f>
        <v>#REF!</v>
      </c>
      <c r="HJ169" t="e">
        <f>AND('GA55 Entry'!#REF!,"AAAAAD9uu9k=")</f>
        <v>#REF!</v>
      </c>
      <c r="HK169" t="e">
        <f>AND('GA55 Entry'!#REF!,"AAAAAD9uu9o=")</f>
        <v>#REF!</v>
      </c>
      <c r="HL169" t="e">
        <f>AND('GA55 Entry'!#REF!,"AAAAAD9uu9s=")</f>
        <v>#REF!</v>
      </c>
      <c r="HM169" t="e">
        <f>AND('GA55 Entry'!Z618,"AAAAAD9uu9w=")</f>
        <v>#VALUE!</v>
      </c>
      <c r="HN169" t="e">
        <f>AND('GA55 Entry'!AA618,"AAAAAD9uu90=")</f>
        <v>#VALUE!</v>
      </c>
      <c r="HO169" t="e">
        <f>AND('GA55 Entry'!#REF!,"AAAAAD9uu94=")</f>
        <v>#REF!</v>
      </c>
      <c r="HP169" t="e">
        <f>AND('GA55 Entry'!#REF!,"AAAAAD9uu98=")</f>
        <v>#REF!</v>
      </c>
      <c r="HQ169" t="e">
        <f>AND('GA55 Entry'!#REF!,"AAAAAD9uu+A=")</f>
        <v>#REF!</v>
      </c>
      <c r="HR169" t="e">
        <f>AND('GA55 Entry'!AB618,"AAAAAD9uu+E=")</f>
        <v>#VALUE!</v>
      </c>
      <c r="HS169" t="e">
        <f>AND('GA55 Entry'!AC618,"AAAAAD9uu+I=")</f>
        <v>#VALUE!</v>
      </c>
      <c r="HT169" t="e">
        <f>AND('GA55 Entry'!#REF!,"AAAAAD9uu+M=")</f>
        <v>#REF!</v>
      </c>
      <c r="HU169">
        <f>IF('GA55 Entry'!619:619,"AAAAAD9uu+Q=",0)</f>
        <v>0</v>
      </c>
      <c r="HV169" t="e">
        <f>AND('GA55 Entry'!B619,"AAAAAD9uu+U=")</f>
        <v>#VALUE!</v>
      </c>
      <c r="HW169" t="e">
        <f>AND('GA55 Entry'!#REF!,"AAAAAD9uu+Y=")</f>
        <v>#REF!</v>
      </c>
      <c r="HX169" t="e">
        <f>AND('GA55 Entry'!C619,"AAAAAD9uu+c=")</f>
        <v>#VALUE!</v>
      </c>
      <c r="HY169" t="e">
        <f>AND('GA55 Entry'!#REF!,"AAAAAD9uu+g=")</f>
        <v>#REF!</v>
      </c>
      <c r="HZ169" t="e">
        <f>AND('GA55 Entry'!#REF!,"AAAAAD9uu+k=")</f>
        <v>#REF!</v>
      </c>
      <c r="IA169" t="e">
        <f>AND('GA55 Entry'!#REF!,"AAAAAD9uu+o=")</f>
        <v>#REF!</v>
      </c>
      <c r="IB169" t="e">
        <f>AND('GA55 Entry'!#REF!,"AAAAAD9uu+s=")</f>
        <v>#REF!</v>
      </c>
      <c r="IC169" t="e">
        <f>AND('GA55 Entry'!#REF!,"AAAAAD9uu+w=")</f>
        <v>#REF!</v>
      </c>
      <c r="ID169" t="e">
        <f>AND('GA55 Entry'!D619,"AAAAAD9uu+0=")</f>
        <v>#VALUE!</v>
      </c>
      <c r="IE169" t="e">
        <f>AND('GA55 Entry'!#REF!,"AAAAAD9uu+4=")</f>
        <v>#REF!</v>
      </c>
      <c r="IF169" t="e">
        <f>AND('GA55 Entry'!E619,"AAAAAD9uu+8=")</f>
        <v>#VALUE!</v>
      </c>
      <c r="IG169" t="e">
        <f>AND('GA55 Entry'!F619,"AAAAAD9uu/A=")</f>
        <v>#VALUE!</v>
      </c>
      <c r="IH169" t="e">
        <f>AND('GA55 Entry'!G619,"AAAAAD9uu/E=")</f>
        <v>#VALUE!</v>
      </c>
      <c r="II169" t="e">
        <f>AND('GA55 Entry'!H619,"AAAAAD9uu/I=")</f>
        <v>#VALUE!</v>
      </c>
      <c r="IJ169" t="e">
        <f>AND('GA55 Entry'!I619,"AAAAAD9uu/M=")</f>
        <v>#VALUE!</v>
      </c>
      <c r="IK169" t="e">
        <f>AND('GA55 Entry'!J619,"AAAAAD9uu/Q=")</f>
        <v>#VALUE!</v>
      </c>
      <c r="IL169" t="e">
        <f>AND('GA55 Entry'!#REF!,"AAAAAD9uu/U=")</f>
        <v>#REF!</v>
      </c>
      <c r="IM169" t="e">
        <f>AND('GA55 Entry'!K619,"AAAAAD9uu/Y=")</f>
        <v>#VALUE!</v>
      </c>
      <c r="IN169" t="e">
        <f>AND('GA55 Entry'!L619,"AAAAAD9uu/c=")</f>
        <v>#VALUE!</v>
      </c>
      <c r="IO169" t="e">
        <f>AND('GA55 Entry'!M619,"AAAAAD9uu/g=")</f>
        <v>#VALUE!</v>
      </c>
      <c r="IP169" t="e">
        <f>AND('GA55 Entry'!N619,"AAAAAD9uu/k=")</f>
        <v>#VALUE!</v>
      </c>
      <c r="IQ169" t="e">
        <f>AND('GA55 Entry'!O619,"AAAAAD9uu/o=")</f>
        <v>#VALUE!</v>
      </c>
      <c r="IR169" t="e">
        <f>AND('GA55 Entry'!P619,"AAAAAD9uu/s=")</f>
        <v>#VALUE!</v>
      </c>
      <c r="IS169" t="e">
        <f>AND('GA55 Entry'!Q619,"AAAAAD9uu/w=")</f>
        <v>#VALUE!</v>
      </c>
      <c r="IT169" t="e">
        <f>AND('GA55 Entry'!S619,"AAAAAD9uu/0=")</f>
        <v>#VALUE!</v>
      </c>
      <c r="IU169" t="e">
        <f>AND('GA55 Entry'!#REF!,"AAAAAD9uu/4=")</f>
        <v>#REF!</v>
      </c>
      <c r="IV169" t="e">
        <f>AND('GA55 Entry'!T619,"AAAAAD9uu/8=")</f>
        <v>#VALUE!</v>
      </c>
    </row>
    <row r="170" spans="1:256">
      <c r="A170" t="e">
        <f>AND('GA55 Entry'!U619,"AAAAAD/+PwA=")</f>
        <v>#VALUE!</v>
      </c>
      <c r="B170" t="e">
        <f>AND('GA55 Entry'!V619,"AAAAAD/+PwE=")</f>
        <v>#VALUE!</v>
      </c>
      <c r="C170" t="e">
        <f>AND('GA55 Entry'!#REF!,"AAAAAD/+PwI=")</f>
        <v>#REF!</v>
      </c>
      <c r="D170" t="e">
        <f>AND('GA55 Entry'!#REF!,"AAAAAD/+PwM=")</f>
        <v>#REF!</v>
      </c>
      <c r="E170" t="e">
        <f>AND('GA55 Entry'!X619,"AAAAAD/+PwQ=")</f>
        <v>#VALUE!</v>
      </c>
      <c r="F170" t="e">
        <f>AND('GA55 Entry'!Y619,"AAAAAD/+PwU=")</f>
        <v>#VALUE!</v>
      </c>
      <c r="G170" t="e">
        <f>AND('GA55 Entry'!#REF!,"AAAAAD/+PwY=")</f>
        <v>#REF!</v>
      </c>
      <c r="H170" t="e">
        <f>AND('GA55 Entry'!#REF!,"AAAAAD/+Pwc=")</f>
        <v>#REF!</v>
      </c>
      <c r="I170" t="e">
        <f>AND('GA55 Entry'!#REF!,"AAAAAD/+Pwg=")</f>
        <v>#REF!</v>
      </c>
      <c r="J170" t="e">
        <f>AND('GA55 Entry'!#REF!,"AAAAAD/+Pwk=")</f>
        <v>#REF!</v>
      </c>
      <c r="K170" t="e">
        <f>AND('GA55 Entry'!#REF!,"AAAAAD/+Pwo=")</f>
        <v>#REF!</v>
      </c>
      <c r="L170" t="e">
        <f>AND('GA55 Entry'!#REF!,"AAAAAD/+Pws=")</f>
        <v>#REF!</v>
      </c>
      <c r="M170" t="e">
        <f>AND('GA55 Entry'!#REF!,"AAAAAD/+Pww=")</f>
        <v>#REF!</v>
      </c>
      <c r="N170" t="e">
        <f>AND('GA55 Entry'!#REF!,"AAAAAD/+Pw0=")</f>
        <v>#REF!</v>
      </c>
      <c r="O170" t="e">
        <f>AND('GA55 Entry'!#REF!,"AAAAAD/+Pw4=")</f>
        <v>#REF!</v>
      </c>
      <c r="P170" t="e">
        <f>AND('GA55 Entry'!Z619,"AAAAAD/+Pw8=")</f>
        <v>#VALUE!</v>
      </c>
      <c r="Q170" t="e">
        <f>AND('GA55 Entry'!AA619,"AAAAAD/+PxA=")</f>
        <v>#VALUE!</v>
      </c>
      <c r="R170" t="e">
        <f>AND('GA55 Entry'!#REF!,"AAAAAD/+PxE=")</f>
        <v>#REF!</v>
      </c>
      <c r="S170" t="e">
        <f>AND('GA55 Entry'!#REF!,"AAAAAD/+PxI=")</f>
        <v>#REF!</v>
      </c>
      <c r="T170" t="e">
        <f>AND('GA55 Entry'!#REF!,"AAAAAD/+PxM=")</f>
        <v>#REF!</v>
      </c>
      <c r="U170" t="e">
        <f>AND('GA55 Entry'!AB619,"AAAAAD/+PxQ=")</f>
        <v>#VALUE!</v>
      </c>
      <c r="V170" t="e">
        <f>AND('GA55 Entry'!AC619,"AAAAAD/+PxU=")</f>
        <v>#VALUE!</v>
      </c>
      <c r="W170" t="e">
        <f>AND('GA55 Entry'!#REF!,"AAAAAD/+PxY=")</f>
        <v>#REF!</v>
      </c>
      <c r="X170">
        <f>IF('GA55 Entry'!620:620,"AAAAAD/+Pxc=",0)</f>
        <v>0</v>
      </c>
      <c r="Y170" t="e">
        <f>AND('GA55 Entry'!B620,"AAAAAD/+Pxg=")</f>
        <v>#VALUE!</v>
      </c>
      <c r="Z170" t="e">
        <f>AND('GA55 Entry'!#REF!,"AAAAAD/+Pxk=")</f>
        <v>#REF!</v>
      </c>
      <c r="AA170" t="e">
        <f>AND('GA55 Entry'!C620,"AAAAAD/+Pxo=")</f>
        <v>#VALUE!</v>
      </c>
      <c r="AB170" t="e">
        <f>AND('GA55 Entry'!#REF!,"AAAAAD/+Pxs=")</f>
        <v>#REF!</v>
      </c>
      <c r="AC170" t="e">
        <f>AND('GA55 Entry'!#REF!,"AAAAAD/+Pxw=")</f>
        <v>#REF!</v>
      </c>
      <c r="AD170" t="e">
        <f>AND('GA55 Entry'!#REF!,"AAAAAD/+Px0=")</f>
        <v>#REF!</v>
      </c>
      <c r="AE170" t="e">
        <f>AND('GA55 Entry'!#REF!,"AAAAAD/+Px4=")</f>
        <v>#REF!</v>
      </c>
      <c r="AF170" t="e">
        <f>AND('GA55 Entry'!#REF!,"AAAAAD/+Px8=")</f>
        <v>#REF!</v>
      </c>
      <c r="AG170" t="e">
        <f>AND('GA55 Entry'!D620,"AAAAAD/+PyA=")</f>
        <v>#VALUE!</v>
      </c>
      <c r="AH170" t="e">
        <f>AND('GA55 Entry'!#REF!,"AAAAAD/+PyE=")</f>
        <v>#REF!</v>
      </c>
      <c r="AI170" t="e">
        <f>AND('GA55 Entry'!E620,"AAAAAD/+PyI=")</f>
        <v>#VALUE!</v>
      </c>
      <c r="AJ170" t="e">
        <f>AND('GA55 Entry'!F620,"AAAAAD/+PyM=")</f>
        <v>#VALUE!</v>
      </c>
      <c r="AK170" t="e">
        <f>AND('GA55 Entry'!G620,"AAAAAD/+PyQ=")</f>
        <v>#VALUE!</v>
      </c>
      <c r="AL170" t="e">
        <f>AND('GA55 Entry'!H620,"AAAAAD/+PyU=")</f>
        <v>#VALUE!</v>
      </c>
      <c r="AM170" t="e">
        <f>AND('GA55 Entry'!I620,"AAAAAD/+PyY=")</f>
        <v>#VALUE!</v>
      </c>
      <c r="AN170" t="e">
        <f>AND('GA55 Entry'!J620,"AAAAAD/+Pyc=")</f>
        <v>#VALUE!</v>
      </c>
      <c r="AO170" t="e">
        <f>AND('GA55 Entry'!#REF!,"AAAAAD/+Pyg=")</f>
        <v>#REF!</v>
      </c>
      <c r="AP170" t="e">
        <f>AND('GA55 Entry'!K620,"AAAAAD/+Pyk=")</f>
        <v>#VALUE!</v>
      </c>
      <c r="AQ170" t="e">
        <f>AND('GA55 Entry'!L620,"AAAAAD/+Pyo=")</f>
        <v>#VALUE!</v>
      </c>
      <c r="AR170" t="e">
        <f>AND('GA55 Entry'!M620,"AAAAAD/+Pys=")</f>
        <v>#VALUE!</v>
      </c>
      <c r="AS170" t="e">
        <f>AND('GA55 Entry'!N620,"AAAAAD/+Pyw=")</f>
        <v>#VALUE!</v>
      </c>
      <c r="AT170" t="e">
        <f>AND('GA55 Entry'!O620,"AAAAAD/+Py0=")</f>
        <v>#VALUE!</v>
      </c>
      <c r="AU170" t="e">
        <f>AND('GA55 Entry'!P620,"AAAAAD/+Py4=")</f>
        <v>#VALUE!</v>
      </c>
      <c r="AV170" t="e">
        <f>AND('GA55 Entry'!Q620,"AAAAAD/+Py8=")</f>
        <v>#VALUE!</v>
      </c>
      <c r="AW170" t="e">
        <f>AND('GA55 Entry'!S620,"AAAAAD/+PzA=")</f>
        <v>#VALUE!</v>
      </c>
      <c r="AX170" t="e">
        <f>AND('GA55 Entry'!#REF!,"AAAAAD/+PzE=")</f>
        <v>#REF!</v>
      </c>
      <c r="AY170" t="e">
        <f>AND('GA55 Entry'!T620,"AAAAAD/+PzI=")</f>
        <v>#VALUE!</v>
      </c>
      <c r="AZ170" t="e">
        <f>AND('GA55 Entry'!U620,"AAAAAD/+PzM=")</f>
        <v>#VALUE!</v>
      </c>
      <c r="BA170" t="e">
        <f>AND('GA55 Entry'!V620,"AAAAAD/+PzQ=")</f>
        <v>#VALUE!</v>
      </c>
      <c r="BB170" t="e">
        <f>AND('GA55 Entry'!#REF!,"AAAAAD/+PzU=")</f>
        <v>#REF!</v>
      </c>
      <c r="BC170" t="e">
        <f>AND('GA55 Entry'!#REF!,"AAAAAD/+PzY=")</f>
        <v>#REF!</v>
      </c>
      <c r="BD170" t="e">
        <f>AND('GA55 Entry'!X620,"AAAAAD/+Pzc=")</f>
        <v>#VALUE!</v>
      </c>
      <c r="BE170" t="e">
        <f>AND('GA55 Entry'!Y620,"AAAAAD/+Pzg=")</f>
        <v>#VALUE!</v>
      </c>
      <c r="BF170" t="e">
        <f>AND('GA55 Entry'!#REF!,"AAAAAD/+Pzk=")</f>
        <v>#REF!</v>
      </c>
      <c r="BG170" t="e">
        <f>AND('GA55 Entry'!#REF!,"AAAAAD/+Pzo=")</f>
        <v>#REF!</v>
      </c>
      <c r="BH170" t="e">
        <f>AND('GA55 Entry'!#REF!,"AAAAAD/+Pzs=")</f>
        <v>#REF!</v>
      </c>
      <c r="BI170" t="e">
        <f>AND('GA55 Entry'!#REF!,"AAAAAD/+Pzw=")</f>
        <v>#REF!</v>
      </c>
      <c r="BJ170" t="e">
        <f>AND('GA55 Entry'!#REF!,"AAAAAD/+Pz0=")</f>
        <v>#REF!</v>
      </c>
      <c r="BK170" t="e">
        <f>AND('GA55 Entry'!#REF!,"AAAAAD/+Pz4=")</f>
        <v>#REF!</v>
      </c>
      <c r="BL170" t="e">
        <f>AND('GA55 Entry'!#REF!,"AAAAAD/+Pz8=")</f>
        <v>#REF!</v>
      </c>
      <c r="BM170" t="e">
        <f>AND('GA55 Entry'!#REF!,"AAAAAD/+P0A=")</f>
        <v>#REF!</v>
      </c>
      <c r="BN170" t="e">
        <f>AND('GA55 Entry'!#REF!,"AAAAAD/+P0E=")</f>
        <v>#REF!</v>
      </c>
      <c r="BO170" t="e">
        <f>AND('GA55 Entry'!Z620,"AAAAAD/+P0I=")</f>
        <v>#VALUE!</v>
      </c>
      <c r="BP170" t="e">
        <f>AND('GA55 Entry'!AA620,"AAAAAD/+P0M=")</f>
        <v>#VALUE!</v>
      </c>
      <c r="BQ170" t="e">
        <f>AND('GA55 Entry'!#REF!,"AAAAAD/+P0Q=")</f>
        <v>#REF!</v>
      </c>
      <c r="BR170" t="e">
        <f>AND('GA55 Entry'!#REF!,"AAAAAD/+P0U=")</f>
        <v>#REF!</v>
      </c>
      <c r="BS170" t="e">
        <f>AND('GA55 Entry'!#REF!,"AAAAAD/+P0Y=")</f>
        <v>#REF!</v>
      </c>
      <c r="BT170" t="e">
        <f>AND('GA55 Entry'!AB620,"AAAAAD/+P0c=")</f>
        <v>#VALUE!</v>
      </c>
      <c r="BU170" t="e">
        <f>AND('GA55 Entry'!AC620,"AAAAAD/+P0g=")</f>
        <v>#VALUE!</v>
      </c>
      <c r="BV170" t="e">
        <f>AND('GA55 Entry'!#REF!,"AAAAAD/+P0k=")</f>
        <v>#REF!</v>
      </c>
      <c r="BW170">
        <f>IF('GA55 Entry'!621:621,"AAAAAD/+P0o=",0)</f>
        <v>0</v>
      </c>
      <c r="BX170" t="e">
        <f>AND('GA55 Entry'!B621,"AAAAAD/+P0s=")</f>
        <v>#VALUE!</v>
      </c>
      <c r="BY170" t="e">
        <f>AND('GA55 Entry'!#REF!,"AAAAAD/+P0w=")</f>
        <v>#REF!</v>
      </c>
      <c r="BZ170" t="e">
        <f>AND('GA55 Entry'!C621,"AAAAAD/+P00=")</f>
        <v>#VALUE!</v>
      </c>
      <c r="CA170" t="e">
        <f>AND('GA55 Entry'!#REF!,"AAAAAD/+P04=")</f>
        <v>#REF!</v>
      </c>
      <c r="CB170" t="e">
        <f>AND('GA55 Entry'!#REF!,"AAAAAD/+P08=")</f>
        <v>#REF!</v>
      </c>
      <c r="CC170" t="e">
        <f>AND('GA55 Entry'!#REF!,"AAAAAD/+P1A=")</f>
        <v>#REF!</v>
      </c>
      <c r="CD170" t="e">
        <f>AND('GA55 Entry'!#REF!,"AAAAAD/+P1E=")</f>
        <v>#REF!</v>
      </c>
      <c r="CE170" t="e">
        <f>AND('GA55 Entry'!#REF!,"AAAAAD/+P1I=")</f>
        <v>#REF!</v>
      </c>
      <c r="CF170" t="e">
        <f>AND('GA55 Entry'!D621,"AAAAAD/+P1M=")</f>
        <v>#VALUE!</v>
      </c>
      <c r="CG170" t="e">
        <f>AND('GA55 Entry'!#REF!,"AAAAAD/+P1Q=")</f>
        <v>#REF!</v>
      </c>
      <c r="CH170" t="e">
        <f>AND('GA55 Entry'!E621,"AAAAAD/+P1U=")</f>
        <v>#VALUE!</v>
      </c>
      <c r="CI170" t="e">
        <f>AND('GA55 Entry'!F621,"AAAAAD/+P1Y=")</f>
        <v>#VALUE!</v>
      </c>
      <c r="CJ170" t="e">
        <f>AND('GA55 Entry'!G621,"AAAAAD/+P1c=")</f>
        <v>#VALUE!</v>
      </c>
      <c r="CK170" t="e">
        <f>AND('GA55 Entry'!H621,"AAAAAD/+P1g=")</f>
        <v>#VALUE!</v>
      </c>
      <c r="CL170" t="e">
        <f>AND('GA55 Entry'!I621,"AAAAAD/+P1k=")</f>
        <v>#VALUE!</v>
      </c>
      <c r="CM170" t="e">
        <f>AND('GA55 Entry'!J621,"AAAAAD/+P1o=")</f>
        <v>#VALUE!</v>
      </c>
      <c r="CN170" t="e">
        <f>AND('GA55 Entry'!#REF!,"AAAAAD/+P1s=")</f>
        <v>#REF!</v>
      </c>
      <c r="CO170" t="e">
        <f>AND('GA55 Entry'!K621,"AAAAAD/+P1w=")</f>
        <v>#VALUE!</v>
      </c>
      <c r="CP170" t="e">
        <f>AND('GA55 Entry'!L621,"AAAAAD/+P10=")</f>
        <v>#VALUE!</v>
      </c>
      <c r="CQ170" t="e">
        <f>AND('GA55 Entry'!M621,"AAAAAD/+P14=")</f>
        <v>#VALUE!</v>
      </c>
      <c r="CR170" t="e">
        <f>AND('GA55 Entry'!N621,"AAAAAD/+P18=")</f>
        <v>#VALUE!</v>
      </c>
      <c r="CS170" t="e">
        <f>AND('GA55 Entry'!O621,"AAAAAD/+P2A=")</f>
        <v>#VALUE!</v>
      </c>
      <c r="CT170" t="e">
        <f>AND('GA55 Entry'!P621,"AAAAAD/+P2E=")</f>
        <v>#VALUE!</v>
      </c>
      <c r="CU170" t="e">
        <f>AND('GA55 Entry'!Q621,"AAAAAD/+P2I=")</f>
        <v>#VALUE!</v>
      </c>
      <c r="CV170" t="e">
        <f>AND('GA55 Entry'!S621,"AAAAAD/+P2M=")</f>
        <v>#VALUE!</v>
      </c>
      <c r="CW170" t="e">
        <f>AND('GA55 Entry'!#REF!,"AAAAAD/+P2Q=")</f>
        <v>#REF!</v>
      </c>
      <c r="CX170" t="e">
        <f>AND('GA55 Entry'!T621,"AAAAAD/+P2U=")</f>
        <v>#VALUE!</v>
      </c>
      <c r="CY170" t="e">
        <f>AND('GA55 Entry'!U621,"AAAAAD/+P2Y=")</f>
        <v>#VALUE!</v>
      </c>
      <c r="CZ170" t="e">
        <f>AND('GA55 Entry'!V621,"AAAAAD/+P2c=")</f>
        <v>#VALUE!</v>
      </c>
      <c r="DA170" t="e">
        <f>AND('GA55 Entry'!#REF!,"AAAAAD/+P2g=")</f>
        <v>#REF!</v>
      </c>
      <c r="DB170" t="e">
        <f>AND('GA55 Entry'!#REF!,"AAAAAD/+P2k=")</f>
        <v>#REF!</v>
      </c>
      <c r="DC170" t="e">
        <f>AND('GA55 Entry'!X621,"AAAAAD/+P2o=")</f>
        <v>#VALUE!</v>
      </c>
      <c r="DD170" t="e">
        <f>AND('GA55 Entry'!Y621,"AAAAAD/+P2s=")</f>
        <v>#VALUE!</v>
      </c>
      <c r="DE170" t="e">
        <f>AND('GA55 Entry'!#REF!,"AAAAAD/+P2w=")</f>
        <v>#REF!</v>
      </c>
      <c r="DF170" t="e">
        <f>AND('GA55 Entry'!#REF!,"AAAAAD/+P20=")</f>
        <v>#REF!</v>
      </c>
      <c r="DG170" t="e">
        <f>AND('GA55 Entry'!#REF!,"AAAAAD/+P24=")</f>
        <v>#REF!</v>
      </c>
      <c r="DH170" t="e">
        <f>AND('GA55 Entry'!#REF!,"AAAAAD/+P28=")</f>
        <v>#REF!</v>
      </c>
      <c r="DI170" t="e">
        <f>AND('GA55 Entry'!#REF!,"AAAAAD/+P3A=")</f>
        <v>#REF!</v>
      </c>
      <c r="DJ170" t="e">
        <f>AND('GA55 Entry'!#REF!,"AAAAAD/+P3E=")</f>
        <v>#REF!</v>
      </c>
      <c r="DK170" t="e">
        <f>AND('GA55 Entry'!#REF!,"AAAAAD/+P3I=")</f>
        <v>#REF!</v>
      </c>
      <c r="DL170" t="e">
        <f>AND('GA55 Entry'!#REF!,"AAAAAD/+P3M=")</f>
        <v>#REF!</v>
      </c>
      <c r="DM170" t="e">
        <f>AND('GA55 Entry'!#REF!,"AAAAAD/+P3Q=")</f>
        <v>#REF!</v>
      </c>
      <c r="DN170" t="e">
        <f>AND('GA55 Entry'!Z621,"AAAAAD/+P3U=")</f>
        <v>#VALUE!</v>
      </c>
      <c r="DO170" t="e">
        <f>AND('GA55 Entry'!AA621,"AAAAAD/+P3Y=")</f>
        <v>#VALUE!</v>
      </c>
      <c r="DP170" t="e">
        <f>AND('GA55 Entry'!#REF!,"AAAAAD/+P3c=")</f>
        <v>#REF!</v>
      </c>
      <c r="DQ170" t="e">
        <f>AND('GA55 Entry'!#REF!,"AAAAAD/+P3g=")</f>
        <v>#REF!</v>
      </c>
      <c r="DR170" t="e">
        <f>AND('GA55 Entry'!#REF!,"AAAAAD/+P3k=")</f>
        <v>#REF!</v>
      </c>
      <c r="DS170" t="e">
        <f>AND('GA55 Entry'!AB621,"AAAAAD/+P3o=")</f>
        <v>#VALUE!</v>
      </c>
      <c r="DT170" t="e">
        <f>AND('GA55 Entry'!AC621,"AAAAAD/+P3s=")</f>
        <v>#VALUE!</v>
      </c>
      <c r="DU170" t="e">
        <f>AND('GA55 Entry'!#REF!,"AAAAAD/+P3w=")</f>
        <v>#REF!</v>
      </c>
      <c r="DV170">
        <f>IF('GA55 Entry'!622:622,"AAAAAD/+P30=",0)</f>
        <v>0</v>
      </c>
      <c r="DW170" t="e">
        <f>AND('GA55 Entry'!B622,"AAAAAD/+P34=")</f>
        <v>#VALUE!</v>
      </c>
      <c r="DX170" t="e">
        <f>AND('GA55 Entry'!#REF!,"AAAAAD/+P38=")</f>
        <v>#REF!</v>
      </c>
      <c r="DY170" t="e">
        <f>AND('GA55 Entry'!C622,"AAAAAD/+P4A=")</f>
        <v>#VALUE!</v>
      </c>
      <c r="DZ170" t="e">
        <f>AND('GA55 Entry'!#REF!,"AAAAAD/+P4E=")</f>
        <v>#REF!</v>
      </c>
      <c r="EA170" t="e">
        <f>AND('GA55 Entry'!#REF!,"AAAAAD/+P4I=")</f>
        <v>#REF!</v>
      </c>
      <c r="EB170" t="e">
        <f>AND('GA55 Entry'!#REF!,"AAAAAD/+P4M=")</f>
        <v>#REF!</v>
      </c>
      <c r="EC170" t="e">
        <f>AND('GA55 Entry'!#REF!,"AAAAAD/+P4Q=")</f>
        <v>#REF!</v>
      </c>
      <c r="ED170" t="e">
        <f>AND('GA55 Entry'!#REF!,"AAAAAD/+P4U=")</f>
        <v>#REF!</v>
      </c>
      <c r="EE170" t="e">
        <f>AND('GA55 Entry'!D622,"AAAAAD/+P4Y=")</f>
        <v>#VALUE!</v>
      </c>
      <c r="EF170" t="e">
        <f>AND('GA55 Entry'!#REF!,"AAAAAD/+P4c=")</f>
        <v>#REF!</v>
      </c>
      <c r="EG170" t="e">
        <f>AND('GA55 Entry'!E622,"AAAAAD/+P4g=")</f>
        <v>#VALUE!</v>
      </c>
      <c r="EH170" t="e">
        <f>AND('GA55 Entry'!F622,"AAAAAD/+P4k=")</f>
        <v>#VALUE!</v>
      </c>
      <c r="EI170" t="e">
        <f>AND('GA55 Entry'!G622,"AAAAAD/+P4o=")</f>
        <v>#VALUE!</v>
      </c>
      <c r="EJ170" t="e">
        <f>AND('GA55 Entry'!H622,"AAAAAD/+P4s=")</f>
        <v>#VALUE!</v>
      </c>
      <c r="EK170" t="e">
        <f>AND('GA55 Entry'!I622,"AAAAAD/+P4w=")</f>
        <v>#VALUE!</v>
      </c>
      <c r="EL170" t="e">
        <f>AND('GA55 Entry'!J622,"AAAAAD/+P40=")</f>
        <v>#VALUE!</v>
      </c>
      <c r="EM170" t="e">
        <f>AND('GA55 Entry'!#REF!,"AAAAAD/+P44=")</f>
        <v>#REF!</v>
      </c>
      <c r="EN170" t="e">
        <f>AND('GA55 Entry'!K622,"AAAAAD/+P48=")</f>
        <v>#VALUE!</v>
      </c>
      <c r="EO170" t="e">
        <f>AND('GA55 Entry'!L622,"AAAAAD/+P5A=")</f>
        <v>#VALUE!</v>
      </c>
      <c r="EP170" t="e">
        <f>AND('GA55 Entry'!M622,"AAAAAD/+P5E=")</f>
        <v>#VALUE!</v>
      </c>
      <c r="EQ170" t="e">
        <f>AND('GA55 Entry'!N622,"AAAAAD/+P5I=")</f>
        <v>#VALUE!</v>
      </c>
      <c r="ER170" t="e">
        <f>AND('GA55 Entry'!O622,"AAAAAD/+P5M=")</f>
        <v>#VALUE!</v>
      </c>
      <c r="ES170" t="e">
        <f>AND('GA55 Entry'!P622,"AAAAAD/+P5Q=")</f>
        <v>#VALUE!</v>
      </c>
      <c r="ET170" t="e">
        <f>AND('GA55 Entry'!Q622,"AAAAAD/+P5U=")</f>
        <v>#VALUE!</v>
      </c>
      <c r="EU170" t="e">
        <f>AND('GA55 Entry'!S622,"AAAAAD/+P5Y=")</f>
        <v>#VALUE!</v>
      </c>
      <c r="EV170" t="e">
        <f>AND('GA55 Entry'!#REF!,"AAAAAD/+P5c=")</f>
        <v>#REF!</v>
      </c>
      <c r="EW170" t="e">
        <f>AND('GA55 Entry'!T622,"AAAAAD/+P5g=")</f>
        <v>#VALUE!</v>
      </c>
      <c r="EX170" t="e">
        <f>AND('GA55 Entry'!U622,"AAAAAD/+P5k=")</f>
        <v>#VALUE!</v>
      </c>
      <c r="EY170" t="e">
        <f>AND('GA55 Entry'!V622,"AAAAAD/+P5o=")</f>
        <v>#VALUE!</v>
      </c>
      <c r="EZ170" t="e">
        <f>AND('GA55 Entry'!#REF!,"AAAAAD/+P5s=")</f>
        <v>#REF!</v>
      </c>
      <c r="FA170" t="e">
        <f>AND('GA55 Entry'!#REF!,"AAAAAD/+P5w=")</f>
        <v>#REF!</v>
      </c>
      <c r="FB170" t="e">
        <f>AND('GA55 Entry'!X622,"AAAAAD/+P50=")</f>
        <v>#VALUE!</v>
      </c>
      <c r="FC170" t="e">
        <f>AND('GA55 Entry'!Y622,"AAAAAD/+P54=")</f>
        <v>#VALUE!</v>
      </c>
      <c r="FD170" t="e">
        <f>AND('GA55 Entry'!#REF!,"AAAAAD/+P58=")</f>
        <v>#REF!</v>
      </c>
      <c r="FE170" t="e">
        <f>AND('GA55 Entry'!#REF!,"AAAAAD/+P6A=")</f>
        <v>#REF!</v>
      </c>
      <c r="FF170" t="e">
        <f>AND('GA55 Entry'!#REF!,"AAAAAD/+P6E=")</f>
        <v>#REF!</v>
      </c>
      <c r="FG170" t="e">
        <f>AND('GA55 Entry'!#REF!,"AAAAAD/+P6I=")</f>
        <v>#REF!</v>
      </c>
      <c r="FH170" t="e">
        <f>AND('GA55 Entry'!#REF!,"AAAAAD/+P6M=")</f>
        <v>#REF!</v>
      </c>
      <c r="FI170" t="e">
        <f>AND('GA55 Entry'!#REF!,"AAAAAD/+P6Q=")</f>
        <v>#REF!</v>
      </c>
      <c r="FJ170" t="e">
        <f>AND('GA55 Entry'!#REF!,"AAAAAD/+P6U=")</f>
        <v>#REF!</v>
      </c>
      <c r="FK170" t="e">
        <f>AND('GA55 Entry'!#REF!,"AAAAAD/+P6Y=")</f>
        <v>#REF!</v>
      </c>
      <c r="FL170" t="e">
        <f>AND('GA55 Entry'!#REF!,"AAAAAD/+P6c=")</f>
        <v>#REF!</v>
      </c>
      <c r="FM170" t="e">
        <f>AND('GA55 Entry'!Z622,"AAAAAD/+P6g=")</f>
        <v>#VALUE!</v>
      </c>
      <c r="FN170" t="e">
        <f>AND('GA55 Entry'!AA622,"AAAAAD/+P6k=")</f>
        <v>#VALUE!</v>
      </c>
      <c r="FO170" t="e">
        <f>AND('GA55 Entry'!#REF!,"AAAAAD/+P6o=")</f>
        <v>#REF!</v>
      </c>
      <c r="FP170" t="e">
        <f>AND('GA55 Entry'!#REF!,"AAAAAD/+P6s=")</f>
        <v>#REF!</v>
      </c>
      <c r="FQ170" t="e">
        <f>AND('GA55 Entry'!#REF!,"AAAAAD/+P6w=")</f>
        <v>#REF!</v>
      </c>
      <c r="FR170" t="e">
        <f>AND('GA55 Entry'!AB622,"AAAAAD/+P60=")</f>
        <v>#VALUE!</v>
      </c>
      <c r="FS170" t="e">
        <f>AND('GA55 Entry'!AC622,"AAAAAD/+P64=")</f>
        <v>#VALUE!</v>
      </c>
      <c r="FT170" t="e">
        <f>AND('GA55 Entry'!#REF!,"AAAAAD/+P68=")</f>
        <v>#REF!</v>
      </c>
      <c r="FU170">
        <f>IF('GA55 Entry'!623:623,"AAAAAD/+P7A=",0)</f>
        <v>0</v>
      </c>
      <c r="FV170" t="e">
        <f>AND('GA55 Entry'!B623,"AAAAAD/+P7E=")</f>
        <v>#VALUE!</v>
      </c>
      <c r="FW170" t="e">
        <f>AND('GA55 Entry'!#REF!,"AAAAAD/+P7I=")</f>
        <v>#REF!</v>
      </c>
      <c r="FX170" t="e">
        <f>AND('GA55 Entry'!C623,"AAAAAD/+P7M=")</f>
        <v>#VALUE!</v>
      </c>
      <c r="FY170" t="e">
        <f>AND('GA55 Entry'!#REF!,"AAAAAD/+P7Q=")</f>
        <v>#REF!</v>
      </c>
      <c r="FZ170" t="e">
        <f>AND('GA55 Entry'!#REF!,"AAAAAD/+P7U=")</f>
        <v>#REF!</v>
      </c>
      <c r="GA170" t="e">
        <f>AND('GA55 Entry'!#REF!,"AAAAAD/+P7Y=")</f>
        <v>#REF!</v>
      </c>
      <c r="GB170" t="e">
        <f>AND('GA55 Entry'!#REF!,"AAAAAD/+P7c=")</f>
        <v>#REF!</v>
      </c>
      <c r="GC170" t="e">
        <f>AND('GA55 Entry'!#REF!,"AAAAAD/+P7g=")</f>
        <v>#REF!</v>
      </c>
      <c r="GD170" t="e">
        <f>AND('GA55 Entry'!D623,"AAAAAD/+P7k=")</f>
        <v>#VALUE!</v>
      </c>
      <c r="GE170" t="e">
        <f>AND('GA55 Entry'!#REF!,"AAAAAD/+P7o=")</f>
        <v>#REF!</v>
      </c>
      <c r="GF170" t="e">
        <f>AND('GA55 Entry'!E623,"AAAAAD/+P7s=")</f>
        <v>#VALUE!</v>
      </c>
      <c r="GG170" t="e">
        <f>AND('GA55 Entry'!F623,"AAAAAD/+P7w=")</f>
        <v>#VALUE!</v>
      </c>
      <c r="GH170" t="e">
        <f>AND('GA55 Entry'!G623,"AAAAAD/+P70=")</f>
        <v>#VALUE!</v>
      </c>
      <c r="GI170" t="e">
        <f>AND('GA55 Entry'!H623,"AAAAAD/+P74=")</f>
        <v>#VALUE!</v>
      </c>
      <c r="GJ170" t="e">
        <f>AND('GA55 Entry'!I623,"AAAAAD/+P78=")</f>
        <v>#VALUE!</v>
      </c>
      <c r="GK170" t="e">
        <f>AND('GA55 Entry'!J623,"AAAAAD/+P8A=")</f>
        <v>#VALUE!</v>
      </c>
      <c r="GL170" t="e">
        <f>AND('GA55 Entry'!#REF!,"AAAAAD/+P8E=")</f>
        <v>#REF!</v>
      </c>
      <c r="GM170" t="e">
        <f>AND('GA55 Entry'!K623,"AAAAAD/+P8I=")</f>
        <v>#VALUE!</v>
      </c>
      <c r="GN170" t="e">
        <f>AND('GA55 Entry'!L623,"AAAAAD/+P8M=")</f>
        <v>#VALUE!</v>
      </c>
      <c r="GO170" t="e">
        <f>AND('GA55 Entry'!M623,"AAAAAD/+P8Q=")</f>
        <v>#VALUE!</v>
      </c>
      <c r="GP170" t="e">
        <f>AND('GA55 Entry'!N623,"AAAAAD/+P8U=")</f>
        <v>#VALUE!</v>
      </c>
      <c r="GQ170" t="e">
        <f>AND('GA55 Entry'!O623,"AAAAAD/+P8Y=")</f>
        <v>#VALUE!</v>
      </c>
      <c r="GR170" t="e">
        <f>AND('GA55 Entry'!P623,"AAAAAD/+P8c=")</f>
        <v>#VALUE!</v>
      </c>
      <c r="GS170" t="e">
        <f>AND('GA55 Entry'!Q623,"AAAAAD/+P8g=")</f>
        <v>#VALUE!</v>
      </c>
      <c r="GT170" t="e">
        <f>AND('GA55 Entry'!S623,"AAAAAD/+P8k=")</f>
        <v>#VALUE!</v>
      </c>
      <c r="GU170" t="e">
        <f>AND('GA55 Entry'!#REF!,"AAAAAD/+P8o=")</f>
        <v>#REF!</v>
      </c>
      <c r="GV170" t="e">
        <f>AND('GA55 Entry'!T623,"AAAAAD/+P8s=")</f>
        <v>#VALUE!</v>
      </c>
      <c r="GW170" t="e">
        <f>AND('GA55 Entry'!U623,"AAAAAD/+P8w=")</f>
        <v>#VALUE!</v>
      </c>
      <c r="GX170" t="e">
        <f>AND('GA55 Entry'!V623,"AAAAAD/+P80=")</f>
        <v>#VALUE!</v>
      </c>
      <c r="GY170" t="e">
        <f>AND('GA55 Entry'!#REF!,"AAAAAD/+P84=")</f>
        <v>#REF!</v>
      </c>
      <c r="GZ170" t="e">
        <f>AND('GA55 Entry'!#REF!,"AAAAAD/+P88=")</f>
        <v>#REF!</v>
      </c>
      <c r="HA170" t="e">
        <f>AND('GA55 Entry'!X623,"AAAAAD/+P9A=")</f>
        <v>#VALUE!</v>
      </c>
      <c r="HB170" t="e">
        <f>AND('GA55 Entry'!Y623,"AAAAAD/+P9E=")</f>
        <v>#VALUE!</v>
      </c>
      <c r="HC170" t="e">
        <f>AND('GA55 Entry'!#REF!,"AAAAAD/+P9I=")</f>
        <v>#REF!</v>
      </c>
      <c r="HD170" t="e">
        <f>AND('GA55 Entry'!#REF!,"AAAAAD/+P9M=")</f>
        <v>#REF!</v>
      </c>
      <c r="HE170" t="e">
        <f>AND('GA55 Entry'!#REF!,"AAAAAD/+P9Q=")</f>
        <v>#REF!</v>
      </c>
      <c r="HF170" t="e">
        <f>AND('GA55 Entry'!#REF!,"AAAAAD/+P9U=")</f>
        <v>#REF!</v>
      </c>
      <c r="HG170" t="e">
        <f>AND('GA55 Entry'!#REF!,"AAAAAD/+P9Y=")</f>
        <v>#REF!</v>
      </c>
      <c r="HH170" t="e">
        <f>AND('GA55 Entry'!#REF!,"AAAAAD/+P9c=")</f>
        <v>#REF!</v>
      </c>
      <c r="HI170" t="e">
        <f>AND('GA55 Entry'!#REF!,"AAAAAD/+P9g=")</f>
        <v>#REF!</v>
      </c>
      <c r="HJ170" t="e">
        <f>AND('GA55 Entry'!#REF!,"AAAAAD/+P9k=")</f>
        <v>#REF!</v>
      </c>
      <c r="HK170" t="e">
        <f>AND('GA55 Entry'!#REF!,"AAAAAD/+P9o=")</f>
        <v>#REF!</v>
      </c>
      <c r="HL170" t="e">
        <f>AND('GA55 Entry'!Z623,"AAAAAD/+P9s=")</f>
        <v>#VALUE!</v>
      </c>
      <c r="HM170" t="e">
        <f>AND('GA55 Entry'!AA623,"AAAAAD/+P9w=")</f>
        <v>#VALUE!</v>
      </c>
      <c r="HN170" t="e">
        <f>AND('GA55 Entry'!#REF!,"AAAAAD/+P90=")</f>
        <v>#REF!</v>
      </c>
      <c r="HO170" t="e">
        <f>AND('GA55 Entry'!#REF!,"AAAAAD/+P94=")</f>
        <v>#REF!</v>
      </c>
      <c r="HP170" t="e">
        <f>AND('GA55 Entry'!#REF!,"AAAAAD/+P98=")</f>
        <v>#REF!</v>
      </c>
      <c r="HQ170" t="e">
        <f>AND('GA55 Entry'!AB623,"AAAAAD/+P+A=")</f>
        <v>#VALUE!</v>
      </c>
      <c r="HR170" t="e">
        <f>AND('GA55 Entry'!AC623,"AAAAAD/+P+E=")</f>
        <v>#VALUE!</v>
      </c>
      <c r="HS170" t="e">
        <f>AND('GA55 Entry'!#REF!,"AAAAAD/+P+I=")</f>
        <v>#REF!</v>
      </c>
      <c r="HT170">
        <f>IF('GA55 Entry'!624:624,"AAAAAD/+P+M=",0)</f>
        <v>0</v>
      </c>
      <c r="HU170" t="e">
        <f>AND('GA55 Entry'!B624,"AAAAAD/+P+Q=")</f>
        <v>#VALUE!</v>
      </c>
      <c r="HV170" t="e">
        <f>AND('GA55 Entry'!#REF!,"AAAAAD/+P+U=")</f>
        <v>#REF!</v>
      </c>
      <c r="HW170" t="e">
        <f>AND('GA55 Entry'!C624,"AAAAAD/+P+Y=")</f>
        <v>#VALUE!</v>
      </c>
      <c r="HX170" t="e">
        <f>AND('GA55 Entry'!#REF!,"AAAAAD/+P+c=")</f>
        <v>#REF!</v>
      </c>
      <c r="HY170" t="e">
        <f>AND('GA55 Entry'!#REF!,"AAAAAD/+P+g=")</f>
        <v>#REF!</v>
      </c>
      <c r="HZ170" t="e">
        <f>AND('GA55 Entry'!#REF!,"AAAAAD/+P+k=")</f>
        <v>#REF!</v>
      </c>
      <c r="IA170" t="e">
        <f>AND('GA55 Entry'!#REF!,"AAAAAD/+P+o=")</f>
        <v>#REF!</v>
      </c>
      <c r="IB170" t="e">
        <f>AND('GA55 Entry'!#REF!,"AAAAAD/+P+s=")</f>
        <v>#REF!</v>
      </c>
      <c r="IC170" t="e">
        <f>AND('GA55 Entry'!D624,"AAAAAD/+P+w=")</f>
        <v>#VALUE!</v>
      </c>
      <c r="ID170" t="e">
        <f>AND('GA55 Entry'!#REF!,"AAAAAD/+P+0=")</f>
        <v>#REF!</v>
      </c>
      <c r="IE170" t="e">
        <f>AND('GA55 Entry'!E624,"AAAAAD/+P+4=")</f>
        <v>#VALUE!</v>
      </c>
      <c r="IF170" t="e">
        <f>AND('GA55 Entry'!F624,"AAAAAD/+P+8=")</f>
        <v>#VALUE!</v>
      </c>
      <c r="IG170" t="e">
        <f>AND('GA55 Entry'!G624,"AAAAAD/+P/A=")</f>
        <v>#VALUE!</v>
      </c>
      <c r="IH170" t="e">
        <f>AND('GA55 Entry'!H624,"AAAAAD/+P/E=")</f>
        <v>#VALUE!</v>
      </c>
      <c r="II170" t="e">
        <f>AND('GA55 Entry'!I624,"AAAAAD/+P/I=")</f>
        <v>#VALUE!</v>
      </c>
      <c r="IJ170" t="e">
        <f>AND('GA55 Entry'!J624,"AAAAAD/+P/M=")</f>
        <v>#VALUE!</v>
      </c>
      <c r="IK170" t="e">
        <f>AND('GA55 Entry'!#REF!,"AAAAAD/+P/Q=")</f>
        <v>#REF!</v>
      </c>
      <c r="IL170" t="e">
        <f>AND('GA55 Entry'!K624,"AAAAAD/+P/U=")</f>
        <v>#VALUE!</v>
      </c>
      <c r="IM170" t="e">
        <f>AND('GA55 Entry'!L624,"AAAAAD/+P/Y=")</f>
        <v>#VALUE!</v>
      </c>
      <c r="IN170" t="e">
        <f>AND('GA55 Entry'!M624,"AAAAAD/+P/c=")</f>
        <v>#VALUE!</v>
      </c>
      <c r="IO170" t="e">
        <f>AND('GA55 Entry'!N624,"AAAAAD/+P/g=")</f>
        <v>#VALUE!</v>
      </c>
      <c r="IP170" t="e">
        <f>AND('GA55 Entry'!O624,"AAAAAD/+P/k=")</f>
        <v>#VALUE!</v>
      </c>
      <c r="IQ170" t="e">
        <f>AND('GA55 Entry'!P624,"AAAAAD/+P/o=")</f>
        <v>#VALUE!</v>
      </c>
      <c r="IR170" t="e">
        <f>AND('GA55 Entry'!Q624,"AAAAAD/+P/s=")</f>
        <v>#VALUE!</v>
      </c>
      <c r="IS170" t="e">
        <f>AND('GA55 Entry'!S624,"AAAAAD/+P/w=")</f>
        <v>#VALUE!</v>
      </c>
      <c r="IT170" t="e">
        <f>AND('GA55 Entry'!#REF!,"AAAAAD/+P/0=")</f>
        <v>#REF!</v>
      </c>
      <c r="IU170" t="e">
        <f>AND('GA55 Entry'!T624,"AAAAAD/+P/4=")</f>
        <v>#VALUE!</v>
      </c>
      <c r="IV170" t="e">
        <f>AND('GA55 Entry'!U624,"AAAAAD/+P/8=")</f>
        <v>#VALUE!</v>
      </c>
    </row>
    <row r="171" spans="1:256">
      <c r="A171" t="e">
        <f>AND('GA55 Entry'!V624,"AAAAAH087wA=")</f>
        <v>#VALUE!</v>
      </c>
      <c r="B171" t="e">
        <f>AND('GA55 Entry'!#REF!,"AAAAAH087wE=")</f>
        <v>#REF!</v>
      </c>
      <c r="C171" t="e">
        <f>AND('GA55 Entry'!#REF!,"AAAAAH087wI=")</f>
        <v>#REF!</v>
      </c>
      <c r="D171" t="e">
        <f>AND('GA55 Entry'!X624,"AAAAAH087wM=")</f>
        <v>#VALUE!</v>
      </c>
      <c r="E171" t="e">
        <f>AND('GA55 Entry'!Y624,"AAAAAH087wQ=")</f>
        <v>#VALUE!</v>
      </c>
      <c r="F171" t="e">
        <f>AND('GA55 Entry'!#REF!,"AAAAAH087wU=")</f>
        <v>#REF!</v>
      </c>
      <c r="G171" t="e">
        <f>AND('GA55 Entry'!#REF!,"AAAAAH087wY=")</f>
        <v>#REF!</v>
      </c>
      <c r="H171" t="e">
        <f>AND('GA55 Entry'!#REF!,"AAAAAH087wc=")</f>
        <v>#REF!</v>
      </c>
      <c r="I171" t="e">
        <f>AND('GA55 Entry'!#REF!,"AAAAAH087wg=")</f>
        <v>#REF!</v>
      </c>
      <c r="J171" t="e">
        <f>AND('GA55 Entry'!#REF!,"AAAAAH087wk=")</f>
        <v>#REF!</v>
      </c>
      <c r="K171" t="e">
        <f>AND('GA55 Entry'!#REF!,"AAAAAH087wo=")</f>
        <v>#REF!</v>
      </c>
      <c r="L171" t="e">
        <f>AND('GA55 Entry'!#REF!,"AAAAAH087ws=")</f>
        <v>#REF!</v>
      </c>
      <c r="M171" t="e">
        <f>AND('GA55 Entry'!#REF!,"AAAAAH087ww=")</f>
        <v>#REF!</v>
      </c>
      <c r="N171" t="e">
        <f>AND('GA55 Entry'!#REF!,"AAAAAH087w0=")</f>
        <v>#REF!</v>
      </c>
      <c r="O171" t="e">
        <f>AND('GA55 Entry'!Z624,"AAAAAH087w4=")</f>
        <v>#VALUE!</v>
      </c>
      <c r="P171" t="e">
        <f>AND('GA55 Entry'!AA624,"AAAAAH087w8=")</f>
        <v>#VALUE!</v>
      </c>
      <c r="Q171" t="e">
        <f>AND('GA55 Entry'!#REF!,"AAAAAH087xA=")</f>
        <v>#REF!</v>
      </c>
      <c r="R171" t="e">
        <f>AND('GA55 Entry'!#REF!,"AAAAAH087xE=")</f>
        <v>#REF!</v>
      </c>
      <c r="S171" t="e">
        <f>AND('GA55 Entry'!#REF!,"AAAAAH087xI=")</f>
        <v>#REF!</v>
      </c>
      <c r="T171" t="e">
        <f>AND('GA55 Entry'!AB624,"AAAAAH087xM=")</f>
        <v>#VALUE!</v>
      </c>
      <c r="U171" t="e">
        <f>AND('GA55 Entry'!AC624,"AAAAAH087xQ=")</f>
        <v>#VALUE!</v>
      </c>
      <c r="V171" t="e">
        <f>AND('GA55 Entry'!#REF!,"AAAAAH087xU=")</f>
        <v>#REF!</v>
      </c>
      <c r="W171">
        <f>IF('GA55 Entry'!625:625,"AAAAAH087xY=",0)</f>
        <v>0</v>
      </c>
      <c r="X171" t="e">
        <f>AND('GA55 Entry'!B625,"AAAAAH087xc=")</f>
        <v>#VALUE!</v>
      </c>
      <c r="Y171" t="e">
        <f>AND('GA55 Entry'!#REF!,"AAAAAH087xg=")</f>
        <v>#REF!</v>
      </c>
      <c r="Z171" t="e">
        <f>AND('GA55 Entry'!C625,"AAAAAH087xk=")</f>
        <v>#VALUE!</v>
      </c>
      <c r="AA171" t="e">
        <f>AND('GA55 Entry'!#REF!,"AAAAAH087xo=")</f>
        <v>#REF!</v>
      </c>
      <c r="AB171" t="e">
        <f>AND('GA55 Entry'!#REF!,"AAAAAH087xs=")</f>
        <v>#REF!</v>
      </c>
      <c r="AC171" t="e">
        <f>AND('GA55 Entry'!#REF!,"AAAAAH087xw=")</f>
        <v>#REF!</v>
      </c>
      <c r="AD171" t="e">
        <f>AND('GA55 Entry'!#REF!,"AAAAAH087x0=")</f>
        <v>#REF!</v>
      </c>
      <c r="AE171" t="e">
        <f>AND('GA55 Entry'!#REF!,"AAAAAH087x4=")</f>
        <v>#REF!</v>
      </c>
      <c r="AF171" t="e">
        <f>AND('GA55 Entry'!D625,"AAAAAH087x8=")</f>
        <v>#VALUE!</v>
      </c>
      <c r="AG171" t="e">
        <f>AND('GA55 Entry'!#REF!,"AAAAAH087yA=")</f>
        <v>#REF!</v>
      </c>
      <c r="AH171" t="e">
        <f>AND('GA55 Entry'!E625,"AAAAAH087yE=")</f>
        <v>#VALUE!</v>
      </c>
      <c r="AI171" t="e">
        <f>AND('GA55 Entry'!F625,"AAAAAH087yI=")</f>
        <v>#VALUE!</v>
      </c>
      <c r="AJ171" t="e">
        <f>AND('GA55 Entry'!G625,"AAAAAH087yM=")</f>
        <v>#VALUE!</v>
      </c>
      <c r="AK171" t="e">
        <f>AND('GA55 Entry'!H625,"AAAAAH087yQ=")</f>
        <v>#VALUE!</v>
      </c>
      <c r="AL171" t="e">
        <f>AND('GA55 Entry'!I625,"AAAAAH087yU=")</f>
        <v>#VALUE!</v>
      </c>
      <c r="AM171" t="e">
        <f>AND('GA55 Entry'!J625,"AAAAAH087yY=")</f>
        <v>#VALUE!</v>
      </c>
      <c r="AN171" t="e">
        <f>AND('GA55 Entry'!#REF!,"AAAAAH087yc=")</f>
        <v>#REF!</v>
      </c>
      <c r="AO171" t="e">
        <f>AND('GA55 Entry'!K625,"AAAAAH087yg=")</f>
        <v>#VALUE!</v>
      </c>
      <c r="AP171" t="e">
        <f>AND('GA55 Entry'!L625,"AAAAAH087yk=")</f>
        <v>#VALUE!</v>
      </c>
      <c r="AQ171" t="e">
        <f>AND('GA55 Entry'!M625,"AAAAAH087yo=")</f>
        <v>#VALUE!</v>
      </c>
      <c r="AR171" t="e">
        <f>AND('GA55 Entry'!N625,"AAAAAH087ys=")</f>
        <v>#VALUE!</v>
      </c>
      <c r="AS171" t="e">
        <f>AND('GA55 Entry'!O625,"AAAAAH087yw=")</f>
        <v>#VALUE!</v>
      </c>
      <c r="AT171" t="e">
        <f>AND('GA55 Entry'!P625,"AAAAAH087y0=")</f>
        <v>#VALUE!</v>
      </c>
      <c r="AU171" t="e">
        <f>AND('GA55 Entry'!Q625,"AAAAAH087y4=")</f>
        <v>#VALUE!</v>
      </c>
      <c r="AV171" t="e">
        <f>AND('GA55 Entry'!S625,"AAAAAH087y8=")</f>
        <v>#VALUE!</v>
      </c>
      <c r="AW171" t="e">
        <f>AND('GA55 Entry'!#REF!,"AAAAAH087zA=")</f>
        <v>#REF!</v>
      </c>
      <c r="AX171" t="e">
        <f>AND('GA55 Entry'!T625,"AAAAAH087zE=")</f>
        <v>#VALUE!</v>
      </c>
      <c r="AY171" t="e">
        <f>AND('GA55 Entry'!U625,"AAAAAH087zI=")</f>
        <v>#VALUE!</v>
      </c>
      <c r="AZ171" t="e">
        <f>AND('GA55 Entry'!V625,"AAAAAH087zM=")</f>
        <v>#VALUE!</v>
      </c>
      <c r="BA171" t="e">
        <f>AND('GA55 Entry'!#REF!,"AAAAAH087zQ=")</f>
        <v>#REF!</v>
      </c>
      <c r="BB171" t="e">
        <f>AND('GA55 Entry'!#REF!,"AAAAAH087zU=")</f>
        <v>#REF!</v>
      </c>
      <c r="BC171" t="e">
        <f>AND('GA55 Entry'!X625,"AAAAAH087zY=")</f>
        <v>#VALUE!</v>
      </c>
      <c r="BD171" t="e">
        <f>AND('GA55 Entry'!Y625,"AAAAAH087zc=")</f>
        <v>#VALUE!</v>
      </c>
      <c r="BE171" t="e">
        <f>AND('GA55 Entry'!#REF!,"AAAAAH087zg=")</f>
        <v>#REF!</v>
      </c>
      <c r="BF171" t="e">
        <f>AND('GA55 Entry'!#REF!,"AAAAAH087zk=")</f>
        <v>#REF!</v>
      </c>
      <c r="BG171" t="e">
        <f>AND('GA55 Entry'!#REF!,"AAAAAH087zo=")</f>
        <v>#REF!</v>
      </c>
      <c r="BH171" t="e">
        <f>AND('GA55 Entry'!#REF!,"AAAAAH087zs=")</f>
        <v>#REF!</v>
      </c>
      <c r="BI171" t="e">
        <f>AND('GA55 Entry'!#REF!,"AAAAAH087zw=")</f>
        <v>#REF!</v>
      </c>
      <c r="BJ171" t="e">
        <f>AND('GA55 Entry'!#REF!,"AAAAAH087z0=")</f>
        <v>#REF!</v>
      </c>
      <c r="BK171" t="e">
        <f>AND('GA55 Entry'!#REF!,"AAAAAH087z4=")</f>
        <v>#REF!</v>
      </c>
      <c r="BL171" t="e">
        <f>AND('GA55 Entry'!#REF!,"AAAAAH087z8=")</f>
        <v>#REF!</v>
      </c>
      <c r="BM171" t="e">
        <f>AND('GA55 Entry'!#REF!,"AAAAAH0870A=")</f>
        <v>#REF!</v>
      </c>
      <c r="BN171" t="e">
        <f>AND('GA55 Entry'!Z625,"AAAAAH0870E=")</f>
        <v>#VALUE!</v>
      </c>
      <c r="BO171" t="e">
        <f>AND('GA55 Entry'!AA625,"AAAAAH0870I=")</f>
        <v>#VALUE!</v>
      </c>
      <c r="BP171" t="e">
        <f>AND('GA55 Entry'!#REF!,"AAAAAH0870M=")</f>
        <v>#REF!</v>
      </c>
      <c r="BQ171" t="e">
        <f>AND('GA55 Entry'!#REF!,"AAAAAH0870Q=")</f>
        <v>#REF!</v>
      </c>
      <c r="BR171" t="e">
        <f>AND('GA55 Entry'!#REF!,"AAAAAH0870U=")</f>
        <v>#REF!</v>
      </c>
      <c r="BS171" t="e">
        <f>AND('GA55 Entry'!AB625,"AAAAAH0870Y=")</f>
        <v>#VALUE!</v>
      </c>
      <c r="BT171" t="e">
        <f>AND('GA55 Entry'!AC625,"AAAAAH0870c=")</f>
        <v>#VALUE!</v>
      </c>
      <c r="BU171" t="e">
        <f>AND('GA55 Entry'!#REF!,"AAAAAH0870g=")</f>
        <v>#REF!</v>
      </c>
      <c r="BV171">
        <f>IF('GA55 Entry'!626:626,"AAAAAH0870k=",0)</f>
        <v>0</v>
      </c>
      <c r="BW171" t="e">
        <f>AND('GA55 Entry'!B626,"AAAAAH0870o=")</f>
        <v>#VALUE!</v>
      </c>
      <c r="BX171" t="e">
        <f>AND('GA55 Entry'!#REF!,"AAAAAH0870s=")</f>
        <v>#REF!</v>
      </c>
      <c r="BY171" t="e">
        <f>AND('GA55 Entry'!C626,"AAAAAH0870w=")</f>
        <v>#VALUE!</v>
      </c>
      <c r="BZ171" t="e">
        <f>AND('GA55 Entry'!#REF!,"AAAAAH08700=")</f>
        <v>#REF!</v>
      </c>
      <c r="CA171" t="e">
        <f>AND('GA55 Entry'!#REF!,"AAAAAH08704=")</f>
        <v>#REF!</v>
      </c>
      <c r="CB171" t="e">
        <f>AND('GA55 Entry'!#REF!,"AAAAAH08708=")</f>
        <v>#REF!</v>
      </c>
      <c r="CC171" t="e">
        <f>AND('GA55 Entry'!#REF!,"AAAAAH0871A=")</f>
        <v>#REF!</v>
      </c>
      <c r="CD171" t="e">
        <f>AND('GA55 Entry'!#REF!,"AAAAAH0871E=")</f>
        <v>#REF!</v>
      </c>
      <c r="CE171" t="e">
        <f>AND('GA55 Entry'!D626,"AAAAAH0871I=")</f>
        <v>#VALUE!</v>
      </c>
      <c r="CF171" t="e">
        <f>AND('GA55 Entry'!#REF!,"AAAAAH0871M=")</f>
        <v>#REF!</v>
      </c>
      <c r="CG171" t="e">
        <f>AND('GA55 Entry'!E626,"AAAAAH0871Q=")</f>
        <v>#VALUE!</v>
      </c>
      <c r="CH171" t="e">
        <f>AND('GA55 Entry'!F626,"AAAAAH0871U=")</f>
        <v>#VALUE!</v>
      </c>
      <c r="CI171" t="e">
        <f>AND('GA55 Entry'!G626,"AAAAAH0871Y=")</f>
        <v>#VALUE!</v>
      </c>
      <c r="CJ171" t="e">
        <f>AND('GA55 Entry'!H626,"AAAAAH0871c=")</f>
        <v>#VALUE!</v>
      </c>
      <c r="CK171" t="e">
        <f>AND('GA55 Entry'!I626,"AAAAAH0871g=")</f>
        <v>#VALUE!</v>
      </c>
      <c r="CL171" t="e">
        <f>AND('GA55 Entry'!J626,"AAAAAH0871k=")</f>
        <v>#VALUE!</v>
      </c>
      <c r="CM171" t="e">
        <f>AND('GA55 Entry'!#REF!,"AAAAAH0871o=")</f>
        <v>#REF!</v>
      </c>
      <c r="CN171" t="e">
        <f>AND('GA55 Entry'!K626,"AAAAAH0871s=")</f>
        <v>#VALUE!</v>
      </c>
      <c r="CO171" t="e">
        <f>AND('GA55 Entry'!L626,"AAAAAH0871w=")</f>
        <v>#VALUE!</v>
      </c>
      <c r="CP171" t="e">
        <f>AND('GA55 Entry'!M626,"AAAAAH08710=")</f>
        <v>#VALUE!</v>
      </c>
      <c r="CQ171" t="e">
        <f>AND('GA55 Entry'!N626,"AAAAAH08714=")</f>
        <v>#VALUE!</v>
      </c>
      <c r="CR171" t="e">
        <f>AND('GA55 Entry'!O626,"AAAAAH08718=")</f>
        <v>#VALUE!</v>
      </c>
      <c r="CS171" t="e">
        <f>AND('GA55 Entry'!P626,"AAAAAH0872A=")</f>
        <v>#VALUE!</v>
      </c>
      <c r="CT171" t="e">
        <f>AND('GA55 Entry'!Q626,"AAAAAH0872E=")</f>
        <v>#VALUE!</v>
      </c>
      <c r="CU171" t="e">
        <f>AND('GA55 Entry'!S626,"AAAAAH0872I=")</f>
        <v>#VALUE!</v>
      </c>
      <c r="CV171" t="e">
        <f>AND('GA55 Entry'!#REF!,"AAAAAH0872M=")</f>
        <v>#REF!</v>
      </c>
      <c r="CW171" t="e">
        <f>AND('GA55 Entry'!T626,"AAAAAH0872Q=")</f>
        <v>#VALUE!</v>
      </c>
      <c r="CX171" t="e">
        <f>AND('GA55 Entry'!U626,"AAAAAH0872U=")</f>
        <v>#VALUE!</v>
      </c>
      <c r="CY171" t="e">
        <f>AND('GA55 Entry'!V626,"AAAAAH0872Y=")</f>
        <v>#VALUE!</v>
      </c>
      <c r="CZ171" t="e">
        <f>AND('GA55 Entry'!#REF!,"AAAAAH0872c=")</f>
        <v>#REF!</v>
      </c>
      <c r="DA171" t="e">
        <f>AND('GA55 Entry'!#REF!,"AAAAAH0872g=")</f>
        <v>#REF!</v>
      </c>
      <c r="DB171" t="e">
        <f>AND('GA55 Entry'!X626,"AAAAAH0872k=")</f>
        <v>#VALUE!</v>
      </c>
      <c r="DC171" t="e">
        <f>AND('GA55 Entry'!Y626,"AAAAAH0872o=")</f>
        <v>#VALUE!</v>
      </c>
      <c r="DD171" t="e">
        <f>AND('GA55 Entry'!#REF!,"AAAAAH0872s=")</f>
        <v>#REF!</v>
      </c>
      <c r="DE171" t="e">
        <f>AND('GA55 Entry'!#REF!,"AAAAAH0872w=")</f>
        <v>#REF!</v>
      </c>
      <c r="DF171" t="e">
        <f>AND('GA55 Entry'!#REF!,"AAAAAH08720=")</f>
        <v>#REF!</v>
      </c>
      <c r="DG171" t="e">
        <f>AND('GA55 Entry'!#REF!,"AAAAAH08724=")</f>
        <v>#REF!</v>
      </c>
      <c r="DH171" t="e">
        <f>AND('GA55 Entry'!#REF!,"AAAAAH08728=")</f>
        <v>#REF!</v>
      </c>
      <c r="DI171" t="e">
        <f>AND('GA55 Entry'!#REF!,"AAAAAH0873A=")</f>
        <v>#REF!</v>
      </c>
      <c r="DJ171" t="e">
        <f>AND('GA55 Entry'!#REF!,"AAAAAH0873E=")</f>
        <v>#REF!</v>
      </c>
      <c r="DK171" t="e">
        <f>AND('GA55 Entry'!#REF!,"AAAAAH0873I=")</f>
        <v>#REF!</v>
      </c>
      <c r="DL171" t="e">
        <f>AND('GA55 Entry'!#REF!,"AAAAAH0873M=")</f>
        <v>#REF!</v>
      </c>
      <c r="DM171" t="e">
        <f>AND('GA55 Entry'!Z626,"AAAAAH0873Q=")</f>
        <v>#VALUE!</v>
      </c>
      <c r="DN171" t="e">
        <f>AND('GA55 Entry'!AA626,"AAAAAH0873U=")</f>
        <v>#VALUE!</v>
      </c>
      <c r="DO171" t="e">
        <f>AND('GA55 Entry'!#REF!,"AAAAAH0873Y=")</f>
        <v>#REF!</v>
      </c>
      <c r="DP171" t="e">
        <f>AND('GA55 Entry'!#REF!,"AAAAAH0873c=")</f>
        <v>#REF!</v>
      </c>
      <c r="DQ171" t="e">
        <f>AND('GA55 Entry'!#REF!,"AAAAAH0873g=")</f>
        <v>#REF!</v>
      </c>
      <c r="DR171" t="e">
        <f>AND('GA55 Entry'!AB626,"AAAAAH0873k=")</f>
        <v>#VALUE!</v>
      </c>
      <c r="DS171" t="e">
        <f>AND('GA55 Entry'!AC626,"AAAAAH0873o=")</f>
        <v>#VALUE!</v>
      </c>
      <c r="DT171" t="e">
        <f>AND('GA55 Entry'!#REF!,"AAAAAH0873s=")</f>
        <v>#REF!</v>
      </c>
      <c r="DU171">
        <f>IF('GA55 Entry'!627:627,"AAAAAH0873w=",0)</f>
        <v>0</v>
      </c>
      <c r="DV171" t="e">
        <f>AND('GA55 Entry'!B627,"AAAAAH08730=")</f>
        <v>#VALUE!</v>
      </c>
      <c r="DW171" t="e">
        <f>AND('GA55 Entry'!#REF!,"AAAAAH08734=")</f>
        <v>#REF!</v>
      </c>
      <c r="DX171" t="e">
        <f>AND('GA55 Entry'!C627,"AAAAAH08738=")</f>
        <v>#VALUE!</v>
      </c>
      <c r="DY171" t="e">
        <f>AND('GA55 Entry'!#REF!,"AAAAAH0874A=")</f>
        <v>#REF!</v>
      </c>
      <c r="DZ171" t="e">
        <f>AND('GA55 Entry'!#REF!,"AAAAAH0874E=")</f>
        <v>#REF!</v>
      </c>
      <c r="EA171" t="e">
        <f>AND('GA55 Entry'!#REF!,"AAAAAH0874I=")</f>
        <v>#REF!</v>
      </c>
      <c r="EB171" t="e">
        <f>AND('GA55 Entry'!#REF!,"AAAAAH0874M=")</f>
        <v>#REF!</v>
      </c>
      <c r="EC171" t="e">
        <f>AND('GA55 Entry'!#REF!,"AAAAAH0874Q=")</f>
        <v>#REF!</v>
      </c>
      <c r="ED171" t="e">
        <f>AND('GA55 Entry'!D627,"AAAAAH0874U=")</f>
        <v>#VALUE!</v>
      </c>
      <c r="EE171" t="e">
        <f>AND('GA55 Entry'!#REF!,"AAAAAH0874Y=")</f>
        <v>#REF!</v>
      </c>
      <c r="EF171" t="e">
        <f>AND('GA55 Entry'!E627,"AAAAAH0874c=")</f>
        <v>#VALUE!</v>
      </c>
      <c r="EG171" t="e">
        <f>AND('GA55 Entry'!F627,"AAAAAH0874g=")</f>
        <v>#VALUE!</v>
      </c>
      <c r="EH171" t="e">
        <f>AND('GA55 Entry'!G627,"AAAAAH0874k=")</f>
        <v>#VALUE!</v>
      </c>
      <c r="EI171" t="e">
        <f>AND('GA55 Entry'!H627,"AAAAAH0874o=")</f>
        <v>#VALUE!</v>
      </c>
      <c r="EJ171" t="e">
        <f>AND('GA55 Entry'!I627,"AAAAAH0874s=")</f>
        <v>#VALUE!</v>
      </c>
      <c r="EK171" t="e">
        <f>AND('GA55 Entry'!J627,"AAAAAH0874w=")</f>
        <v>#VALUE!</v>
      </c>
      <c r="EL171" t="e">
        <f>AND('GA55 Entry'!#REF!,"AAAAAH08740=")</f>
        <v>#REF!</v>
      </c>
      <c r="EM171" t="e">
        <f>AND('GA55 Entry'!K627,"AAAAAH08744=")</f>
        <v>#VALUE!</v>
      </c>
      <c r="EN171" t="e">
        <f>AND('GA55 Entry'!L627,"AAAAAH08748=")</f>
        <v>#VALUE!</v>
      </c>
      <c r="EO171" t="e">
        <f>AND('GA55 Entry'!M627,"AAAAAH0875A=")</f>
        <v>#VALUE!</v>
      </c>
      <c r="EP171" t="e">
        <f>AND('GA55 Entry'!N627,"AAAAAH0875E=")</f>
        <v>#VALUE!</v>
      </c>
      <c r="EQ171" t="e">
        <f>AND('GA55 Entry'!O627,"AAAAAH0875I=")</f>
        <v>#VALUE!</v>
      </c>
      <c r="ER171" t="e">
        <f>AND('GA55 Entry'!P627,"AAAAAH0875M=")</f>
        <v>#VALUE!</v>
      </c>
      <c r="ES171" t="e">
        <f>AND('GA55 Entry'!Q627,"AAAAAH0875Q=")</f>
        <v>#VALUE!</v>
      </c>
      <c r="ET171" t="e">
        <f>AND('GA55 Entry'!S627,"AAAAAH0875U=")</f>
        <v>#VALUE!</v>
      </c>
      <c r="EU171" t="e">
        <f>AND('GA55 Entry'!#REF!,"AAAAAH0875Y=")</f>
        <v>#REF!</v>
      </c>
      <c r="EV171" t="e">
        <f>AND('GA55 Entry'!T627,"AAAAAH0875c=")</f>
        <v>#VALUE!</v>
      </c>
      <c r="EW171" t="e">
        <f>AND('GA55 Entry'!U627,"AAAAAH0875g=")</f>
        <v>#VALUE!</v>
      </c>
      <c r="EX171" t="e">
        <f>AND('GA55 Entry'!V627,"AAAAAH0875k=")</f>
        <v>#VALUE!</v>
      </c>
      <c r="EY171" t="e">
        <f>AND('GA55 Entry'!#REF!,"AAAAAH0875o=")</f>
        <v>#REF!</v>
      </c>
      <c r="EZ171" t="e">
        <f>AND('GA55 Entry'!#REF!,"AAAAAH0875s=")</f>
        <v>#REF!</v>
      </c>
      <c r="FA171" t="e">
        <f>AND('GA55 Entry'!X627,"AAAAAH0875w=")</f>
        <v>#VALUE!</v>
      </c>
      <c r="FB171" t="e">
        <f>AND('GA55 Entry'!Y627,"AAAAAH08750=")</f>
        <v>#VALUE!</v>
      </c>
      <c r="FC171" t="e">
        <f>AND('GA55 Entry'!#REF!,"AAAAAH08754=")</f>
        <v>#REF!</v>
      </c>
      <c r="FD171" t="e">
        <f>AND('GA55 Entry'!#REF!,"AAAAAH08758=")</f>
        <v>#REF!</v>
      </c>
      <c r="FE171" t="e">
        <f>AND('GA55 Entry'!#REF!,"AAAAAH0876A=")</f>
        <v>#REF!</v>
      </c>
      <c r="FF171" t="e">
        <f>AND('GA55 Entry'!#REF!,"AAAAAH0876E=")</f>
        <v>#REF!</v>
      </c>
      <c r="FG171" t="e">
        <f>AND('GA55 Entry'!#REF!,"AAAAAH0876I=")</f>
        <v>#REF!</v>
      </c>
      <c r="FH171" t="e">
        <f>AND('GA55 Entry'!#REF!,"AAAAAH0876M=")</f>
        <v>#REF!</v>
      </c>
      <c r="FI171" t="e">
        <f>AND('GA55 Entry'!#REF!,"AAAAAH0876Q=")</f>
        <v>#REF!</v>
      </c>
      <c r="FJ171" t="e">
        <f>AND('GA55 Entry'!#REF!,"AAAAAH0876U=")</f>
        <v>#REF!</v>
      </c>
      <c r="FK171" t="e">
        <f>AND('GA55 Entry'!#REF!,"AAAAAH0876Y=")</f>
        <v>#REF!</v>
      </c>
      <c r="FL171" t="e">
        <f>AND('GA55 Entry'!Z627,"AAAAAH0876c=")</f>
        <v>#VALUE!</v>
      </c>
      <c r="FM171" t="e">
        <f>AND('GA55 Entry'!AA627,"AAAAAH0876g=")</f>
        <v>#VALUE!</v>
      </c>
      <c r="FN171" t="e">
        <f>AND('GA55 Entry'!#REF!,"AAAAAH0876k=")</f>
        <v>#REF!</v>
      </c>
      <c r="FO171" t="e">
        <f>AND('GA55 Entry'!#REF!,"AAAAAH0876o=")</f>
        <v>#REF!</v>
      </c>
      <c r="FP171" t="e">
        <f>AND('GA55 Entry'!#REF!,"AAAAAH0876s=")</f>
        <v>#REF!</v>
      </c>
      <c r="FQ171" t="e">
        <f>AND('GA55 Entry'!AB627,"AAAAAH0876w=")</f>
        <v>#VALUE!</v>
      </c>
      <c r="FR171" t="e">
        <f>AND('GA55 Entry'!AC627,"AAAAAH08760=")</f>
        <v>#VALUE!</v>
      </c>
      <c r="FS171" t="e">
        <f>AND('GA55 Entry'!#REF!,"AAAAAH08764=")</f>
        <v>#REF!</v>
      </c>
      <c r="FT171">
        <f>IF('GA55 Entry'!628:628,"AAAAAH08768=",0)</f>
        <v>0</v>
      </c>
      <c r="FU171" t="e">
        <f>AND('GA55 Entry'!B628,"AAAAAH0877A=")</f>
        <v>#VALUE!</v>
      </c>
      <c r="FV171" t="e">
        <f>AND('GA55 Entry'!#REF!,"AAAAAH0877E=")</f>
        <v>#REF!</v>
      </c>
      <c r="FW171" t="e">
        <f>AND('GA55 Entry'!C628,"AAAAAH0877I=")</f>
        <v>#VALUE!</v>
      </c>
      <c r="FX171" t="e">
        <f>AND('GA55 Entry'!#REF!,"AAAAAH0877M=")</f>
        <v>#REF!</v>
      </c>
      <c r="FY171" t="e">
        <f>AND('GA55 Entry'!#REF!,"AAAAAH0877Q=")</f>
        <v>#REF!</v>
      </c>
      <c r="FZ171" t="e">
        <f>AND('GA55 Entry'!#REF!,"AAAAAH0877U=")</f>
        <v>#REF!</v>
      </c>
      <c r="GA171" t="e">
        <f>AND('GA55 Entry'!#REF!,"AAAAAH0877Y=")</f>
        <v>#REF!</v>
      </c>
      <c r="GB171" t="e">
        <f>AND('GA55 Entry'!#REF!,"AAAAAH0877c=")</f>
        <v>#REF!</v>
      </c>
      <c r="GC171" t="e">
        <f>AND('GA55 Entry'!D628,"AAAAAH0877g=")</f>
        <v>#VALUE!</v>
      </c>
      <c r="GD171" t="e">
        <f>AND('GA55 Entry'!#REF!,"AAAAAH0877k=")</f>
        <v>#REF!</v>
      </c>
      <c r="GE171" t="e">
        <f>AND('GA55 Entry'!E628,"AAAAAH0877o=")</f>
        <v>#VALUE!</v>
      </c>
      <c r="GF171" t="e">
        <f>AND('GA55 Entry'!F628,"AAAAAH0877s=")</f>
        <v>#VALUE!</v>
      </c>
      <c r="GG171" t="e">
        <f>AND('GA55 Entry'!G628,"AAAAAH0877w=")</f>
        <v>#VALUE!</v>
      </c>
      <c r="GH171" t="e">
        <f>AND('GA55 Entry'!H628,"AAAAAH08770=")</f>
        <v>#VALUE!</v>
      </c>
      <c r="GI171" t="e">
        <f>AND('GA55 Entry'!I628,"AAAAAH08774=")</f>
        <v>#VALUE!</v>
      </c>
      <c r="GJ171" t="e">
        <f>AND('GA55 Entry'!J628,"AAAAAH08778=")</f>
        <v>#VALUE!</v>
      </c>
      <c r="GK171" t="e">
        <f>AND('GA55 Entry'!#REF!,"AAAAAH0878A=")</f>
        <v>#REF!</v>
      </c>
      <c r="GL171" t="e">
        <f>AND('GA55 Entry'!K628,"AAAAAH0878E=")</f>
        <v>#VALUE!</v>
      </c>
      <c r="GM171" t="e">
        <f>AND('GA55 Entry'!L628,"AAAAAH0878I=")</f>
        <v>#VALUE!</v>
      </c>
      <c r="GN171" t="e">
        <f>AND('GA55 Entry'!M628,"AAAAAH0878M=")</f>
        <v>#VALUE!</v>
      </c>
      <c r="GO171" t="e">
        <f>AND('GA55 Entry'!N628,"AAAAAH0878Q=")</f>
        <v>#VALUE!</v>
      </c>
      <c r="GP171" t="e">
        <f>AND('GA55 Entry'!O628,"AAAAAH0878U=")</f>
        <v>#VALUE!</v>
      </c>
      <c r="GQ171" t="e">
        <f>AND('GA55 Entry'!P628,"AAAAAH0878Y=")</f>
        <v>#VALUE!</v>
      </c>
      <c r="GR171" t="e">
        <f>AND('GA55 Entry'!Q628,"AAAAAH0878c=")</f>
        <v>#VALUE!</v>
      </c>
      <c r="GS171" t="e">
        <f>AND('GA55 Entry'!S628,"AAAAAH0878g=")</f>
        <v>#VALUE!</v>
      </c>
      <c r="GT171" t="e">
        <f>AND('GA55 Entry'!#REF!,"AAAAAH0878k=")</f>
        <v>#REF!</v>
      </c>
      <c r="GU171" t="e">
        <f>AND('GA55 Entry'!T628,"AAAAAH0878o=")</f>
        <v>#VALUE!</v>
      </c>
      <c r="GV171" t="e">
        <f>AND('GA55 Entry'!U628,"AAAAAH0878s=")</f>
        <v>#VALUE!</v>
      </c>
      <c r="GW171" t="e">
        <f>AND('GA55 Entry'!V628,"AAAAAH0878w=")</f>
        <v>#VALUE!</v>
      </c>
      <c r="GX171" t="e">
        <f>AND('GA55 Entry'!#REF!,"AAAAAH08780=")</f>
        <v>#REF!</v>
      </c>
      <c r="GY171" t="e">
        <f>AND('GA55 Entry'!#REF!,"AAAAAH08784=")</f>
        <v>#REF!</v>
      </c>
      <c r="GZ171" t="e">
        <f>AND('GA55 Entry'!X628,"AAAAAH08788=")</f>
        <v>#VALUE!</v>
      </c>
      <c r="HA171" t="e">
        <f>AND('GA55 Entry'!Y628,"AAAAAH0879A=")</f>
        <v>#VALUE!</v>
      </c>
      <c r="HB171" t="e">
        <f>AND('GA55 Entry'!#REF!,"AAAAAH0879E=")</f>
        <v>#REF!</v>
      </c>
      <c r="HC171" t="e">
        <f>AND('GA55 Entry'!#REF!,"AAAAAH0879I=")</f>
        <v>#REF!</v>
      </c>
      <c r="HD171" t="e">
        <f>AND('GA55 Entry'!#REF!,"AAAAAH0879M=")</f>
        <v>#REF!</v>
      </c>
      <c r="HE171" t="e">
        <f>AND('GA55 Entry'!#REF!,"AAAAAH0879Q=")</f>
        <v>#REF!</v>
      </c>
      <c r="HF171" t="e">
        <f>AND('GA55 Entry'!#REF!,"AAAAAH0879U=")</f>
        <v>#REF!</v>
      </c>
      <c r="HG171" t="e">
        <f>AND('GA55 Entry'!#REF!,"AAAAAH0879Y=")</f>
        <v>#REF!</v>
      </c>
      <c r="HH171" t="e">
        <f>AND('GA55 Entry'!#REF!,"AAAAAH0879c=")</f>
        <v>#REF!</v>
      </c>
      <c r="HI171" t="e">
        <f>AND('GA55 Entry'!#REF!,"AAAAAH0879g=")</f>
        <v>#REF!</v>
      </c>
      <c r="HJ171" t="e">
        <f>AND('GA55 Entry'!#REF!,"AAAAAH0879k=")</f>
        <v>#REF!</v>
      </c>
      <c r="HK171" t="e">
        <f>AND('GA55 Entry'!Z628,"AAAAAH0879o=")</f>
        <v>#VALUE!</v>
      </c>
      <c r="HL171" t="e">
        <f>AND('GA55 Entry'!AA628,"AAAAAH0879s=")</f>
        <v>#VALUE!</v>
      </c>
      <c r="HM171" t="e">
        <f>AND('GA55 Entry'!#REF!,"AAAAAH0879w=")</f>
        <v>#REF!</v>
      </c>
      <c r="HN171" t="e">
        <f>AND('GA55 Entry'!#REF!,"AAAAAH08790=")</f>
        <v>#REF!</v>
      </c>
      <c r="HO171" t="e">
        <f>AND('GA55 Entry'!#REF!,"AAAAAH08794=")</f>
        <v>#REF!</v>
      </c>
      <c r="HP171" t="e">
        <f>AND('GA55 Entry'!AB628,"AAAAAH08798=")</f>
        <v>#VALUE!</v>
      </c>
      <c r="HQ171" t="e">
        <f>AND('GA55 Entry'!AC628,"AAAAAH087+A=")</f>
        <v>#VALUE!</v>
      </c>
      <c r="HR171" t="e">
        <f>AND('GA55 Entry'!#REF!,"AAAAAH087+E=")</f>
        <v>#REF!</v>
      </c>
      <c r="HS171">
        <f>IF('GA55 Entry'!629:629,"AAAAAH087+I=",0)</f>
        <v>0</v>
      </c>
      <c r="HT171" t="e">
        <f>AND('GA55 Entry'!B629,"AAAAAH087+M=")</f>
        <v>#VALUE!</v>
      </c>
      <c r="HU171" t="e">
        <f>AND('GA55 Entry'!#REF!,"AAAAAH087+Q=")</f>
        <v>#REF!</v>
      </c>
      <c r="HV171" t="e">
        <f>AND('GA55 Entry'!C629,"AAAAAH087+U=")</f>
        <v>#VALUE!</v>
      </c>
      <c r="HW171" t="e">
        <f>AND('GA55 Entry'!#REF!,"AAAAAH087+Y=")</f>
        <v>#REF!</v>
      </c>
      <c r="HX171" t="e">
        <f>AND('GA55 Entry'!#REF!,"AAAAAH087+c=")</f>
        <v>#REF!</v>
      </c>
      <c r="HY171" t="e">
        <f>AND('GA55 Entry'!#REF!,"AAAAAH087+g=")</f>
        <v>#REF!</v>
      </c>
      <c r="HZ171" t="e">
        <f>AND('GA55 Entry'!#REF!,"AAAAAH087+k=")</f>
        <v>#REF!</v>
      </c>
      <c r="IA171" t="e">
        <f>AND('GA55 Entry'!#REF!,"AAAAAH087+o=")</f>
        <v>#REF!</v>
      </c>
      <c r="IB171" t="e">
        <f>AND('GA55 Entry'!D629,"AAAAAH087+s=")</f>
        <v>#VALUE!</v>
      </c>
      <c r="IC171" t="e">
        <f>AND('GA55 Entry'!#REF!,"AAAAAH087+w=")</f>
        <v>#REF!</v>
      </c>
      <c r="ID171" t="e">
        <f>AND('GA55 Entry'!E629,"AAAAAH087+0=")</f>
        <v>#VALUE!</v>
      </c>
      <c r="IE171" t="e">
        <f>AND('GA55 Entry'!F629,"AAAAAH087+4=")</f>
        <v>#VALUE!</v>
      </c>
      <c r="IF171" t="e">
        <f>AND('GA55 Entry'!G629,"AAAAAH087+8=")</f>
        <v>#VALUE!</v>
      </c>
      <c r="IG171" t="e">
        <f>AND('GA55 Entry'!H629,"AAAAAH087/A=")</f>
        <v>#VALUE!</v>
      </c>
      <c r="IH171" t="e">
        <f>AND('GA55 Entry'!I629,"AAAAAH087/E=")</f>
        <v>#VALUE!</v>
      </c>
      <c r="II171" t="e">
        <f>AND('GA55 Entry'!J629,"AAAAAH087/I=")</f>
        <v>#VALUE!</v>
      </c>
      <c r="IJ171" t="e">
        <f>AND('GA55 Entry'!#REF!,"AAAAAH087/M=")</f>
        <v>#REF!</v>
      </c>
      <c r="IK171" t="e">
        <f>AND('GA55 Entry'!K629,"AAAAAH087/Q=")</f>
        <v>#VALUE!</v>
      </c>
      <c r="IL171" t="e">
        <f>AND('GA55 Entry'!L629,"AAAAAH087/U=")</f>
        <v>#VALUE!</v>
      </c>
      <c r="IM171" t="e">
        <f>AND('GA55 Entry'!M629,"AAAAAH087/Y=")</f>
        <v>#VALUE!</v>
      </c>
      <c r="IN171" t="e">
        <f>AND('GA55 Entry'!N629,"AAAAAH087/c=")</f>
        <v>#VALUE!</v>
      </c>
      <c r="IO171" t="e">
        <f>AND('GA55 Entry'!O629,"AAAAAH087/g=")</f>
        <v>#VALUE!</v>
      </c>
      <c r="IP171" t="e">
        <f>AND('GA55 Entry'!P629,"AAAAAH087/k=")</f>
        <v>#VALUE!</v>
      </c>
      <c r="IQ171" t="e">
        <f>AND('GA55 Entry'!Q629,"AAAAAH087/o=")</f>
        <v>#VALUE!</v>
      </c>
      <c r="IR171" t="e">
        <f>AND('GA55 Entry'!S629,"AAAAAH087/s=")</f>
        <v>#VALUE!</v>
      </c>
      <c r="IS171" t="e">
        <f>AND('GA55 Entry'!#REF!,"AAAAAH087/w=")</f>
        <v>#REF!</v>
      </c>
      <c r="IT171" t="e">
        <f>AND('GA55 Entry'!T629,"AAAAAH087/0=")</f>
        <v>#VALUE!</v>
      </c>
      <c r="IU171" t="e">
        <f>AND('GA55 Entry'!U629,"AAAAAH087/4=")</f>
        <v>#VALUE!</v>
      </c>
      <c r="IV171" t="e">
        <f>AND('GA55 Entry'!V629,"AAAAAH087/8=")</f>
        <v>#VALUE!</v>
      </c>
    </row>
    <row r="172" spans="1:256">
      <c r="A172" t="e">
        <f>AND('GA55 Entry'!#REF!,"AAAAAGf7/wA=")</f>
        <v>#REF!</v>
      </c>
      <c r="B172" t="e">
        <f>AND('GA55 Entry'!#REF!,"AAAAAGf7/wE=")</f>
        <v>#REF!</v>
      </c>
      <c r="C172" t="e">
        <f>AND('GA55 Entry'!X629,"AAAAAGf7/wI=")</f>
        <v>#VALUE!</v>
      </c>
      <c r="D172" t="e">
        <f>AND('GA55 Entry'!Y629,"AAAAAGf7/wM=")</f>
        <v>#VALUE!</v>
      </c>
      <c r="E172" t="e">
        <f>AND('GA55 Entry'!#REF!,"AAAAAGf7/wQ=")</f>
        <v>#REF!</v>
      </c>
      <c r="F172" t="e">
        <f>AND('GA55 Entry'!#REF!,"AAAAAGf7/wU=")</f>
        <v>#REF!</v>
      </c>
      <c r="G172" t="e">
        <f>AND('GA55 Entry'!#REF!,"AAAAAGf7/wY=")</f>
        <v>#REF!</v>
      </c>
      <c r="H172" t="e">
        <f>AND('GA55 Entry'!#REF!,"AAAAAGf7/wc=")</f>
        <v>#REF!</v>
      </c>
      <c r="I172" t="e">
        <f>AND('GA55 Entry'!#REF!,"AAAAAGf7/wg=")</f>
        <v>#REF!</v>
      </c>
      <c r="J172" t="e">
        <f>AND('GA55 Entry'!#REF!,"AAAAAGf7/wk=")</f>
        <v>#REF!</v>
      </c>
      <c r="K172" t="e">
        <f>AND('GA55 Entry'!#REF!,"AAAAAGf7/wo=")</f>
        <v>#REF!</v>
      </c>
      <c r="L172" t="e">
        <f>AND('GA55 Entry'!#REF!,"AAAAAGf7/ws=")</f>
        <v>#REF!</v>
      </c>
      <c r="M172" t="e">
        <f>AND('GA55 Entry'!#REF!,"AAAAAGf7/ww=")</f>
        <v>#REF!</v>
      </c>
      <c r="N172" t="e">
        <f>AND('GA55 Entry'!Z629,"AAAAAGf7/w0=")</f>
        <v>#VALUE!</v>
      </c>
      <c r="O172" t="e">
        <f>AND('GA55 Entry'!AA629,"AAAAAGf7/w4=")</f>
        <v>#VALUE!</v>
      </c>
      <c r="P172" t="e">
        <f>AND('GA55 Entry'!#REF!,"AAAAAGf7/w8=")</f>
        <v>#REF!</v>
      </c>
      <c r="Q172" t="e">
        <f>AND('GA55 Entry'!#REF!,"AAAAAGf7/xA=")</f>
        <v>#REF!</v>
      </c>
      <c r="R172" t="e">
        <f>AND('GA55 Entry'!#REF!,"AAAAAGf7/xE=")</f>
        <v>#REF!</v>
      </c>
      <c r="S172" t="e">
        <f>AND('GA55 Entry'!AB629,"AAAAAGf7/xI=")</f>
        <v>#VALUE!</v>
      </c>
      <c r="T172" t="e">
        <f>AND('GA55 Entry'!AC629,"AAAAAGf7/xM=")</f>
        <v>#VALUE!</v>
      </c>
      <c r="U172" t="e">
        <f>AND('GA55 Entry'!#REF!,"AAAAAGf7/xQ=")</f>
        <v>#REF!</v>
      </c>
      <c r="V172">
        <f>IF('GA55 Entry'!630:630,"AAAAAGf7/xU=",0)</f>
        <v>0</v>
      </c>
      <c r="W172" t="e">
        <f>AND('GA55 Entry'!B630,"AAAAAGf7/xY=")</f>
        <v>#VALUE!</v>
      </c>
      <c r="X172" t="e">
        <f>AND('GA55 Entry'!#REF!,"AAAAAGf7/xc=")</f>
        <v>#REF!</v>
      </c>
      <c r="Y172" t="e">
        <f>AND('GA55 Entry'!C630,"AAAAAGf7/xg=")</f>
        <v>#VALUE!</v>
      </c>
      <c r="Z172" t="e">
        <f>AND('GA55 Entry'!#REF!,"AAAAAGf7/xk=")</f>
        <v>#REF!</v>
      </c>
      <c r="AA172" t="e">
        <f>AND('GA55 Entry'!#REF!,"AAAAAGf7/xo=")</f>
        <v>#REF!</v>
      </c>
      <c r="AB172" t="e">
        <f>AND('GA55 Entry'!#REF!,"AAAAAGf7/xs=")</f>
        <v>#REF!</v>
      </c>
      <c r="AC172" t="e">
        <f>AND('GA55 Entry'!#REF!,"AAAAAGf7/xw=")</f>
        <v>#REF!</v>
      </c>
      <c r="AD172" t="e">
        <f>AND('GA55 Entry'!#REF!,"AAAAAGf7/x0=")</f>
        <v>#REF!</v>
      </c>
      <c r="AE172" t="e">
        <f>AND('GA55 Entry'!D630,"AAAAAGf7/x4=")</f>
        <v>#VALUE!</v>
      </c>
      <c r="AF172" t="e">
        <f>AND('GA55 Entry'!#REF!,"AAAAAGf7/x8=")</f>
        <v>#REF!</v>
      </c>
      <c r="AG172" t="e">
        <f>AND('GA55 Entry'!E630,"AAAAAGf7/yA=")</f>
        <v>#VALUE!</v>
      </c>
      <c r="AH172" t="e">
        <f>AND('GA55 Entry'!F630,"AAAAAGf7/yE=")</f>
        <v>#VALUE!</v>
      </c>
      <c r="AI172" t="e">
        <f>AND('GA55 Entry'!G630,"AAAAAGf7/yI=")</f>
        <v>#VALUE!</v>
      </c>
      <c r="AJ172" t="e">
        <f>AND('GA55 Entry'!H630,"AAAAAGf7/yM=")</f>
        <v>#VALUE!</v>
      </c>
      <c r="AK172" t="e">
        <f>AND('GA55 Entry'!I630,"AAAAAGf7/yQ=")</f>
        <v>#VALUE!</v>
      </c>
      <c r="AL172" t="e">
        <f>AND('GA55 Entry'!J630,"AAAAAGf7/yU=")</f>
        <v>#VALUE!</v>
      </c>
      <c r="AM172" t="e">
        <f>AND('GA55 Entry'!#REF!,"AAAAAGf7/yY=")</f>
        <v>#REF!</v>
      </c>
      <c r="AN172" t="e">
        <f>AND('GA55 Entry'!K630,"AAAAAGf7/yc=")</f>
        <v>#VALUE!</v>
      </c>
      <c r="AO172" t="e">
        <f>AND('GA55 Entry'!L630,"AAAAAGf7/yg=")</f>
        <v>#VALUE!</v>
      </c>
      <c r="AP172" t="e">
        <f>AND('GA55 Entry'!M630,"AAAAAGf7/yk=")</f>
        <v>#VALUE!</v>
      </c>
      <c r="AQ172" t="e">
        <f>AND('GA55 Entry'!N630,"AAAAAGf7/yo=")</f>
        <v>#VALUE!</v>
      </c>
      <c r="AR172" t="e">
        <f>AND('GA55 Entry'!O630,"AAAAAGf7/ys=")</f>
        <v>#VALUE!</v>
      </c>
      <c r="AS172" t="e">
        <f>AND('GA55 Entry'!P630,"AAAAAGf7/yw=")</f>
        <v>#VALUE!</v>
      </c>
      <c r="AT172" t="e">
        <f>AND('GA55 Entry'!Q630,"AAAAAGf7/y0=")</f>
        <v>#VALUE!</v>
      </c>
      <c r="AU172" t="e">
        <f>AND('GA55 Entry'!S630,"AAAAAGf7/y4=")</f>
        <v>#VALUE!</v>
      </c>
      <c r="AV172" t="e">
        <f>AND('GA55 Entry'!#REF!,"AAAAAGf7/y8=")</f>
        <v>#REF!</v>
      </c>
      <c r="AW172" t="e">
        <f>AND('GA55 Entry'!T630,"AAAAAGf7/zA=")</f>
        <v>#VALUE!</v>
      </c>
      <c r="AX172" t="e">
        <f>AND('GA55 Entry'!U630,"AAAAAGf7/zE=")</f>
        <v>#VALUE!</v>
      </c>
      <c r="AY172" t="e">
        <f>AND('GA55 Entry'!V630,"AAAAAGf7/zI=")</f>
        <v>#VALUE!</v>
      </c>
      <c r="AZ172" t="e">
        <f>AND('GA55 Entry'!#REF!,"AAAAAGf7/zM=")</f>
        <v>#REF!</v>
      </c>
      <c r="BA172" t="e">
        <f>AND('GA55 Entry'!#REF!,"AAAAAGf7/zQ=")</f>
        <v>#REF!</v>
      </c>
      <c r="BB172" t="e">
        <f>AND('GA55 Entry'!X630,"AAAAAGf7/zU=")</f>
        <v>#VALUE!</v>
      </c>
      <c r="BC172" t="e">
        <f>AND('GA55 Entry'!Y630,"AAAAAGf7/zY=")</f>
        <v>#VALUE!</v>
      </c>
      <c r="BD172" t="e">
        <f>AND('GA55 Entry'!#REF!,"AAAAAGf7/zc=")</f>
        <v>#REF!</v>
      </c>
      <c r="BE172" t="e">
        <f>AND('GA55 Entry'!#REF!,"AAAAAGf7/zg=")</f>
        <v>#REF!</v>
      </c>
      <c r="BF172" t="e">
        <f>AND('GA55 Entry'!#REF!,"AAAAAGf7/zk=")</f>
        <v>#REF!</v>
      </c>
      <c r="BG172" t="e">
        <f>AND('GA55 Entry'!#REF!,"AAAAAGf7/zo=")</f>
        <v>#REF!</v>
      </c>
      <c r="BH172" t="e">
        <f>AND('GA55 Entry'!#REF!,"AAAAAGf7/zs=")</f>
        <v>#REF!</v>
      </c>
      <c r="BI172" t="e">
        <f>AND('GA55 Entry'!#REF!,"AAAAAGf7/zw=")</f>
        <v>#REF!</v>
      </c>
      <c r="BJ172" t="e">
        <f>AND('GA55 Entry'!#REF!,"AAAAAGf7/z0=")</f>
        <v>#REF!</v>
      </c>
      <c r="BK172" t="e">
        <f>AND('GA55 Entry'!#REF!,"AAAAAGf7/z4=")</f>
        <v>#REF!</v>
      </c>
      <c r="BL172" t="e">
        <f>AND('GA55 Entry'!#REF!,"AAAAAGf7/z8=")</f>
        <v>#REF!</v>
      </c>
      <c r="BM172" t="e">
        <f>AND('GA55 Entry'!Z630,"AAAAAGf7/0A=")</f>
        <v>#VALUE!</v>
      </c>
      <c r="BN172" t="e">
        <f>AND('GA55 Entry'!AA630,"AAAAAGf7/0E=")</f>
        <v>#VALUE!</v>
      </c>
      <c r="BO172" t="e">
        <f>AND('GA55 Entry'!#REF!,"AAAAAGf7/0I=")</f>
        <v>#REF!</v>
      </c>
      <c r="BP172" t="e">
        <f>AND('GA55 Entry'!#REF!,"AAAAAGf7/0M=")</f>
        <v>#REF!</v>
      </c>
      <c r="BQ172" t="e">
        <f>AND('GA55 Entry'!#REF!,"AAAAAGf7/0Q=")</f>
        <v>#REF!</v>
      </c>
      <c r="BR172" t="e">
        <f>AND('GA55 Entry'!AB630,"AAAAAGf7/0U=")</f>
        <v>#VALUE!</v>
      </c>
      <c r="BS172" t="e">
        <f>AND('GA55 Entry'!AC630,"AAAAAGf7/0Y=")</f>
        <v>#VALUE!</v>
      </c>
      <c r="BT172" t="e">
        <f>AND('GA55 Entry'!#REF!,"AAAAAGf7/0c=")</f>
        <v>#REF!</v>
      </c>
      <c r="BU172">
        <f>IF('GA55 Entry'!631:631,"AAAAAGf7/0g=",0)</f>
        <v>0</v>
      </c>
      <c r="BV172" t="e">
        <f>AND('GA55 Entry'!B631,"AAAAAGf7/0k=")</f>
        <v>#VALUE!</v>
      </c>
      <c r="BW172" t="e">
        <f>AND('GA55 Entry'!#REF!,"AAAAAGf7/0o=")</f>
        <v>#REF!</v>
      </c>
      <c r="BX172" t="e">
        <f>AND('GA55 Entry'!C631,"AAAAAGf7/0s=")</f>
        <v>#VALUE!</v>
      </c>
      <c r="BY172" t="e">
        <f>AND('GA55 Entry'!#REF!,"AAAAAGf7/0w=")</f>
        <v>#REF!</v>
      </c>
      <c r="BZ172" t="e">
        <f>AND('GA55 Entry'!#REF!,"AAAAAGf7/00=")</f>
        <v>#REF!</v>
      </c>
      <c r="CA172" t="e">
        <f>AND('GA55 Entry'!#REF!,"AAAAAGf7/04=")</f>
        <v>#REF!</v>
      </c>
      <c r="CB172" t="e">
        <f>AND('GA55 Entry'!#REF!,"AAAAAGf7/08=")</f>
        <v>#REF!</v>
      </c>
      <c r="CC172" t="e">
        <f>AND('GA55 Entry'!#REF!,"AAAAAGf7/1A=")</f>
        <v>#REF!</v>
      </c>
      <c r="CD172" t="e">
        <f>AND('GA55 Entry'!D631,"AAAAAGf7/1E=")</f>
        <v>#VALUE!</v>
      </c>
      <c r="CE172" t="e">
        <f>AND('GA55 Entry'!#REF!,"AAAAAGf7/1I=")</f>
        <v>#REF!</v>
      </c>
      <c r="CF172" t="e">
        <f>AND('GA55 Entry'!E631,"AAAAAGf7/1M=")</f>
        <v>#VALUE!</v>
      </c>
      <c r="CG172" t="e">
        <f>AND('GA55 Entry'!F631,"AAAAAGf7/1Q=")</f>
        <v>#VALUE!</v>
      </c>
      <c r="CH172" t="e">
        <f>AND('GA55 Entry'!G631,"AAAAAGf7/1U=")</f>
        <v>#VALUE!</v>
      </c>
      <c r="CI172" t="e">
        <f>AND('GA55 Entry'!H631,"AAAAAGf7/1Y=")</f>
        <v>#VALUE!</v>
      </c>
      <c r="CJ172" t="e">
        <f>AND('GA55 Entry'!I631,"AAAAAGf7/1c=")</f>
        <v>#VALUE!</v>
      </c>
      <c r="CK172" t="e">
        <f>AND('GA55 Entry'!J631,"AAAAAGf7/1g=")</f>
        <v>#VALUE!</v>
      </c>
      <c r="CL172" t="e">
        <f>AND('GA55 Entry'!#REF!,"AAAAAGf7/1k=")</f>
        <v>#REF!</v>
      </c>
      <c r="CM172" t="e">
        <f>AND('GA55 Entry'!K631,"AAAAAGf7/1o=")</f>
        <v>#VALUE!</v>
      </c>
      <c r="CN172" t="e">
        <f>AND('GA55 Entry'!L631,"AAAAAGf7/1s=")</f>
        <v>#VALUE!</v>
      </c>
      <c r="CO172" t="e">
        <f>AND('GA55 Entry'!M631,"AAAAAGf7/1w=")</f>
        <v>#VALUE!</v>
      </c>
      <c r="CP172" t="e">
        <f>AND('GA55 Entry'!N631,"AAAAAGf7/10=")</f>
        <v>#VALUE!</v>
      </c>
      <c r="CQ172" t="e">
        <f>AND('GA55 Entry'!O631,"AAAAAGf7/14=")</f>
        <v>#VALUE!</v>
      </c>
      <c r="CR172" t="e">
        <f>AND('GA55 Entry'!P631,"AAAAAGf7/18=")</f>
        <v>#VALUE!</v>
      </c>
      <c r="CS172" t="e">
        <f>AND('GA55 Entry'!Q631,"AAAAAGf7/2A=")</f>
        <v>#VALUE!</v>
      </c>
      <c r="CT172" t="e">
        <f>AND('GA55 Entry'!S631,"AAAAAGf7/2E=")</f>
        <v>#VALUE!</v>
      </c>
      <c r="CU172" t="e">
        <f>AND('GA55 Entry'!#REF!,"AAAAAGf7/2I=")</f>
        <v>#REF!</v>
      </c>
      <c r="CV172" t="e">
        <f>AND('GA55 Entry'!T631,"AAAAAGf7/2M=")</f>
        <v>#VALUE!</v>
      </c>
      <c r="CW172" t="e">
        <f>AND('GA55 Entry'!U631,"AAAAAGf7/2Q=")</f>
        <v>#VALUE!</v>
      </c>
      <c r="CX172" t="e">
        <f>AND('GA55 Entry'!V631,"AAAAAGf7/2U=")</f>
        <v>#VALUE!</v>
      </c>
      <c r="CY172" t="e">
        <f>AND('GA55 Entry'!#REF!,"AAAAAGf7/2Y=")</f>
        <v>#REF!</v>
      </c>
      <c r="CZ172" t="e">
        <f>AND('GA55 Entry'!#REF!,"AAAAAGf7/2c=")</f>
        <v>#REF!</v>
      </c>
      <c r="DA172" t="e">
        <f>AND('GA55 Entry'!X631,"AAAAAGf7/2g=")</f>
        <v>#VALUE!</v>
      </c>
      <c r="DB172" t="e">
        <f>AND('GA55 Entry'!Y631,"AAAAAGf7/2k=")</f>
        <v>#VALUE!</v>
      </c>
      <c r="DC172" t="e">
        <f>AND('GA55 Entry'!#REF!,"AAAAAGf7/2o=")</f>
        <v>#REF!</v>
      </c>
      <c r="DD172" t="e">
        <f>AND('GA55 Entry'!#REF!,"AAAAAGf7/2s=")</f>
        <v>#REF!</v>
      </c>
      <c r="DE172" t="e">
        <f>AND('GA55 Entry'!#REF!,"AAAAAGf7/2w=")</f>
        <v>#REF!</v>
      </c>
      <c r="DF172" t="e">
        <f>AND('GA55 Entry'!#REF!,"AAAAAGf7/20=")</f>
        <v>#REF!</v>
      </c>
      <c r="DG172" t="e">
        <f>AND('GA55 Entry'!#REF!,"AAAAAGf7/24=")</f>
        <v>#REF!</v>
      </c>
      <c r="DH172" t="e">
        <f>AND('GA55 Entry'!#REF!,"AAAAAGf7/28=")</f>
        <v>#REF!</v>
      </c>
      <c r="DI172" t="e">
        <f>AND('GA55 Entry'!#REF!,"AAAAAGf7/3A=")</f>
        <v>#REF!</v>
      </c>
      <c r="DJ172" t="e">
        <f>AND('GA55 Entry'!#REF!,"AAAAAGf7/3E=")</f>
        <v>#REF!</v>
      </c>
      <c r="DK172" t="e">
        <f>AND('GA55 Entry'!#REF!,"AAAAAGf7/3I=")</f>
        <v>#REF!</v>
      </c>
      <c r="DL172" t="e">
        <f>AND('GA55 Entry'!Z631,"AAAAAGf7/3M=")</f>
        <v>#VALUE!</v>
      </c>
      <c r="DM172" t="e">
        <f>AND('GA55 Entry'!AA631,"AAAAAGf7/3Q=")</f>
        <v>#VALUE!</v>
      </c>
      <c r="DN172" t="e">
        <f>AND('GA55 Entry'!#REF!,"AAAAAGf7/3U=")</f>
        <v>#REF!</v>
      </c>
      <c r="DO172" t="e">
        <f>AND('GA55 Entry'!#REF!,"AAAAAGf7/3Y=")</f>
        <v>#REF!</v>
      </c>
      <c r="DP172" t="e">
        <f>AND('GA55 Entry'!#REF!,"AAAAAGf7/3c=")</f>
        <v>#REF!</v>
      </c>
      <c r="DQ172" t="e">
        <f>AND('GA55 Entry'!AB631,"AAAAAGf7/3g=")</f>
        <v>#VALUE!</v>
      </c>
      <c r="DR172" t="e">
        <f>AND('GA55 Entry'!AC631,"AAAAAGf7/3k=")</f>
        <v>#VALUE!</v>
      </c>
      <c r="DS172" t="e">
        <f>AND('GA55 Entry'!#REF!,"AAAAAGf7/3o=")</f>
        <v>#REF!</v>
      </c>
      <c r="DT172">
        <f>IF('GA55 Entry'!632:632,"AAAAAGf7/3s=",0)</f>
        <v>0</v>
      </c>
      <c r="DU172" t="e">
        <f>AND('GA55 Entry'!B632,"AAAAAGf7/3w=")</f>
        <v>#VALUE!</v>
      </c>
      <c r="DV172" t="e">
        <f>AND('GA55 Entry'!#REF!,"AAAAAGf7/30=")</f>
        <v>#REF!</v>
      </c>
      <c r="DW172" t="e">
        <f>AND('GA55 Entry'!C632,"AAAAAGf7/34=")</f>
        <v>#VALUE!</v>
      </c>
      <c r="DX172" t="e">
        <f>AND('GA55 Entry'!#REF!,"AAAAAGf7/38=")</f>
        <v>#REF!</v>
      </c>
      <c r="DY172" t="e">
        <f>AND('GA55 Entry'!#REF!,"AAAAAGf7/4A=")</f>
        <v>#REF!</v>
      </c>
      <c r="DZ172" t="e">
        <f>AND('GA55 Entry'!#REF!,"AAAAAGf7/4E=")</f>
        <v>#REF!</v>
      </c>
      <c r="EA172" t="e">
        <f>AND('GA55 Entry'!#REF!,"AAAAAGf7/4I=")</f>
        <v>#REF!</v>
      </c>
      <c r="EB172" t="e">
        <f>AND('GA55 Entry'!#REF!,"AAAAAGf7/4M=")</f>
        <v>#REF!</v>
      </c>
      <c r="EC172" t="e">
        <f>AND('GA55 Entry'!D632,"AAAAAGf7/4Q=")</f>
        <v>#VALUE!</v>
      </c>
      <c r="ED172" t="e">
        <f>AND('GA55 Entry'!#REF!,"AAAAAGf7/4U=")</f>
        <v>#REF!</v>
      </c>
      <c r="EE172" t="e">
        <f>AND('GA55 Entry'!E632,"AAAAAGf7/4Y=")</f>
        <v>#VALUE!</v>
      </c>
      <c r="EF172" t="e">
        <f>AND('GA55 Entry'!F632,"AAAAAGf7/4c=")</f>
        <v>#VALUE!</v>
      </c>
      <c r="EG172" t="e">
        <f>AND('GA55 Entry'!G632,"AAAAAGf7/4g=")</f>
        <v>#VALUE!</v>
      </c>
      <c r="EH172" t="e">
        <f>AND('GA55 Entry'!H632,"AAAAAGf7/4k=")</f>
        <v>#VALUE!</v>
      </c>
      <c r="EI172" t="e">
        <f>AND('GA55 Entry'!I632,"AAAAAGf7/4o=")</f>
        <v>#VALUE!</v>
      </c>
      <c r="EJ172" t="e">
        <f>AND('GA55 Entry'!J632,"AAAAAGf7/4s=")</f>
        <v>#VALUE!</v>
      </c>
      <c r="EK172" t="e">
        <f>AND('GA55 Entry'!#REF!,"AAAAAGf7/4w=")</f>
        <v>#REF!</v>
      </c>
      <c r="EL172" t="e">
        <f>AND('GA55 Entry'!K632,"AAAAAGf7/40=")</f>
        <v>#VALUE!</v>
      </c>
      <c r="EM172" t="e">
        <f>AND('GA55 Entry'!L632,"AAAAAGf7/44=")</f>
        <v>#VALUE!</v>
      </c>
      <c r="EN172" t="e">
        <f>AND('GA55 Entry'!M632,"AAAAAGf7/48=")</f>
        <v>#VALUE!</v>
      </c>
      <c r="EO172" t="e">
        <f>AND('GA55 Entry'!N632,"AAAAAGf7/5A=")</f>
        <v>#VALUE!</v>
      </c>
      <c r="EP172" t="e">
        <f>AND('GA55 Entry'!O632,"AAAAAGf7/5E=")</f>
        <v>#VALUE!</v>
      </c>
      <c r="EQ172" t="e">
        <f>AND('GA55 Entry'!P632,"AAAAAGf7/5I=")</f>
        <v>#VALUE!</v>
      </c>
      <c r="ER172" t="e">
        <f>AND('GA55 Entry'!Q632,"AAAAAGf7/5M=")</f>
        <v>#VALUE!</v>
      </c>
      <c r="ES172" t="e">
        <f>AND('GA55 Entry'!S632,"AAAAAGf7/5Q=")</f>
        <v>#VALUE!</v>
      </c>
      <c r="ET172" t="e">
        <f>AND('GA55 Entry'!#REF!,"AAAAAGf7/5U=")</f>
        <v>#REF!</v>
      </c>
      <c r="EU172" t="e">
        <f>AND('GA55 Entry'!T632,"AAAAAGf7/5Y=")</f>
        <v>#VALUE!</v>
      </c>
      <c r="EV172" t="e">
        <f>AND('GA55 Entry'!U632,"AAAAAGf7/5c=")</f>
        <v>#VALUE!</v>
      </c>
      <c r="EW172" t="e">
        <f>AND('GA55 Entry'!V632,"AAAAAGf7/5g=")</f>
        <v>#VALUE!</v>
      </c>
      <c r="EX172" t="e">
        <f>AND('GA55 Entry'!#REF!,"AAAAAGf7/5k=")</f>
        <v>#REF!</v>
      </c>
      <c r="EY172" t="e">
        <f>AND('GA55 Entry'!#REF!,"AAAAAGf7/5o=")</f>
        <v>#REF!</v>
      </c>
      <c r="EZ172" t="e">
        <f>AND('GA55 Entry'!X632,"AAAAAGf7/5s=")</f>
        <v>#VALUE!</v>
      </c>
      <c r="FA172" t="e">
        <f>AND('GA55 Entry'!Y632,"AAAAAGf7/5w=")</f>
        <v>#VALUE!</v>
      </c>
      <c r="FB172" t="e">
        <f>AND('GA55 Entry'!#REF!,"AAAAAGf7/50=")</f>
        <v>#REF!</v>
      </c>
      <c r="FC172" t="e">
        <f>AND('GA55 Entry'!#REF!,"AAAAAGf7/54=")</f>
        <v>#REF!</v>
      </c>
      <c r="FD172" t="e">
        <f>AND('GA55 Entry'!#REF!,"AAAAAGf7/58=")</f>
        <v>#REF!</v>
      </c>
      <c r="FE172" t="e">
        <f>AND('GA55 Entry'!#REF!,"AAAAAGf7/6A=")</f>
        <v>#REF!</v>
      </c>
      <c r="FF172" t="e">
        <f>AND('GA55 Entry'!#REF!,"AAAAAGf7/6E=")</f>
        <v>#REF!</v>
      </c>
      <c r="FG172" t="e">
        <f>AND('GA55 Entry'!#REF!,"AAAAAGf7/6I=")</f>
        <v>#REF!</v>
      </c>
      <c r="FH172" t="e">
        <f>AND('GA55 Entry'!#REF!,"AAAAAGf7/6M=")</f>
        <v>#REF!</v>
      </c>
      <c r="FI172" t="e">
        <f>AND('GA55 Entry'!#REF!,"AAAAAGf7/6Q=")</f>
        <v>#REF!</v>
      </c>
      <c r="FJ172" t="e">
        <f>AND('GA55 Entry'!#REF!,"AAAAAGf7/6U=")</f>
        <v>#REF!</v>
      </c>
      <c r="FK172" t="e">
        <f>AND('GA55 Entry'!Z632,"AAAAAGf7/6Y=")</f>
        <v>#VALUE!</v>
      </c>
      <c r="FL172" t="e">
        <f>AND('GA55 Entry'!AA632,"AAAAAGf7/6c=")</f>
        <v>#VALUE!</v>
      </c>
      <c r="FM172" t="e">
        <f>AND('GA55 Entry'!#REF!,"AAAAAGf7/6g=")</f>
        <v>#REF!</v>
      </c>
      <c r="FN172" t="e">
        <f>AND('GA55 Entry'!#REF!,"AAAAAGf7/6k=")</f>
        <v>#REF!</v>
      </c>
      <c r="FO172" t="e">
        <f>AND('GA55 Entry'!#REF!,"AAAAAGf7/6o=")</f>
        <v>#REF!</v>
      </c>
      <c r="FP172" t="e">
        <f>AND('GA55 Entry'!AB632,"AAAAAGf7/6s=")</f>
        <v>#VALUE!</v>
      </c>
      <c r="FQ172" t="e">
        <f>AND('GA55 Entry'!AC632,"AAAAAGf7/6w=")</f>
        <v>#VALUE!</v>
      </c>
      <c r="FR172" t="e">
        <f>AND('GA55 Entry'!#REF!,"AAAAAGf7/60=")</f>
        <v>#REF!</v>
      </c>
      <c r="FS172">
        <f>IF('GA55 Entry'!633:633,"AAAAAGf7/64=",0)</f>
        <v>0</v>
      </c>
      <c r="FT172" t="e">
        <f>AND('GA55 Entry'!B633,"AAAAAGf7/68=")</f>
        <v>#VALUE!</v>
      </c>
      <c r="FU172" t="e">
        <f>AND('GA55 Entry'!#REF!,"AAAAAGf7/7A=")</f>
        <v>#REF!</v>
      </c>
      <c r="FV172" t="e">
        <f>AND('GA55 Entry'!C633,"AAAAAGf7/7E=")</f>
        <v>#VALUE!</v>
      </c>
      <c r="FW172" t="e">
        <f>AND('GA55 Entry'!#REF!,"AAAAAGf7/7I=")</f>
        <v>#REF!</v>
      </c>
      <c r="FX172" t="e">
        <f>AND('GA55 Entry'!#REF!,"AAAAAGf7/7M=")</f>
        <v>#REF!</v>
      </c>
      <c r="FY172" t="e">
        <f>AND('GA55 Entry'!#REF!,"AAAAAGf7/7Q=")</f>
        <v>#REF!</v>
      </c>
      <c r="FZ172" t="e">
        <f>AND('GA55 Entry'!#REF!,"AAAAAGf7/7U=")</f>
        <v>#REF!</v>
      </c>
      <c r="GA172" t="e">
        <f>AND('GA55 Entry'!#REF!,"AAAAAGf7/7Y=")</f>
        <v>#REF!</v>
      </c>
      <c r="GB172" t="e">
        <f>AND('GA55 Entry'!D633,"AAAAAGf7/7c=")</f>
        <v>#VALUE!</v>
      </c>
      <c r="GC172" t="e">
        <f>AND('GA55 Entry'!#REF!,"AAAAAGf7/7g=")</f>
        <v>#REF!</v>
      </c>
      <c r="GD172" t="e">
        <f>AND('GA55 Entry'!E633,"AAAAAGf7/7k=")</f>
        <v>#VALUE!</v>
      </c>
      <c r="GE172" t="e">
        <f>AND('GA55 Entry'!F633,"AAAAAGf7/7o=")</f>
        <v>#VALUE!</v>
      </c>
      <c r="GF172" t="e">
        <f>AND('GA55 Entry'!G633,"AAAAAGf7/7s=")</f>
        <v>#VALUE!</v>
      </c>
      <c r="GG172" t="e">
        <f>AND('GA55 Entry'!H633,"AAAAAGf7/7w=")</f>
        <v>#VALUE!</v>
      </c>
      <c r="GH172" t="e">
        <f>AND('GA55 Entry'!I633,"AAAAAGf7/70=")</f>
        <v>#VALUE!</v>
      </c>
      <c r="GI172" t="e">
        <f>AND('GA55 Entry'!J633,"AAAAAGf7/74=")</f>
        <v>#VALUE!</v>
      </c>
      <c r="GJ172" t="e">
        <f>AND('GA55 Entry'!#REF!,"AAAAAGf7/78=")</f>
        <v>#REF!</v>
      </c>
      <c r="GK172" t="e">
        <f>AND('GA55 Entry'!K633,"AAAAAGf7/8A=")</f>
        <v>#VALUE!</v>
      </c>
      <c r="GL172" t="e">
        <f>AND('GA55 Entry'!L633,"AAAAAGf7/8E=")</f>
        <v>#VALUE!</v>
      </c>
      <c r="GM172" t="e">
        <f>AND('GA55 Entry'!M633,"AAAAAGf7/8I=")</f>
        <v>#VALUE!</v>
      </c>
      <c r="GN172" t="e">
        <f>AND('GA55 Entry'!N633,"AAAAAGf7/8M=")</f>
        <v>#VALUE!</v>
      </c>
      <c r="GO172" t="e">
        <f>AND('GA55 Entry'!O633,"AAAAAGf7/8Q=")</f>
        <v>#VALUE!</v>
      </c>
      <c r="GP172" t="e">
        <f>AND('GA55 Entry'!P633,"AAAAAGf7/8U=")</f>
        <v>#VALUE!</v>
      </c>
      <c r="GQ172" t="e">
        <f>AND('GA55 Entry'!Q633,"AAAAAGf7/8Y=")</f>
        <v>#VALUE!</v>
      </c>
      <c r="GR172" t="e">
        <f>AND('GA55 Entry'!S633,"AAAAAGf7/8c=")</f>
        <v>#VALUE!</v>
      </c>
      <c r="GS172" t="e">
        <f>AND('GA55 Entry'!#REF!,"AAAAAGf7/8g=")</f>
        <v>#REF!</v>
      </c>
      <c r="GT172" t="e">
        <f>AND('GA55 Entry'!T633,"AAAAAGf7/8k=")</f>
        <v>#VALUE!</v>
      </c>
      <c r="GU172" t="e">
        <f>AND('GA55 Entry'!U633,"AAAAAGf7/8o=")</f>
        <v>#VALUE!</v>
      </c>
      <c r="GV172" t="e">
        <f>AND('GA55 Entry'!V633,"AAAAAGf7/8s=")</f>
        <v>#VALUE!</v>
      </c>
      <c r="GW172" t="e">
        <f>AND('GA55 Entry'!#REF!,"AAAAAGf7/8w=")</f>
        <v>#REF!</v>
      </c>
      <c r="GX172" t="e">
        <f>AND('GA55 Entry'!#REF!,"AAAAAGf7/80=")</f>
        <v>#REF!</v>
      </c>
      <c r="GY172" t="e">
        <f>AND('GA55 Entry'!X633,"AAAAAGf7/84=")</f>
        <v>#VALUE!</v>
      </c>
      <c r="GZ172" t="e">
        <f>AND('GA55 Entry'!Y633,"AAAAAGf7/88=")</f>
        <v>#VALUE!</v>
      </c>
      <c r="HA172" t="e">
        <f>AND('GA55 Entry'!#REF!,"AAAAAGf7/9A=")</f>
        <v>#REF!</v>
      </c>
      <c r="HB172" t="e">
        <f>AND('GA55 Entry'!#REF!,"AAAAAGf7/9E=")</f>
        <v>#REF!</v>
      </c>
      <c r="HC172" t="e">
        <f>AND('GA55 Entry'!#REF!,"AAAAAGf7/9I=")</f>
        <v>#REF!</v>
      </c>
      <c r="HD172" t="e">
        <f>AND('GA55 Entry'!#REF!,"AAAAAGf7/9M=")</f>
        <v>#REF!</v>
      </c>
      <c r="HE172" t="e">
        <f>AND('GA55 Entry'!#REF!,"AAAAAGf7/9Q=")</f>
        <v>#REF!</v>
      </c>
      <c r="HF172" t="e">
        <f>AND('GA55 Entry'!#REF!,"AAAAAGf7/9U=")</f>
        <v>#REF!</v>
      </c>
      <c r="HG172" t="e">
        <f>AND('GA55 Entry'!#REF!,"AAAAAGf7/9Y=")</f>
        <v>#REF!</v>
      </c>
      <c r="HH172" t="e">
        <f>AND('GA55 Entry'!#REF!,"AAAAAGf7/9c=")</f>
        <v>#REF!</v>
      </c>
      <c r="HI172" t="e">
        <f>AND('GA55 Entry'!#REF!,"AAAAAGf7/9g=")</f>
        <v>#REF!</v>
      </c>
      <c r="HJ172" t="e">
        <f>AND('GA55 Entry'!Z633,"AAAAAGf7/9k=")</f>
        <v>#VALUE!</v>
      </c>
      <c r="HK172" t="e">
        <f>AND('GA55 Entry'!AA633,"AAAAAGf7/9o=")</f>
        <v>#VALUE!</v>
      </c>
      <c r="HL172" t="e">
        <f>AND('GA55 Entry'!#REF!,"AAAAAGf7/9s=")</f>
        <v>#REF!</v>
      </c>
      <c r="HM172" t="e">
        <f>AND('GA55 Entry'!#REF!,"AAAAAGf7/9w=")</f>
        <v>#REF!</v>
      </c>
      <c r="HN172" t="e">
        <f>AND('GA55 Entry'!#REF!,"AAAAAGf7/90=")</f>
        <v>#REF!</v>
      </c>
      <c r="HO172" t="e">
        <f>AND('GA55 Entry'!AB633,"AAAAAGf7/94=")</f>
        <v>#VALUE!</v>
      </c>
      <c r="HP172" t="e">
        <f>AND('GA55 Entry'!AC633,"AAAAAGf7/98=")</f>
        <v>#VALUE!</v>
      </c>
      <c r="HQ172" t="e">
        <f>AND('GA55 Entry'!#REF!,"AAAAAGf7/+A=")</f>
        <v>#REF!</v>
      </c>
      <c r="HR172">
        <f>IF('GA55 Entry'!634:634,"AAAAAGf7/+E=",0)</f>
        <v>0</v>
      </c>
      <c r="HS172" t="e">
        <f>AND('GA55 Entry'!B634,"AAAAAGf7/+I=")</f>
        <v>#VALUE!</v>
      </c>
      <c r="HT172" t="e">
        <f>AND('GA55 Entry'!#REF!,"AAAAAGf7/+M=")</f>
        <v>#REF!</v>
      </c>
      <c r="HU172" t="e">
        <f>AND('GA55 Entry'!C634,"AAAAAGf7/+Q=")</f>
        <v>#VALUE!</v>
      </c>
      <c r="HV172" t="e">
        <f>AND('GA55 Entry'!#REF!,"AAAAAGf7/+U=")</f>
        <v>#REF!</v>
      </c>
      <c r="HW172" t="e">
        <f>AND('GA55 Entry'!#REF!,"AAAAAGf7/+Y=")</f>
        <v>#REF!</v>
      </c>
      <c r="HX172" t="e">
        <f>AND('GA55 Entry'!#REF!,"AAAAAGf7/+c=")</f>
        <v>#REF!</v>
      </c>
      <c r="HY172" t="e">
        <f>AND('GA55 Entry'!#REF!,"AAAAAGf7/+g=")</f>
        <v>#REF!</v>
      </c>
      <c r="HZ172" t="e">
        <f>AND('GA55 Entry'!#REF!,"AAAAAGf7/+k=")</f>
        <v>#REF!</v>
      </c>
      <c r="IA172" t="e">
        <f>AND('GA55 Entry'!D634,"AAAAAGf7/+o=")</f>
        <v>#VALUE!</v>
      </c>
      <c r="IB172" t="e">
        <f>AND('GA55 Entry'!#REF!,"AAAAAGf7/+s=")</f>
        <v>#REF!</v>
      </c>
      <c r="IC172" t="e">
        <f>AND('GA55 Entry'!E634,"AAAAAGf7/+w=")</f>
        <v>#VALUE!</v>
      </c>
      <c r="ID172" t="e">
        <f>AND('GA55 Entry'!F634,"AAAAAGf7/+0=")</f>
        <v>#VALUE!</v>
      </c>
      <c r="IE172" t="e">
        <f>AND('GA55 Entry'!G634,"AAAAAGf7/+4=")</f>
        <v>#VALUE!</v>
      </c>
      <c r="IF172" t="e">
        <f>AND('GA55 Entry'!H634,"AAAAAGf7/+8=")</f>
        <v>#VALUE!</v>
      </c>
      <c r="IG172" t="e">
        <f>AND('GA55 Entry'!I634,"AAAAAGf7//A=")</f>
        <v>#VALUE!</v>
      </c>
      <c r="IH172" t="e">
        <f>AND('GA55 Entry'!J634,"AAAAAGf7//E=")</f>
        <v>#VALUE!</v>
      </c>
      <c r="II172" t="e">
        <f>AND('GA55 Entry'!#REF!,"AAAAAGf7//I=")</f>
        <v>#REF!</v>
      </c>
      <c r="IJ172" t="e">
        <f>AND('GA55 Entry'!K634,"AAAAAGf7//M=")</f>
        <v>#VALUE!</v>
      </c>
      <c r="IK172" t="e">
        <f>AND('GA55 Entry'!L634,"AAAAAGf7//Q=")</f>
        <v>#VALUE!</v>
      </c>
      <c r="IL172" t="e">
        <f>AND('GA55 Entry'!M634,"AAAAAGf7//U=")</f>
        <v>#VALUE!</v>
      </c>
      <c r="IM172" t="e">
        <f>AND('GA55 Entry'!N634,"AAAAAGf7//Y=")</f>
        <v>#VALUE!</v>
      </c>
      <c r="IN172" t="e">
        <f>AND('GA55 Entry'!O634,"AAAAAGf7//c=")</f>
        <v>#VALUE!</v>
      </c>
      <c r="IO172" t="e">
        <f>AND('GA55 Entry'!P634,"AAAAAGf7//g=")</f>
        <v>#VALUE!</v>
      </c>
      <c r="IP172" t="e">
        <f>AND('GA55 Entry'!Q634,"AAAAAGf7//k=")</f>
        <v>#VALUE!</v>
      </c>
      <c r="IQ172" t="e">
        <f>AND('GA55 Entry'!S634,"AAAAAGf7//o=")</f>
        <v>#VALUE!</v>
      </c>
      <c r="IR172" t="e">
        <f>AND('GA55 Entry'!#REF!,"AAAAAGf7//s=")</f>
        <v>#REF!</v>
      </c>
      <c r="IS172" t="e">
        <f>AND('GA55 Entry'!T634,"AAAAAGf7//w=")</f>
        <v>#VALUE!</v>
      </c>
      <c r="IT172" t="e">
        <f>AND('GA55 Entry'!U634,"AAAAAGf7//0=")</f>
        <v>#VALUE!</v>
      </c>
      <c r="IU172" t="e">
        <f>AND('GA55 Entry'!V634,"AAAAAGf7//4=")</f>
        <v>#VALUE!</v>
      </c>
      <c r="IV172" t="e">
        <f>AND('GA55 Entry'!#REF!,"AAAAAGf7//8=")</f>
        <v>#REF!</v>
      </c>
    </row>
    <row r="173" spans="1:256">
      <c r="A173" t="e">
        <f>AND('GA55 Entry'!#REF!,"AAAAAH9fOwA=")</f>
        <v>#REF!</v>
      </c>
      <c r="B173" t="e">
        <f>AND('GA55 Entry'!X634,"AAAAAH9fOwE=")</f>
        <v>#VALUE!</v>
      </c>
      <c r="C173" t="e">
        <f>AND('GA55 Entry'!Y634,"AAAAAH9fOwI=")</f>
        <v>#VALUE!</v>
      </c>
      <c r="D173" t="e">
        <f>AND('GA55 Entry'!#REF!,"AAAAAH9fOwM=")</f>
        <v>#REF!</v>
      </c>
      <c r="E173" t="e">
        <f>AND('GA55 Entry'!#REF!,"AAAAAH9fOwQ=")</f>
        <v>#REF!</v>
      </c>
      <c r="F173" t="e">
        <f>AND('GA55 Entry'!#REF!,"AAAAAH9fOwU=")</f>
        <v>#REF!</v>
      </c>
      <c r="G173" t="e">
        <f>AND('GA55 Entry'!#REF!,"AAAAAH9fOwY=")</f>
        <v>#REF!</v>
      </c>
      <c r="H173" t="e">
        <f>AND('GA55 Entry'!#REF!,"AAAAAH9fOwc=")</f>
        <v>#REF!</v>
      </c>
      <c r="I173" t="e">
        <f>AND('GA55 Entry'!#REF!,"AAAAAH9fOwg=")</f>
        <v>#REF!</v>
      </c>
      <c r="J173" t="e">
        <f>AND('GA55 Entry'!#REF!,"AAAAAH9fOwk=")</f>
        <v>#REF!</v>
      </c>
      <c r="K173" t="e">
        <f>AND('GA55 Entry'!#REF!,"AAAAAH9fOwo=")</f>
        <v>#REF!</v>
      </c>
      <c r="L173" t="e">
        <f>AND('GA55 Entry'!#REF!,"AAAAAH9fOws=")</f>
        <v>#REF!</v>
      </c>
      <c r="M173" t="e">
        <f>AND('GA55 Entry'!Z634,"AAAAAH9fOww=")</f>
        <v>#VALUE!</v>
      </c>
      <c r="N173" t="e">
        <f>AND('GA55 Entry'!AA634,"AAAAAH9fOw0=")</f>
        <v>#VALUE!</v>
      </c>
      <c r="O173" t="e">
        <f>AND('GA55 Entry'!#REF!,"AAAAAH9fOw4=")</f>
        <v>#REF!</v>
      </c>
      <c r="P173" t="e">
        <f>AND('GA55 Entry'!#REF!,"AAAAAH9fOw8=")</f>
        <v>#REF!</v>
      </c>
      <c r="Q173" t="e">
        <f>AND('GA55 Entry'!#REF!,"AAAAAH9fOxA=")</f>
        <v>#REF!</v>
      </c>
      <c r="R173" t="e">
        <f>AND('GA55 Entry'!AB634,"AAAAAH9fOxE=")</f>
        <v>#VALUE!</v>
      </c>
      <c r="S173" t="e">
        <f>AND('GA55 Entry'!AC634,"AAAAAH9fOxI=")</f>
        <v>#VALUE!</v>
      </c>
      <c r="T173" t="e">
        <f>AND('GA55 Entry'!#REF!,"AAAAAH9fOxM=")</f>
        <v>#REF!</v>
      </c>
      <c r="U173">
        <f>IF('GA55 Entry'!635:635,"AAAAAH9fOxQ=",0)</f>
        <v>0</v>
      </c>
      <c r="V173" t="e">
        <f>AND('GA55 Entry'!B635,"AAAAAH9fOxU=")</f>
        <v>#VALUE!</v>
      </c>
      <c r="W173" t="e">
        <f>AND('GA55 Entry'!#REF!,"AAAAAH9fOxY=")</f>
        <v>#REF!</v>
      </c>
      <c r="X173" t="e">
        <f>AND('GA55 Entry'!C635,"AAAAAH9fOxc=")</f>
        <v>#VALUE!</v>
      </c>
      <c r="Y173" t="e">
        <f>AND('GA55 Entry'!#REF!,"AAAAAH9fOxg=")</f>
        <v>#REF!</v>
      </c>
      <c r="Z173" t="e">
        <f>AND('GA55 Entry'!#REF!,"AAAAAH9fOxk=")</f>
        <v>#REF!</v>
      </c>
      <c r="AA173" t="e">
        <f>AND('GA55 Entry'!#REF!,"AAAAAH9fOxo=")</f>
        <v>#REF!</v>
      </c>
      <c r="AB173" t="e">
        <f>AND('GA55 Entry'!#REF!,"AAAAAH9fOxs=")</f>
        <v>#REF!</v>
      </c>
      <c r="AC173" t="e">
        <f>AND('GA55 Entry'!#REF!,"AAAAAH9fOxw=")</f>
        <v>#REF!</v>
      </c>
      <c r="AD173" t="e">
        <f>AND('GA55 Entry'!D635,"AAAAAH9fOx0=")</f>
        <v>#VALUE!</v>
      </c>
      <c r="AE173" t="e">
        <f>AND('GA55 Entry'!#REF!,"AAAAAH9fOx4=")</f>
        <v>#REF!</v>
      </c>
      <c r="AF173" t="e">
        <f>AND('GA55 Entry'!E635,"AAAAAH9fOx8=")</f>
        <v>#VALUE!</v>
      </c>
      <c r="AG173" t="e">
        <f>AND('GA55 Entry'!F635,"AAAAAH9fOyA=")</f>
        <v>#VALUE!</v>
      </c>
      <c r="AH173" t="e">
        <f>AND('GA55 Entry'!G635,"AAAAAH9fOyE=")</f>
        <v>#VALUE!</v>
      </c>
      <c r="AI173" t="e">
        <f>AND('GA55 Entry'!H635,"AAAAAH9fOyI=")</f>
        <v>#VALUE!</v>
      </c>
      <c r="AJ173" t="e">
        <f>AND('GA55 Entry'!I635,"AAAAAH9fOyM=")</f>
        <v>#VALUE!</v>
      </c>
      <c r="AK173" t="e">
        <f>AND('GA55 Entry'!J635,"AAAAAH9fOyQ=")</f>
        <v>#VALUE!</v>
      </c>
      <c r="AL173" t="e">
        <f>AND('GA55 Entry'!#REF!,"AAAAAH9fOyU=")</f>
        <v>#REF!</v>
      </c>
      <c r="AM173" t="e">
        <f>AND('GA55 Entry'!K635,"AAAAAH9fOyY=")</f>
        <v>#VALUE!</v>
      </c>
      <c r="AN173" t="e">
        <f>AND('GA55 Entry'!L635,"AAAAAH9fOyc=")</f>
        <v>#VALUE!</v>
      </c>
      <c r="AO173" t="e">
        <f>AND('GA55 Entry'!M635,"AAAAAH9fOyg=")</f>
        <v>#VALUE!</v>
      </c>
      <c r="AP173" t="e">
        <f>AND('GA55 Entry'!N635,"AAAAAH9fOyk=")</f>
        <v>#VALUE!</v>
      </c>
      <c r="AQ173" t="e">
        <f>AND('GA55 Entry'!O635,"AAAAAH9fOyo=")</f>
        <v>#VALUE!</v>
      </c>
      <c r="AR173" t="e">
        <f>AND('GA55 Entry'!P635,"AAAAAH9fOys=")</f>
        <v>#VALUE!</v>
      </c>
      <c r="AS173" t="e">
        <f>AND('GA55 Entry'!Q635,"AAAAAH9fOyw=")</f>
        <v>#VALUE!</v>
      </c>
      <c r="AT173" t="e">
        <f>AND('GA55 Entry'!S635,"AAAAAH9fOy0=")</f>
        <v>#VALUE!</v>
      </c>
      <c r="AU173" t="e">
        <f>AND('GA55 Entry'!#REF!,"AAAAAH9fOy4=")</f>
        <v>#REF!</v>
      </c>
      <c r="AV173" t="e">
        <f>AND('GA55 Entry'!T635,"AAAAAH9fOy8=")</f>
        <v>#VALUE!</v>
      </c>
      <c r="AW173" t="e">
        <f>AND('GA55 Entry'!U635,"AAAAAH9fOzA=")</f>
        <v>#VALUE!</v>
      </c>
      <c r="AX173" t="e">
        <f>AND('GA55 Entry'!V635,"AAAAAH9fOzE=")</f>
        <v>#VALUE!</v>
      </c>
      <c r="AY173" t="e">
        <f>AND('GA55 Entry'!#REF!,"AAAAAH9fOzI=")</f>
        <v>#REF!</v>
      </c>
      <c r="AZ173" t="e">
        <f>AND('GA55 Entry'!#REF!,"AAAAAH9fOzM=")</f>
        <v>#REF!</v>
      </c>
      <c r="BA173" t="e">
        <f>AND('GA55 Entry'!X635,"AAAAAH9fOzQ=")</f>
        <v>#VALUE!</v>
      </c>
      <c r="BB173" t="e">
        <f>AND('GA55 Entry'!Y635,"AAAAAH9fOzU=")</f>
        <v>#VALUE!</v>
      </c>
      <c r="BC173" t="e">
        <f>AND('GA55 Entry'!#REF!,"AAAAAH9fOzY=")</f>
        <v>#REF!</v>
      </c>
      <c r="BD173" t="e">
        <f>AND('GA55 Entry'!#REF!,"AAAAAH9fOzc=")</f>
        <v>#REF!</v>
      </c>
      <c r="BE173" t="e">
        <f>AND('GA55 Entry'!#REF!,"AAAAAH9fOzg=")</f>
        <v>#REF!</v>
      </c>
      <c r="BF173" t="e">
        <f>AND('GA55 Entry'!#REF!,"AAAAAH9fOzk=")</f>
        <v>#REF!</v>
      </c>
      <c r="BG173" t="e">
        <f>AND('GA55 Entry'!#REF!,"AAAAAH9fOzo=")</f>
        <v>#REF!</v>
      </c>
      <c r="BH173" t="e">
        <f>AND('GA55 Entry'!#REF!,"AAAAAH9fOzs=")</f>
        <v>#REF!</v>
      </c>
      <c r="BI173" t="e">
        <f>AND('GA55 Entry'!#REF!,"AAAAAH9fOzw=")</f>
        <v>#REF!</v>
      </c>
      <c r="BJ173" t="e">
        <f>AND('GA55 Entry'!#REF!,"AAAAAH9fOz0=")</f>
        <v>#REF!</v>
      </c>
      <c r="BK173" t="e">
        <f>AND('GA55 Entry'!#REF!,"AAAAAH9fOz4=")</f>
        <v>#REF!</v>
      </c>
      <c r="BL173" t="e">
        <f>AND('GA55 Entry'!Z635,"AAAAAH9fOz8=")</f>
        <v>#VALUE!</v>
      </c>
      <c r="BM173" t="e">
        <f>AND('GA55 Entry'!AA635,"AAAAAH9fO0A=")</f>
        <v>#VALUE!</v>
      </c>
      <c r="BN173" t="e">
        <f>AND('GA55 Entry'!#REF!,"AAAAAH9fO0E=")</f>
        <v>#REF!</v>
      </c>
      <c r="BO173" t="e">
        <f>AND('GA55 Entry'!#REF!,"AAAAAH9fO0I=")</f>
        <v>#REF!</v>
      </c>
      <c r="BP173" t="e">
        <f>AND('GA55 Entry'!#REF!,"AAAAAH9fO0M=")</f>
        <v>#REF!</v>
      </c>
      <c r="BQ173" t="e">
        <f>AND('GA55 Entry'!AB635,"AAAAAH9fO0Q=")</f>
        <v>#VALUE!</v>
      </c>
      <c r="BR173" t="e">
        <f>AND('GA55 Entry'!AC635,"AAAAAH9fO0U=")</f>
        <v>#VALUE!</v>
      </c>
      <c r="BS173" t="e">
        <f>AND('GA55 Entry'!#REF!,"AAAAAH9fO0Y=")</f>
        <v>#REF!</v>
      </c>
      <c r="BT173">
        <f>IF('GA55 Entry'!636:636,"AAAAAH9fO0c=",0)</f>
        <v>0</v>
      </c>
      <c r="BU173" t="e">
        <f>AND('GA55 Entry'!B636,"AAAAAH9fO0g=")</f>
        <v>#VALUE!</v>
      </c>
      <c r="BV173" t="e">
        <f>AND('GA55 Entry'!#REF!,"AAAAAH9fO0k=")</f>
        <v>#REF!</v>
      </c>
      <c r="BW173" t="e">
        <f>AND('GA55 Entry'!C636,"AAAAAH9fO0o=")</f>
        <v>#VALUE!</v>
      </c>
      <c r="BX173" t="e">
        <f>AND('GA55 Entry'!#REF!,"AAAAAH9fO0s=")</f>
        <v>#REF!</v>
      </c>
      <c r="BY173" t="e">
        <f>AND('GA55 Entry'!#REF!,"AAAAAH9fO0w=")</f>
        <v>#REF!</v>
      </c>
      <c r="BZ173" t="e">
        <f>AND('GA55 Entry'!#REF!,"AAAAAH9fO00=")</f>
        <v>#REF!</v>
      </c>
      <c r="CA173" t="e">
        <f>AND('GA55 Entry'!#REF!,"AAAAAH9fO04=")</f>
        <v>#REF!</v>
      </c>
      <c r="CB173" t="e">
        <f>AND('GA55 Entry'!#REF!,"AAAAAH9fO08=")</f>
        <v>#REF!</v>
      </c>
      <c r="CC173" t="e">
        <f>AND('GA55 Entry'!D636,"AAAAAH9fO1A=")</f>
        <v>#VALUE!</v>
      </c>
      <c r="CD173" t="e">
        <f>AND('GA55 Entry'!#REF!,"AAAAAH9fO1E=")</f>
        <v>#REF!</v>
      </c>
      <c r="CE173" t="e">
        <f>AND('GA55 Entry'!E636,"AAAAAH9fO1I=")</f>
        <v>#VALUE!</v>
      </c>
      <c r="CF173" t="e">
        <f>AND('GA55 Entry'!F636,"AAAAAH9fO1M=")</f>
        <v>#VALUE!</v>
      </c>
      <c r="CG173" t="e">
        <f>AND('GA55 Entry'!G636,"AAAAAH9fO1Q=")</f>
        <v>#VALUE!</v>
      </c>
      <c r="CH173" t="e">
        <f>AND('GA55 Entry'!H636,"AAAAAH9fO1U=")</f>
        <v>#VALUE!</v>
      </c>
      <c r="CI173" t="e">
        <f>AND('GA55 Entry'!I636,"AAAAAH9fO1Y=")</f>
        <v>#VALUE!</v>
      </c>
      <c r="CJ173" t="e">
        <f>AND('GA55 Entry'!J636,"AAAAAH9fO1c=")</f>
        <v>#VALUE!</v>
      </c>
      <c r="CK173" t="e">
        <f>AND('GA55 Entry'!#REF!,"AAAAAH9fO1g=")</f>
        <v>#REF!</v>
      </c>
      <c r="CL173" t="e">
        <f>AND('GA55 Entry'!K636,"AAAAAH9fO1k=")</f>
        <v>#VALUE!</v>
      </c>
      <c r="CM173" t="e">
        <f>AND('GA55 Entry'!L636,"AAAAAH9fO1o=")</f>
        <v>#VALUE!</v>
      </c>
      <c r="CN173" t="e">
        <f>AND('GA55 Entry'!M636,"AAAAAH9fO1s=")</f>
        <v>#VALUE!</v>
      </c>
      <c r="CO173" t="e">
        <f>AND('GA55 Entry'!N636,"AAAAAH9fO1w=")</f>
        <v>#VALUE!</v>
      </c>
      <c r="CP173" t="e">
        <f>AND('GA55 Entry'!O636,"AAAAAH9fO10=")</f>
        <v>#VALUE!</v>
      </c>
      <c r="CQ173" t="e">
        <f>AND('GA55 Entry'!P636,"AAAAAH9fO14=")</f>
        <v>#VALUE!</v>
      </c>
      <c r="CR173" t="e">
        <f>AND('GA55 Entry'!Q636,"AAAAAH9fO18=")</f>
        <v>#VALUE!</v>
      </c>
      <c r="CS173" t="e">
        <f>AND('GA55 Entry'!S636,"AAAAAH9fO2A=")</f>
        <v>#VALUE!</v>
      </c>
      <c r="CT173" t="e">
        <f>AND('GA55 Entry'!#REF!,"AAAAAH9fO2E=")</f>
        <v>#REF!</v>
      </c>
      <c r="CU173" t="e">
        <f>AND('GA55 Entry'!T636,"AAAAAH9fO2I=")</f>
        <v>#VALUE!</v>
      </c>
      <c r="CV173" t="e">
        <f>AND('GA55 Entry'!U636,"AAAAAH9fO2M=")</f>
        <v>#VALUE!</v>
      </c>
      <c r="CW173" t="e">
        <f>AND('GA55 Entry'!V636,"AAAAAH9fO2Q=")</f>
        <v>#VALUE!</v>
      </c>
      <c r="CX173" t="e">
        <f>AND('GA55 Entry'!#REF!,"AAAAAH9fO2U=")</f>
        <v>#REF!</v>
      </c>
      <c r="CY173" t="e">
        <f>AND('GA55 Entry'!#REF!,"AAAAAH9fO2Y=")</f>
        <v>#REF!</v>
      </c>
      <c r="CZ173" t="e">
        <f>AND('GA55 Entry'!X636,"AAAAAH9fO2c=")</f>
        <v>#VALUE!</v>
      </c>
      <c r="DA173" t="e">
        <f>AND('GA55 Entry'!Y636,"AAAAAH9fO2g=")</f>
        <v>#VALUE!</v>
      </c>
      <c r="DB173" t="e">
        <f>AND('GA55 Entry'!#REF!,"AAAAAH9fO2k=")</f>
        <v>#REF!</v>
      </c>
      <c r="DC173" t="e">
        <f>AND('GA55 Entry'!#REF!,"AAAAAH9fO2o=")</f>
        <v>#REF!</v>
      </c>
      <c r="DD173" t="e">
        <f>AND('GA55 Entry'!#REF!,"AAAAAH9fO2s=")</f>
        <v>#REF!</v>
      </c>
      <c r="DE173" t="e">
        <f>AND('GA55 Entry'!#REF!,"AAAAAH9fO2w=")</f>
        <v>#REF!</v>
      </c>
      <c r="DF173" t="e">
        <f>AND('GA55 Entry'!#REF!,"AAAAAH9fO20=")</f>
        <v>#REF!</v>
      </c>
      <c r="DG173" t="e">
        <f>AND('GA55 Entry'!#REF!,"AAAAAH9fO24=")</f>
        <v>#REF!</v>
      </c>
      <c r="DH173" t="e">
        <f>AND('GA55 Entry'!#REF!,"AAAAAH9fO28=")</f>
        <v>#REF!</v>
      </c>
      <c r="DI173" t="e">
        <f>AND('GA55 Entry'!#REF!,"AAAAAH9fO3A=")</f>
        <v>#REF!</v>
      </c>
      <c r="DJ173" t="e">
        <f>AND('GA55 Entry'!#REF!,"AAAAAH9fO3E=")</f>
        <v>#REF!</v>
      </c>
      <c r="DK173" t="e">
        <f>AND('GA55 Entry'!Z636,"AAAAAH9fO3I=")</f>
        <v>#VALUE!</v>
      </c>
      <c r="DL173" t="e">
        <f>AND('GA55 Entry'!AA636,"AAAAAH9fO3M=")</f>
        <v>#VALUE!</v>
      </c>
      <c r="DM173" t="e">
        <f>AND('GA55 Entry'!#REF!,"AAAAAH9fO3Q=")</f>
        <v>#REF!</v>
      </c>
      <c r="DN173" t="e">
        <f>AND('GA55 Entry'!#REF!,"AAAAAH9fO3U=")</f>
        <v>#REF!</v>
      </c>
      <c r="DO173" t="e">
        <f>AND('GA55 Entry'!#REF!,"AAAAAH9fO3Y=")</f>
        <v>#REF!</v>
      </c>
      <c r="DP173" t="e">
        <f>AND('GA55 Entry'!AB636,"AAAAAH9fO3c=")</f>
        <v>#VALUE!</v>
      </c>
      <c r="DQ173" t="e">
        <f>AND('GA55 Entry'!AC636,"AAAAAH9fO3g=")</f>
        <v>#VALUE!</v>
      </c>
      <c r="DR173" t="e">
        <f>AND('GA55 Entry'!#REF!,"AAAAAH9fO3k=")</f>
        <v>#REF!</v>
      </c>
      <c r="DS173">
        <f>IF('GA55 Entry'!637:637,"AAAAAH9fO3o=",0)</f>
        <v>0</v>
      </c>
      <c r="DT173" t="e">
        <f>AND('GA55 Entry'!B637,"AAAAAH9fO3s=")</f>
        <v>#VALUE!</v>
      </c>
      <c r="DU173" t="e">
        <f>AND('GA55 Entry'!#REF!,"AAAAAH9fO3w=")</f>
        <v>#REF!</v>
      </c>
      <c r="DV173" t="e">
        <f>AND('GA55 Entry'!C637,"AAAAAH9fO30=")</f>
        <v>#VALUE!</v>
      </c>
      <c r="DW173" t="e">
        <f>AND('GA55 Entry'!#REF!,"AAAAAH9fO34=")</f>
        <v>#REF!</v>
      </c>
      <c r="DX173" t="e">
        <f>AND('GA55 Entry'!#REF!,"AAAAAH9fO38=")</f>
        <v>#REF!</v>
      </c>
      <c r="DY173" t="e">
        <f>AND('GA55 Entry'!#REF!,"AAAAAH9fO4A=")</f>
        <v>#REF!</v>
      </c>
      <c r="DZ173" t="e">
        <f>AND('GA55 Entry'!#REF!,"AAAAAH9fO4E=")</f>
        <v>#REF!</v>
      </c>
      <c r="EA173" t="e">
        <f>AND('GA55 Entry'!#REF!,"AAAAAH9fO4I=")</f>
        <v>#REF!</v>
      </c>
      <c r="EB173" t="e">
        <f>AND('GA55 Entry'!D637,"AAAAAH9fO4M=")</f>
        <v>#VALUE!</v>
      </c>
      <c r="EC173" t="e">
        <f>AND('GA55 Entry'!#REF!,"AAAAAH9fO4Q=")</f>
        <v>#REF!</v>
      </c>
      <c r="ED173" t="e">
        <f>AND('GA55 Entry'!E637,"AAAAAH9fO4U=")</f>
        <v>#VALUE!</v>
      </c>
      <c r="EE173" t="e">
        <f>AND('GA55 Entry'!F637,"AAAAAH9fO4Y=")</f>
        <v>#VALUE!</v>
      </c>
      <c r="EF173" t="e">
        <f>AND('GA55 Entry'!G637,"AAAAAH9fO4c=")</f>
        <v>#VALUE!</v>
      </c>
      <c r="EG173" t="e">
        <f>AND('GA55 Entry'!H637,"AAAAAH9fO4g=")</f>
        <v>#VALUE!</v>
      </c>
      <c r="EH173" t="e">
        <f>AND('GA55 Entry'!I637,"AAAAAH9fO4k=")</f>
        <v>#VALUE!</v>
      </c>
      <c r="EI173" t="e">
        <f>AND('GA55 Entry'!J637,"AAAAAH9fO4o=")</f>
        <v>#VALUE!</v>
      </c>
      <c r="EJ173" t="e">
        <f>AND('GA55 Entry'!#REF!,"AAAAAH9fO4s=")</f>
        <v>#REF!</v>
      </c>
      <c r="EK173" t="e">
        <f>AND('GA55 Entry'!K637,"AAAAAH9fO4w=")</f>
        <v>#VALUE!</v>
      </c>
      <c r="EL173" t="e">
        <f>AND('GA55 Entry'!L637,"AAAAAH9fO40=")</f>
        <v>#VALUE!</v>
      </c>
      <c r="EM173" t="e">
        <f>AND('GA55 Entry'!M637,"AAAAAH9fO44=")</f>
        <v>#VALUE!</v>
      </c>
      <c r="EN173" t="e">
        <f>AND('GA55 Entry'!N637,"AAAAAH9fO48=")</f>
        <v>#VALUE!</v>
      </c>
      <c r="EO173" t="e">
        <f>AND('GA55 Entry'!O637,"AAAAAH9fO5A=")</f>
        <v>#VALUE!</v>
      </c>
      <c r="EP173" t="e">
        <f>AND('GA55 Entry'!P637,"AAAAAH9fO5E=")</f>
        <v>#VALUE!</v>
      </c>
      <c r="EQ173" t="e">
        <f>AND('GA55 Entry'!Q637,"AAAAAH9fO5I=")</f>
        <v>#VALUE!</v>
      </c>
      <c r="ER173" t="e">
        <f>AND('GA55 Entry'!S637,"AAAAAH9fO5M=")</f>
        <v>#VALUE!</v>
      </c>
      <c r="ES173" t="e">
        <f>AND('GA55 Entry'!#REF!,"AAAAAH9fO5Q=")</f>
        <v>#REF!</v>
      </c>
      <c r="ET173" t="e">
        <f>AND('GA55 Entry'!T637,"AAAAAH9fO5U=")</f>
        <v>#VALUE!</v>
      </c>
      <c r="EU173" t="e">
        <f>AND('GA55 Entry'!U637,"AAAAAH9fO5Y=")</f>
        <v>#VALUE!</v>
      </c>
      <c r="EV173" t="e">
        <f>AND('GA55 Entry'!V637,"AAAAAH9fO5c=")</f>
        <v>#VALUE!</v>
      </c>
      <c r="EW173" t="e">
        <f>AND('GA55 Entry'!#REF!,"AAAAAH9fO5g=")</f>
        <v>#REF!</v>
      </c>
      <c r="EX173" t="e">
        <f>AND('GA55 Entry'!#REF!,"AAAAAH9fO5k=")</f>
        <v>#REF!</v>
      </c>
      <c r="EY173" t="e">
        <f>AND('GA55 Entry'!X637,"AAAAAH9fO5o=")</f>
        <v>#VALUE!</v>
      </c>
      <c r="EZ173" t="e">
        <f>AND('GA55 Entry'!Y637,"AAAAAH9fO5s=")</f>
        <v>#VALUE!</v>
      </c>
      <c r="FA173" t="e">
        <f>AND('GA55 Entry'!#REF!,"AAAAAH9fO5w=")</f>
        <v>#REF!</v>
      </c>
      <c r="FB173" t="e">
        <f>AND('GA55 Entry'!#REF!,"AAAAAH9fO50=")</f>
        <v>#REF!</v>
      </c>
      <c r="FC173" t="e">
        <f>AND('GA55 Entry'!#REF!,"AAAAAH9fO54=")</f>
        <v>#REF!</v>
      </c>
      <c r="FD173" t="e">
        <f>AND('GA55 Entry'!#REF!,"AAAAAH9fO58=")</f>
        <v>#REF!</v>
      </c>
      <c r="FE173" t="e">
        <f>AND('GA55 Entry'!#REF!,"AAAAAH9fO6A=")</f>
        <v>#REF!</v>
      </c>
      <c r="FF173" t="e">
        <f>AND('GA55 Entry'!#REF!,"AAAAAH9fO6E=")</f>
        <v>#REF!</v>
      </c>
      <c r="FG173" t="e">
        <f>AND('GA55 Entry'!#REF!,"AAAAAH9fO6I=")</f>
        <v>#REF!</v>
      </c>
      <c r="FH173" t="e">
        <f>AND('GA55 Entry'!#REF!,"AAAAAH9fO6M=")</f>
        <v>#REF!</v>
      </c>
      <c r="FI173" t="e">
        <f>AND('GA55 Entry'!#REF!,"AAAAAH9fO6Q=")</f>
        <v>#REF!</v>
      </c>
      <c r="FJ173" t="e">
        <f>AND('GA55 Entry'!Z637,"AAAAAH9fO6U=")</f>
        <v>#VALUE!</v>
      </c>
      <c r="FK173" t="e">
        <f>AND('GA55 Entry'!AA637,"AAAAAH9fO6Y=")</f>
        <v>#VALUE!</v>
      </c>
      <c r="FL173" t="e">
        <f>AND('GA55 Entry'!#REF!,"AAAAAH9fO6c=")</f>
        <v>#REF!</v>
      </c>
      <c r="FM173" t="e">
        <f>AND('GA55 Entry'!#REF!,"AAAAAH9fO6g=")</f>
        <v>#REF!</v>
      </c>
      <c r="FN173" t="e">
        <f>AND('GA55 Entry'!#REF!,"AAAAAH9fO6k=")</f>
        <v>#REF!</v>
      </c>
      <c r="FO173" t="e">
        <f>AND('GA55 Entry'!AB637,"AAAAAH9fO6o=")</f>
        <v>#VALUE!</v>
      </c>
      <c r="FP173" t="e">
        <f>AND('GA55 Entry'!AC637,"AAAAAH9fO6s=")</f>
        <v>#VALUE!</v>
      </c>
      <c r="FQ173" t="e">
        <f>AND('GA55 Entry'!#REF!,"AAAAAH9fO6w=")</f>
        <v>#REF!</v>
      </c>
      <c r="FR173">
        <f>IF('GA55 Entry'!638:638,"AAAAAH9fO60=",0)</f>
        <v>0</v>
      </c>
      <c r="FS173" t="e">
        <f>AND('GA55 Entry'!B638,"AAAAAH9fO64=")</f>
        <v>#VALUE!</v>
      </c>
      <c r="FT173" t="e">
        <f>AND('GA55 Entry'!#REF!,"AAAAAH9fO68=")</f>
        <v>#REF!</v>
      </c>
      <c r="FU173" t="e">
        <f>AND('GA55 Entry'!C638,"AAAAAH9fO7A=")</f>
        <v>#VALUE!</v>
      </c>
      <c r="FV173" t="e">
        <f>AND('GA55 Entry'!#REF!,"AAAAAH9fO7E=")</f>
        <v>#REF!</v>
      </c>
      <c r="FW173" t="e">
        <f>AND('GA55 Entry'!#REF!,"AAAAAH9fO7I=")</f>
        <v>#REF!</v>
      </c>
      <c r="FX173" t="e">
        <f>AND('GA55 Entry'!#REF!,"AAAAAH9fO7M=")</f>
        <v>#REF!</v>
      </c>
      <c r="FY173" t="e">
        <f>AND('GA55 Entry'!#REF!,"AAAAAH9fO7Q=")</f>
        <v>#REF!</v>
      </c>
      <c r="FZ173" t="e">
        <f>AND('GA55 Entry'!#REF!,"AAAAAH9fO7U=")</f>
        <v>#REF!</v>
      </c>
      <c r="GA173" t="e">
        <f>AND('GA55 Entry'!D638,"AAAAAH9fO7Y=")</f>
        <v>#VALUE!</v>
      </c>
      <c r="GB173" t="e">
        <f>AND('GA55 Entry'!#REF!,"AAAAAH9fO7c=")</f>
        <v>#REF!</v>
      </c>
      <c r="GC173" t="e">
        <f>AND('GA55 Entry'!E638,"AAAAAH9fO7g=")</f>
        <v>#VALUE!</v>
      </c>
      <c r="GD173" t="e">
        <f>AND('GA55 Entry'!F638,"AAAAAH9fO7k=")</f>
        <v>#VALUE!</v>
      </c>
      <c r="GE173" t="e">
        <f>AND('GA55 Entry'!G638,"AAAAAH9fO7o=")</f>
        <v>#VALUE!</v>
      </c>
      <c r="GF173" t="e">
        <f>AND('GA55 Entry'!H638,"AAAAAH9fO7s=")</f>
        <v>#VALUE!</v>
      </c>
      <c r="GG173" t="e">
        <f>AND('GA55 Entry'!I638,"AAAAAH9fO7w=")</f>
        <v>#VALUE!</v>
      </c>
      <c r="GH173" t="e">
        <f>AND('GA55 Entry'!J638,"AAAAAH9fO70=")</f>
        <v>#VALUE!</v>
      </c>
      <c r="GI173" t="e">
        <f>AND('GA55 Entry'!#REF!,"AAAAAH9fO74=")</f>
        <v>#REF!</v>
      </c>
      <c r="GJ173" t="e">
        <f>AND('GA55 Entry'!K638,"AAAAAH9fO78=")</f>
        <v>#VALUE!</v>
      </c>
      <c r="GK173" t="e">
        <f>AND('GA55 Entry'!L638,"AAAAAH9fO8A=")</f>
        <v>#VALUE!</v>
      </c>
      <c r="GL173" t="e">
        <f>AND('GA55 Entry'!M638,"AAAAAH9fO8E=")</f>
        <v>#VALUE!</v>
      </c>
      <c r="GM173" t="e">
        <f>AND('GA55 Entry'!N638,"AAAAAH9fO8I=")</f>
        <v>#VALUE!</v>
      </c>
      <c r="GN173" t="e">
        <f>AND('GA55 Entry'!O638,"AAAAAH9fO8M=")</f>
        <v>#VALUE!</v>
      </c>
      <c r="GO173" t="e">
        <f>AND('GA55 Entry'!P638,"AAAAAH9fO8Q=")</f>
        <v>#VALUE!</v>
      </c>
      <c r="GP173" t="e">
        <f>AND('GA55 Entry'!Q638,"AAAAAH9fO8U=")</f>
        <v>#VALUE!</v>
      </c>
      <c r="GQ173" t="e">
        <f>AND('GA55 Entry'!S638,"AAAAAH9fO8Y=")</f>
        <v>#VALUE!</v>
      </c>
      <c r="GR173" t="e">
        <f>AND('GA55 Entry'!#REF!,"AAAAAH9fO8c=")</f>
        <v>#REF!</v>
      </c>
      <c r="GS173" t="e">
        <f>AND('GA55 Entry'!T638,"AAAAAH9fO8g=")</f>
        <v>#VALUE!</v>
      </c>
      <c r="GT173" t="e">
        <f>AND('GA55 Entry'!U638,"AAAAAH9fO8k=")</f>
        <v>#VALUE!</v>
      </c>
      <c r="GU173" t="e">
        <f>AND('GA55 Entry'!V638,"AAAAAH9fO8o=")</f>
        <v>#VALUE!</v>
      </c>
      <c r="GV173" t="e">
        <f>AND('GA55 Entry'!#REF!,"AAAAAH9fO8s=")</f>
        <v>#REF!</v>
      </c>
      <c r="GW173" t="e">
        <f>AND('GA55 Entry'!#REF!,"AAAAAH9fO8w=")</f>
        <v>#REF!</v>
      </c>
      <c r="GX173" t="e">
        <f>AND('GA55 Entry'!X638,"AAAAAH9fO80=")</f>
        <v>#VALUE!</v>
      </c>
      <c r="GY173" t="e">
        <f>AND('GA55 Entry'!Y638,"AAAAAH9fO84=")</f>
        <v>#VALUE!</v>
      </c>
      <c r="GZ173" t="e">
        <f>AND('GA55 Entry'!#REF!,"AAAAAH9fO88=")</f>
        <v>#REF!</v>
      </c>
      <c r="HA173" t="e">
        <f>AND('GA55 Entry'!#REF!,"AAAAAH9fO9A=")</f>
        <v>#REF!</v>
      </c>
      <c r="HB173" t="e">
        <f>AND('GA55 Entry'!#REF!,"AAAAAH9fO9E=")</f>
        <v>#REF!</v>
      </c>
      <c r="HC173" t="e">
        <f>AND('GA55 Entry'!#REF!,"AAAAAH9fO9I=")</f>
        <v>#REF!</v>
      </c>
      <c r="HD173" t="e">
        <f>AND('GA55 Entry'!#REF!,"AAAAAH9fO9M=")</f>
        <v>#REF!</v>
      </c>
      <c r="HE173" t="e">
        <f>AND('GA55 Entry'!#REF!,"AAAAAH9fO9Q=")</f>
        <v>#REF!</v>
      </c>
      <c r="HF173" t="e">
        <f>AND('GA55 Entry'!#REF!,"AAAAAH9fO9U=")</f>
        <v>#REF!</v>
      </c>
      <c r="HG173" t="e">
        <f>AND('GA55 Entry'!#REF!,"AAAAAH9fO9Y=")</f>
        <v>#REF!</v>
      </c>
      <c r="HH173" t="e">
        <f>AND('GA55 Entry'!#REF!,"AAAAAH9fO9c=")</f>
        <v>#REF!</v>
      </c>
      <c r="HI173" t="e">
        <f>AND('GA55 Entry'!Z638,"AAAAAH9fO9g=")</f>
        <v>#VALUE!</v>
      </c>
      <c r="HJ173" t="e">
        <f>AND('GA55 Entry'!AA638,"AAAAAH9fO9k=")</f>
        <v>#VALUE!</v>
      </c>
      <c r="HK173" t="e">
        <f>AND('GA55 Entry'!#REF!,"AAAAAH9fO9o=")</f>
        <v>#REF!</v>
      </c>
      <c r="HL173" t="e">
        <f>AND('GA55 Entry'!#REF!,"AAAAAH9fO9s=")</f>
        <v>#REF!</v>
      </c>
      <c r="HM173" t="e">
        <f>AND('GA55 Entry'!#REF!,"AAAAAH9fO9w=")</f>
        <v>#REF!</v>
      </c>
      <c r="HN173" t="e">
        <f>AND('GA55 Entry'!AB638,"AAAAAH9fO90=")</f>
        <v>#VALUE!</v>
      </c>
      <c r="HO173" t="e">
        <f>AND('GA55 Entry'!AC638,"AAAAAH9fO94=")</f>
        <v>#VALUE!</v>
      </c>
      <c r="HP173" t="e">
        <f>AND('GA55 Entry'!#REF!,"AAAAAH9fO98=")</f>
        <v>#REF!</v>
      </c>
      <c r="HQ173">
        <f>IF('GA55 Entry'!639:639,"AAAAAH9fO+A=",0)</f>
        <v>0</v>
      </c>
      <c r="HR173" t="e">
        <f>AND('GA55 Entry'!B639,"AAAAAH9fO+E=")</f>
        <v>#VALUE!</v>
      </c>
      <c r="HS173" t="e">
        <f>AND('GA55 Entry'!#REF!,"AAAAAH9fO+I=")</f>
        <v>#REF!</v>
      </c>
      <c r="HT173" t="e">
        <f>AND('GA55 Entry'!C639,"AAAAAH9fO+M=")</f>
        <v>#VALUE!</v>
      </c>
      <c r="HU173" t="e">
        <f>AND('GA55 Entry'!#REF!,"AAAAAH9fO+Q=")</f>
        <v>#REF!</v>
      </c>
      <c r="HV173" t="e">
        <f>AND('GA55 Entry'!#REF!,"AAAAAH9fO+U=")</f>
        <v>#REF!</v>
      </c>
      <c r="HW173" t="e">
        <f>AND('GA55 Entry'!#REF!,"AAAAAH9fO+Y=")</f>
        <v>#REF!</v>
      </c>
      <c r="HX173" t="e">
        <f>AND('GA55 Entry'!#REF!,"AAAAAH9fO+c=")</f>
        <v>#REF!</v>
      </c>
      <c r="HY173" t="e">
        <f>AND('GA55 Entry'!#REF!,"AAAAAH9fO+g=")</f>
        <v>#REF!</v>
      </c>
      <c r="HZ173" t="e">
        <f>AND('GA55 Entry'!D639,"AAAAAH9fO+k=")</f>
        <v>#VALUE!</v>
      </c>
      <c r="IA173" t="e">
        <f>AND('GA55 Entry'!#REF!,"AAAAAH9fO+o=")</f>
        <v>#REF!</v>
      </c>
      <c r="IB173" t="e">
        <f>AND('GA55 Entry'!E639,"AAAAAH9fO+s=")</f>
        <v>#VALUE!</v>
      </c>
      <c r="IC173" t="e">
        <f>AND('GA55 Entry'!F639,"AAAAAH9fO+w=")</f>
        <v>#VALUE!</v>
      </c>
      <c r="ID173" t="e">
        <f>AND('GA55 Entry'!G639,"AAAAAH9fO+0=")</f>
        <v>#VALUE!</v>
      </c>
      <c r="IE173" t="e">
        <f>AND('GA55 Entry'!H639,"AAAAAH9fO+4=")</f>
        <v>#VALUE!</v>
      </c>
      <c r="IF173" t="e">
        <f>AND('GA55 Entry'!I639,"AAAAAH9fO+8=")</f>
        <v>#VALUE!</v>
      </c>
      <c r="IG173" t="e">
        <f>AND('GA55 Entry'!J639,"AAAAAH9fO/A=")</f>
        <v>#VALUE!</v>
      </c>
      <c r="IH173" t="e">
        <f>AND('GA55 Entry'!#REF!,"AAAAAH9fO/E=")</f>
        <v>#REF!</v>
      </c>
      <c r="II173" t="e">
        <f>AND('GA55 Entry'!K639,"AAAAAH9fO/I=")</f>
        <v>#VALUE!</v>
      </c>
      <c r="IJ173" t="e">
        <f>AND('GA55 Entry'!L639,"AAAAAH9fO/M=")</f>
        <v>#VALUE!</v>
      </c>
      <c r="IK173" t="e">
        <f>AND('GA55 Entry'!M639,"AAAAAH9fO/Q=")</f>
        <v>#VALUE!</v>
      </c>
      <c r="IL173" t="e">
        <f>AND('GA55 Entry'!N639,"AAAAAH9fO/U=")</f>
        <v>#VALUE!</v>
      </c>
      <c r="IM173" t="e">
        <f>AND('GA55 Entry'!O639,"AAAAAH9fO/Y=")</f>
        <v>#VALUE!</v>
      </c>
      <c r="IN173" t="e">
        <f>AND('GA55 Entry'!P639,"AAAAAH9fO/c=")</f>
        <v>#VALUE!</v>
      </c>
      <c r="IO173" t="e">
        <f>AND('GA55 Entry'!Q639,"AAAAAH9fO/g=")</f>
        <v>#VALUE!</v>
      </c>
      <c r="IP173" t="e">
        <f>AND('GA55 Entry'!S639,"AAAAAH9fO/k=")</f>
        <v>#VALUE!</v>
      </c>
      <c r="IQ173" t="e">
        <f>AND('GA55 Entry'!#REF!,"AAAAAH9fO/o=")</f>
        <v>#REF!</v>
      </c>
      <c r="IR173" t="e">
        <f>AND('GA55 Entry'!T639,"AAAAAH9fO/s=")</f>
        <v>#VALUE!</v>
      </c>
      <c r="IS173" t="e">
        <f>AND('GA55 Entry'!U639,"AAAAAH9fO/w=")</f>
        <v>#VALUE!</v>
      </c>
      <c r="IT173" t="e">
        <f>AND('GA55 Entry'!V639,"AAAAAH9fO/0=")</f>
        <v>#VALUE!</v>
      </c>
      <c r="IU173" t="e">
        <f>AND('GA55 Entry'!#REF!,"AAAAAH9fO/4=")</f>
        <v>#REF!</v>
      </c>
      <c r="IV173" t="e">
        <f>AND('GA55 Entry'!#REF!,"AAAAAH9fO/8=")</f>
        <v>#REF!</v>
      </c>
    </row>
    <row r="174" spans="1:256">
      <c r="A174" t="e">
        <f>AND('GA55 Entry'!X639,"AAAAAE+1nwA=")</f>
        <v>#VALUE!</v>
      </c>
      <c r="B174" t="e">
        <f>AND('GA55 Entry'!Y639,"AAAAAE+1nwE=")</f>
        <v>#VALUE!</v>
      </c>
      <c r="C174" t="e">
        <f>AND('GA55 Entry'!#REF!,"AAAAAE+1nwI=")</f>
        <v>#REF!</v>
      </c>
      <c r="D174" t="e">
        <f>AND('GA55 Entry'!#REF!,"AAAAAE+1nwM=")</f>
        <v>#REF!</v>
      </c>
      <c r="E174" t="e">
        <f>AND('GA55 Entry'!#REF!,"AAAAAE+1nwQ=")</f>
        <v>#REF!</v>
      </c>
      <c r="F174" t="e">
        <f>AND('GA55 Entry'!#REF!,"AAAAAE+1nwU=")</f>
        <v>#REF!</v>
      </c>
      <c r="G174" t="e">
        <f>AND('GA55 Entry'!#REF!,"AAAAAE+1nwY=")</f>
        <v>#REF!</v>
      </c>
      <c r="H174" t="e">
        <f>AND('GA55 Entry'!#REF!,"AAAAAE+1nwc=")</f>
        <v>#REF!</v>
      </c>
      <c r="I174" t="e">
        <f>AND('GA55 Entry'!#REF!,"AAAAAE+1nwg=")</f>
        <v>#REF!</v>
      </c>
      <c r="J174" t="e">
        <f>AND('GA55 Entry'!#REF!,"AAAAAE+1nwk=")</f>
        <v>#REF!</v>
      </c>
      <c r="K174" t="e">
        <f>AND('GA55 Entry'!#REF!,"AAAAAE+1nwo=")</f>
        <v>#REF!</v>
      </c>
      <c r="L174" t="e">
        <f>AND('GA55 Entry'!Z639,"AAAAAE+1nws=")</f>
        <v>#VALUE!</v>
      </c>
      <c r="M174" t="e">
        <f>AND('GA55 Entry'!AA639,"AAAAAE+1nww=")</f>
        <v>#VALUE!</v>
      </c>
      <c r="N174" t="e">
        <f>AND('GA55 Entry'!#REF!,"AAAAAE+1nw0=")</f>
        <v>#REF!</v>
      </c>
      <c r="O174" t="e">
        <f>AND('GA55 Entry'!#REF!,"AAAAAE+1nw4=")</f>
        <v>#REF!</v>
      </c>
      <c r="P174" t="e">
        <f>AND('GA55 Entry'!#REF!,"AAAAAE+1nw8=")</f>
        <v>#REF!</v>
      </c>
      <c r="Q174" t="e">
        <f>AND('GA55 Entry'!AB639,"AAAAAE+1nxA=")</f>
        <v>#VALUE!</v>
      </c>
      <c r="R174" t="e">
        <f>AND('GA55 Entry'!AC639,"AAAAAE+1nxE=")</f>
        <v>#VALUE!</v>
      </c>
      <c r="S174" t="e">
        <f>AND('GA55 Entry'!#REF!,"AAAAAE+1nxI=")</f>
        <v>#REF!</v>
      </c>
      <c r="T174">
        <f>IF('GA55 Entry'!640:640,"AAAAAE+1nxM=",0)</f>
        <v>0</v>
      </c>
      <c r="U174" t="e">
        <f>AND('GA55 Entry'!B640,"AAAAAE+1nxQ=")</f>
        <v>#VALUE!</v>
      </c>
      <c r="V174" t="e">
        <f>AND('GA55 Entry'!#REF!,"AAAAAE+1nxU=")</f>
        <v>#REF!</v>
      </c>
      <c r="W174" t="e">
        <f>AND('GA55 Entry'!C640,"AAAAAE+1nxY=")</f>
        <v>#VALUE!</v>
      </c>
      <c r="X174" t="e">
        <f>AND('GA55 Entry'!#REF!,"AAAAAE+1nxc=")</f>
        <v>#REF!</v>
      </c>
      <c r="Y174" t="e">
        <f>AND('GA55 Entry'!#REF!,"AAAAAE+1nxg=")</f>
        <v>#REF!</v>
      </c>
      <c r="Z174" t="e">
        <f>AND('GA55 Entry'!#REF!,"AAAAAE+1nxk=")</f>
        <v>#REF!</v>
      </c>
      <c r="AA174" t="e">
        <f>AND('GA55 Entry'!#REF!,"AAAAAE+1nxo=")</f>
        <v>#REF!</v>
      </c>
      <c r="AB174" t="e">
        <f>AND('GA55 Entry'!#REF!,"AAAAAE+1nxs=")</f>
        <v>#REF!</v>
      </c>
      <c r="AC174" t="e">
        <f>AND('GA55 Entry'!D640,"AAAAAE+1nxw=")</f>
        <v>#VALUE!</v>
      </c>
      <c r="AD174" t="e">
        <f>AND('GA55 Entry'!#REF!,"AAAAAE+1nx0=")</f>
        <v>#REF!</v>
      </c>
      <c r="AE174" t="e">
        <f>AND('GA55 Entry'!E640,"AAAAAE+1nx4=")</f>
        <v>#VALUE!</v>
      </c>
      <c r="AF174" t="e">
        <f>AND('GA55 Entry'!F640,"AAAAAE+1nx8=")</f>
        <v>#VALUE!</v>
      </c>
      <c r="AG174" t="e">
        <f>AND('GA55 Entry'!G640,"AAAAAE+1nyA=")</f>
        <v>#VALUE!</v>
      </c>
      <c r="AH174" t="e">
        <f>AND('GA55 Entry'!H640,"AAAAAE+1nyE=")</f>
        <v>#VALUE!</v>
      </c>
      <c r="AI174" t="e">
        <f>AND('GA55 Entry'!I640,"AAAAAE+1nyI=")</f>
        <v>#VALUE!</v>
      </c>
      <c r="AJ174" t="e">
        <f>AND('GA55 Entry'!J640,"AAAAAE+1nyM=")</f>
        <v>#VALUE!</v>
      </c>
      <c r="AK174" t="e">
        <f>AND('GA55 Entry'!#REF!,"AAAAAE+1nyQ=")</f>
        <v>#REF!</v>
      </c>
      <c r="AL174" t="e">
        <f>AND('GA55 Entry'!K640,"AAAAAE+1nyU=")</f>
        <v>#VALUE!</v>
      </c>
      <c r="AM174" t="e">
        <f>AND('GA55 Entry'!L640,"AAAAAE+1nyY=")</f>
        <v>#VALUE!</v>
      </c>
      <c r="AN174" t="e">
        <f>AND('GA55 Entry'!M640,"AAAAAE+1nyc=")</f>
        <v>#VALUE!</v>
      </c>
      <c r="AO174" t="e">
        <f>AND('GA55 Entry'!N640,"AAAAAE+1nyg=")</f>
        <v>#VALUE!</v>
      </c>
      <c r="AP174" t="e">
        <f>AND('GA55 Entry'!O640,"AAAAAE+1nyk=")</f>
        <v>#VALUE!</v>
      </c>
      <c r="AQ174" t="e">
        <f>AND('GA55 Entry'!P640,"AAAAAE+1nyo=")</f>
        <v>#VALUE!</v>
      </c>
      <c r="AR174" t="e">
        <f>AND('GA55 Entry'!Q640,"AAAAAE+1nys=")</f>
        <v>#VALUE!</v>
      </c>
      <c r="AS174" t="e">
        <f>AND('GA55 Entry'!S640,"AAAAAE+1nyw=")</f>
        <v>#VALUE!</v>
      </c>
      <c r="AT174" t="e">
        <f>AND('GA55 Entry'!#REF!,"AAAAAE+1ny0=")</f>
        <v>#REF!</v>
      </c>
      <c r="AU174" t="e">
        <f>AND('GA55 Entry'!T640,"AAAAAE+1ny4=")</f>
        <v>#VALUE!</v>
      </c>
      <c r="AV174" t="e">
        <f>AND('GA55 Entry'!U640,"AAAAAE+1ny8=")</f>
        <v>#VALUE!</v>
      </c>
      <c r="AW174" t="e">
        <f>AND('GA55 Entry'!V640,"AAAAAE+1nzA=")</f>
        <v>#VALUE!</v>
      </c>
      <c r="AX174" t="e">
        <f>AND('GA55 Entry'!#REF!,"AAAAAE+1nzE=")</f>
        <v>#REF!</v>
      </c>
      <c r="AY174" t="e">
        <f>AND('GA55 Entry'!#REF!,"AAAAAE+1nzI=")</f>
        <v>#REF!</v>
      </c>
      <c r="AZ174" t="e">
        <f>AND('GA55 Entry'!X640,"AAAAAE+1nzM=")</f>
        <v>#VALUE!</v>
      </c>
      <c r="BA174" t="e">
        <f>AND('GA55 Entry'!Y640,"AAAAAE+1nzQ=")</f>
        <v>#VALUE!</v>
      </c>
      <c r="BB174" t="e">
        <f>AND('GA55 Entry'!#REF!,"AAAAAE+1nzU=")</f>
        <v>#REF!</v>
      </c>
      <c r="BC174" t="e">
        <f>AND('GA55 Entry'!#REF!,"AAAAAE+1nzY=")</f>
        <v>#REF!</v>
      </c>
      <c r="BD174" t="e">
        <f>AND('GA55 Entry'!#REF!,"AAAAAE+1nzc=")</f>
        <v>#REF!</v>
      </c>
      <c r="BE174" t="e">
        <f>AND('GA55 Entry'!#REF!,"AAAAAE+1nzg=")</f>
        <v>#REF!</v>
      </c>
      <c r="BF174" t="e">
        <f>AND('GA55 Entry'!#REF!,"AAAAAE+1nzk=")</f>
        <v>#REF!</v>
      </c>
      <c r="BG174" t="e">
        <f>AND('GA55 Entry'!#REF!,"AAAAAE+1nzo=")</f>
        <v>#REF!</v>
      </c>
      <c r="BH174" t="e">
        <f>AND('GA55 Entry'!#REF!,"AAAAAE+1nzs=")</f>
        <v>#REF!</v>
      </c>
      <c r="BI174" t="e">
        <f>AND('GA55 Entry'!#REF!,"AAAAAE+1nzw=")</f>
        <v>#REF!</v>
      </c>
      <c r="BJ174" t="e">
        <f>AND('GA55 Entry'!#REF!,"AAAAAE+1nz0=")</f>
        <v>#REF!</v>
      </c>
      <c r="BK174" t="e">
        <f>AND('GA55 Entry'!Z640,"AAAAAE+1nz4=")</f>
        <v>#VALUE!</v>
      </c>
      <c r="BL174" t="e">
        <f>AND('GA55 Entry'!AA640,"AAAAAE+1nz8=")</f>
        <v>#VALUE!</v>
      </c>
      <c r="BM174" t="e">
        <f>AND('GA55 Entry'!#REF!,"AAAAAE+1n0A=")</f>
        <v>#REF!</v>
      </c>
      <c r="BN174" t="e">
        <f>AND('GA55 Entry'!#REF!,"AAAAAE+1n0E=")</f>
        <v>#REF!</v>
      </c>
      <c r="BO174" t="e">
        <f>AND('GA55 Entry'!#REF!,"AAAAAE+1n0I=")</f>
        <v>#REF!</v>
      </c>
      <c r="BP174" t="e">
        <f>AND('GA55 Entry'!AB640,"AAAAAE+1n0M=")</f>
        <v>#VALUE!</v>
      </c>
      <c r="BQ174" t="e">
        <f>AND('GA55 Entry'!AC640,"AAAAAE+1n0Q=")</f>
        <v>#VALUE!</v>
      </c>
      <c r="BR174" t="e">
        <f>AND('GA55 Entry'!#REF!,"AAAAAE+1n0U=")</f>
        <v>#REF!</v>
      </c>
      <c r="BS174">
        <f>IF('GA55 Entry'!641:641,"AAAAAE+1n0Y=",0)</f>
        <v>0</v>
      </c>
      <c r="BT174" t="e">
        <f>AND('GA55 Entry'!B641,"AAAAAE+1n0c=")</f>
        <v>#VALUE!</v>
      </c>
      <c r="BU174" t="e">
        <f>AND('GA55 Entry'!#REF!,"AAAAAE+1n0g=")</f>
        <v>#REF!</v>
      </c>
      <c r="BV174" t="e">
        <f>AND('GA55 Entry'!C641,"AAAAAE+1n0k=")</f>
        <v>#VALUE!</v>
      </c>
      <c r="BW174" t="e">
        <f>AND('GA55 Entry'!#REF!,"AAAAAE+1n0o=")</f>
        <v>#REF!</v>
      </c>
      <c r="BX174" t="e">
        <f>AND('GA55 Entry'!#REF!,"AAAAAE+1n0s=")</f>
        <v>#REF!</v>
      </c>
      <c r="BY174" t="e">
        <f>AND('GA55 Entry'!#REF!,"AAAAAE+1n0w=")</f>
        <v>#REF!</v>
      </c>
      <c r="BZ174" t="e">
        <f>AND('GA55 Entry'!#REF!,"AAAAAE+1n00=")</f>
        <v>#REF!</v>
      </c>
      <c r="CA174" t="e">
        <f>AND('GA55 Entry'!#REF!,"AAAAAE+1n04=")</f>
        <v>#REF!</v>
      </c>
      <c r="CB174" t="e">
        <f>AND('GA55 Entry'!D641,"AAAAAE+1n08=")</f>
        <v>#VALUE!</v>
      </c>
      <c r="CC174" t="e">
        <f>AND('GA55 Entry'!#REF!,"AAAAAE+1n1A=")</f>
        <v>#REF!</v>
      </c>
      <c r="CD174" t="e">
        <f>AND('GA55 Entry'!E641,"AAAAAE+1n1E=")</f>
        <v>#VALUE!</v>
      </c>
      <c r="CE174" t="e">
        <f>AND('GA55 Entry'!F641,"AAAAAE+1n1I=")</f>
        <v>#VALUE!</v>
      </c>
      <c r="CF174" t="e">
        <f>AND('GA55 Entry'!G641,"AAAAAE+1n1M=")</f>
        <v>#VALUE!</v>
      </c>
      <c r="CG174" t="e">
        <f>AND('GA55 Entry'!H641,"AAAAAE+1n1Q=")</f>
        <v>#VALUE!</v>
      </c>
      <c r="CH174" t="e">
        <f>AND('GA55 Entry'!I641,"AAAAAE+1n1U=")</f>
        <v>#VALUE!</v>
      </c>
      <c r="CI174" t="e">
        <f>AND('GA55 Entry'!J641,"AAAAAE+1n1Y=")</f>
        <v>#VALUE!</v>
      </c>
      <c r="CJ174" t="e">
        <f>AND('GA55 Entry'!#REF!,"AAAAAE+1n1c=")</f>
        <v>#REF!</v>
      </c>
      <c r="CK174" t="e">
        <f>AND('GA55 Entry'!K641,"AAAAAE+1n1g=")</f>
        <v>#VALUE!</v>
      </c>
      <c r="CL174" t="e">
        <f>AND('GA55 Entry'!L641,"AAAAAE+1n1k=")</f>
        <v>#VALUE!</v>
      </c>
      <c r="CM174" t="e">
        <f>AND('GA55 Entry'!M641,"AAAAAE+1n1o=")</f>
        <v>#VALUE!</v>
      </c>
      <c r="CN174" t="e">
        <f>AND('GA55 Entry'!N641,"AAAAAE+1n1s=")</f>
        <v>#VALUE!</v>
      </c>
      <c r="CO174" t="e">
        <f>AND('GA55 Entry'!O641,"AAAAAE+1n1w=")</f>
        <v>#VALUE!</v>
      </c>
      <c r="CP174" t="e">
        <f>AND('GA55 Entry'!P641,"AAAAAE+1n10=")</f>
        <v>#VALUE!</v>
      </c>
      <c r="CQ174" t="e">
        <f>AND('GA55 Entry'!Q641,"AAAAAE+1n14=")</f>
        <v>#VALUE!</v>
      </c>
      <c r="CR174" t="e">
        <f>AND('GA55 Entry'!S641,"AAAAAE+1n18=")</f>
        <v>#VALUE!</v>
      </c>
      <c r="CS174" t="e">
        <f>AND('GA55 Entry'!#REF!,"AAAAAE+1n2A=")</f>
        <v>#REF!</v>
      </c>
      <c r="CT174" t="e">
        <f>AND('GA55 Entry'!T641,"AAAAAE+1n2E=")</f>
        <v>#VALUE!</v>
      </c>
      <c r="CU174" t="e">
        <f>AND('GA55 Entry'!U641,"AAAAAE+1n2I=")</f>
        <v>#VALUE!</v>
      </c>
      <c r="CV174" t="e">
        <f>AND('GA55 Entry'!V641,"AAAAAE+1n2M=")</f>
        <v>#VALUE!</v>
      </c>
      <c r="CW174" t="e">
        <f>AND('GA55 Entry'!#REF!,"AAAAAE+1n2Q=")</f>
        <v>#REF!</v>
      </c>
      <c r="CX174" t="e">
        <f>AND('GA55 Entry'!#REF!,"AAAAAE+1n2U=")</f>
        <v>#REF!</v>
      </c>
      <c r="CY174" t="e">
        <f>AND('GA55 Entry'!X641,"AAAAAE+1n2Y=")</f>
        <v>#VALUE!</v>
      </c>
      <c r="CZ174" t="e">
        <f>AND('GA55 Entry'!Y641,"AAAAAE+1n2c=")</f>
        <v>#VALUE!</v>
      </c>
      <c r="DA174" t="e">
        <f>AND('GA55 Entry'!#REF!,"AAAAAE+1n2g=")</f>
        <v>#REF!</v>
      </c>
      <c r="DB174" t="e">
        <f>AND('GA55 Entry'!#REF!,"AAAAAE+1n2k=")</f>
        <v>#REF!</v>
      </c>
      <c r="DC174" t="e">
        <f>AND('GA55 Entry'!#REF!,"AAAAAE+1n2o=")</f>
        <v>#REF!</v>
      </c>
      <c r="DD174" t="e">
        <f>AND('GA55 Entry'!#REF!,"AAAAAE+1n2s=")</f>
        <v>#REF!</v>
      </c>
      <c r="DE174" t="e">
        <f>AND('GA55 Entry'!#REF!,"AAAAAE+1n2w=")</f>
        <v>#REF!</v>
      </c>
      <c r="DF174" t="e">
        <f>AND('GA55 Entry'!#REF!,"AAAAAE+1n20=")</f>
        <v>#REF!</v>
      </c>
      <c r="DG174" t="e">
        <f>AND('GA55 Entry'!#REF!,"AAAAAE+1n24=")</f>
        <v>#REF!</v>
      </c>
      <c r="DH174" t="e">
        <f>AND('GA55 Entry'!#REF!,"AAAAAE+1n28=")</f>
        <v>#REF!</v>
      </c>
      <c r="DI174" t="e">
        <f>AND('GA55 Entry'!#REF!,"AAAAAE+1n3A=")</f>
        <v>#REF!</v>
      </c>
      <c r="DJ174" t="e">
        <f>AND('GA55 Entry'!Z641,"AAAAAE+1n3E=")</f>
        <v>#VALUE!</v>
      </c>
      <c r="DK174" t="e">
        <f>AND('GA55 Entry'!AA641,"AAAAAE+1n3I=")</f>
        <v>#VALUE!</v>
      </c>
      <c r="DL174" t="e">
        <f>AND('GA55 Entry'!#REF!,"AAAAAE+1n3M=")</f>
        <v>#REF!</v>
      </c>
      <c r="DM174" t="e">
        <f>AND('GA55 Entry'!#REF!,"AAAAAE+1n3Q=")</f>
        <v>#REF!</v>
      </c>
      <c r="DN174" t="e">
        <f>AND('GA55 Entry'!#REF!,"AAAAAE+1n3U=")</f>
        <v>#REF!</v>
      </c>
      <c r="DO174" t="e">
        <f>AND('GA55 Entry'!AB641,"AAAAAE+1n3Y=")</f>
        <v>#VALUE!</v>
      </c>
      <c r="DP174" t="e">
        <f>AND('GA55 Entry'!AC641,"AAAAAE+1n3c=")</f>
        <v>#VALUE!</v>
      </c>
      <c r="DQ174" t="e">
        <f>AND('GA55 Entry'!#REF!,"AAAAAE+1n3g=")</f>
        <v>#REF!</v>
      </c>
      <c r="DR174">
        <f>IF('GA55 Entry'!642:642,"AAAAAE+1n3k=",0)</f>
        <v>0</v>
      </c>
      <c r="DS174" t="e">
        <f>AND('GA55 Entry'!B642,"AAAAAE+1n3o=")</f>
        <v>#VALUE!</v>
      </c>
      <c r="DT174" t="e">
        <f>AND('GA55 Entry'!#REF!,"AAAAAE+1n3s=")</f>
        <v>#REF!</v>
      </c>
      <c r="DU174" t="e">
        <f>AND('GA55 Entry'!C642,"AAAAAE+1n3w=")</f>
        <v>#VALUE!</v>
      </c>
      <c r="DV174" t="e">
        <f>AND('GA55 Entry'!#REF!,"AAAAAE+1n30=")</f>
        <v>#REF!</v>
      </c>
      <c r="DW174" t="e">
        <f>AND('GA55 Entry'!#REF!,"AAAAAE+1n34=")</f>
        <v>#REF!</v>
      </c>
      <c r="DX174" t="e">
        <f>AND('GA55 Entry'!#REF!,"AAAAAE+1n38=")</f>
        <v>#REF!</v>
      </c>
      <c r="DY174" t="e">
        <f>AND('GA55 Entry'!#REF!,"AAAAAE+1n4A=")</f>
        <v>#REF!</v>
      </c>
      <c r="DZ174" t="e">
        <f>AND('GA55 Entry'!#REF!,"AAAAAE+1n4E=")</f>
        <v>#REF!</v>
      </c>
      <c r="EA174" t="e">
        <f>AND('GA55 Entry'!D642,"AAAAAE+1n4I=")</f>
        <v>#VALUE!</v>
      </c>
      <c r="EB174" t="e">
        <f>AND('GA55 Entry'!#REF!,"AAAAAE+1n4M=")</f>
        <v>#REF!</v>
      </c>
      <c r="EC174" t="e">
        <f>AND('GA55 Entry'!E642,"AAAAAE+1n4Q=")</f>
        <v>#VALUE!</v>
      </c>
      <c r="ED174" t="e">
        <f>AND('GA55 Entry'!F642,"AAAAAE+1n4U=")</f>
        <v>#VALUE!</v>
      </c>
      <c r="EE174" t="e">
        <f>AND('GA55 Entry'!G642,"AAAAAE+1n4Y=")</f>
        <v>#VALUE!</v>
      </c>
      <c r="EF174" t="e">
        <f>AND('GA55 Entry'!H642,"AAAAAE+1n4c=")</f>
        <v>#VALUE!</v>
      </c>
      <c r="EG174" t="e">
        <f>AND('GA55 Entry'!I642,"AAAAAE+1n4g=")</f>
        <v>#VALUE!</v>
      </c>
      <c r="EH174" t="e">
        <f>AND('GA55 Entry'!J642,"AAAAAE+1n4k=")</f>
        <v>#VALUE!</v>
      </c>
      <c r="EI174" t="e">
        <f>AND('GA55 Entry'!#REF!,"AAAAAE+1n4o=")</f>
        <v>#REF!</v>
      </c>
      <c r="EJ174" t="e">
        <f>AND('GA55 Entry'!K642,"AAAAAE+1n4s=")</f>
        <v>#VALUE!</v>
      </c>
      <c r="EK174" t="e">
        <f>AND('GA55 Entry'!L642,"AAAAAE+1n4w=")</f>
        <v>#VALUE!</v>
      </c>
      <c r="EL174" t="e">
        <f>AND('GA55 Entry'!M642,"AAAAAE+1n40=")</f>
        <v>#VALUE!</v>
      </c>
      <c r="EM174" t="e">
        <f>AND('GA55 Entry'!N642,"AAAAAE+1n44=")</f>
        <v>#VALUE!</v>
      </c>
      <c r="EN174" t="e">
        <f>AND('GA55 Entry'!O642,"AAAAAE+1n48=")</f>
        <v>#VALUE!</v>
      </c>
      <c r="EO174" t="e">
        <f>AND('GA55 Entry'!P642,"AAAAAE+1n5A=")</f>
        <v>#VALUE!</v>
      </c>
      <c r="EP174" t="e">
        <f>AND('GA55 Entry'!Q642,"AAAAAE+1n5E=")</f>
        <v>#VALUE!</v>
      </c>
      <c r="EQ174" t="e">
        <f>AND('GA55 Entry'!S642,"AAAAAE+1n5I=")</f>
        <v>#VALUE!</v>
      </c>
      <c r="ER174" t="e">
        <f>AND('GA55 Entry'!#REF!,"AAAAAE+1n5M=")</f>
        <v>#REF!</v>
      </c>
      <c r="ES174" t="e">
        <f>AND('GA55 Entry'!T642,"AAAAAE+1n5Q=")</f>
        <v>#VALUE!</v>
      </c>
      <c r="ET174" t="e">
        <f>AND('GA55 Entry'!U642,"AAAAAE+1n5U=")</f>
        <v>#VALUE!</v>
      </c>
      <c r="EU174" t="e">
        <f>AND('GA55 Entry'!V642,"AAAAAE+1n5Y=")</f>
        <v>#VALUE!</v>
      </c>
      <c r="EV174" t="e">
        <f>AND('GA55 Entry'!#REF!,"AAAAAE+1n5c=")</f>
        <v>#REF!</v>
      </c>
      <c r="EW174" t="e">
        <f>AND('GA55 Entry'!#REF!,"AAAAAE+1n5g=")</f>
        <v>#REF!</v>
      </c>
      <c r="EX174" t="e">
        <f>AND('GA55 Entry'!X642,"AAAAAE+1n5k=")</f>
        <v>#VALUE!</v>
      </c>
      <c r="EY174" t="e">
        <f>AND('GA55 Entry'!Y642,"AAAAAE+1n5o=")</f>
        <v>#VALUE!</v>
      </c>
      <c r="EZ174" t="e">
        <f>AND('GA55 Entry'!#REF!,"AAAAAE+1n5s=")</f>
        <v>#REF!</v>
      </c>
      <c r="FA174" t="e">
        <f>AND('GA55 Entry'!#REF!,"AAAAAE+1n5w=")</f>
        <v>#REF!</v>
      </c>
      <c r="FB174" t="e">
        <f>AND('GA55 Entry'!#REF!,"AAAAAE+1n50=")</f>
        <v>#REF!</v>
      </c>
      <c r="FC174" t="e">
        <f>AND('GA55 Entry'!#REF!,"AAAAAE+1n54=")</f>
        <v>#REF!</v>
      </c>
      <c r="FD174" t="e">
        <f>AND('GA55 Entry'!#REF!,"AAAAAE+1n58=")</f>
        <v>#REF!</v>
      </c>
      <c r="FE174" t="e">
        <f>AND('GA55 Entry'!#REF!,"AAAAAE+1n6A=")</f>
        <v>#REF!</v>
      </c>
      <c r="FF174" t="e">
        <f>AND('GA55 Entry'!#REF!,"AAAAAE+1n6E=")</f>
        <v>#REF!</v>
      </c>
      <c r="FG174" t="e">
        <f>AND('GA55 Entry'!#REF!,"AAAAAE+1n6I=")</f>
        <v>#REF!</v>
      </c>
      <c r="FH174" t="e">
        <f>AND('GA55 Entry'!#REF!,"AAAAAE+1n6M=")</f>
        <v>#REF!</v>
      </c>
      <c r="FI174" t="e">
        <f>AND('GA55 Entry'!Z642,"AAAAAE+1n6Q=")</f>
        <v>#VALUE!</v>
      </c>
      <c r="FJ174" t="e">
        <f>AND('GA55 Entry'!AA642,"AAAAAE+1n6U=")</f>
        <v>#VALUE!</v>
      </c>
      <c r="FK174" t="e">
        <f>AND('GA55 Entry'!#REF!,"AAAAAE+1n6Y=")</f>
        <v>#REF!</v>
      </c>
      <c r="FL174" t="e">
        <f>AND('GA55 Entry'!#REF!,"AAAAAE+1n6c=")</f>
        <v>#REF!</v>
      </c>
      <c r="FM174" t="e">
        <f>AND('GA55 Entry'!#REF!,"AAAAAE+1n6g=")</f>
        <v>#REF!</v>
      </c>
      <c r="FN174" t="e">
        <f>AND('GA55 Entry'!AB642,"AAAAAE+1n6k=")</f>
        <v>#VALUE!</v>
      </c>
      <c r="FO174" t="e">
        <f>AND('GA55 Entry'!AC642,"AAAAAE+1n6o=")</f>
        <v>#VALUE!</v>
      </c>
      <c r="FP174" t="e">
        <f>AND('GA55 Entry'!#REF!,"AAAAAE+1n6s=")</f>
        <v>#REF!</v>
      </c>
      <c r="FQ174">
        <f>IF('GA55 Entry'!643:643,"AAAAAE+1n6w=",0)</f>
        <v>0</v>
      </c>
      <c r="FR174" t="e">
        <f>AND('GA55 Entry'!B643,"AAAAAE+1n60=")</f>
        <v>#VALUE!</v>
      </c>
      <c r="FS174" t="e">
        <f>AND('GA55 Entry'!#REF!,"AAAAAE+1n64=")</f>
        <v>#REF!</v>
      </c>
      <c r="FT174" t="e">
        <f>AND('GA55 Entry'!C643,"AAAAAE+1n68=")</f>
        <v>#VALUE!</v>
      </c>
      <c r="FU174" t="e">
        <f>AND('GA55 Entry'!#REF!,"AAAAAE+1n7A=")</f>
        <v>#REF!</v>
      </c>
      <c r="FV174" t="e">
        <f>AND('GA55 Entry'!#REF!,"AAAAAE+1n7E=")</f>
        <v>#REF!</v>
      </c>
      <c r="FW174" t="e">
        <f>AND('GA55 Entry'!#REF!,"AAAAAE+1n7I=")</f>
        <v>#REF!</v>
      </c>
      <c r="FX174" t="e">
        <f>AND('GA55 Entry'!#REF!,"AAAAAE+1n7M=")</f>
        <v>#REF!</v>
      </c>
      <c r="FY174" t="e">
        <f>AND('GA55 Entry'!#REF!,"AAAAAE+1n7Q=")</f>
        <v>#REF!</v>
      </c>
      <c r="FZ174" t="e">
        <f>AND('GA55 Entry'!D643,"AAAAAE+1n7U=")</f>
        <v>#VALUE!</v>
      </c>
      <c r="GA174" t="e">
        <f>AND('GA55 Entry'!#REF!,"AAAAAE+1n7Y=")</f>
        <v>#REF!</v>
      </c>
      <c r="GB174" t="e">
        <f>AND('GA55 Entry'!E643,"AAAAAE+1n7c=")</f>
        <v>#VALUE!</v>
      </c>
      <c r="GC174" t="e">
        <f>AND('GA55 Entry'!F643,"AAAAAE+1n7g=")</f>
        <v>#VALUE!</v>
      </c>
      <c r="GD174" t="e">
        <f>AND('GA55 Entry'!G643,"AAAAAE+1n7k=")</f>
        <v>#VALUE!</v>
      </c>
      <c r="GE174" t="e">
        <f>AND('GA55 Entry'!H643,"AAAAAE+1n7o=")</f>
        <v>#VALUE!</v>
      </c>
      <c r="GF174" t="e">
        <f>AND('GA55 Entry'!I643,"AAAAAE+1n7s=")</f>
        <v>#VALUE!</v>
      </c>
      <c r="GG174" t="e">
        <f>AND('GA55 Entry'!J643,"AAAAAE+1n7w=")</f>
        <v>#VALUE!</v>
      </c>
      <c r="GH174" t="e">
        <f>AND('GA55 Entry'!#REF!,"AAAAAE+1n70=")</f>
        <v>#REF!</v>
      </c>
      <c r="GI174" t="e">
        <f>AND('GA55 Entry'!K643,"AAAAAE+1n74=")</f>
        <v>#VALUE!</v>
      </c>
      <c r="GJ174" t="e">
        <f>AND('GA55 Entry'!L643,"AAAAAE+1n78=")</f>
        <v>#VALUE!</v>
      </c>
      <c r="GK174" t="e">
        <f>AND('GA55 Entry'!M643,"AAAAAE+1n8A=")</f>
        <v>#VALUE!</v>
      </c>
      <c r="GL174" t="e">
        <f>AND('GA55 Entry'!N643,"AAAAAE+1n8E=")</f>
        <v>#VALUE!</v>
      </c>
      <c r="GM174" t="e">
        <f>AND('GA55 Entry'!O643,"AAAAAE+1n8I=")</f>
        <v>#VALUE!</v>
      </c>
      <c r="GN174" t="e">
        <f>AND('GA55 Entry'!P643,"AAAAAE+1n8M=")</f>
        <v>#VALUE!</v>
      </c>
      <c r="GO174" t="e">
        <f>AND('GA55 Entry'!Q643,"AAAAAE+1n8Q=")</f>
        <v>#VALUE!</v>
      </c>
      <c r="GP174" t="e">
        <f>AND('GA55 Entry'!S643,"AAAAAE+1n8U=")</f>
        <v>#VALUE!</v>
      </c>
      <c r="GQ174" t="e">
        <f>AND('GA55 Entry'!#REF!,"AAAAAE+1n8Y=")</f>
        <v>#REF!</v>
      </c>
      <c r="GR174" t="e">
        <f>AND('GA55 Entry'!T643,"AAAAAE+1n8c=")</f>
        <v>#VALUE!</v>
      </c>
      <c r="GS174" t="e">
        <f>AND('GA55 Entry'!U643,"AAAAAE+1n8g=")</f>
        <v>#VALUE!</v>
      </c>
      <c r="GT174" t="e">
        <f>AND('GA55 Entry'!V643,"AAAAAE+1n8k=")</f>
        <v>#VALUE!</v>
      </c>
      <c r="GU174" t="e">
        <f>AND('GA55 Entry'!#REF!,"AAAAAE+1n8o=")</f>
        <v>#REF!</v>
      </c>
      <c r="GV174" t="e">
        <f>AND('GA55 Entry'!#REF!,"AAAAAE+1n8s=")</f>
        <v>#REF!</v>
      </c>
      <c r="GW174" t="e">
        <f>AND('GA55 Entry'!X643,"AAAAAE+1n8w=")</f>
        <v>#VALUE!</v>
      </c>
      <c r="GX174" t="e">
        <f>AND('GA55 Entry'!Y643,"AAAAAE+1n80=")</f>
        <v>#VALUE!</v>
      </c>
      <c r="GY174" t="e">
        <f>AND('GA55 Entry'!#REF!,"AAAAAE+1n84=")</f>
        <v>#REF!</v>
      </c>
      <c r="GZ174" t="e">
        <f>AND('GA55 Entry'!#REF!,"AAAAAE+1n88=")</f>
        <v>#REF!</v>
      </c>
      <c r="HA174" t="e">
        <f>AND('GA55 Entry'!#REF!,"AAAAAE+1n9A=")</f>
        <v>#REF!</v>
      </c>
      <c r="HB174" t="e">
        <f>AND('GA55 Entry'!#REF!,"AAAAAE+1n9E=")</f>
        <v>#REF!</v>
      </c>
      <c r="HC174" t="e">
        <f>AND('GA55 Entry'!#REF!,"AAAAAE+1n9I=")</f>
        <v>#REF!</v>
      </c>
      <c r="HD174" t="e">
        <f>AND('GA55 Entry'!#REF!,"AAAAAE+1n9M=")</f>
        <v>#REF!</v>
      </c>
      <c r="HE174" t="e">
        <f>AND('GA55 Entry'!#REF!,"AAAAAE+1n9Q=")</f>
        <v>#REF!</v>
      </c>
      <c r="HF174" t="e">
        <f>AND('GA55 Entry'!#REF!,"AAAAAE+1n9U=")</f>
        <v>#REF!</v>
      </c>
      <c r="HG174" t="e">
        <f>AND('GA55 Entry'!#REF!,"AAAAAE+1n9Y=")</f>
        <v>#REF!</v>
      </c>
      <c r="HH174" t="e">
        <f>AND('GA55 Entry'!Z643,"AAAAAE+1n9c=")</f>
        <v>#VALUE!</v>
      </c>
      <c r="HI174" t="e">
        <f>AND('GA55 Entry'!AA643,"AAAAAE+1n9g=")</f>
        <v>#VALUE!</v>
      </c>
      <c r="HJ174" t="e">
        <f>AND('GA55 Entry'!#REF!,"AAAAAE+1n9k=")</f>
        <v>#REF!</v>
      </c>
      <c r="HK174" t="e">
        <f>AND('GA55 Entry'!#REF!,"AAAAAE+1n9o=")</f>
        <v>#REF!</v>
      </c>
      <c r="HL174" t="e">
        <f>AND('GA55 Entry'!#REF!,"AAAAAE+1n9s=")</f>
        <v>#REF!</v>
      </c>
      <c r="HM174" t="e">
        <f>AND('GA55 Entry'!AB643,"AAAAAE+1n9w=")</f>
        <v>#VALUE!</v>
      </c>
      <c r="HN174" t="e">
        <f>AND('GA55 Entry'!AC643,"AAAAAE+1n90=")</f>
        <v>#VALUE!</v>
      </c>
      <c r="HO174" t="e">
        <f>AND('GA55 Entry'!#REF!,"AAAAAE+1n94=")</f>
        <v>#REF!</v>
      </c>
      <c r="HP174">
        <f>IF('GA55 Entry'!644:644,"AAAAAE+1n98=",0)</f>
        <v>0</v>
      </c>
      <c r="HQ174" t="e">
        <f>AND('GA55 Entry'!B644,"AAAAAE+1n+A=")</f>
        <v>#VALUE!</v>
      </c>
      <c r="HR174" t="e">
        <f>AND('GA55 Entry'!#REF!,"AAAAAE+1n+E=")</f>
        <v>#REF!</v>
      </c>
      <c r="HS174" t="e">
        <f>AND('GA55 Entry'!C644,"AAAAAE+1n+I=")</f>
        <v>#VALUE!</v>
      </c>
      <c r="HT174" t="e">
        <f>AND('GA55 Entry'!#REF!,"AAAAAE+1n+M=")</f>
        <v>#REF!</v>
      </c>
      <c r="HU174" t="e">
        <f>AND('GA55 Entry'!#REF!,"AAAAAE+1n+Q=")</f>
        <v>#REF!</v>
      </c>
      <c r="HV174" t="e">
        <f>AND('GA55 Entry'!#REF!,"AAAAAE+1n+U=")</f>
        <v>#REF!</v>
      </c>
      <c r="HW174" t="e">
        <f>AND('GA55 Entry'!#REF!,"AAAAAE+1n+Y=")</f>
        <v>#REF!</v>
      </c>
      <c r="HX174" t="e">
        <f>AND('GA55 Entry'!#REF!,"AAAAAE+1n+c=")</f>
        <v>#REF!</v>
      </c>
      <c r="HY174" t="e">
        <f>AND('GA55 Entry'!D644,"AAAAAE+1n+g=")</f>
        <v>#VALUE!</v>
      </c>
      <c r="HZ174" t="e">
        <f>AND('GA55 Entry'!#REF!,"AAAAAE+1n+k=")</f>
        <v>#REF!</v>
      </c>
      <c r="IA174" t="e">
        <f>AND('GA55 Entry'!E644,"AAAAAE+1n+o=")</f>
        <v>#VALUE!</v>
      </c>
      <c r="IB174" t="e">
        <f>AND('GA55 Entry'!F644,"AAAAAE+1n+s=")</f>
        <v>#VALUE!</v>
      </c>
      <c r="IC174" t="e">
        <f>AND('GA55 Entry'!G644,"AAAAAE+1n+w=")</f>
        <v>#VALUE!</v>
      </c>
      <c r="ID174" t="e">
        <f>AND('GA55 Entry'!H644,"AAAAAE+1n+0=")</f>
        <v>#VALUE!</v>
      </c>
      <c r="IE174" t="e">
        <f>AND('GA55 Entry'!I644,"AAAAAE+1n+4=")</f>
        <v>#VALUE!</v>
      </c>
      <c r="IF174" t="e">
        <f>AND('GA55 Entry'!J644,"AAAAAE+1n+8=")</f>
        <v>#VALUE!</v>
      </c>
      <c r="IG174" t="e">
        <f>AND('GA55 Entry'!#REF!,"AAAAAE+1n/A=")</f>
        <v>#REF!</v>
      </c>
      <c r="IH174" t="e">
        <f>AND('GA55 Entry'!K644,"AAAAAE+1n/E=")</f>
        <v>#VALUE!</v>
      </c>
      <c r="II174" t="e">
        <f>AND('GA55 Entry'!L644,"AAAAAE+1n/I=")</f>
        <v>#VALUE!</v>
      </c>
      <c r="IJ174" t="e">
        <f>AND('GA55 Entry'!M644,"AAAAAE+1n/M=")</f>
        <v>#VALUE!</v>
      </c>
      <c r="IK174" t="e">
        <f>AND('GA55 Entry'!N644,"AAAAAE+1n/Q=")</f>
        <v>#VALUE!</v>
      </c>
      <c r="IL174" t="e">
        <f>AND('GA55 Entry'!O644,"AAAAAE+1n/U=")</f>
        <v>#VALUE!</v>
      </c>
      <c r="IM174" t="e">
        <f>AND('GA55 Entry'!P644,"AAAAAE+1n/Y=")</f>
        <v>#VALUE!</v>
      </c>
      <c r="IN174" t="e">
        <f>AND('GA55 Entry'!Q644,"AAAAAE+1n/c=")</f>
        <v>#VALUE!</v>
      </c>
      <c r="IO174" t="e">
        <f>AND('GA55 Entry'!S644,"AAAAAE+1n/g=")</f>
        <v>#VALUE!</v>
      </c>
      <c r="IP174" t="e">
        <f>AND('GA55 Entry'!#REF!,"AAAAAE+1n/k=")</f>
        <v>#REF!</v>
      </c>
      <c r="IQ174" t="e">
        <f>AND('GA55 Entry'!T644,"AAAAAE+1n/o=")</f>
        <v>#VALUE!</v>
      </c>
      <c r="IR174" t="e">
        <f>AND('GA55 Entry'!U644,"AAAAAE+1n/s=")</f>
        <v>#VALUE!</v>
      </c>
      <c r="IS174" t="e">
        <f>AND('GA55 Entry'!V644,"AAAAAE+1n/w=")</f>
        <v>#VALUE!</v>
      </c>
      <c r="IT174" t="e">
        <f>AND('GA55 Entry'!#REF!,"AAAAAE+1n/0=")</f>
        <v>#REF!</v>
      </c>
      <c r="IU174" t="e">
        <f>AND('GA55 Entry'!#REF!,"AAAAAE+1n/4=")</f>
        <v>#REF!</v>
      </c>
      <c r="IV174" t="e">
        <f>AND('GA55 Entry'!X644,"AAAAAE+1n/8=")</f>
        <v>#VALUE!</v>
      </c>
    </row>
    <row r="175" spans="1:256">
      <c r="A175" t="e">
        <f>AND('GA55 Entry'!Y644,"AAAAAD/zdQA=")</f>
        <v>#VALUE!</v>
      </c>
      <c r="B175" t="e">
        <f>AND('GA55 Entry'!#REF!,"AAAAAD/zdQE=")</f>
        <v>#REF!</v>
      </c>
      <c r="C175" t="e">
        <f>AND('GA55 Entry'!#REF!,"AAAAAD/zdQI=")</f>
        <v>#REF!</v>
      </c>
      <c r="D175" t="e">
        <f>AND('GA55 Entry'!#REF!,"AAAAAD/zdQM=")</f>
        <v>#REF!</v>
      </c>
      <c r="E175" t="e">
        <f>AND('GA55 Entry'!#REF!,"AAAAAD/zdQQ=")</f>
        <v>#REF!</v>
      </c>
      <c r="F175" t="e">
        <f>AND('GA55 Entry'!#REF!,"AAAAAD/zdQU=")</f>
        <v>#REF!</v>
      </c>
      <c r="G175" t="e">
        <f>AND('GA55 Entry'!#REF!,"AAAAAD/zdQY=")</f>
        <v>#REF!</v>
      </c>
      <c r="H175" t="e">
        <f>AND('GA55 Entry'!#REF!,"AAAAAD/zdQc=")</f>
        <v>#REF!</v>
      </c>
      <c r="I175" t="e">
        <f>AND('GA55 Entry'!#REF!,"AAAAAD/zdQg=")</f>
        <v>#REF!</v>
      </c>
      <c r="J175" t="e">
        <f>AND('GA55 Entry'!#REF!,"AAAAAD/zdQk=")</f>
        <v>#REF!</v>
      </c>
      <c r="K175" t="e">
        <f>AND('GA55 Entry'!Z644,"AAAAAD/zdQo=")</f>
        <v>#VALUE!</v>
      </c>
      <c r="L175" t="e">
        <f>AND('GA55 Entry'!AA644,"AAAAAD/zdQs=")</f>
        <v>#VALUE!</v>
      </c>
      <c r="M175" t="e">
        <f>AND('GA55 Entry'!#REF!,"AAAAAD/zdQw=")</f>
        <v>#REF!</v>
      </c>
      <c r="N175" t="e">
        <f>AND('GA55 Entry'!#REF!,"AAAAAD/zdQ0=")</f>
        <v>#REF!</v>
      </c>
      <c r="O175" t="e">
        <f>AND('GA55 Entry'!#REF!,"AAAAAD/zdQ4=")</f>
        <v>#REF!</v>
      </c>
      <c r="P175" t="e">
        <f>AND('GA55 Entry'!AB644,"AAAAAD/zdQ8=")</f>
        <v>#VALUE!</v>
      </c>
      <c r="Q175" t="e">
        <f>AND('GA55 Entry'!AC644,"AAAAAD/zdRA=")</f>
        <v>#VALUE!</v>
      </c>
      <c r="R175" t="e">
        <f>AND('GA55 Entry'!#REF!,"AAAAAD/zdRE=")</f>
        <v>#REF!</v>
      </c>
      <c r="S175">
        <f>IF('GA55 Entry'!645:645,"AAAAAD/zdRI=",0)</f>
        <v>0</v>
      </c>
      <c r="T175" t="e">
        <f>AND('GA55 Entry'!B645,"AAAAAD/zdRM=")</f>
        <v>#VALUE!</v>
      </c>
      <c r="U175" t="e">
        <f>AND('GA55 Entry'!#REF!,"AAAAAD/zdRQ=")</f>
        <v>#REF!</v>
      </c>
      <c r="V175" t="e">
        <f>AND('GA55 Entry'!C645,"AAAAAD/zdRU=")</f>
        <v>#VALUE!</v>
      </c>
      <c r="W175" t="e">
        <f>AND('GA55 Entry'!#REF!,"AAAAAD/zdRY=")</f>
        <v>#REF!</v>
      </c>
      <c r="X175" t="e">
        <f>AND('GA55 Entry'!#REF!,"AAAAAD/zdRc=")</f>
        <v>#REF!</v>
      </c>
      <c r="Y175" t="e">
        <f>AND('GA55 Entry'!#REF!,"AAAAAD/zdRg=")</f>
        <v>#REF!</v>
      </c>
      <c r="Z175" t="e">
        <f>AND('GA55 Entry'!#REF!,"AAAAAD/zdRk=")</f>
        <v>#REF!</v>
      </c>
      <c r="AA175" t="e">
        <f>AND('GA55 Entry'!#REF!,"AAAAAD/zdRo=")</f>
        <v>#REF!</v>
      </c>
      <c r="AB175" t="e">
        <f>AND('GA55 Entry'!D645,"AAAAAD/zdRs=")</f>
        <v>#VALUE!</v>
      </c>
      <c r="AC175" t="e">
        <f>AND('GA55 Entry'!#REF!,"AAAAAD/zdRw=")</f>
        <v>#REF!</v>
      </c>
      <c r="AD175" t="e">
        <f>AND('GA55 Entry'!E645,"AAAAAD/zdR0=")</f>
        <v>#VALUE!</v>
      </c>
      <c r="AE175" t="e">
        <f>AND('GA55 Entry'!F645,"AAAAAD/zdR4=")</f>
        <v>#VALUE!</v>
      </c>
      <c r="AF175" t="e">
        <f>AND('GA55 Entry'!G645,"AAAAAD/zdR8=")</f>
        <v>#VALUE!</v>
      </c>
      <c r="AG175" t="e">
        <f>AND('GA55 Entry'!H645,"AAAAAD/zdSA=")</f>
        <v>#VALUE!</v>
      </c>
      <c r="AH175" t="e">
        <f>AND('GA55 Entry'!I645,"AAAAAD/zdSE=")</f>
        <v>#VALUE!</v>
      </c>
      <c r="AI175" t="e">
        <f>AND('GA55 Entry'!J645,"AAAAAD/zdSI=")</f>
        <v>#VALUE!</v>
      </c>
      <c r="AJ175" t="e">
        <f>AND('GA55 Entry'!#REF!,"AAAAAD/zdSM=")</f>
        <v>#REF!</v>
      </c>
      <c r="AK175" t="e">
        <f>AND('GA55 Entry'!K645,"AAAAAD/zdSQ=")</f>
        <v>#VALUE!</v>
      </c>
      <c r="AL175" t="e">
        <f>AND('GA55 Entry'!L645,"AAAAAD/zdSU=")</f>
        <v>#VALUE!</v>
      </c>
      <c r="AM175" t="e">
        <f>AND('GA55 Entry'!M645,"AAAAAD/zdSY=")</f>
        <v>#VALUE!</v>
      </c>
      <c r="AN175" t="e">
        <f>AND('GA55 Entry'!N645,"AAAAAD/zdSc=")</f>
        <v>#VALUE!</v>
      </c>
      <c r="AO175" t="e">
        <f>AND('GA55 Entry'!O645,"AAAAAD/zdSg=")</f>
        <v>#VALUE!</v>
      </c>
      <c r="AP175" t="e">
        <f>AND('GA55 Entry'!P645,"AAAAAD/zdSk=")</f>
        <v>#VALUE!</v>
      </c>
      <c r="AQ175" t="e">
        <f>AND('GA55 Entry'!Q645,"AAAAAD/zdSo=")</f>
        <v>#VALUE!</v>
      </c>
      <c r="AR175" t="e">
        <f>AND('GA55 Entry'!S645,"AAAAAD/zdSs=")</f>
        <v>#VALUE!</v>
      </c>
      <c r="AS175" t="e">
        <f>AND('GA55 Entry'!#REF!,"AAAAAD/zdSw=")</f>
        <v>#REF!</v>
      </c>
      <c r="AT175" t="e">
        <f>AND('GA55 Entry'!T645,"AAAAAD/zdS0=")</f>
        <v>#VALUE!</v>
      </c>
      <c r="AU175" t="e">
        <f>AND('GA55 Entry'!U645,"AAAAAD/zdS4=")</f>
        <v>#VALUE!</v>
      </c>
      <c r="AV175" t="e">
        <f>AND('GA55 Entry'!V645,"AAAAAD/zdS8=")</f>
        <v>#VALUE!</v>
      </c>
      <c r="AW175" t="e">
        <f>AND('GA55 Entry'!#REF!,"AAAAAD/zdTA=")</f>
        <v>#REF!</v>
      </c>
      <c r="AX175" t="e">
        <f>AND('GA55 Entry'!#REF!,"AAAAAD/zdTE=")</f>
        <v>#REF!</v>
      </c>
      <c r="AY175" t="e">
        <f>AND('GA55 Entry'!X645,"AAAAAD/zdTI=")</f>
        <v>#VALUE!</v>
      </c>
      <c r="AZ175" t="e">
        <f>AND('GA55 Entry'!Y645,"AAAAAD/zdTM=")</f>
        <v>#VALUE!</v>
      </c>
      <c r="BA175" t="e">
        <f>AND('GA55 Entry'!#REF!,"AAAAAD/zdTQ=")</f>
        <v>#REF!</v>
      </c>
      <c r="BB175" t="e">
        <f>AND('GA55 Entry'!#REF!,"AAAAAD/zdTU=")</f>
        <v>#REF!</v>
      </c>
      <c r="BC175" t="e">
        <f>AND('GA55 Entry'!#REF!,"AAAAAD/zdTY=")</f>
        <v>#REF!</v>
      </c>
      <c r="BD175" t="e">
        <f>AND('GA55 Entry'!#REF!,"AAAAAD/zdTc=")</f>
        <v>#REF!</v>
      </c>
      <c r="BE175" t="e">
        <f>AND('GA55 Entry'!#REF!,"AAAAAD/zdTg=")</f>
        <v>#REF!</v>
      </c>
      <c r="BF175" t="e">
        <f>AND('GA55 Entry'!#REF!,"AAAAAD/zdTk=")</f>
        <v>#REF!</v>
      </c>
      <c r="BG175" t="e">
        <f>AND('GA55 Entry'!#REF!,"AAAAAD/zdTo=")</f>
        <v>#REF!</v>
      </c>
      <c r="BH175" t="e">
        <f>AND('GA55 Entry'!#REF!,"AAAAAD/zdTs=")</f>
        <v>#REF!</v>
      </c>
      <c r="BI175" t="e">
        <f>AND('GA55 Entry'!#REF!,"AAAAAD/zdTw=")</f>
        <v>#REF!</v>
      </c>
      <c r="BJ175" t="e">
        <f>AND('GA55 Entry'!Z645,"AAAAAD/zdT0=")</f>
        <v>#VALUE!</v>
      </c>
      <c r="BK175" t="e">
        <f>AND('GA55 Entry'!AA645,"AAAAAD/zdT4=")</f>
        <v>#VALUE!</v>
      </c>
      <c r="BL175" t="e">
        <f>AND('GA55 Entry'!#REF!,"AAAAAD/zdT8=")</f>
        <v>#REF!</v>
      </c>
      <c r="BM175" t="e">
        <f>AND('GA55 Entry'!#REF!,"AAAAAD/zdUA=")</f>
        <v>#REF!</v>
      </c>
      <c r="BN175" t="e">
        <f>AND('GA55 Entry'!#REF!,"AAAAAD/zdUE=")</f>
        <v>#REF!</v>
      </c>
      <c r="BO175" t="e">
        <f>AND('GA55 Entry'!AB645,"AAAAAD/zdUI=")</f>
        <v>#VALUE!</v>
      </c>
      <c r="BP175" t="e">
        <f>AND('GA55 Entry'!AC645,"AAAAAD/zdUM=")</f>
        <v>#VALUE!</v>
      </c>
      <c r="BQ175" t="e">
        <f>AND('GA55 Entry'!#REF!,"AAAAAD/zdUQ=")</f>
        <v>#REF!</v>
      </c>
      <c r="BR175">
        <f>IF('GA55 Entry'!646:646,"AAAAAD/zdUU=",0)</f>
        <v>0</v>
      </c>
      <c r="BS175" t="e">
        <f>AND('GA55 Entry'!B646,"AAAAAD/zdUY=")</f>
        <v>#VALUE!</v>
      </c>
      <c r="BT175" t="e">
        <f>AND('GA55 Entry'!#REF!,"AAAAAD/zdUc=")</f>
        <v>#REF!</v>
      </c>
      <c r="BU175" t="e">
        <f>AND('GA55 Entry'!C646,"AAAAAD/zdUg=")</f>
        <v>#VALUE!</v>
      </c>
      <c r="BV175" t="e">
        <f>AND('GA55 Entry'!#REF!,"AAAAAD/zdUk=")</f>
        <v>#REF!</v>
      </c>
      <c r="BW175" t="e">
        <f>AND('GA55 Entry'!#REF!,"AAAAAD/zdUo=")</f>
        <v>#REF!</v>
      </c>
      <c r="BX175" t="e">
        <f>AND('GA55 Entry'!#REF!,"AAAAAD/zdUs=")</f>
        <v>#REF!</v>
      </c>
      <c r="BY175" t="e">
        <f>AND('GA55 Entry'!#REF!,"AAAAAD/zdUw=")</f>
        <v>#REF!</v>
      </c>
      <c r="BZ175" t="e">
        <f>AND('GA55 Entry'!#REF!,"AAAAAD/zdU0=")</f>
        <v>#REF!</v>
      </c>
      <c r="CA175" t="e">
        <f>AND('GA55 Entry'!D646,"AAAAAD/zdU4=")</f>
        <v>#VALUE!</v>
      </c>
      <c r="CB175" t="e">
        <f>AND('GA55 Entry'!#REF!,"AAAAAD/zdU8=")</f>
        <v>#REF!</v>
      </c>
      <c r="CC175" t="e">
        <f>AND('GA55 Entry'!E646,"AAAAAD/zdVA=")</f>
        <v>#VALUE!</v>
      </c>
      <c r="CD175" t="e">
        <f>AND('GA55 Entry'!F646,"AAAAAD/zdVE=")</f>
        <v>#VALUE!</v>
      </c>
      <c r="CE175" t="e">
        <f>AND('GA55 Entry'!G646,"AAAAAD/zdVI=")</f>
        <v>#VALUE!</v>
      </c>
      <c r="CF175" t="e">
        <f>AND('GA55 Entry'!H646,"AAAAAD/zdVM=")</f>
        <v>#VALUE!</v>
      </c>
      <c r="CG175" t="e">
        <f>AND('GA55 Entry'!I646,"AAAAAD/zdVQ=")</f>
        <v>#VALUE!</v>
      </c>
      <c r="CH175" t="e">
        <f>AND('GA55 Entry'!J646,"AAAAAD/zdVU=")</f>
        <v>#VALUE!</v>
      </c>
      <c r="CI175" t="e">
        <f>AND('GA55 Entry'!#REF!,"AAAAAD/zdVY=")</f>
        <v>#REF!</v>
      </c>
      <c r="CJ175" t="e">
        <f>AND('GA55 Entry'!K646,"AAAAAD/zdVc=")</f>
        <v>#VALUE!</v>
      </c>
      <c r="CK175" t="e">
        <f>AND('GA55 Entry'!L646,"AAAAAD/zdVg=")</f>
        <v>#VALUE!</v>
      </c>
      <c r="CL175" t="e">
        <f>AND('GA55 Entry'!M646,"AAAAAD/zdVk=")</f>
        <v>#VALUE!</v>
      </c>
      <c r="CM175" t="e">
        <f>AND('GA55 Entry'!N646,"AAAAAD/zdVo=")</f>
        <v>#VALUE!</v>
      </c>
      <c r="CN175" t="e">
        <f>AND('GA55 Entry'!O646,"AAAAAD/zdVs=")</f>
        <v>#VALUE!</v>
      </c>
      <c r="CO175" t="e">
        <f>AND('GA55 Entry'!P646,"AAAAAD/zdVw=")</f>
        <v>#VALUE!</v>
      </c>
      <c r="CP175" t="e">
        <f>AND('GA55 Entry'!Q646,"AAAAAD/zdV0=")</f>
        <v>#VALUE!</v>
      </c>
      <c r="CQ175" t="e">
        <f>AND('GA55 Entry'!S646,"AAAAAD/zdV4=")</f>
        <v>#VALUE!</v>
      </c>
      <c r="CR175" t="e">
        <f>AND('GA55 Entry'!#REF!,"AAAAAD/zdV8=")</f>
        <v>#REF!</v>
      </c>
      <c r="CS175" t="e">
        <f>AND('GA55 Entry'!T646,"AAAAAD/zdWA=")</f>
        <v>#VALUE!</v>
      </c>
      <c r="CT175" t="e">
        <f>AND('GA55 Entry'!U646,"AAAAAD/zdWE=")</f>
        <v>#VALUE!</v>
      </c>
      <c r="CU175" t="e">
        <f>AND('GA55 Entry'!V646,"AAAAAD/zdWI=")</f>
        <v>#VALUE!</v>
      </c>
      <c r="CV175" t="e">
        <f>AND('GA55 Entry'!#REF!,"AAAAAD/zdWM=")</f>
        <v>#REF!</v>
      </c>
      <c r="CW175" t="e">
        <f>AND('GA55 Entry'!#REF!,"AAAAAD/zdWQ=")</f>
        <v>#REF!</v>
      </c>
      <c r="CX175" t="e">
        <f>AND('GA55 Entry'!X646,"AAAAAD/zdWU=")</f>
        <v>#VALUE!</v>
      </c>
      <c r="CY175" t="e">
        <f>AND('GA55 Entry'!Y646,"AAAAAD/zdWY=")</f>
        <v>#VALUE!</v>
      </c>
      <c r="CZ175" t="e">
        <f>AND('GA55 Entry'!#REF!,"AAAAAD/zdWc=")</f>
        <v>#REF!</v>
      </c>
      <c r="DA175" t="e">
        <f>AND('GA55 Entry'!#REF!,"AAAAAD/zdWg=")</f>
        <v>#REF!</v>
      </c>
      <c r="DB175" t="e">
        <f>AND('GA55 Entry'!#REF!,"AAAAAD/zdWk=")</f>
        <v>#REF!</v>
      </c>
      <c r="DC175" t="e">
        <f>AND('GA55 Entry'!#REF!,"AAAAAD/zdWo=")</f>
        <v>#REF!</v>
      </c>
      <c r="DD175" t="e">
        <f>AND('GA55 Entry'!#REF!,"AAAAAD/zdWs=")</f>
        <v>#REF!</v>
      </c>
      <c r="DE175" t="e">
        <f>AND('GA55 Entry'!#REF!,"AAAAAD/zdWw=")</f>
        <v>#REF!</v>
      </c>
      <c r="DF175" t="e">
        <f>AND('GA55 Entry'!#REF!,"AAAAAD/zdW0=")</f>
        <v>#REF!</v>
      </c>
      <c r="DG175" t="e">
        <f>AND('GA55 Entry'!#REF!,"AAAAAD/zdW4=")</f>
        <v>#REF!</v>
      </c>
      <c r="DH175" t="e">
        <f>AND('GA55 Entry'!#REF!,"AAAAAD/zdW8=")</f>
        <v>#REF!</v>
      </c>
      <c r="DI175" t="e">
        <f>AND('GA55 Entry'!Z646,"AAAAAD/zdXA=")</f>
        <v>#VALUE!</v>
      </c>
      <c r="DJ175" t="e">
        <f>AND('GA55 Entry'!AA646,"AAAAAD/zdXE=")</f>
        <v>#VALUE!</v>
      </c>
      <c r="DK175" t="e">
        <f>AND('GA55 Entry'!#REF!,"AAAAAD/zdXI=")</f>
        <v>#REF!</v>
      </c>
      <c r="DL175" t="e">
        <f>AND('GA55 Entry'!#REF!,"AAAAAD/zdXM=")</f>
        <v>#REF!</v>
      </c>
      <c r="DM175" t="e">
        <f>AND('GA55 Entry'!#REF!,"AAAAAD/zdXQ=")</f>
        <v>#REF!</v>
      </c>
      <c r="DN175" t="e">
        <f>AND('GA55 Entry'!AB646,"AAAAAD/zdXU=")</f>
        <v>#VALUE!</v>
      </c>
      <c r="DO175" t="e">
        <f>AND('GA55 Entry'!AC646,"AAAAAD/zdXY=")</f>
        <v>#VALUE!</v>
      </c>
      <c r="DP175" t="e">
        <f>AND('GA55 Entry'!#REF!,"AAAAAD/zdXc=")</f>
        <v>#REF!</v>
      </c>
      <c r="DQ175">
        <f>IF('GA55 Entry'!647:647,"AAAAAD/zdXg=",0)</f>
        <v>0</v>
      </c>
      <c r="DR175" t="e">
        <f>AND('GA55 Entry'!B647,"AAAAAD/zdXk=")</f>
        <v>#VALUE!</v>
      </c>
      <c r="DS175" t="e">
        <f>AND('GA55 Entry'!#REF!,"AAAAAD/zdXo=")</f>
        <v>#REF!</v>
      </c>
      <c r="DT175" t="e">
        <f>AND('GA55 Entry'!C647,"AAAAAD/zdXs=")</f>
        <v>#VALUE!</v>
      </c>
      <c r="DU175" t="e">
        <f>AND('GA55 Entry'!#REF!,"AAAAAD/zdXw=")</f>
        <v>#REF!</v>
      </c>
      <c r="DV175" t="e">
        <f>AND('GA55 Entry'!#REF!,"AAAAAD/zdX0=")</f>
        <v>#REF!</v>
      </c>
      <c r="DW175" t="e">
        <f>AND('GA55 Entry'!#REF!,"AAAAAD/zdX4=")</f>
        <v>#REF!</v>
      </c>
      <c r="DX175" t="e">
        <f>AND('GA55 Entry'!#REF!,"AAAAAD/zdX8=")</f>
        <v>#REF!</v>
      </c>
      <c r="DY175" t="e">
        <f>AND('GA55 Entry'!#REF!,"AAAAAD/zdYA=")</f>
        <v>#REF!</v>
      </c>
      <c r="DZ175" t="e">
        <f>AND('GA55 Entry'!D647,"AAAAAD/zdYE=")</f>
        <v>#VALUE!</v>
      </c>
      <c r="EA175" t="e">
        <f>AND('GA55 Entry'!#REF!,"AAAAAD/zdYI=")</f>
        <v>#REF!</v>
      </c>
      <c r="EB175" t="e">
        <f>AND('GA55 Entry'!E647,"AAAAAD/zdYM=")</f>
        <v>#VALUE!</v>
      </c>
      <c r="EC175" t="e">
        <f>AND('GA55 Entry'!F647,"AAAAAD/zdYQ=")</f>
        <v>#VALUE!</v>
      </c>
      <c r="ED175" t="e">
        <f>AND('GA55 Entry'!G647,"AAAAAD/zdYU=")</f>
        <v>#VALUE!</v>
      </c>
      <c r="EE175" t="e">
        <f>AND('GA55 Entry'!H647,"AAAAAD/zdYY=")</f>
        <v>#VALUE!</v>
      </c>
      <c r="EF175" t="e">
        <f>AND('GA55 Entry'!I647,"AAAAAD/zdYc=")</f>
        <v>#VALUE!</v>
      </c>
      <c r="EG175" t="e">
        <f>AND('GA55 Entry'!J647,"AAAAAD/zdYg=")</f>
        <v>#VALUE!</v>
      </c>
      <c r="EH175" t="e">
        <f>AND('GA55 Entry'!#REF!,"AAAAAD/zdYk=")</f>
        <v>#REF!</v>
      </c>
      <c r="EI175" t="e">
        <f>AND('GA55 Entry'!K647,"AAAAAD/zdYo=")</f>
        <v>#VALUE!</v>
      </c>
      <c r="EJ175" t="e">
        <f>AND('GA55 Entry'!L647,"AAAAAD/zdYs=")</f>
        <v>#VALUE!</v>
      </c>
      <c r="EK175" t="e">
        <f>AND('GA55 Entry'!M647,"AAAAAD/zdYw=")</f>
        <v>#VALUE!</v>
      </c>
      <c r="EL175" t="e">
        <f>AND('GA55 Entry'!N647,"AAAAAD/zdY0=")</f>
        <v>#VALUE!</v>
      </c>
      <c r="EM175" t="e">
        <f>AND('GA55 Entry'!O647,"AAAAAD/zdY4=")</f>
        <v>#VALUE!</v>
      </c>
      <c r="EN175" t="e">
        <f>AND('GA55 Entry'!P647,"AAAAAD/zdY8=")</f>
        <v>#VALUE!</v>
      </c>
      <c r="EO175" t="e">
        <f>AND('GA55 Entry'!Q647,"AAAAAD/zdZA=")</f>
        <v>#VALUE!</v>
      </c>
      <c r="EP175" t="e">
        <f>AND('GA55 Entry'!S647,"AAAAAD/zdZE=")</f>
        <v>#VALUE!</v>
      </c>
      <c r="EQ175" t="e">
        <f>AND('GA55 Entry'!#REF!,"AAAAAD/zdZI=")</f>
        <v>#REF!</v>
      </c>
      <c r="ER175" t="e">
        <f>AND('GA55 Entry'!T647,"AAAAAD/zdZM=")</f>
        <v>#VALUE!</v>
      </c>
      <c r="ES175" t="e">
        <f>AND('GA55 Entry'!U647,"AAAAAD/zdZQ=")</f>
        <v>#VALUE!</v>
      </c>
      <c r="ET175" t="e">
        <f>AND('GA55 Entry'!V647,"AAAAAD/zdZU=")</f>
        <v>#VALUE!</v>
      </c>
      <c r="EU175" t="e">
        <f>AND('GA55 Entry'!#REF!,"AAAAAD/zdZY=")</f>
        <v>#REF!</v>
      </c>
      <c r="EV175" t="e">
        <f>AND('GA55 Entry'!#REF!,"AAAAAD/zdZc=")</f>
        <v>#REF!</v>
      </c>
      <c r="EW175" t="e">
        <f>AND('GA55 Entry'!X647,"AAAAAD/zdZg=")</f>
        <v>#VALUE!</v>
      </c>
      <c r="EX175" t="e">
        <f>AND('GA55 Entry'!Y647,"AAAAAD/zdZk=")</f>
        <v>#VALUE!</v>
      </c>
      <c r="EY175" t="e">
        <f>AND('GA55 Entry'!#REF!,"AAAAAD/zdZo=")</f>
        <v>#REF!</v>
      </c>
      <c r="EZ175" t="e">
        <f>AND('GA55 Entry'!#REF!,"AAAAAD/zdZs=")</f>
        <v>#REF!</v>
      </c>
      <c r="FA175" t="e">
        <f>AND('GA55 Entry'!#REF!,"AAAAAD/zdZw=")</f>
        <v>#REF!</v>
      </c>
      <c r="FB175" t="e">
        <f>AND('GA55 Entry'!#REF!,"AAAAAD/zdZ0=")</f>
        <v>#REF!</v>
      </c>
      <c r="FC175" t="e">
        <f>AND('GA55 Entry'!#REF!,"AAAAAD/zdZ4=")</f>
        <v>#REF!</v>
      </c>
      <c r="FD175" t="e">
        <f>AND('GA55 Entry'!#REF!,"AAAAAD/zdZ8=")</f>
        <v>#REF!</v>
      </c>
      <c r="FE175" t="e">
        <f>AND('GA55 Entry'!#REF!,"AAAAAD/zdaA=")</f>
        <v>#REF!</v>
      </c>
      <c r="FF175" t="e">
        <f>AND('GA55 Entry'!#REF!,"AAAAAD/zdaE=")</f>
        <v>#REF!</v>
      </c>
      <c r="FG175" t="e">
        <f>AND('GA55 Entry'!#REF!,"AAAAAD/zdaI=")</f>
        <v>#REF!</v>
      </c>
      <c r="FH175" t="e">
        <f>AND('GA55 Entry'!Z647,"AAAAAD/zdaM=")</f>
        <v>#VALUE!</v>
      </c>
      <c r="FI175" t="e">
        <f>AND('GA55 Entry'!AA647,"AAAAAD/zdaQ=")</f>
        <v>#VALUE!</v>
      </c>
      <c r="FJ175" t="e">
        <f>AND('GA55 Entry'!#REF!,"AAAAAD/zdaU=")</f>
        <v>#REF!</v>
      </c>
      <c r="FK175" t="e">
        <f>AND('GA55 Entry'!#REF!,"AAAAAD/zdaY=")</f>
        <v>#REF!</v>
      </c>
      <c r="FL175" t="e">
        <f>AND('GA55 Entry'!#REF!,"AAAAAD/zdac=")</f>
        <v>#REF!</v>
      </c>
      <c r="FM175" t="e">
        <f>AND('GA55 Entry'!AB647,"AAAAAD/zdag=")</f>
        <v>#VALUE!</v>
      </c>
      <c r="FN175" t="e">
        <f>AND('GA55 Entry'!AC647,"AAAAAD/zdak=")</f>
        <v>#VALUE!</v>
      </c>
      <c r="FO175" t="e">
        <f>AND('GA55 Entry'!#REF!,"AAAAAD/zdao=")</f>
        <v>#REF!</v>
      </c>
      <c r="FP175">
        <f>IF('GA55 Entry'!648:648,"AAAAAD/zdas=",0)</f>
        <v>0</v>
      </c>
      <c r="FQ175" t="e">
        <f>AND('GA55 Entry'!B648,"AAAAAD/zdaw=")</f>
        <v>#VALUE!</v>
      </c>
      <c r="FR175" t="e">
        <f>AND('GA55 Entry'!#REF!,"AAAAAD/zda0=")</f>
        <v>#REF!</v>
      </c>
      <c r="FS175" t="e">
        <f>AND('GA55 Entry'!C648,"AAAAAD/zda4=")</f>
        <v>#VALUE!</v>
      </c>
      <c r="FT175" t="e">
        <f>AND('GA55 Entry'!#REF!,"AAAAAD/zda8=")</f>
        <v>#REF!</v>
      </c>
      <c r="FU175" t="e">
        <f>AND('GA55 Entry'!#REF!,"AAAAAD/zdbA=")</f>
        <v>#REF!</v>
      </c>
      <c r="FV175" t="e">
        <f>AND('GA55 Entry'!#REF!,"AAAAAD/zdbE=")</f>
        <v>#REF!</v>
      </c>
      <c r="FW175" t="e">
        <f>AND('GA55 Entry'!#REF!,"AAAAAD/zdbI=")</f>
        <v>#REF!</v>
      </c>
      <c r="FX175" t="e">
        <f>AND('GA55 Entry'!#REF!,"AAAAAD/zdbM=")</f>
        <v>#REF!</v>
      </c>
      <c r="FY175" t="e">
        <f>AND('GA55 Entry'!D648,"AAAAAD/zdbQ=")</f>
        <v>#VALUE!</v>
      </c>
      <c r="FZ175" t="e">
        <f>AND('GA55 Entry'!#REF!,"AAAAAD/zdbU=")</f>
        <v>#REF!</v>
      </c>
      <c r="GA175" t="e">
        <f>AND('GA55 Entry'!E648,"AAAAAD/zdbY=")</f>
        <v>#VALUE!</v>
      </c>
      <c r="GB175" t="e">
        <f>AND('GA55 Entry'!F648,"AAAAAD/zdbc=")</f>
        <v>#VALUE!</v>
      </c>
      <c r="GC175" t="e">
        <f>AND('GA55 Entry'!G648,"AAAAAD/zdbg=")</f>
        <v>#VALUE!</v>
      </c>
      <c r="GD175" t="e">
        <f>AND('GA55 Entry'!H648,"AAAAAD/zdbk=")</f>
        <v>#VALUE!</v>
      </c>
      <c r="GE175" t="e">
        <f>AND('GA55 Entry'!I648,"AAAAAD/zdbo=")</f>
        <v>#VALUE!</v>
      </c>
      <c r="GF175" t="e">
        <f>AND('GA55 Entry'!J648,"AAAAAD/zdbs=")</f>
        <v>#VALUE!</v>
      </c>
      <c r="GG175" t="e">
        <f>AND('GA55 Entry'!#REF!,"AAAAAD/zdbw=")</f>
        <v>#REF!</v>
      </c>
      <c r="GH175" t="e">
        <f>AND('GA55 Entry'!K648,"AAAAAD/zdb0=")</f>
        <v>#VALUE!</v>
      </c>
      <c r="GI175" t="e">
        <f>AND('GA55 Entry'!L648,"AAAAAD/zdb4=")</f>
        <v>#VALUE!</v>
      </c>
      <c r="GJ175" t="e">
        <f>AND('GA55 Entry'!M648,"AAAAAD/zdb8=")</f>
        <v>#VALUE!</v>
      </c>
      <c r="GK175" t="e">
        <f>AND('GA55 Entry'!N648,"AAAAAD/zdcA=")</f>
        <v>#VALUE!</v>
      </c>
      <c r="GL175" t="e">
        <f>AND('GA55 Entry'!O648,"AAAAAD/zdcE=")</f>
        <v>#VALUE!</v>
      </c>
      <c r="GM175" t="e">
        <f>AND('GA55 Entry'!P648,"AAAAAD/zdcI=")</f>
        <v>#VALUE!</v>
      </c>
      <c r="GN175" t="e">
        <f>AND('GA55 Entry'!Q648,"AAAAAD/zdcM=")</f>
        <v>#VALUE!</v>
      </c>
      <c r="GO175" t="e">
        <f>AND('GA55 Entry'!S648,"AAAAAD/zdcQ=")</f>
        <v>#VALUE!</v>
      </c>
      <c r="GP175" t="e">
        <f>AND('GA55 Entry'!#REF!,"AAAAAD/zdcU=")</f>
        <v>#REF!</v>
      </c>
      <c r="GQ175" t="e">
        <f>AND('GA55 Entry'!T648,"AAAAAD/zdcY=")</f>
        <v>#VALUE!</v>
      </c>
      <c r="GR175" t="e">
        <f>AND('GA55 Entry'!U648,"AAAAAD/zdcc=")</f>
        <v>#VALUE!</v>
      </c>
      <c r="GS175" t="e">
        <f>AND('GA55 Entry'!V648,"AAAAAD/zdcg=")</f>
        <v>#VALUE!</v>
      </c>
      <c r="GT175" t="e">
        <f>AND('GA55 Entry'!#REF!,"AAAAAD/zdck=")</f>
        <v>#REF!</v>
      </c>
      <c r="GU175" t="e">
        <f>AND('GA55 Entry'!#REF!,"AAAAAD/zdco=")</f>
        <v>#REF!</v>
      </c>
      <c r="GV175" t="e">
        <f>AND('GA55 Entry'!X648,"AAAAAD/zdcs=")</f>
        <v>#VALUE!</v>
      </c>
      <c r="GW175" t="e">
        <f>AND('GA55 Entry'!Y648,"AAAAAD/zdcw=")</f>
        <v>#VALUE!</v>
      </c>
      <c r="GX175" t="e">
        <f>AND('GA55 Entry'!#REF!,"AAAAAD/zdc0=")</f>
        <v>#REF!</v>
      </c>
      <c r="GY175" t="e">
        <f>AND('GA55 Entry'!#REF!,"AAAAAD/zdc4=")</f>
        <v>#REF!</v>
      </c>
      <c r="GZ175" t="e">
        <f>AND('GA55 Entry'!#REF!,"AAAAAD/zdc8=")</f>
        <v>#REF!</v>
      </c>
      <c r="HA175" t="e">
        <f>AND('GA55 Entry'!#REF!,"AAAAAD/zddA=")</f>
        <v>#REF!</v>
      </c>
      <c r="HB175" t="e">
        <f>AND('GA55 Entry'!#REF!,"AAAAAD/zddE=")</f>
        <v>#REF!</v>
      </c>
      <c r="HC175" t="e">
        <f>AND('GA55 Entry'!#REF!,"AAAAAD/zddI=")</f>
        <v>#REF!</v>
      </c>
      <c r="HD175" t="e">
        <f>AND('GA55 Entry'!#REF!,"AAAAAD/zddM=")</f>
        <v>#REF!</v>
      </c>
      <c r="HE175" t="e">
        <f>AND('GA55 Entry'!#REF!,"AAAAAD/zddQ=")</f>
        <v>#REF!</v>
      </c>
      <c r="HF175" t="e">
        <f>AND('GA55 Entry'!#REF!,"AAAAAD/zddU=")</f>
        <v>#REF!</v>
      </c>
      <c r="HG175" t="e">
        <f>AND('GA55 Entry'!Z648,"AAAAAD/zddY=")</f>
        <v>#VALUE!</v>
      </c>
      <c r="HH175" t="e">
        <f>AND('GA55 Entry'!AA648,"AAAAAD/zddc=")</f>
        <v>#VALUE!</v>
      </c>
      <c r="HI175" t="e">
        <f>AND('GA55 Entry'!#REF!,"AAAAAD/zddg=")</f>
        <v>#REF!</v>
      </c>
      <c r="HJ175" t="e">
        <f>AND('GA55 Entry'!#REF!,"AAAAAD/zddk=")</f>
        <v>#REF!</v>
      </c>
      <c r="HK175" t="e">
        <f>AND('GA55 Entry'!#REF!,"AAAAAD/zddo=")</f>
        <v>#REF!</v>
      </c>
      <c r="HL175" t="e">
        <f>AND('GA55 Entry'!AB648,"AAAAAD/zdds=")</f>
        <v>#VALUE!</v>
      </c>
      <c r="HM175" t="e">
        <f>AND('GA55 Entry'!AC648,"AAAAAD/zddw=")</f>
        <v>#VALUE!</v>
      </c>
      <c r="HN175" t="e">
        <f>AND('GA55 Entry'!#REF!,"AAAAAD/zdd0=")</f>
        <v>#REF!</v>
      </c>
      <c r="HO175">
        <f>IF('GA55 Entry'!649:649,"AAAAAD/zdd4=",0)</f>
        <v>0</v>
      </c>
      <c r="HP175" t="e">
        <f>AND('GA55 Entry'!B649,"AAAAAD/zdd8=")</f>
        <v>#VALUE!</v>
      </c>
      <c r="HQ175" t="e">
        <f>AND('GA55 Entry'!#REF!,"AAAAAD/zdeA=")</f>
        <v>#REF!</v>
      </c>
      <c r="HR175" t="e">
        <f>AND('GA55 Entry'!C649,"AAAAAD/zdeE=")</f>
        <v>#VALUE!</v>
      </c>
      <c r="HS175" t="e">
        <f>AND('GA55 Entry'!#REF!,"AAAAAD/zdeI=")</f>
        <v>#REF!</v>
      </c>
      <c r="HT175" t="e">
        <f>AND('GA55 Entry'!#REF!,"AAAAAD/zdeM=")</f>
        <v>#REF!</v>
      </c>
      <c r="HU175" t="e">
        <f>AND('GA55 Entry'!#REF!,"AAAAAD/zdeQ=")</f>
        <v>#REF!</v>
      </c>
      <c r="HV175" t="e">
        <f>AND('GA55 Entry'!#REF!,"AAAAAD/zdeU=")</f>
        <v>#REF!</v>
      </c>
      <c r="HW175" t="e">
        <f>AND('GA55 Entry'!#REF!,"AAAAAD/zdeY=")</f>
        <v>#REF!</v>
      </c>
      <c r="HX175" t="e">
        <f>AND('GA55 Entry'!D649,"AAAAAD/zdec=")</f>
        <v>#VALUE!</v>
      </c>
      <c r="HY175" t="e">
        <f>AND('GA55 Entry'!#REF!,"AAAAAD/zdeg=")</f>
        <v>#REF!</v>
      </c>
      <c r="HZ175" t="e">
        <f>AND('GA55 Entry'!E649,"AAAAAD/zdek=")</f>
        <v>#VALUE!</v>
      </c>
      <c r="IA175" t="e">
        <f>AND('GA55 Entry'!F649,"AAAAAD/zdeo=")</f>
        <v>#VALUE!</v>
      </c>
      <c r="IB175" t="e">
        <f>AND('GA55 Entry'!G649,"AAAAAD/zdes=")</f>
        <v>#VALUE!</v>
      </c>
      <c r="IC175" t="e">
        <f>AND('GA55 Entry'!H649,"AAAAAD/zdew=")</f>
        <v>#VALUE!</v>
      </c>
      <c r="ID175" t="e">
        <f>AND('GA55 Entry'!I649,"AAAAAD/zde0=")</f>
        <v>#VALUE!</v>
      </c>
      <c r="IE175" t="e">
        <f>AND('GA55 Entry'!J649,"AAAAAD/zde4=")</f>
        <v>#VALUE!</v>
      </c>
      <c r="IF175" t="e">
        <f>AND('GA55 Entry'!#REF!,"AAAAAD/zde8=")</f>
        <v>#REF!</v>
      </c>
      <c r="IG175" t="e">
        <f>AND('GA55 Entry'!K649,"AAAAAD/zdfA=")</f>
        <v>#VALUE!</v>
      </c>
      <c r="IH175" t="e">
        <f>AND('GA55 Entry'!L649,"AAAAAD/zdfE=")</f>
        <v>#VALUE!</v>
      </c>
      <c r="II175" t="e">
        <f>AND('GA55 Entry'!M649,"AAAAAD/zdfI=")</f>
        <v>#VALUE!</v>
      </c>
      <c r="IJ175" t="e">
        <f>AND('GA55 Entry'!N649,"AAAAAD/zdfM=")</f>
        <v>#VALUE!</v>
      </c>
      <c r="IK175" t="e">
        <f>AND('GA55 Entry'!O649,"AAAAAD/zdfQ=")</f>
        <v>#VALUE!</v>
      </c>
      <c r="IL175" t="e">
        <f>AND('GA55 Entry'!P649,"AAAAAD/zdfU=")</f>
        <v>#VALUE!</v>
      </c>
      <c r="IM175" t="e">
        <f>AND('GA55 Entry'!Q649,"AAAAAD/zdfY=")</f>
        <v>#VALUE!</v>
      </c>
      <c r="IN175" t="e">
        <f>AND('GA55 Entry'!S649,"AAAAAD/zdfc=")</f>
        <v>#VALUE!</v>
      </c>
      <c r="IO175" t="e">
        <f>AND('GA55 Entry'!#REF!,"AAAAAD/zdfg=")</f>
        <v>#REF!</v>
      </c>
      <c r="IP175" t="e">
        <f>AND('GA55 Entry'!T649,"AAAAAD/zdfk=")</f>
        <v>#VALUE!</v>
      </c>
      <c r="IQ175" t="e">
        <f>AND('GA55 Entry'!U649,"AAAAAD/zdfo=")</f>
        <v>#VALUE!</v>
      </c>
      <c r="IR175" t="e">
        <f>AND('GA55 Entry'!V649,"AAAAAD/zdfs=")</f>
        <v>#VALUE!</v>
      </c>
      <c r="IS175" t="e">
        <f>AND('GA55 Entry'!#REF!,"AAAAAD/zdfw=")</f>
        <v>#REF!</v>
      </c>
      <c r="IT175" t="e">
        <f>AND('GA55 Entry'!#REF!,"AAAAAD/zdf0=")</f>
        <v>#REF!</v>
      </c>
      <c r="IU175" t="e">
        <f>AND('GA55 Entry'!X649,"AAAAAD/zdf4=")</f>
        <v>#VALUE!</v>
      </c>
      <c r="IV175" t="e">
        <f>AND('GA55 Entry'!Y649,"AAAAAD/zdf8=")</f>
        <v>#VALUE!</v>
      </c>
    </row>
    <row r="176" spans="1:256">
      <c r="A176" t="e">
        <f>AND('GA55 Entry'!#REF!,"AAAAAD9/8wA=")</f>
        <v>#REF!</v>
      </c>
      <c r="B176" t="e">
        <f>AND('GA55 Entry'!#REF!,"AAAAAD9/8wE=")</f>
        <v>#REF!</v>
      </c>
      <c r="C176" t="e">
        <f>AND('GA55 Entry'!#REF!,"AAAAAD9/8wI=")</f>
        <v>#REF!</v>
      </c>
      <c r="D176" t="e">
        <f>AND('GA55 Entry'!#REF!,"AAAAAD9/8wM=")</f>
        <v>#REF!</v>
      </c>
      <c r="E176" t="e">
        <f>AND('GA55 Entry'!#REF!,"AAAAAD9/8wQ=")</f>
        <v>#REF!</v>
      </c>
      <c r="F176" t="e">
        <f>AND('GA55 Entry'!#REF!,"AAAAAD9/8wU=")</f>
        <v>#REF!</v>
      </c>
      <c r="G176" t="e">
        <f>AND('GA55 Entry'!#REF!,"AAAAAD9/8wY=")</f>
        <v>#REF!</v>
      </c>
      <c r="H176" t="e">
        <f>AND('GA55 Entry'!#REF!,"AAAAAD9/8wc=")</f>
        <v>#REF!</v>
      </c>
      <c r="I176" t="e">
        <f>AND('GA55 Entry'!#REF!,"AAAAAD9/8wg=")</f>
        <v>#REF!</v>
      </c>
      <c r="J176" t="e">
        <f>AND('GA55 Entry'!Z649,"AAAAAD9/8wk=")</f>
        <v>#VALUE!</v>
      </c>
      <c r="K176" t="e">
        <f>AND('GA55 Entry'!AA649,"AAAAAD9/8wo=")</f>
        <v>#VALUE!</v>
      </c>
      <c r="L176" t="e">
        <f>AND('GA55 Entry'!#REF!,"AAAAAD9/8ws=")</f>
        <v>#REF!</v>
      </c>
      <c r="M176" t="e">
        <f>AND('GA55 Entry'!#REF!,"AAAAAD9/8ww=")</f>
        <v>#REF!</v>
      </c>
      <c r="N176" t="e">
        <f>AND('GA55 Entry'!#REF!,"AAAAAD9/8w0=")</f>
        <v>#REF!</v>
      </c>
      <c r="O176" t="e">
        <f>AND('GA55 Entry'!AB649,"AAAAAD9/8w4=")</f>
        <v>#VALUE!</v>
      </c>
      <c r="P176" t="e">
        <f>AND('GA55 Entry'!AC649,"AAAAAD9/8w8=")</f>
        <v>#VALUE!</v>
      </c>
      <c r="Q176" t="e">
        <f>AND('GA55 Entry'!#REF!,"AAAAAD9/8xA=")</f>
        <v>#REF!</v>
      </c>
      <c r="R176">
        <f>IF('GA55 Entry'!650:650,"AAAAAD9/8xE=",0)</f>
        <v>0</v>
      </c>
      <c r="S176" t="e">
        <f>AND('GA55 Entry'!B650,"AAAAAD9/8xI=")</f>
        <v>#VALUE!</v>
      </c>
      <c r="T176" t="e">
        <f>AND('GA55 Entry'!#REF!,"AAAAAD9/8xM=")</f>
        <v>#REF!</v>
      </c>
      <c r="U176" t="e">
        <f>AND('GA55 Entry'!C650,"AAAAAD9/8xQ=")</f>
        <v>#VALUE!</v>
      </c>
      <c r="V176" t="e">
        <f>AND('GA55 Entry'!#REF!,"AAAAAD9/8xU=")</f>
        <v>#REF!</v>
      </c>
      <c r="W176" t="e">
        <f>AND('GA55 Entry'!#REF!,"AAAAAD9/8xY=")</f>
        <v>#REF!</v>
      </c>
      <c r="X176" t="e">
        <f>AND('GA55 Entry'!#REF!,"AAAAAD9/8xc=")</f>
        <v>#REF!</v>
      </c>
      <c r="Y176" t="e">
        <f>AND('GA55 Entry'!#REF!,"AAAAAD9/8xg=")</f>
        <v>#REF!</v>
      </c>
      <c r="Z176" t="e">
        <f>AND('GA55 Entry'!#REF!,"AAAAAD9/8xk=")</f>
        <v>#REF!</v>
      </c>
      <c r="AA176" t="e">
        <f>AND('GA55 Entry'!D650,"AAAAAD9/8xo=")</f>
        <v>#VALUE!</v>
      </c>
      <c r="AB176" t="e">
        <f>AND('GA55 Entry'!#REF!,"AAAAAD9/8xs=")</f>
        <v>#REF!</v>
      </c>
      <c r="AC176" t="e">
        <f>AND('GA55 Entry'!E650,"AAAAAD9/8xw=")</f>
        <v>#VALUE!</v>
      </c>
      <c r="AD176" t="e">
        <f>AND('GA55 Entry'!F650,"AAAAAD9/8x0=")</f>
        <v>#VALUE!</v>
      </c>
      <c r="AE176" t="e">
        <f>AND('GA55 Entry'!G650,"AAAAAD9/8x4=")</f>
        <v>#VALUE!</v>
      </c>
      <c r="AF176" t="e">
        <f>AND('GA55 Entry'!H650,"AAAAAD9/8x8=")</f>
        <v>#VALUE!</v>
      </c>
      <c r="AG176" t="e">
        <f>AND('GA55 Entry'!I650,"AAAAAD9/8yA=")</f>
        <v>#VALUE!</v>
      </c>
      <c r="AH176" t="e">
        <f>AND('GA55 Entry'!J650,"AAAAAD9/8yE=")</f>
        <v>#VALUE!</v>
      </c>
      <c r="AI176" t="e">
        <f>AND('GA55 Entry'!#REF!,"AAAAAD9/8yI=")</f>
        <v>#REF!</v>
      </c>
      <c r="AJ176" t="e">
        <f>AND('GA55 Entry'!K650,"AAAAAD9/8yM=")</f>
        <v>#VALUE!</v>
      </c>
      <c r="AK176" t="e">
        <f>AND('GA55 Entry'!L650,"AAAAAD9/8yQ=")</f>
        <v>#VALUE!</v>
      </c>
      <c r="AL176" t="e">
        <f>AND('GA55 Entry'!M650,"AAAAAD9/8yU=")</f>
        <v>#VALUE!</v>
      </c>
      <c r="AM176" t="e">
        <f>AND('GA55 Entry'!N650,"AAAAAD9/8yY=")</f>
        <v>#VALUE!</v>
      </c>
      <c r="AN176" t="e">
        <f>AND('GA55 Entry'!O650,"AAAAAD9/8yc=")</f>
        <v>#VALUE!</v>
      </c>
      <c r="AO176" t="e">
        <f>AND('GA55 Entry'!P650,"AAAAAD9/8yg=")</f>
        <v>#VALUE!</v>
      </c>
      <c r="AP176" t="e">
        <f>AND('GA55 Entry'!Q650,"AAAAAD9/8yk=")</f>
        <v>#VALUE!</v>
      </c>
      <c r="AQ176" t="e">
        <f>AND('GA55 Entry'!S650,"AAAAAD9/8yo=")</f>
        <v>#VALUE!</v>
      </c>
      <c r="AR176" t="e">
        <f>AND('GA55 Entry'!#REF!,"AAAAAD9/8ys=")</f>
        <v>#REF!</v>
      </c>
      <c r="AS176" t="e">
        <f>AND('GA55 Entry'!T650,"AAAAAD9/8yw=")</f>
        <v>#VALUE!</v>
      </c>
      <c r="AT176" t="e">
        <f>AND('GA55 Entry'!U650,"AAAAAD9/8y0=")</f>
        <v>#VALUE!</v>
      </c>
      <c r="AU176" t="e">
        <f>AND('GA55 Entry'!V650,"AAAAAD9/8y4=")</f>
        <v>#VALUE!</v>
      </c>
      <c r="AV176" t="e">
        <f>AND('GA55 Entry'!#REF!,"AAAAAD9/8y8=")</f>
        <v>#REF!</v>
      </c>
      <c r="AW176" t="e">
        <f>AND('GA55 Entry'!#REF!,"AAAAAD9/8zA=")</f>
        <v>#REF!</v>
      </c>
      <c r="AX176" t="e">
        <f>AND('GA55 Entry'!X650,"AAAAAD9/8zE=")</f>
        <v>#VALUE!</v>
      </c>
      <c r="AY176" t="e">
        <f>AND('GA55 Entry'!Y650,"AAAAAD9/8zI=")</f>
        <v>#VALUE!</v>
      </c>
      <c r="AZ176" t="e">
        <f>AND('GA55 Entry'!#REF!,"AAAAAD9/8zM=")</f>
        <v>#REF!</v>
      </c>
      <c r="BA176" t="e">
        <f>AND('GA55 Entry'!#REF!,"AAAAAD9/8zQ=")</f>
        <v>#REF!</v>
      </c>
      <c r="BB176" t="e">
        <f>AND('GA55 Entry'!#REF!,"AAAAAD9/8zU=")</f>
        <v>#REF!</v>
      </c>
      <c r="BC176" t="e">
        <f>AND('GA55 Entry'!#REF!,"AAAAAD9/8zY=")</f>
        <v>#REF!</v>
      </c>
      <c r="BD176" t="e">
        <f>AND('GA55 Entry'!#REF!,"AAAAAD9/8zc=")</f>
        <v>#REF!</v>
      </c>
      <c r="BE176" t="e">
        <f>AND('GA55 Entry'!#REF!,"AAAAAD9/8zg=")</f>
        <v>#REF!</v>
      </c>
      <c r="BF176" t="e">
        <f>AND('GA55 Entry'!#REF!,"AAAAAD9/8zk=")</f>
        <v>#REF!</v>
      </c>
      <c r="BG176" t="e">
        <f>AND('GA55 Entry'!#REF!,"AAAAAD9/8zo=")</f>
        <v>#REF!</v>
      </c>
      <c r="BH176" t="e">
        <f>AND('GA55 Entry'!#REF!,"AAAAAD9/8zs=")</f>
        <v>#REF!</v>
      </c>
      <c r="BI176" t="e">
        <f>AND('GA55 Entry'!Z650,"AAAAAD9/8zw=")</f>
        <v>#VALUE!</v>
      </c>
      <c r="BJ176" t="e">
        <f>AND('GA55 Entry'!AA650,"AAAAAD9/8z0=")</f>
        <v>#VALUE!</v>
      </c>
      <c r="BK176" t="e">
        <f>AND('GA55 Entry'!#REF!,"AAAAAD9/8z4=")</f>
        <v>#REF!</v>
      </c>
      <c r="BL176" t="e">
        <f>AND('GA55 Entry'!#REF!,"AAAAAD9/8z8=")</f>
        <v>#REF!</v>
      </c>
      <c r="BM176" t="e">
        <f>AND('GA55 Entry'!#REF!,"AAAAAD9/80A=")</f>
        <v>#REF!</v>
      </c>
      <c r="BN176" t="e">
        <f>AND('GA55 Entry'!AB650,"AAAAAD9/80E=")</f>
        <v>#VALUE!</v>
      </c>
      <c r="BO176" t="e">
        <f>AND('GA55 Entry'!AC650,"AAAAAD9/80I=")</f>
        <v>#VALUE!</v>
      </c>
      <c r="BP176" t="e">
        <f>AND('GA55 Entry'!#REF!,"AAAAAD9/80M=")</f>
        <v>#REF!</v>
      </c>
      <c r="BQ176">
        <f>IF('GA55 Entry'!651:651,"AAAAAD9/80Q=",0)</f>
        <v>0</v>
      </c>
      <c r="BR176" t="e">
        <f>AND('GA55 Entry'!B651,"AAAAAD9/80U=")</f>
        <v>#VALUE!</v>
      </c>
      <c r="BS176" t="e">
        <f>AND('GA55 Entry'!#REF!,"AAAAAD9/80Y=")</f>
        <v>#REF!</v>
      </c>
      <c r="BT176" t="e">
        <f>AND('GA55 Entry'!C651,"AAAAAD9/80c=")</f>
        <v>#VALUE!</v>
      </c>
      <c r="BU176" t="e">
        <f>AND('GA55 Entry'!#REF!,"AAAAAD9/80g=")</f>
        <v>#REF!</v>
      </c>
      <c r="BV176" t="e">
        <f>AND('GA55 Entry'!#REF!,"AAAAAD9/80k=")</f>
        <v>#REF!</v>
      </c>
      <c r="BW176" t="e">
        <f>AND('GA55 Entry'!#REF!,"AAAAAD9/80o=")</f>
        <v>#REF!</v>
      </c>
      <c r="BX176" t="e">
        <f>AND('GA55 Entry'!#REF!,"AAAAAD9/80s=")</f>
        <v>#REF!</v>
      </c>
      <c r="BY176" t="e">
        <f>AND('GA55 Entry'!#REF!,"AAAAAD9/80w=")</f>
        <v>#REF!</v>
      </c>
      <c r="BZ176" t="e">
        <f>AND('GA55 Entry'!D651,"AAAAAD9/800=")</f>
        <v>#VALUE!</v>
      </c>
      <c r="CA176" t="e">
        <f>AND('GA55 Entry'!#REF!,"AAAAAD9/804=")</f>
        <v>#REF!</v>
      </c>
      <c r="CB176" t="e">
        <f>AND('GA55 Entry'!E651,"AAAAAD9/808=")</f>
        <v>#VALUE!</v>
      </c>
      <c r="CC176" t="e">
        <f>AND('GA55 Entry'!F651,"AAAAAD9/81A=")</f>
        <v>#VALUE!</v>
      </c>
      <c r="CD176" t="e">
        <f>AND('GA55 Entry'!G651,"AAAAAD9/81E=")</f>
        <v>#VALUE!</v>
      </c>
      <c r="CE176" t="e">
        <f>AND('GA55 Entry'!H651,"AAAAAD9/81I=")</f>
        <v>#VALUE!</v>
      </c>
      <c r="CF176" t="e">
        <f>AND('GA55 Entry'!I651,"AAAAAD9/81M=")</f>
        <v>#VALUE!</v>
      </c>
      <c r="CG176" t="e">
        <f>AND('GA55 Entry'!J651,"AAAAAD9/81Q=")</f>
        <v>#VALUE!</v>
      </c>
      <c r="CH176" t="e">
        <f>AND('GA55 Entry'!#REF!,"AAAAAD9/81U=")</f>
        <v>#REF!</v>
      </c>
      <c r="CI176" t="e">
        <f>AND('GA55 Entry'!K651,"AAAAAD9/81Y=")</f>
        <v>#VALUE!</v>
      </c>
      <c r="CJ176" t="e">
        <f>AND('GA55 Entry'!L651,"AAAAAD9/81c=")</f>
        <v>#VALUE!</v>
      </c>
      <c r="CK176" t="e">
        <f>AND('GA55 Entry'!M651,"AAAAAD9/81g=")</f>
        <v>#VALUE!</v>
      </c>
      <c r="CL176" t="e">
        <f>AND('GA55 Entry'!N651,"AAAAAD9/81k=")</f>
        <v>#VALUE!</v>
      </c>
      <c r="CM176" t="e">
        <f>AND('GA55 Entry'!O651,"AAAAAD9/81o=")</f>
        <v>#VALUE!</v>
      </c>
      <c r="CN176" t="e">
        <f>AND('GA55 Entry'!P651,"AAAAAD9/81s=")</f>
        <v>#VALUE!</v>
      </c>
      <c r="CO176" t="e">
        <f>AND('GA55 Entry'!Q651,"AAAAAD9/81w=")</f>
        <v>#VALUE!</v>
      </c>
      <c r="CP176" t="e">
        <f>AND('GA55 Entry'!S651,"AAAAAD9/810=")</f>
        <v>#VALUE!</v>
      </c>
      <c r="CQ176" t="e">
        <f>AND('GA55 Entry'!#REF!,"AAAAAD9/814=")</f>
        <v>#REF!</v>
      </c>
      <c r="CR176" t="e">
        <f>AND('GA55 Entry'!T651,"AAAAAD9/818=")</f>
        <v>#VALUE!</v>
      </c>
      <c r="CS176" t="e">
        <f>AND('GA55 Entry'!U651,"AAAAAD9/82A=")</f>
        <v>#VALUE!</v>
      </c>
      <c r="CT176" t="e">
        <f>AND('GA55 Entry'!V651,"AAAAAD9/82E=")</f>
        <v>#VALUE!</v>
      </c>
      <c r="CU176" t="e">
        <f>AND('GA55 Entry'!#REF!,"AAAAAD9/82I=")</f>
        <v>#REF!</v>
      </c>
      <c r="CV176" t="e">
        <f>AND('GA55 Entry'!#REF!,"AAAAAD9/82M=")</f>
        <v>#REF!</v>
      </c>
      <c r="CW176" t="e">
        <f>AND('GA55 Entry'!X651,"AAAAAD9/82Q=")</f>
        <v>#VALUE!</v>
      </c>
      <c r="CX176" t="e">
        <f>AND('GA55 Entry'!Y651,"AAAAAD9/82U=")</f>
        <v>#VALUE!</v>
      </c>
      <c r="CY176" t="e">
        <f>AND('GA55 Entry'!#REF!,"AAAAAD9/82Y=")</f>
        <v>#REF!</v>
      </c>
      <c r="CZ176" t="e">
        <f>AND('GA55 Entry'!#REF!,"AAAAAD9/82c=")</f>
        <v>#REF!</v>
      </c>
      <c r="DA176" t="e">
        <f>AND('GA55 Entry'!#REF!,"AAAAAD9/82g=")</f>
        <v>#REF!</v>
      </c>
      <c r="DB176" t="e">
        <f>AND('GA55 Entry'!#REF!,"AAAAAD9/82k=")</f>
        <v>#REF!</v>
      </c>
      <c r="DC176" t="e">
        <f>AND('GA55 Entry'!#REF!,"AAAAAD9/82o=")</f>
        <v>#REF!</v>
      </c>
      <c r="DD176" t="e">
        <f>AND('GA55 Entry'!#REF!,"AAAAAD9/82s=")</f>
        <v>#REF!</v>
      </c>
      <c r="DE176" t="e">
        <f>AND('GA55 Entry'!#REF!,"AAAAAD9/82w=")</f>
        <v>#REF!</v>
      </c>
      <c r="DF176" t="e">
        <f>AND('GA55 Entry'!#REF!,"AAAAAD9/820=")</f>
        <v>#REF!</v>
      </c>
      <c r="DG176" t="e">
        <f>AND('GA55 Entry'!#REF!,"AAAAAD9/824=")</f>
        <v>#REF!</v>
      </c>
      <c r="DH176" t="e">
        <f>AND('GA55 Entry'!Z651,"AAAAAD9/828=")</f>
        <v>#VALUE!</v>
      </c>
      <c r="DI176" t="e">
        <f>AND('GA55 Entry'!AA651,"AAAAAD9/83A=")</f>
        <v>#VALUE!</v>
      </c>
      <c r="DJ176" t="e">
        <f>AND('GA55 Entry'!#REF!,"AAAAAD9/83E=")</f>
        <v>#REF!</v>
      </c>
      <c r="DK176" t="e">
        <f>AND('GA55 Entry'!#REF!,"AAAAAD9/83I=")</f>
        <v>#REF!</v>
      </c>
      <c r="DL176" t="e">
        <f>AND('GA55 Entry'!#REF!,"AAAAAD9/83M=")</f>
        <v>#REF!</v>
      </c>
      <c r="DM176" t="e">
        <f>AND('GA55 Entry'!AB651,"AAAAAD9/83Q=")</f>
        <v>#VALUE!</v>
      </c>
      <c r="DN176" t="e">
        <f>AND('GA55 Entry'!AC651,"AAAAAD9/83U=")</f>
        <v>#VALUE!</v>
      </c>
      <c r="DO176" t="e">
        <f>AND('GA55 Entry'!#REF!,"AAAAAD9/83Y=")</f>
        <v>#REF!</v>
      </c>
      <c r="DP176">
        <f>IF('GA55 Entry'!652:652,"AAAAAD9/83c=",0)</f>
        <v>0</v>
      </c>
      <c r="DQ176" t="e">
        <f>AND('GA55 Entry'!B652,"AAAAAD9/83g=")</f>
        <v>#VALUE!</v>
      </c>
      <c r="DR176" t="e">
        <f>AND('GA55 Entry'!#REF!,"AAAAAD9/83k=")</f>
        <v>#REF!</v>
      </c>
      <c r="DS176" t="e">
        <f>AND('GA55 Entry'!C652,"AAAAAD9/83o=")</f>
        <v>#VALUE!</v>
      </c>
      <c r="DT176" t="e">
        <f>AND('GA55 Entry'!#REF!,"AAAAAD9/83s=")</f>
        <v>#REF!</v>
      </c>
      <c r="DU176" t="e">
        <f>AND('GA55 Entry'!#REF!,"AAAAAD9/83w=")</f>
        <v>#REF!</v>
      </c>
      <c r="DV176" t="e">
        <f>AND('GA55 Entry'!#REF!,"AAAAAD9/830=")</f>
        <v>#REF!</v>
      </c>
      <c r="DW176" t="e">
        <f>AND('GA55 Entry'!#REF!,"AAAAAD9/834=")</f>
        <v>#REF!</v>
      </c>
      <c r="DX176" t="e">
        <f>AND('GA55 Entry'!#REF!,"AAAAAD9/838=")</f>
        <v>#REF!</v>
      </c>
      <c r="DY176" t="e">
        <f>AND('GA55 Entry'!D652,"AAAAAD9/84A=")</f>
        <v>#VALUE!</v>
      </c>
      <c r="DZ176" t="e">
        <f>AND('GA55 Entry'!#REF!,"AAAAAD9/84E=")</f>
        <v>#REF!</v>
      </c>
      <c r="EA176" t="e">
        <f>AND('GA55 Entry'!E652,"AAAAAD9/84I=")</f>
        <v>#VALUE!</v>
      </c>
      <c r="EB176" t="e">
        <f>AND('GA55 Entry'!F652,"AAAAAD9/84M=")</f>
        <v>#VALUE!</v>
      </c>
      <c r="EC176" t="e">
        <f>AND('GA55 Entry'!G652,"AAAAAD9/84Q=")</f>
        <v>#VALUE!</v>
      </c>
      <c r="ED176" t="e">
        <f>AND('GA55 Entry'!H652,"AAAAAD9/84U=")</f>
        <v>#VALUE!</v>
      </c>
      <c r="EE176" t="e">
        <f>AND('GA55 Entry'!I652,"AAAAAD9/84Y=")</f>
        <v>#VALUE!</v>
      </c>
      <c r="EF176" t="e">
        <f>AND('GA55 Entry'!J652,"AAAAAD9/84c=")</f>
        <v>#VALUE!</v>
      </c>
      <c r="EG176" t="e">
        <f>AND('GA55 Entry'!#REF!,"AAAAAD9/84g=")</f>
        <v>#REF!</v>
      </c>
      <c r="EH176" t="e">
        <f>AND('GA55 Entry'!K652,"AAAAAD9/84k=")</f>
        <v>#VALUE!</v>
      </c>
      <c r="EI176" t="e">
        <f>AND('GA55 Entry'!L652,"AAAAAD9/84o=")</f>
        <v>#VALUE!</v>
      </c>
      <c r="EJ176" t="e">
        <f>AND('GA55 Entry'!M652,"AAAAAD9/84s=")</f>
        <v>#VALUE!</v>
      </c>
      <c r="EK176" t="e">
        <f>AND('GA55 Entry'!N652,"AAAAAD9/84w=")</f>
        <v>#VALUE!</v>
      </c>
      <c r="EL176" t="e">
        <f>AND('GA55 Entry'!O652,"AAAAAD9/840=")</f>
        <v>#VALUE!</v>
      </c>
      <c r="EM176" t="e">
        <f>AND('GA55 Entry'!P652,"AAAAAD9/844=")</f>
        <v>#VALUE!</v>
      </c>
      <c r="EN176" t="e">
        <f>AND('GA55 Entry'!Q652,"AAAAAD9/848=")</f>
        <v>#VALUE!</v>
      </c>
      <c r="EO176" t="e">
        <f>AND('GA55 Entry'!S652,"AAAAAD9/85A=")</f>
        <v>#VALUE!</v>
      </c>
      <c r="EP176" t="e">
        <f>AND('GA55 Entry'!#REF!,"AAAAAD9/85E=")</f>
        <v>#REF!</v>
      </c>
      <c r="EQ176" t="e">
        <f>AND('GA55 Entry'!T652,"AAAAAD9/85I=")</f>
        <v>#VALUE!</v>
      </c>
      <c r="ER176" t="e">
        <f>AND('GA55 Entry'!U652,"AAAAAD9/85M=")</f>
        <v>#VALUE!</v>
      </c>
      <c r="ES176" t="e">
        <f>AND('GA55 Entry'!V652,"AAAAAD9/85Q=")</f>
        <v>#VALUE!</v>
      </c>
      <c r="ET176" t="e">
        <f>AND('GA55 Entry'!#REF!,"AAAAAD9/85U=")</f>
        <v>#REF!</v>
      </c>
      <c r="EU176" t="e">
        <f>AND('GA55 Entry'!#REF!,"AAAAAD9/85Y=")</f>
        <v>#REF!</v>
      </c>
      <c r="EV176" t="e">
        <f>AND('GA55 Entry'!X652,"AAAAAD9/85c=")</f>
        <v>#VALUE!</v>
      </c>
      <c r="EW176" t="e">
        <f>AND('GA55 Entry'!Y652,"AAAAAD9/85g=")</f>
        <v>#VALUE!</v>
      </c>
      <c r="EX176" t="e">
        <f>AND('GA55 Entry'!#REF!,"AAAAAD9/85k=")</f>
        <v>#REF!</v>
      </c>
      <c r="EY176" t="e">
        <f>AND('GA55 Entry'!#REF!,"AAAAAD9/85o=")</f>
        <v>#REF!</v>
      </c>
      <c r="EZ176" t="e">
        <f>AND('GA55 Entry'!#REF!,"AAAAAD9/85s=")</f>
        <v>#REF!</v>
      </c>
      <c r="FA176" t="e">
        <f>AND('GA55 Entry'!#REF!,"AAAAAD9/85w=")</f>
        <v>#REF!</v>
      </c>
      <c r="FB176" t="e">
        <f>AND('GA55 Entry'!#REF!,"AAAAAD9/850=")</f>
        <v>#REF!</v>
      </c>
      <c r="FC176" t="e">
        <f>AND('GA55 Entry'!#REF!,"AAAAAD9/854=")</f>
        <v>#REF!</v>
      </c>
      <c r="FD176" t="e">
        <f>AND('GA55 Entry'!#REF!,"AAAAAD9/858=")</f>
        <v>#REF!</v>
      </c>
      <c r="FE176" t="e">
        <f>AND('GA55 Entry'!#REF!,"AAAAAD9/86A=")</f>
        <v>#REF!</v>
      </c>
      <c r="FF176" t="e">
        <f>AND('GA55 Entry'!#REF!,"AAAAAD9/86E=")</f>
        <v>#REF!</v>
      </c>
      <c r="FG176" t="e">
        <f>AND('GA55 Entry'!Z652,"AAAAAD9/86I=")</f>
        <v>#VALUE!</v>
      </c>
      <c r="FH176" t="e">
        <f>AND('GA55 Entry'!AA652,"AAAAAD9/86M=")</f>
        <v>#VALUE!</v>
      </c>
      <c r="FI176" t="e">
        <f>AND('GA55 Entry'!#REF!,"AAAAAD9/86Q=")</f>
        <v>#REF!</v>
      </c>
      <c r="FJ176" t="e">
        <f>AND('GA55 Entry'!#REF!,"AAAAAD9/86U=")</f>
        <v>#REF!</v>
      </c>
      <c r="FK176" t="e">
        <f>AND('GA55 Entry'!#REF!,"AAAAAD9/86Y=")</f>
        <v>#REF!</v>
      </c>
      <c r="FL176" t="e">
        <f>AND('GA55 Entry'!AB652,"AAAAAD9/86c=")</f>
        <v>#VALUE!</v>
      </c>
      <c r="FM176" t="e">
        <f>AND('GA55 Entry'!AC652,"AAAAAD9/86g=")</f>
        <v>#VALUE!</v>
      </c>
      <c r="FN176" t="e">
        <f>AND('GA55 Entry'!#REF!,"AAAAAD9/86k=")</f>
        <v>#REF!</v>
      </c>
      <c r="FO176">
        <f>IF('GA55 Entry'!653:653,"AAAAAD9/86o=",0)</f>
        <v>0</v>
      </c>
      <c r="FP176" t="e">
        <f>AND('GA55 Entry'!B653,"AAAAAD9/86s=")</f>
        <v>#VALUE!</v>
      </c>
      <c r="FQ176" t="e">
        <f>AND('GA55 Entry'!#REF!,"AAAAAD9/86w=")</f>
        <v>#REF!</v>
      </c>
      <c r="FR176" t="e">
        <f>AND('GA55 Entry'!C653,"AAAAAD9/860=")</f>
        <v>#VALUE!</v>
      </c>
      <c r="FS176" t="e">
        <f>AND('GA55 Entry'!#REF!,"AAAAAD9/864=")</f>
        <v>#REF!</v>
      </c>
      <c r="FT176" t="e">
        <f>AND('GA55 Entry'!#REF!,"AAAAAD9/868=")</f>
        <v>#REF!</v>
      </c>
      <c r="FU176" t="e">
        <f>AND('GA55 Entry'!#REF!,"AAAAAD9/87A=")</f>
        <v>#REF!</v>
      </c>
      <c r="FV176" t="e">
        <f>AND('GA55 Entry'!#REF!,"AAAAAD9/87E=")</f>
        <v>#REF!</v>
      </c>
      <c r="FW176" t="e">
        <f>AND('GA55 Entry'!#REF!,"AAAAAD9/87I=")</f>
        <v>#REF!</v>
      </c>
      <c r="FX176" t="e">
        <f>AND('GA55 Entry'!D653,"AAAAAD9/87M=")</f>
        <v>#VALUE!</v>
      </c>
      <c r="FY176" t="e">
        <f>AND('GA55 Entry'!#REF!,"AAAAAD9/87Q=")</f>
        <v>#REF!</v>
      </c>
      <c r="FZ176" t="e">
        <f>AND('GA55 Entry'!E653,"AAAAAD9/87U=")</f>
        <v>#VALUE!</v>
      </c>
      <c r="GA176" t="e">
        <f>AND('GA55 Entry'!F653,"AAAAAD9/87Y=")</f>
        <v>#VALUE!</v>
      </c>
      <c r="GB176" t="e">
        <f>AND('GA55 Entry'!G653,"AAAAAD9/87c=")</f>
        <v>#VALUE!</v>
      </c>
      <c r="GC176" t="e">
        <f>AND('GA55 Entry'!H653,"AAAAAD9/87g=")</f>
        <v>#VALUE!</v>
      </c>
      <c r="GD176" t="e">
        <f>AND('GA55 Entry'!I653,"AAAAAD9/87k=")</f>
        <v>#VALUE!</v>
      </c>
      <c r="GE176" t="e">
        <f>AND('GA55 Entry'!J653,"AAAAAD9/87o=")</f>
        <v>#VALUE!</v>
      </c>
      <c r="GF176" t="e">
        <f>AND('GA55 Entry'!#REF!,"AAAAAD9/87s=")</f>
        <v>#REF!</v>
      </c>
      <c r="GG176" t="e">
        <f>AND('GA55 Entry'!K653,"AAAAAD9/87w=")</f>
        <v>#VALUE!</v>
      </c>
      <c r="GH176" t="e">
        <f>AND('GA55 Entry'!L653,"AAAAAD9/870=")</f>
        <v>#VALUE!</v>
      </c>
      <c r="GI176" t="e">
        <f>AND('GA55 Entry'!M653,"AAAAAD9/874=")</f>
        <v>#VALUE!</v>
      </c>
      <c r="GJ176" t="e">
        <f>AND('GA55 Entry'!N653,"AAAAAD9/878=")</f>
        <v>#VALUE!</v>
      </c>
      <c r="GK176" t="e">
        <f>AND('GA55 Entry'!O653,"AAAAAD9/88A=")</f>
        <v>#VALUE!</v>
      </c>
      <c r="GL176" t="e">
        <f>AND('GA55 Entry'!P653,"AAAAAD9/88E=")</f>
        <v>#VALUE!</v>
      </c>
      <c r="GM176" t="e">
        <f>AND('GA55 Entry'!Q653,"AAAAAD9/88I=")</f>
        <v>#VALUE!</v>
      </c>
      <c r="GN176" t="e">
        <f>AND('GA55 Entry'!S653,"AAAAAD9/88M=")</f>
        <v>#VALUE!</v>
      </c>
      <c r="GO176" t="e">
        <f>AND('GA55 Entry'!#REF!,"AAAAAD9/88Q=")</f>
        <v>#REF!</v>
      </c>
      <c r="GP176" t="e">
        <f>AND('GA55 Entry'!T653,"AAAAAD9/88U=")</f>
        <v>#VALUE!</v>
      </c>
      <c r="GQ176" t="e">
        <f>AND('GA55 Entry'!U653,"AAAAAD9/88Y=")</f>
        <v>#VALUE!</v>
      </c>
      <c r="GR176" t="e">
        <f>AND('GA55 Entry'!V653,"AAAAAD9/88c=")</f>
        <v>#VALUE!</v>
      </c>
      <c r="GS176" t="e">
        <f>AND('GA55 Entry'!#REF!,"AAAAAD9/88g=")</f>
        <v>#REF!</v>
      </c>
      <c r="GT176" t="e">
        <f>AND('GA55 Entry'!#REF!,"AAAAAD9/88k=")</f>
        <v>#REF!</v>
      </c>
      <c r="GU176" t="e">
        <f>AND('GA55 Entry'!X653,"AAAAAD9/88o=")</f>
        <v>#VALUE!</v>
      </c>
      <c r="GV176" t="e">
        <f>AND('GA55 Entry'!Y653,"AAAAAD9/88s=")</f>
        <v>#VALUE!</v>
      </c>
      <c r="GW176" t="e">
        <f>AND('GA55 Entry'!#REF!,"AAAAAD9/88w=")</f>
        <v>#REF!</v>
      </c>
      <c r="GX176" t="e">
        <f>AND('GA55 Entry'!#REF!,"AAAAAD9/880=")</f>
        <v>#REF!</v>
      </c>
      <c r="GY176" t="e">
        <f>AND('GA55 Entry'!#REF!,"AAAAAD9/884=")</f>
        <v>#REF!</v>
      </c>
      <c r="GZ176" t="e">
        <f>AND('GA55 Entry'!#REF!,"AAAAAD9/888=")</f>
        <v>#REF!</v>
      </c>
      <c r="HA176" t="e">
        <f>AND('GA55 Entry'!#REF!,"AAAAAD9/89A=")</f>
        <v>#REF!</v>
      </c>
      <c r="HB176" t="e">
        <f>AND('GA55 Entry'!#REF!,"AAAAAD9/89E=")</f>
        <v>#REF!</v>
      </c>
      <c r="HC176" t="e">
        <f>AND('GA55 Entry'!#REF!,"AAAAAD9/89I=")</f>
        <v>#REF!</v>
      </c>
      <c r="HD176" t="e">
        <f>AND('GA55 Entry'!#REF!,"AAAAAD9/89M=")</f>
        <v>#REF!</v>
      </c>
      <c r="HE176" t="e">
        <f>AND('GA55 Entry'!#REF!,"AAAAAD9/89Q=")</f>
        <v>#REF!</v>
      </c>
      <c r="HF176" t="e">
        <f>AND('GA55 Entry'!Z653,"AAAAAD9/89U=")</f>
        <v>#VALUE!</v>
      </c>
      <c r="HG176" t="e">
        <f>AND('GA55 Entry'!AA653,"AAAAAD9/89Y=")</f>
        <v>#VALUE!</v>
      </c>
      <c r="HH176" t="e">
        <f>AND('GA55 Entry'!#REF!,"AAAAAD9/89c=")</f>
        <v>#REF!</v>
      </c>
      <c r="HI176" t="e">
        <f>AND('GA55 Entry'!#REF!,"AAAAAD9/89g=")</f>
        <v>#REF!</v>
      </c>
      <c r="HJ176" t="e">
        <f>AND('GA55 Entry'!#REF!,"AAAAAD9/89k=")</f>
        <v>#REF!</v>
      </c>
      <c r="HK176" t="e">
        <f>AND('GA55 Entry'!AB653,"AAAAAD9/89o=")</f>
        <v>#VALUE!</v>
      </c>
      <c r="HL176" t="e">
        <f>AND('GA55 Entry'!AC653,"AAAAAD9/89s=")</f>
        <v>#VALUE!</v>
      </c>
      <c r="HM176" t="e">
        <f>AND('GA55 Entry'!#REF!,"AAAAAD9/89w=")</f>
        <v>#REF!</v>
      </c>
      <c r="HN176">
        <f>IF('GA55 Entry'!654:654,"AAAAAD9/890=",0)</f>
        <v>0</v>
      </c>
      <c r="HO176" t="e">
        <f>AND('GA55 Entry'!B654,"AAAAAD9/894=")</f>
        <v>#VALUE!</v>
      </c>
      <c r="HP176" t="e">
        <f>AND('GA55 Entry'!#REF!,"AAAAAD9/898=")</f>
        <v>#REF!</v>
      </c>
      <c r="HQ176" t="e">
        <f>AND('GA55 Entry'!C654,"AAAAAD9/8+A=")</f>
        <v>#VALUE!</v>
      </c>
      <c r="HR176" t="e">
        <f>AND('GA55 Entry'!#REF!,"AAAAAD9/8+E=")</f>
        <v>#REF!</v>
      </c>
      <c r="HS176" t="e">
        <f>AND('GA55 Entry'!#REF!,"AAAAAD9/8+I=")</f>
        <v>#REF!</v>
      </c>
      <c r="HT176" t="e">
        <f>AND('GA55 Entry'!#REF!,"AAAAAD9/8+M=")</f>
        <v>#REF!</v>
      </c>
      <c r="HU176" t="e">
        <f>AND('GA55 Entry'!#REF!,"AAAAAD9/8+Q=")</f>
        <v>#REF!</v>
      </c>
      <c r="HV176" t="e">
        <f>AND('GA55 Entry'!#REF!,"AAAAAD9/8+U=")</f>
        <v>#REF!</v>
      </c>
      <c r="HW176" t="e">
        <f>AND('GA55 Entry'!D654,"AAAAAD9/8+Y=")</f>
        <v>#VALUE!</v>
      </c>
      <c r="HX176" t="e">
        <f>AND('GA55 Entry'!#REF!,"AAAAAD9/8+c=")</f>
        <v>#REF!</v>
      </c>
      <c r="HY176" t="e">
        <f>AND('GA55 Entry'!E654,"AAAAAD9/8+g=")</f>
        <v>#VALUE!</v>
      </c>
      <c r="HZ176" t="e">
        <f>AND('GA55 Entry'!F654,"AAAAAD9/8+k=")</f>
        <v>#VALUE!</v>
      </c>
      <c r="IA176" t="e">
        <f>AND('GA55 Entry'!G654,"AAAAAD9/8+o=")</f>
        <v>#VALUE!</v>
      </c>
      <c r="IB176" t="e">
        <f>AND('GA55 Entry'!H654,"AAAAAD9/8+s=")</f>
        <v>#VALUE!</v>
      </c>
      <c r="IC176" t="e">
        <f>AND('GA55 Entry'!I654,"AAAAAD9/8+w=")</f>
        <v>#VALUE!</v>
      </c>
      <c r="ID176" t="e">
        <f>AND('GA55 Entry'!J654,"AAAAAD9/8+0=")</f>
        <v>#VALUE!</v>
      </c>
      <c r="IE176" t="e">
        <f>AND('GA55 Entry'!#REF!,"AAAAAD9/8+4=")</f>
        <v>#REF!</v>
      </c>
      <c r="IF176" t="e">
        <f>AND('GA55 Entry'!K654,"AAAAAD9/8+8=")</f>
        <v>#VALUE!</v>
      </c>
      <c r="IG176" t="e">
        <f>AND('GA55 Entry'!L654,"AAAAAD9/8/A=")</f>
        <v>#VALUE!</v>
      </c>
      <c r="IH176" t="e">
        <f>AND('GA55 Entry'!M654,"AAAAAD9/8/E=")</f>
        <v>#VALUE!</v>
      </c>
      <c r="II176" t="e">
        <f>AND('GA55 Entry'!N654,"AAAAAD9/8/I=")</f>
        <v>#VALUE!</v>
      </c>
      <c r="IJ176" t="e">
        <f>AND('GA55 Entry'!O654,"AAAAAD9/8/M=")</f>
        <v>#VALUE!</v>
      </c>
      <c r="IK176" t="e">
        <f>AND('GA55 Entry'!P654,"AAAAAD9/8/Q=")</f>
        <v>#VALUE!</v>
      </c>
      <c r="IL176" t="e">
        <f>AND('GA55 Entry'!Q654,"AAAAAD9/8/U=")</f>
        <v>#VALUE!</v>
      </c>
      <c r="IM176" t="e">
        <f>AND('GA55 Entry'!S654,"AAAAAD9/8/Y=")</f>
        <v>#VALUE!</v>
      </c>
      <c r="IN176" t="e">
        <f>AND('GA55 Entry'!#REF!,"AAAAAD9/8/c=")</f>
        <v>#REF!</v>
      </c>
      <c r="IO176" t="e">
        <f>AND('GA55 Entry'!T654,"AAAAAD9/8/g=")</f>
        <v>#VALUE!</v>
      </c>
      <c r="IP176" t="e">
        <f>AND('GA55 Entry'!U654,"AAAAAD9/8/k=")</f>
        <v>#VALUE!</v>
      </c>
      <c r="IQ176" t="e">
        <f>AND('GA55 Entry'!V654,"AAAAAD9/8/o=")</f>
        <v>#VALUE!</v>
      </c>
      <c r="IR176" t="e">
        <f>AND('GA55 Entry'!#REF!,"AAAAAD9/8/s=")</f>
        <v>#REF!</v>
      </c>
      <c r="IS176" t="e">
        <f>AND('GA55 Entry'!#REF!,"AAAAAD9/8/w=")</f>
        <v>#REF!</v>
      </c>
      <c r="IT176" t="e">
        <f>AND('GA55 Entry'!X654,"AAAAAD9/8/0=")</f>
        <v>#VALUE!</v>
      </c>
      <c r="IU176" t="e">
        <f>AND('GA55 Entry'!Y654,"AAAAAD9/8/4=")</f>
        <v>#VALUE!</v>
      </c>
      <c r="IV176" t="e">
        <f>AND('GA55 Entry'!#REF!,"AAAAAD9/8/8=")</f>
        <v>#REF!</v>
      </c>
    </row>
    <row r="177" spans="1:256">
      <c r="A177" t="e">
        <f>AND('GA55 Entry'!#REF!,"AAAAAH7/uQA=")</f>
        <v>#REF!</v>
      </c>
      <c r="B177" t="e">
        <f>AND('GA55 Entry'!#REF!,"AAAAAH7/uQE=")</f>
        <v>#REF!</v>
      </c>
      <c r="C177" t="e">
        <f>AND('GA55 Entry'!#REF!,"AAAAAH7/uQI=")</f>
        <v>#REF!</v>
      </c>
      <c r="D177" t="e">
        <f>AND('GA55 Entry'!#REF!,"AAAAAH7/uQM=")</f>
        <v>#REF!</v>
      </c>
      <c r="E177" t="e">
        <f>AND('GA55 Entry'!#REF!,"AAAAAH7/uQQ=")</f>
        <v>#REF!</v>
      </c>
      <c r="F177" t="e">
        <f>AND('GA55 Entry'!#REF!,"AAAAAH7/uQU=")</f>
        <v>#REF!</v>
      </c>
      <c r="G177" t="e">
        <f>AND('GA55 Entry'!#REF!,"AAAAAH7/uQY=")</f>
        <v>#REF!</v>
      </c>
      <c r="H177" t="e">
        <f>AND('GA55 Entry'!#REF!,"AAAAAH7/uQc=")</f>
        <v>#REF!</v>
      </c>
      <c r="I177" t="e">
        <f>AND('GA55 Entry'!Z654,"AAAAAH7/uQg=")</f>
        <v>#VALUE!</v>
      </c>
      <c r="J177" t="e">
        <f>AND('GA55 Entry'!AA654,"AAAAAH7/uQk=")</f>
        <v>#VALUE!</v>
      </c>
      <c r="K177" t="e">
        <f>AND('GA55 Entry'!#REF!,"AAAAAH7/uQo=")</f>
        <v>#REF!</v>
      </c>
      <c r="L177" t="e">
        <f>AND('GA55 Entry'!#REF!,"AAAAAH7/uQs=")</f>
        <v>#REF!</v>
      </c>
      <c r="M177" t="e">
        <f>AND('GA55 Entry'!#REF!,"AAAAAH7/uQw=")</f>
        <v>#REF!</v>
      </c>
      <c r="N177" t="e">
        <f>AND('GA55 Entry'!AB654,"AAAAAH7/uQ0=")</f>
        <v>#VALUE!</v>
      </c>
      <c r="O177" t="e">
        <f>AND('GA55 Entry'!AC654,"AAAAAH7/uQ4=")</f>
        <v>#VALUE!</v>
      </c>
      <c r="P177" t="e">
        <f>AND('GA55 Entry'!#REF!,"AAAAAH7/uQ8=")</f>
        <v>#REF!</v>
      </c>
      <c r="Q177">
        <f>IF('GA55 Entry'!655:655,"AAAAAH7/uRA=",0)</f>
        <v>0</v>
      </c>
      <c r="R177" t="e">
        <f>AND('GA55 Entry'!B655,"AAAAAH7/uRE=")</f>
        <v>#VALUE!</v>
      </c>
      <c r="S177" t="e">
        <f>AND('GA55 Entry'!#REF!,"AAAAAH7/uRI=")</f>
        <v>#REF!</v>
      </c>
      <c r="T177" t="e">
        <f>AND('GA55 Entry'!C655,"AAAAAH7/uRM=")</f>
        <v>#VALUE!</v>
      </c>
      <c r="U177" t="e">
        <f>AND('GA55 Entry'!#REF!,"AAAAAH7/uRQ=")</f>
        <v>#REF!</v>
      </c>
      <c r="V177" t="e">
        <f>AND('GA55 Entry'!#REF!,"AAAAAH7/uRU=")</f>
        <v>#REF!</v>
      </c>
      <c r="W177" t="e">
        <f>AND('GA55 Entry'!#REF!,"AAAAAH7/uRY=")</f>
        <v>#REF!</v>
      </c>
      <c r="X177" t="e">
        <f>AND('GA55 Entry'!#REF!,"AAAAAH7/uRc=")</f>
        <v>#REF!</v>
      </c>
      <c r="Y177" t="e">
        <f>AND('GA55 Entry'!#REF!,"AAAAAH7/uRg=")</f>
        <v>#REF!</v>
      </c>
      <c r="Z177" t="e">
        <f>AND('GA55 Entry'!D655,"AAAAAH7/uRk=")</f>
        <v>#VALUE!</v>
      </c>
      <c r="AA177" t="e">
        <f>AND('GA55 Entry'!#REF!,"AAAAAH7/uRo=")</f>
        <v>#REF!</v>
      </c>
      <c r="AB177" t="e">
        <f>AND('GA55 Entry'!E655,"AAAAAH7/uRs=")</f>
        <v>#VALUE!</v>
      </c>
      <c r="AC177" t="e">
        <f>AND('GA55 Entry'!F655,"AAAAAH7/uRw=")</f>
        <v>#VALUE!</v>
      </c>
      <c r="AD177" t="e">
        <f>AND('GA55 Entry'!G655,"AAAAAH7/uR0=")</f>
        <v>#VALUE!</v>
      </c>
      <c r="AE177" t="e">
        <f>AND('GA55 Entry'!H655,"AAAAAH7/uR4=")</f>
        <v>#VALUE!</v>
      </c>
      <c r="AF177" t="e">
        <f>AND('GA55 Entry'!I655,"AAAAAH7/uR8=")</f>
        <v>#VALUE!</v>
      </c>
      <c r="AG177" t="e">
        <f>AND('GA55 Entry'!J655,"AAAAAH7/uSA=")</f>
        <v>#VALUE!</v>
      </c>
      <c r="AH177" t="e">
        <f>AND('GA55 Entry'!#REF!,"AAAAAH7/uSE=")</f>
        <v>#REF!</v>
      </c>
      <c r="AI177" t="e">
        <f>AND('GA55 Entry'!K655,"AAAAAH7/uSI=")</f>
        <v>#VALUE!</v>
      </c>
      <c r="AJ177" t="e">
        <f>AND('GA55 Entry'!L655,"AAAAAH7/uSM=")</f>
        <v>#VALUE!</v>
      </c>
      <c r="AK177" t="e">
        <f>AND('GA55 Entry'!M655,"AAAAAH7/uSQ=")</f>
        <v>#VALUE!</v>
      </c>
      <c r="AL177" t="e">
        <f>AND('GA55 Entry'!N655,"AAAAAH7/uSU=")</f>
        <v>#VALUE!</v>
      </c>
      <c r="AM177" t="e">
        <f>AND('GA55 Entry'!O655,"AAAAAH7/uSY=")</f>
        <v>#VALUE!</v>
      </c>
      <c r="AN177" t="e">
        <f>AND('GA55 Entry'!P655,"AAAAAH7/uSc=")</f>
        <v>#VALUE!</v>
      </c>
      <c r="AO177" t="e">
        <f>AND('GA55 Entry'!Q655,"AAAAAH7/uSg=")</f>
        <v>#VALUE!</v>
      </c>
      <c r="AP177" t="e">
        <f>AND('GA55 Entry'!S655,"AAAAAH7/uSk=")</f>
        <v>#VALUE!</v>
      </c>
      <c r="AQ177" t="e">
        <f>AND('GA55 Entry'!#REF!,"AAAAAH7/uSo=")</f>
        <v>#REF!</v>
      </c>
      <c r="AR177" t="e">
        <f>AND('GA55 Entry'!T655,"AAAAAH7/uSs=")</f>
        <v>#VALUE!</v>
      </c>
      <c r="AS177" t="e">
        <f>AND('GA55 Entry'!U655,"AAAAAH7/uSw=")</f>
        <v>#VALUE!</v>
      </c>
      <c r="AT177" t="e">
        <f>AND('GA55 Entry'!V655,"AAAAAH7/uS0=")</f>
        <v>#VALUE!</v>
      </c>
      <c r="AU177" t="e">
        <f>AND('GA55 Entry'!#REF!,"AAAAAH7/uS4=")</f>
        <v>#REF!</v>
      </c>
      <c r="AV177" t="e">
        <f>AND('GA55 Entry'!#REF!,"AAAAAH7/uS8=")</f>
        <v>#REF!</v>
      </c>
      <c r="AW177" t="e">
        <f>AND('GA55 Entry'!X655,"AAAAAH7/uTA=")</f>
        <v>#VALUE!</v>
      </c>
      <c r="AX177" t="e">
        <f>AND('GA55 Entry'!Y655,"AAAAAH7/uTE=")</f>
        <v>#VALUE!</v>
      </c>
      <c r="AY177" t="e">
        <f>AND('GA55 Entry'!#REF!,"AAAAAH7/uTI=")</f>
        <v>#REF!</v>
      </c>
      <c r="AZ177" t="e">
        <f>AND('GA55 Entry'!#REF!,"AAAAAH7/uTM=")</f>
        <v>#REF!</v>
      </c>
      <c r="BA177" t="e">
        <f>AND('GA55 Entry'!#REF!,"AAAAAH7/uTQ=")</f>
        <v>#REF!</v>
      </c>
      <c r="BB177" t="e">
        <f>AND('GA55 Entry'!#REF!,"AAAAAH7/uTU=")</f>
        <v>#REF!</v>
      </c>
      <c r="BC177" t="e">
        <f>AND('GA55 Entry'!#REF!,"AAAAAH7/uTY=")</f>
        <v>#REF!</v>
      </c>
      <c r="BD177" t="e">
        <f>AND('GA55 Entry'!#REF!,"AAAAAH7/uTc=")</f>
        <v>#REF!</v>
      </c>
      <c r="BE177" t="e">
        <f>AND('GA55 Entry'!#REF!,"AAAAAH7/uTg=")</f>
        <v>#REF!</v>
      </c>
      <c r="BF177" t="e">
        <f>AND('GA55 Entry'!#REF!,"AAAAAH7/uTk=")</f>
        <v>#REF!</v>
      </c>
      <c r="BG177" t="e">
        <f>AND('GA55 Entry'!#REF!,"AAAAAH7/uTo=")</f>
        <v>#REF!</v>
      </c>
      <c r="BH177" t="e">
        <f>AND('GA55 Entry'!Z655,"AAAAAH7/uTs=")</f>
        <v>#VALUE!</v>
      </c>
      <c r="BI177" t="e">
        <f>AND('GA55 Entry'!AA655,"AAAAAH7/uTw=")</f>
        <v>#VALUE!</v>
      </c>
      <c r="BJ177" t="e">
        <f>AND('GA55 Entry'!#REF!,"AAAAAH7/uT0=")</f>
        <v>#REF!</v>
      </c>
      <c r="BK177" t="e">
        <f>AND('GA55 Entry'!#REF!,"AAAAAH7/uT4=")</f>
        <v>#REF!</v>
      </c>
      <c r="BL177" t="e">
        <f>AND('GA55 Entry'!#REF!,"AAAAAH7/uT8=")</f>
        <v>#REF!</v>
      </c>
      <c r="BM177" t="e">
        <f>AND('GA55 Entry'!AB655,"AAAAAH7/uUA=")</f>
        <v>#VALUE!</v>
      </c>
      <c r="BN177" t="e">
        <f>AND('GA55 Entry'!AC655,"AAAAAH7/uUE=")</f>
        <v>#VALUE!</v>
      </c>
      <c r="BO177" t="e">
        <f>AND('GA55 Entry'!#REF!,"AAAAAH7/uUI=")</f>
        <v>#REF!</v>
      </c>
      <c r="BP177">
        <f>IF('GA55 Entry'!656:656,"AAAAAH7/uUM=",0)</f>
        <v>0</v>
      </c>
      <c r="BQ177" t="e">
        <f>AND('GA55 Entry'!B656,"AAAAAH7/uUQ=")</f>
        <v>#VALUE!</v>
      </c>
      <c r="BR177" t="e">
        <f>AND('GA55 Entry'!#REF!,"AAAAAH7/uUU=")</f>
        <v>#REF!</v>
      </c>
      <c r="BS177" t="e">
        <f>AND('GA55 Entry'!C656,"AAAAAH7/uUY=")</f>
        <v>#VALUE!</v>
      </c>
      <c r="BT177" t="e">
        <f>AND('GA55 Entry'!#REF!,"AAAAAH7/uUc=")</f>
        <v>#REF!</v>
      </c>
      <c r="BU177" t="e">
        <f>AND('GA55 Entry'!#REF!,"AAAAAH7/uUg=")</f>
        <v>#REF!</v>
      </c>
      <c r="BV177" t="e">
        <f>AND('GA55 Entry'!#REF!,"AAAAAH7/uUk=")</f>
        <v>#REF!</v>
      </c>
      <c r="BW177" t="e">
        <f>AND('GA55 Entry'!#REF!,"AAAAAH7/uUo=")</f>
        <v>#REF!</v>
      </c>
      <c r="BX177" t="e">
        <f>AND('GA55 Entry'!#REF!,"AAAAAH7/uUs=")</f>
        <v>#REF!</v>
      </c>
      <c r="BY177" t="e">
        <f>AND('GA55 Entry'!D656,"AAAAAH7/uUw=")</f>
        <v>#VALUE!</v>
      </c>
      <c r="BZ177" t="e">
        <f>AND('GA55 Entry'!#REF!,"AAAAAH7/uU0=")</f>
        <v>#REF!</v>
      </c>
      <c r="CA177" t="e">
        <f>AND('GA55 Entry'!E656,"AAAAAH7/uU4=")</f>
        <v>#VALUE!</v>
      </c>
      <c r="CB177" t="e">
        <f>AND('GA55 Entry'!F656,"AAAAAH7/uU8=")</f>
        <v>#VALUE!</v>
      </c>
      <c r="CC177" t="e">
        <f>AND('GA55 Entry'!G656,"AAAAAH7/uVA=")</f>
        <v>#VALUE!</v>
      </c>
      <c r="CD177" t="e">
        <f>AND('GA55 Entry'!H656,"AAAAAH7/uVE=")</f>
        <v>#VALUE!</v>
      </c>
      <c r="CE177" t="e">
        <f>AND('GA55 Entry'!I656,"AAAAAH7/uVI=")</f>
        <v>#VALUE!</v>
      </c>
      <c r="CF177" t="e">
        <f>AND('GA55 Entry'!J656,"AAAAAH7/uVM=")</f>
        <v>#VALUE!</v>
      </c>
      <c r="CG177" t="e">
        <f>AND('GA55 Entry'!#REF!,"AAAAAH7/uVQ=")</f>
        <v>#REF!</v>
      </c>
      <c r="CH177" t="e">
        <f>AND('GA55 Entry'!K656,"AAAAAH7/uVU=")</f>
        <v>#VALUE!</v>
      </c>
      <c r="CI177" t="e">
        <f>AND('GA55 Entry'!L656,"AAAAAH7/uVY=")</f>
        <v>#VALUE!</v>
      </c>
      <c r="CJ177" t="e">
        <f>AND('GA55 Entry'!M656,"AAAAAH7/uVc=")</f>
        <v>#VALUE!</v>
      </c>
      <c r="CK177" t="e">
        <f>AND('GA55 Entry'!N656,"AAAAAH7/uVg=")</f>
        <v>#VALUE!</v>
      </c>
      <c r="CL177" t="e">
        <f>AND('GA55 Entry'!O656,"AAAAAH7/uVk=")</f>
        <v>#VALUE!</v>
      </c>
      <c r="CM177" t="e">
        <f>AND('GA55 Entry'!P656,"AAAAAH7/uVo=")</f>
        <v>#VALUE!</v>
      </c>
      <c r="CN177" t="e">
        <f>AND('GA55 Entry'!Q656,"AAAAAH7/uVs=")</f>
        <v>#VALUE!</v>
      </c>
      <c r="CO177" t="e">
        <f>AND('GA55 Entry'!S656,"AAAAAH7/uVw=")</f>
        <v>#VALUE!</v>
      </c>
      <c r="CP177" t="e">
        <f>AND('GA55 Entry'!#REF!,"AAAAAH7/uV0=")</f>
        <v>#REF!</v>
      </c>
      <c r="CQ177" t="e">
        <f>AND('GA55 Entry'!T656,"AAAAAH7/uV4=")</f>
        <v>#VALUE!</v>
      </c>
      <c r="CR177" t="e">
        <f>AND('GA55 Entry'!U656,"AAAAAH7/uV8=")</f>
        <v>#VALUE!</v>
      </c>
      <c r="CS177" t="e">
        <f>AND('GA55 Entry'!V656,"AAAAAH7/uWA=")</f>
        <v>#VALUE!</v>
      </c>
      <c r="CT177" t="e">
        <f>AND('GA55 Entry'!#REF!,"AAAAAH7/uWE=")</f>
        <v>#REF!</v>
      </c>
      <c r="CU177" t="e">
        <f>AND('GA55 Entry'!#REF!,"AAAAAH7/uWI=")</f>
        <v>#REF!</v>
      </c>
      <c r="CV177" t="e">
        <f>AND('GA55 Entry'!X656,"AAAAAH7/uWM=")</f>
        <v>#VALUE!</v>
      </c>
      <c r="CW177" t="e">
        <f>AND('GA55 Entry'!Y656,"AAAAAH7/uWQ=")</f>
        <v>#VALUE!</v>
      </c>
      <c r="CX177" t="e">
        <f>AND('GA55 Entry'!#REF!,"AAAAAH7/uWU=")</f>
        <v>#REF!</v>
      </c>
      <c r="CY177" t="e">
        <f>AND('GA55 Entry'!#REF!,"AAAAAH7/uWY=")</f>
        <v>#REF!</v>
      </c>
      <c r="CZ177" t="e">
        <f>AND('GA55 Entry'!#REF!,"AAAAAH7/uWc=")</f>
        <v>#REF!</v>
      </c>
      <c r="DA177" t="e">
        <f>AND('GA55 Entry'!#REF!,"AAAAAH7/uWg=")</f>
        <v>#REF!</v>
      </c>
      <c r="DB177" t="e">
        <f>AND('GA55 Entry'!#REF!,"AAAAAH7/uWk=")</f>
        <v>#REF!</v>
      </c>
      <c r="DC177" t="e">
        <f>AND('GA55 Entry'!#REF!,"AAAAAH7/uWo=")</f>
        <v>#REF!</v>
      </c>
      <c r="DD177" t="e">
        <f>AND('GA55 Entry'!#REF!,"AAAAAH7/uWs=")</f>
        <v>#REF!</v>
      </c>
      <c r="DE177" t="e">
        <f>AND('GA55 Entry'!#REF!,"AAAAAH7/uWw=")</f>
        <v>#REF!</v>
      </c>
      <c r="DF177" t="e">
        <f>AND('GA55 Entry'!#REF!,"AAAAAH7/uW0=")</f>
        <v>#REF!</v>
      </c>
      <c r="DG177" t="e">
        <f>AND('GA55 Entry'!Z656,"AAAAAH7/uW4=")</f>
        <v>#VALUE!</v>
      </c>
      <c r="DH177" t="e">
        <f>AND('GA55 Entry'!AA656,"AAAAAH7/uW8=")</f>
        <v>#VALUE!</v>
      </c>
      <c r="DI177" t="e">
        <f>AND('GA55 Entry'!#REF!,"AAAAAH7/uXA=")</f>
        <v>#REF!</v>
      </c>
      <c r="DJ177" t="e">
        <f>AND('GA55 Entry'!#REF!,"AAAAAH7/uXE=")</f>
        <v>#REF!</v>
      </c>
      <c r="DK177" t="e">
        <f>AND('GA55 Entry'!#REF!,"AAAAAH7/uXI=")</f>
        <v>#REF!</v>
      </c>
      <c r="DL177" t="e">
        <f>AND('GA55 Entry'!AB656,"AAAAAH7/uXM=")</f>
        <v>#VALUE!</v>
      </c>
      <c r="DM177" t="e">
        <f>AND('GA55 Entry'!AC656,"AAAAAH7/uXQ=")</f>
        <v>#VALUE!</v>
      </c>
      <c r="DN177" t="e">
        <f>AND('GA55 Entry'!#REF!,"AAAAAH7/uXU=")</f>
        <v>#REF!</v>
      </c>
      <c r="DO177">
        <f>IF('GA55 Entry'!657:657,"AAAAAH7/uXY=",0)</f>
        <v>0</v>
      </c>
      <c r="DP177" t="e">
        <f>AND('GA55 Entry'!B657,"AAAAAH7/uXc=")</f>
        <v>#VALUE!</v>
      </c>
      <c r="DQ177" t="e">
        <f>AND('GA55 Entry'!#REF!,"AAAAAH7/uXg=")</f>
        <v>#REF!</v>
      </c>
      <c r="DR177" t="e">
        <f>AND('GA55 Entry'!C657,"AAAAAH7/uXk=")</f>
        <v>#VALUE!</v>
      </c>
      <c r="DS177" t="e">
        <f>AND('GA55 Entry'!#REF!,"AAAAAH7/uXo=")</f>
        <v>#REF!</v>
      </c>
      <c r="DT177" t="e">
        <f>AND('GA55 Entry'!#REF!,"AAAAAH7/uXs=")</f>
        <v>#REF!</v>
      </c>
      <c r="DU177" t="e">
        <f>AND('GA55 Entry'!#REF!,"AAAAAH7/uXw=")</f>
        <v>#REF!</v>
      </c>
      <c r="DV177" t="e">
        <f>AND('GA55 Entry'!#REF!,"AAAAAH7/uX0=")</f>
        <v>#REF!</v>
      </c>
      <c r="DW177" t="e">
        <f>AND('GA55 Entry'!#REF!,"AAAAAH7/uX4=")</f>
        <v>#REF!</v>
      </c>
      <c r="DX177" t="e">
        <f>AND('GA55 Entry'!D657,"AAAAAH7/uX8=")</f>
        <v>#VALUE!</v>
      </c>
      <c r="DY177" t="e">
        <f>AND('GA55 Entry'!#REF!,"AAAAAH7/uYA=")</f>
        <v>#REF!</v>
      </c>
      <c r="DZ177" t="e">
        <f>AND('GA55 Entry'!E657,"AAAAAH7/uYE=")</f>
        <v>#VALUE!</v>
      </c>
      <c r="EA177" t="e">
        <f>AND('GA55 Entry'!F657,"AAAAAH7/uYI=")</f>
        <v>#VALUE!</v>
      </c>
      <c r="EB177" t="e">
        <f>AND('GA55 Entry'!G657,"AAAAAH7/uYM=")</f>
        <v>#VALUE!</v>
      </c>
      <c r="EC177" t="e">
        <f>AND('GA55 Entry'!H657,"AAAAAH7/uYQ=")</f>
        <v>#VALUE!</v>
      </c>
      <c r="ED177" t="e">
        <f>AND('GA55 Entry'!I657,"AAAAAH7/uYU=")</f>
        <v>#VALUE!</v>
      </c>
      <c r="EE177" t="e">
        <f>AND('GA55 Entry'!J657,"AAAAAH7/uYY=")</f>
        <v>#VALUE!</v>
      </c>
      <c r="EF177" t="e">
        <f>AND('GA55 Entry'!#REF!,"AAAAAH7/uYc=")</f>
        <v>#REF!</v>
      </c>
      <c r="EG177" t="e">
        <f>AND('GA55 Entry'!K657,"AAAAAH7/uYg=")</f>
        <v>#VALUE!</v>
      </c>
      <c r="EH177" t="e">
        <f>AND('GA55 Entry'!L657,"AAAAAH7/uYk=")</f>
        <v>#VALUE!</v>
      </c>
      <c r="EI177" t="e">
        <f>AND('GA55 Entry'!M657,"AAAAAH7/uYo=")</f>
        <v>#VALUE!</v>
      </c>
      <c r="EJ177" t="e">
        <f>AND('GA55 Entry'!N657,"AAAAAH7/uYs=")</f>
        <v>#VALUE!</v>
      </c>
      <c r="EK177" t="e">
        <f>AND('GA55 Entry'!O657,"AAAAAH7/uYw=")</f>
        <v>#VALUE!</v>
      </c>
      <c r="EL177" t="e">
        <f>AND('GA55 Entry'!P657,"AAAAAH7/uY0=")</f>
        <v>#VALUE!</v>
      </c>
      <c r="EM177" t="e">
        <f>AND('GA55 Entry'!Q657,"AAAAAH7/uY4=")</f>
        <v>#VALUE!</v>
      </c>
      <c r="EN177" t="e">
        <f>AND('GA55 Entry'!S657,"AAAAAH7/uY8=")</f>
        <v>#VALUE!</v>
      </c>
      <c r="EO177" t="e">
        <f>AND('GA55 Entry'!#REF!,"AAAAAH7/uZA=")</f>
        <v>#REF!</v>
      </c>
      <c r="EP177" t="e">
        <f>AND('GA55 Entry'!T657,"AAAAAH7/uZE=")</f>
        <v>#VALUE!</v>
      </c>
      <c r="EQ177" t="e">
        <f>AND('GA55 Entry'!U657,"AAAAAH7/uZI=")</f>
        <v>#VALUE!</v>
      </c>
      <c r="ER177" t="e">
        <f>AND('GA55 Entry'!V657,"AAAAAH7/uZM=")</f>
        <v>#VALUE!</v>
      </c>
      <c r="ES177" t="e">
        <f>AND('GA55 Entry'!#REF!,"AAAAAH7/uZQ=")</f>
        <v>#REF!</v>
      </c>
      <c r="ET177" t="e">
        <f>AND('GA55 Entry'!#REF!,"AAAAAH7/uZU=")</f>
        <v>#REF!</v>
      </c>
      <c r="EU177" t="e">
        <f>AND('GA55 Entry'!X657,"AAAAAH7/uZY=")</f>
        <v>#VALUE!</v>
      </c>
      <c r="EV177" t="e">
        <f>AND('GA55 Entry'!Y657,"AAAAAH7/uZc=")</f>
        <v>#VALUE!</v>
      </c>
      <c r="EW177" t="e">
        <f>AND('GA55 Entry'!#REF!,"AAAAAH7/uZg=")</f>
        <v>#REF!</v>
      </c>
      <c r="EX177" t="e">
        <f>AND('GA55 Entry'!#REF!,"AAAAAH7/uZk=")</f>
        <v>#REF!</v>
      </c>
      <c r="EY177" t="e">
        <f>AND('GA55 Entry'!#REF!,"AAAAAH7/uZo=")</f>
        <v>#REF!</v>
      </c>
      <c r="EZ177" t="e">
        <f>AND('GA55 Entry'!#REF!,"AAAAAH7/uZs=")</f>
        <v>#REF!</v>
      </c>
      <c r="FA177" t="e">
        <f>AND('GA55 Entry'!#REF!,"AAAAAH7/uZw=")</f>
        <v>#REF!</v>
      </c>
      <c r="FB177" t="e">
        <f>AND('GA55 Entry'!#REF!,"AAAAAH7/uZ0=")</f>
        <v>#REF!</v>
      </c>
      <c r="FC177" t="e">
        <f>AND('GA55 Entry'!#REF!,"AAAAAH7/uZ4=")</f>
        <v>#REF!</v>
      </c>
      <c r="FD177" t="e">
        <f>AND('GA55 Entry'!#REF!,"AAAAAH7/uZ8=")</f>
        <v>#REF!</v>
      </c>
      <c r="FE177" t="e">
        <f>AND('GA55 Entry'!#REF!,"AAAAAH7/uaA=")</f>
        <v>#REF!</v>
      </c>
      <c r="FF177" t="e">
        <f>AND('GA55 Entry'!Z657,"AAAAAH7/uaE=")</f>
        <v>#VALUE!</v>
      </c>
      <c r="FG177" t="e">
        <f>AND('GA55 Entry'!AA657,"AAAAAH7/uaI=")</f>
        <v>#VALUE!</v>
      </c>
      <c r="FH177" t="e">
        <f>AND('GA55 Entry'!#REF!,"AAAAAH7/uaM=")</f>
        <v>#REF!</v>
      </c>
      <c r="FI177" t="e">
        <f>AND('GA55 Entry'!#REF!,"AAAAAH7/uaQ=")</f>
        <v>#REF!</v>
      </c>
      <c r="FJ177" t="e">
        <f>AND('GA55 Entry'!#REF!,"AAAAAH7/uaU=")</f>
        <v>#REF!</v>
      </c>
      <c r="FK177" t="e">
        <f>AND('GA55 Entry'!AB657,"AAAAAH7/uaY=")</f>
        <v>#VALUE!</v>
      </c>
      <c r="FL177" t="e">
        <f>AND('GA55 Entry'!AC657,"AAAAAH7/uac=")</f>
        <v>#VALUE!</v>
      </c>
      <c r="FM177" t="e">
        <f>AND('GA55 Entry'!#REF!,"AAAAAH7/uag=")</f>
        <v>#REF!</v>
      </c>
      <c r="FN177">
        <f>IF('GA55 Entry'!658:658,"AAAAAH7/uak=",0)</f>
        <v>0</v>
      </c>
      <c r="FO177" t="e">
        <f>AND('GA55 Entry'!B658,"AAAAAH7/uao=")</f>
        <v>#VALUE!</v>
      </c>
      <c r="FP177" t="e">
        <f>AND('GA55 Entry'!#REF!,"AAAAAH7/uas=")</f>
        <v>#REF!</v>
      </c>
      <c r="FQ177" t="e">
        <f>AND('GA55 Entry'!C658,"AAAAAH7/uaw=")</f>
        <v>#VALUE!</v>
      </c>
      <c r="FR177" t="e">
        <f>AND('GA55 Entry'!#REF!,"AAAAAH7/ua0=")</f>
        <v>#REF!</v>
      </c>
      <c r="FS177" t="e">
        <f>AND('GA55 Entry'!#REF!,"AAAAAH7/ua4=")</f>
        <v>#REF!</v>
      </c>
      <c r="FT177" t="e">
        <f>AND('GA55 Entry'!#REF!,"AAAAAH7/ua8=")</f>
        <v>#REF!</v>
      </c>
      <c r="FU177" t="e">
        <f>AND('GA55 Entry'!#REF!,"AAAAAH7/ubA=")</f>
        <v>#REF!</v>
      </c>
      <c r="FV177" t="e">
        <f>AND('GA55 Entry'!#REF!,"AAAAAH7/ubE=")</f>
        <v>#REF!</v>
      </c>
      <c r="FW177" t="e">
        <f>AND('GA55 Entry'!D658,"AAAAAH7/ubI=")</f>
        <v>#VALUE!</v>
      </c>
      <c r="FX177" t="e">
        <f>AND('GA55 Entry'!#REF!,"AAAAAH7/ubM=")</f>
        <v>#REF!</v>
      </c>
      <c r="FY177" t="e">
        <f>AND('GA55 Entry'!E658,"AAAAAH7/ubQ=")</f>
        <v>#VALUE!</v>
      </c>
      <c r="FZ177" t="e">
        <f>AND('GA55 Entry'!F658,"AAAAAH7/ubU=")</f>
        <v>#VALUE!</v>
      </c>
      <c r="GA177" t="e">
        <f>AND('GA55 Entry'!G658,"AAAAAH7/ubY=")</f>
        <v>#VALUE!</v>
      </c>
      <c r="GB177" t="e">
        <f>AND('GA55 Entry'!H658,"AAAAAH7/ubc=")</f>
        <v>#VALUE!</v>
      </c>
      <c r="GC177" t="e">
        <f>AND('GA55 Entry'!I658,"AAAAAH7/ubg=")</f>
        <v>#VALUE!</v>
      </c>
      <c r="GD177" t="e">
        <f>AND('GA55 Entry'!J658,"AAAAAH7/ubk=")</f>
        <v>#VALUE!</v>
      </c>
      <c r="GE177" t="e">
        <f>AND('GA55 Entry'!#REF!,"AAAAAH7/ubo=")</f>
        <v>#REF!</v>
      </c>
      <c r="GF177" t="e">
        <f>AND('GA55 Entry'!K658,"AAAAAH7/ubs=")</f>
        <v>#VALUE!</v>
      </c>
      <c r="GG177" t="e">
        <f>AND('GA55 Entry'!L658,"AAAAAH7/ubw=")</f>
        <v>#VALUE!</v>
      </c>
      <c r="GH177" t="e">
        <f>AND('GA55 Entry'!M658,"AAAAAH7/ub0=")</f>
        <v>#VALUE!</v>
      </c>
      <c r="GI177" t="e">
        <f>AND('GA55 Entry'!N658,"AAAAAH7/ub4=")</f>
        <v>#VALUE!</v>
      </c>
      <c r="GJ177" t="e">
        <f>AND('GA55 Entry'!O658,"AAAAAH7/ub8=")</f>
        <v>#VALUE!</v>
      </c>
      <c r="GK177" t="e">
        <f>AND('GA55 Entry'!P658,"AAAAAH7/ucA=")</f>
        <v>#VALUE!</v>
      </c>
      <c r="GL177" t="e">
        <f>AND('GA55 Entry'!Q658,"AAAAAH7/ucE=")</f>
        <v>#VALUE!</v>
      </c>
      <c r="GM177" t="e">
        <f>AND('GA55 Entry'!S658,"AAAAAH7/ucI=")</f>
        <v>#VALUE!</v>
      </c>
      <c r="GN177" t="e">
        <f>AND('GA55 Entry'!#REF!,"AAAAAH7/ucM=")</f>
        <v>#REF!</v>
      </c>
      <c r="GO177" t="e">
        <f>AND('GA55 Entry'!T658,"AAAAAH7/ucQ=")</f>
        <v>#VALUE!</v>
      </c>
      <c r="GP177" t="e">
        <f>AND('GA55 Entry'!U658,"AAAAAH7/ucU=")</f>
        <v>#VALUE!</v>
      </c>
      <c r="GQ177" t="e">
        <f>AND('GA55 Entry'!V658,"AAAAAH7/ucY=")</f>
        <v>#VALUE!</v>
      </c>
      <c r="GR177" t="e">
        <f>AND('GA55 Entry'!#REF!,"AAAAAH7/ucc=")</f>
        <v>#REF!</v>
      </c>
      <c r="GS177" t="e">
        <f>AND('GA55 Entry'!#REF!,"AAAAAH7/ucg=")</f>
        <v>#REF!</v>
      </c>
      <c r="GT177" t="e">
        <f>AND('GA55 Entry'!X658,"AAAAAH7/uck=")</f>
        <v>#VALUE!</v>
      </c>
      <c r="GU177" t="e">
        <f>AND('GA55 Entry'!Y658,"AAAAAH7/uco=")</f>
        <v>#VALUE!</v>
      </c>
      <c r="GV177" t="e">
        <f>AND('GA55 Entry'!#REF!,"AAAAAH7/ucs=")</f>
        <v>#REF!</v>
      </c>
      <c r="GW177" t="e">
        <f>AND('GA55 Entry'!#REF!,"AAAAAH7/ucw=")</f>
        <v>#REF!</v>
      </c>
      <c r="GX177" t="e">
        <f>AND('GA55 Entry'!#REF!,"AAAAAH7/uc0=")</f>
        <v>#REF!</v>
      </c>
      <c r="GY177" t="e">
        <f>AND('GA55 Entry'!#REF!,"AAAAAH7/uc4=")</f>
        <v>#REF!</v>
      </c>
      <c r="GZ177" t="e">
        <f>AND('GA55 Entry'!#REF!,"AAAAAH7/uc8=")</f>
        <v>#REF!</v>
      </c>
      <c r="HA177" t="e">
        <f>AND('GA55 Entry'!#REF!,"AAAAAH7/udA=")</f>
        <v>#REF!</v>
      </c>
      <c r="HB177" t="e">
        <f>AND('GA55 Entry'!#REF!,"AAAAAH7/udE=")</f>
        <v>#REF!</v>
      </c>
      <c r="HC177" t="e">
        <f>AND('GA55 Entry'!#REF!,"AAAAAH7/udI=")</f>
        <v>#REF!</v>
      </c>
      <c r="HD177" t="e">
        <f>AND('GA55 Entry'!#REF!,"AAAAAH7/udM=")</f>
        <v>#REF!</v>
      </c>
      <c r="HE177" t="e">
        <f>AND('GA55 Entry'!Z658,"AAAAAH7/udQ=")</f>
        <v>#VALUE!</v>
      </c>
      <c r="HF177" t="e">
        <f>AND('GA55 Entry'!AA658,"AAAAAH7/udU=")</f>
        <v>#VALUE!</v>
      </c>
      <c r="HG177" t="e">
        <f>AND('GA55 Entry'!#REF!,"AAAAAH7/udY=")</f>
        <v>#REF!</v>
      </c>
      <c r="HH177" t="e">
        <f>AND('GA55 Entry'!#REF!,"AAAAAH7/udc=")</f>
        <v>#REF!</v>
      </c>
      <c r="HI177" t="e">
        <f>AND('GA55 Entry'!#REF!,"AAAAAH7/udg=")</f>
        <v>#REF!</v>
      </c>
      <c r="HJ177" t="e">
        <f>AND('GA55 Entry'!AB658,"AAAAAH7/udk=")</f>
        <v>#VALUE!</v>
      </c>
      <c r="HK177" t="e">
        <f>AND('GA55 Entry'!AC658,"AAAAAH7/udo=")</f>
        <v>#VALUE!</v>
      </c>
      <c r="HL177" t="e">
        <f>AND('GA55 Entry'!#REF!,"AAAAAH7/uds=")</f>
        <v>#REF!</v>
      </c>
      <c r="HM177">
        <f>IF('GA55 Entry'!659:659,"AAAAAH7/udw=",0)</f>
        <v>0</v>
      </c>
      <c r="HN177" t="e">
        <f>AND('GA55 Entry'!B659,"AAAAAH7/ud0=")</f>
        <v>#VALUE!</v>
      </c>
      <c r="HO177" t="e">
        <f>AND('GA55 Entry'!#REF!,"AAAAAH7/ud4=")</f>
        <v>#REF!</v>
      </c>
      <c r="HP177" t="e">
        <f>AND('GA55 Entry'!C659,"AAAAAH7/ud8=")</f>
        <v>#VALUE!</v>
      </c>
      <c r="HQ177" t="e">
        <f>AND('GA55 Entry'!#REF!,"AAAAAH7/ueA=")</f>
        <v>#REF!</v>
      </c>
      <c r="HR177" t="e">
        <f>AND('GA55 Entry'!#REF!,"AAAAAH7/ueE=")</f>
        <v>#REF!</v>
      </c>
      <c r="HS177" t="e">
        <f>AND('GA55 Entry'!#REF!,"AAAAAH7/ueI=")</f>
        <v>#REF!</v>
      </c>
      <c r="HT177" t="e">
        <f>AND('GA55 Entry'!#REF!,"AAAAAH7/ueM=")</f>
        <v>#REF!</v>
      </c>
      <c r="HU177" t="e">
        <f>AND('GA55 Entry'!#REF!,"AAAAAH7/ueQ=")</f>
        <v>#REF!</v>
      </c>
      <c r="HV177" t="e">
        <f>AND('GA55 Entry'!D659,"AAAAAH7/ueU=")</f>
        <v>#VALUE!</v>
      </c>
      <c r="HW177" t="e">
        <f>AND('GA55 Entry'!#REF!,"AAAAAH7/ueY=")</f>
        <v>#REF!</v>
      </c>
      <c r="HX177" t="e">
        <f>AND('GA55 Entry'!E659,"AAAAAH7/uec=")</f>
        <v>#VALUE!</v>
      </c>
      <c r="HY177" t="e">
        <f>AND('GA55 Entry'!F659,"AAAAAH7/ueg=")</f>
        <v>#VALUE!</v>
      </c>
      <c r="HZ177" t="e">
        <f>AND('GA55 Entry'!G659,"AAAAAH7/uek=")</f>
        <v>#VALUE!</v>
      </c>
      <c r="IA177" t="e">
        <f>AND('GA55 Entry'!H659,"AAAAAH7/ueo=")</f>
        <v>#VALUE!</v>
      </c>
      <c r="IB177" t="e">
        <f>AND('GA55 Entry'!I659,"AAAAAH7/ues=")</f>
        <v>#VALUE!</v>
      </c>
      <c r="IC177" t="e">
        <f>AND('GA55 Entry'!J659,"AAAAAH7/uew=")</f>
        <v>#VALUE!</v>
      </c>
      <c r="ID177" t="e">
        <f>AND('GA55 Entry'!#REF!,"AAAAAH7/ue0=")</f>
        <v>#REF!</v>
      </c>
      <c r="IE177" t="e">
        <f>AND('GA55 Entry'!K659,"AAAAAH7/ue4=")</f>
        <v>#VALUE!</v>
      </c>
      <c r="IF177" t="e">
        <f>AND('GA55 Entry'!L659,"AAAAAH7/ue8=")</f>
        <v>#VALUE!</v>
      </c>
      <c r="IG177" t="e">
        <f>AND('GA55 Entry'!M659,"AAAAAH7/ufA=")</f>
        <v>#VALUE!</v>
      </c>
      <c r="IH177" t="e">
        <f>AND('GA55 Entry'!N659,"AAAAAH7/ufE=")</f>
        <v>#VALUE!</v>
      </c>
      <c r="II177" t="e">
        <f>AND('GA55 Entry'!O659,"AAAAAH7/ufI=")</f>
        <v>#VALUE!</v>
      </c>
      <c r="IJ177" t="e">
        <f>AND('GA55 Entry'!P659,"AAAAAH7/ufM=")</f>
        <v>#VALUE!</v>
      </c>
      <c r="IK177" t="e">
        <f>AND('GA55 Entry'!Q659,"AAAAAH7/ufQ=")</f>
        <v>#VALUE!</v>
      </c>
      <c r="IL177" t="e">
        <f>AND('GA55 Entry'!S659,"AAAAAH7/ufU=")</f>
        <v>#VALUE!</v>
      </c>
      <c r="IM177" t="e">
        <f>AND('GA55 Entry'!#REF!,"AAAAAH7/ufY=")</f>
        <v>#REF!</v>
      </c>
      <c r="IN177" t="e">
        <f>AND('GA55 Entry'!T659,"AAAAAH7/ufc=")</f>
        <v>#VALUE!</v>
      </c>
      <c r="IO177" t="e">
        <f>AND('GA55 Entry'!U659,"AAAAAH7/ufg=")</f>
        <v>#VALUE!</v>
      </c>
      <c r="IP177" t="e">
        <f>AND('GA55 Entry'!V659,"AAAAAH7/ufk=")</f>
        <v>#VALUE!</v>
      </c>
      <c r="IQ177" t="e">
        <f>AND('GA55 Entry'!#REF!,"AAAAAH7/ufo=")</f>
        <v>#REF!</v>
      </c>
      <c r="IR177" t="e">
        <f>AND('GA55 Entry'!#REF!,"AAAAAH7/ufs=")</f>
        <v>#REF!</v>
      </c>
      <c r="IS177" t="e">
        <f>AND('GA55 Entry'!X659,"AAAAAH7/ufw=")</f>
        <v>#VALUE!</v>
      </c>
      <c r="IT177" t="e">
        <f>AND('GA55 Entry'!Y659,"AAAAAH7/uf0=")</f>
        <v>#VALUE!</v>
      </c>
      <c r="IU177" t="e">
        <f>AND('GA55 Entry'!#REF!,"AAAAAH7/uf4=")</f>
        <v>#REF!</v>
      </c>
      <c r="IV177" t="e">
        <f>AND('GA55 Entry'!#REF!,"AAAAAH7/uf8=")</f>
        <v>#REF!</v>
      </c>
    </row>
    <row r="178" spans="1:256">
      <c r="A178" t="e">
        <f>AND('GA55 Entry'!#REF!,"AAAAADvn/wA=")</f>
        <v>#REF!</v>
      </c>
      <c r="B178" t="e">
        <f>AND('GA55 Entry'!#REF!,"AAAAADvn/wE=")</f>
        <v>#REF!</v>
      </c>
      <c r="C178" t="e">
        <f>AND('GA55 Entry'!#REF!,"AAAAADvn/wI=")</f>
        <v>#REF!</v>
      </c>
      <c r="D178" t="e">
        <f>AND('GA55 Entry'!#REF!,"AAAAADvn/wM=")</f>
        <v>#REF!</v>
      </c>
      <c r="E178" t="e">
        <f>AND('GA55 Entry'!#REF!,"AAAAADvn/wQ=")</f>
        <v>#REF!</v>
      </c>
      <c r="F178" t="e">
        <f>AND('GA55 Entry'!#REF!,"AAAAADvn/wU=")</f>
        <v>#REF!</v>
      </c>
      <c r="G178" t="e">
        <f>AND('GA55 Entry'!#REF!,"AAAAADvn/wY=")</f>
        <v>#REF!</v>
      </c>
      <c r="H178" t="e">
        <f>AND('GA55 Entry'!Z659,"AAAAADvn/wc=")</f>
        <v>#VALUE!</v>
      </c>
      <c r="I178" t="e">
        <f>AND('GA55 Entry'!AA659,"AAAAADvn/wg=")</f>
        <v>#VALUE!</v>
      </c>
      <c r="J178" t="e">
        <f>AND('GA55 Entry'!#REF!,"AAAAADvn/wk=")</f>
        <v>#REF!</v>
      </c>
      <c r="K178" t="e">
        <f>AND('GA55 Entry'!#REF!,"AAAAADvn/wo=")</f>
        <v>#REF!</v>
      </c>
      <c r="L178" t="e">
        <f>AND('GA55 Entry'!#REF!,"AAAAADvn/ws=")</f>
        <v>#REF!</v>
      </c>
      <c r="M178" t="e">
        <f>AND('GA55 Entry'!AB659,"AAAAADvn/ww=")</f>
        <v>#VALUE!</v>
      </c>
      <c r="N178" t="e">
        <f>AND('GA55 Entry'!AC659,"AAAAADvn/w0=")</f>
        <v>#VALUE!</v>
      </c>
      <c r="O178" t="e">
        <f>AND('GA55 Entry'!#REF!,"AAAAADvn/w4=")</f>
        <v>#REF!</v>
      </c>
      <c r="P178">
        <f>IF('GA55 Entry'!660:660,"AAAAADvn/w8=",0)</f>
        <v>0</v>
      </c>
      <c r="Q178" t="e">
        <f>AND('GA55 Entry'!B660,"AAAAADvn/xA=")</f>
        <v>#VALUE!</v>
      </c>
      <c r="R178" t="e">
        <f>AND('GA55 Entry'!#REF!,"AAAAADvn/xE=")</f>
        <v>#REF!</v>
      </c>
      <c r="S178" t="e">
        <f>AND('GA55 Entry'!C660,"AAAAADvn/xI=")</f>
        <v>#VALUE!</v>
      </c>
      <c r="T178" t="e">
        <f>AND('GA55 Entry'!#REF!,"AAAAADvn/xM=")</f>
        <v>#REF!</v>
      </c>
      <c r="U178" t="e">
        <f>AND('GA55 Entry'!#REF!,"AAAAADvn/xQ=")</f>
        <v>#REF!</v>
      </c>
      <c r="V178" t="e">
        <f>AND('GA55 Entry'!#REF!,"AAAAADvn/xU=")</f>
        <v>#REF!</v>
      </c>
      <c r="W178" t="e">
        <f>AND('GA55 Entry'!#REF!,"AAAAADvn/xY=")</f>
        <v>#REF!</v>
      </c>
      <c r="X178" t="e">
        <f>AND('GA55 Entry'!#REF!,"AAAAADvn/xc=")</f>
        <v>#REF!</v>
      </c>
      <c r="Y178" t="e">
        <f>AND('GA55 Entry'!D660,"AAAAADvn/xg=")</f>
        <v>#VALUE!</v>
      </c>
      <c r="Z178" t="e">
        <f>AND('GA55 Entry'!#REF!,"AAAAADvn/xk=")</f>
        <v>#REF!</v>
      </c>
      <c r="AA178" t="e">
        <f>AND('GA55 Entry'!E660,"AAAAADvn/xo=")</f>
        <v>#VALUE!</v>
      </c>
      <c r="AB178" t="e">
        <f>AND('GA55 Entry'!F660,"AAAAADvn/xs=")</f>
        <v>#VALUE!</v>
      </c>
      <c r="AC178" t="e">
        <f>AND('GA55 Entry'!G660,"AAAAADvn/xw=")</f>
        <v>#VALUE!</v>
      </c>
      <c r="AD178" t="e">
        <f>AND('GA55 Entry'!H660,"AAAAADvn/x0=")</f>
        <v>#VALUE!</v>
      </c>
      <c r="AE178" t="e">
        <f>AND('GA55 Entry'!I660,"AAAAADvn/x4=")</f>
        <v>#VALUE!</v>
      </c>
      <c r="AF178" t="e">
        <f>AND('GA55 Entry'!J660,"AAAAADvn/x8=")</f>
        <v>#VALUE!</v>
      </c>
      <c r="AG178" t="e">
        <f>AND('GA55 Entry'!#REF!,"AAAAADvn/yA=")</f>
        <v>#REF!</v>
      </c>
      <c r="AH178" t="e">
        <f>AND('GA55 Entry'!K660,"AAAAADvn/yE=")</f>
        <v>#VALUE!</v>
      </c>
      <c r="AI178" t="e">
        <f>AND('GA55 Entry'!L660,"AAAAADvn/yI=")</f>
        <v>#VALUE!</v>
      </c>
      <c r="AJ178" t="e">
        <f>AND('GA55 Entry'!M660,"AAAAADvn/yM=")</f>
        <v>#VALUE!</v>
      </c>
      <c r="AK178" t="e">
        <f>AND('GA55 Entry'!N660,"AAAAADvn/yQ=")</f>
        <v>#VALUE!</v>
      </c>
      <c r="AL178" t="e">
        <f>AND('GA55 Entry'!O660,"AAAAADvn/yU=")</f>
        <v>#VALUE!</v>
      </c>
      <c r="AM178" t="e">
        <f>AND('GA55 Entry'!P660,"AAAAADvn/yY=")</f>
        <v>#VALUE!</v>
      </c>
      <c r="AN178" t="e">
        <f>AND('GA55 Entry'!Q660,"AAAAADvn/yc=")</f>
        <v>#VALUE!</v>
      </c>
      <c r="AO178" t="e">
        <f>AND('GA55 Entry'!S660,"AAAAADvn/yg=")</f>
        <v>#VALUE!</v>
      </c>
      <c r="AP178" t="e">
        <f>AND('GA55 Entry'!#REF!,"AAAAADvn/yk=")</f>
        <v>#REF!</v>
      </c>
      <c r="AQ178" t="e">
        <f>AND('GA55 Entry'!T660,"AAAAADvn/yo=")</f>
        <v>#VALUE!</v>
      </c>
      <c r="AR178" t="e">
        <f>AND('GA55 Entry'!U660,"AAAAADvn/ys=")</f>
        <v>#VALUE!</v>
      </c>
      <c r="AS178" t="e">
        <f>AND('GA55 Entry'!V660,"AAAAADvn/yw=")</f>
        <v>#VALUE!</v>
      </c>
      <c r="AT178" t="e">
        <f>AND('GA55 Entry'!#REF!,"AAAAADvn/y0=")</f>
        <v>#REF!</v>
      </c>
      <c r="AU178" t="e">
        <f>AND('GA55 Entry'!#REF!,"AAAAADvn/y4=")</f>
        <v>#REF!</v>
      </c>
      <c r="AV178" t="e">
        <f>AND('GA55 Entry'!X660,"AAAAADvn/y8=")</f>
        <v>#VALUE!</v>
      </c>
      <c r="AW178" t="e">
        <f>AND('GA55 Entry'!Y660,"AAAAADvn/zA=")</f>
        <v>#VALUE!</v>
      </c>
      <c r="AX178" t="e">
        <f>AND('GA55 Entry'!#REF!,"AAAAADvn/zE=")</f>
        <v>#REF!</v>
      </c>
      <c r="AY178" t="e">
        <f>AND('GA55 Entry'!#REF!,"AAAAADvn/zI=")</f>
        <v>#REF!</v>
      </c>
      <c r="AZ178" t="e">
        <f>AND('GA55 Entry'!#REF!,"AAAAADvn/zM=")</f>
        <v>#REF!</v>
      </c>
      <c r="BA178" t="e">
        <f>AND('GA55 Entry'!#REF!,"AAAAADvn/zQ=")</f>
        <v>#REF!</v>
      </c>
      <c r="BB178" t="e">
        <f>AND('GA55 Entry'!#REF!,"AAAAADvn/zU=")</f>
        <v>#REF!</v>
      </c>
      <c r="BC178" t="e">
        <f>AND('GA55 Entry'!#REF!,"AAAAADvn/zY=")</f>
        <v>#REF!</v>
      </c>
      <c r="BD178" t="e">
        <f>AND('GA55 Entry'!#REF!,"AAAAADvn/zc=")</f>
        <v>#REF!</v>
      </c>
      <c r="BE178" t="e">
        <f>AND('GA55 Entry'!#REF!,"AAAAADvn/zg=")</f>
        <v>#REF!</v>
      </c>
      <c r="BF178" t="e">
        <f>AND('GA55 Entry'!#REF!,"AAAAADvn/zk=")</f>
        <v>#REF!</v>
      </c>
      <c r="BG178" t="e">
        <f>AND('GA55 Entry'!Z660,"AAAAADvn/zo=")</f>
        <v>#VALUE!</v>
      </c>
      <c r="BH178" t="e">
        <f>AND('GA55 Entry'!AA660,"AAAAADvn/zs=")</f>
        <v>#VALUE!</v>
      </c>
      <c r="BI178" t="e">
        <f>AND('GA55 Entry'!#REF!,"AAAAADvn/zw=")</f>
        <v>#REF!</v>
      </c>
      <c r="BJ178" t="e">
        <f>AND('GA55 Entry'!#REF!,"AAAAADvn/z0=")</f>
        <v>#REF!</v>
      </c>
      <c r="BK178" t="e">
        <f>AND('GA55 Entry'!#REF!,"AAAAADvn/z4=")</f>
        <v>#REF!</v>
      </c>
      <c r="BL178" t="e">
        <f>AND('GA55 Entry'!AB660,"AAAAADvn/z8=")</f>
        <v>#VALUE!</v>
      </c>
      <c r="BM178" t="e">
        <f>AND('GA55 Entry'!AC660,"AAAAADvn/0A=")</f>
        <v>#VALUE!</v>
      </c>
      <c r="BN178" t="e">
        <f>AND('GA55 Entry'!#REF!,"AAAAADvn/0E=")</f>
        <v>#REF!</v>
      </c>
      <c r="BO178">
        <f>IF('GA55 Entry'!661:661,"AAAAADvn/0I=",0)</f>
        <v>0</v>
      </c>
      <c r="BP178" t="e">
        <f>AND('GA55 Entry'!B661,"AAAAADvn/0M=")</f>
        <v>#VALUE!</v>
      </c>
      <c r="BQ178" t="e">
        <f>AND('GA55 Entry'!#REF!,"AAAAADvn/0Q=")</f>
        <v>#REF!</v>
      </c>
      <c r="BR178" t="e">
        <f>AND('GA55 Entry'!C661,"AAAAADvn/0U=")</f>
        <v>#VALUE!</v>
      </c>
      <c r="BS178" t="e">
        <f>AND('GA55 Entry'!#REF!,"AAAAADvn/0Y=")</f>
        <v>#REF!</v>
      </c>
      <c r="BT178" t="e">
        <f>AND('GA55 Entry'!#REF!,"AAAAADvn/0c=")</f>
        <v>#REF!</v>
      </c>
      <c r="BU178" t="e">
        <f>AND('GA55 Entry'!#REF!,"AAAAADvn/0g=")</f>
        <v>#REF!</v>
      </c>
      <c r="BV178" t="e">
        <f>AND('GA55 Entry'!#REF!,"AAAAADvn/0k=")</f>
        <v>#REF!</v>
      </c>
      <c r="BW178" t="e">
        <f>AND('GA55 Entry'!#REF!,"AAAAADvn/0o=")</f>
        <v>#REF!</v>
      </c>
      <c r="BX178" t="e">
        <f>AND('GA55 Entry'!D661,"AAAAADvn/0s=")</f>
        <v>#VALUE!</v>
      </c>
      <c r="BY178" t="e">
        <f>AND('GA55 Entry'!#REF!,"AAAAADvn/0w=")</f>
        <v>#REF!</v>
      </c>
      <c r="BZ178" t="e">
        <f>AND('GA55 Entry'!E661,"AAAAADvn/00=")</f>
        <v>#VALUE!</v>
      </c>
      <c r="CA178" t="e">
        <f>AND('GA55 Entry'!F661,"AAAAADvn/04=")</f>
        <v>#VALUE!</v>
      </c>
      <c r="CB178" t="e">
        <f>AND('GA55 Entry'!G661,"AAAAADvn/08=")</f>
        <v>#VALUE!</v>
      </c>
      <c r="CC178" t="e">
        <f>AND('GA55 Entry'!H661,"AAAAADvn/1A=")</f>
        <v>#VALUE!</v>
      </c>
      <c r="CD178" t="e">
        <f>AND('GA55 Entry'!I661,"AAAAADvn/1E=")</f>
        <v>#VALUE!</v>
      </c>
      <c r="CE178" t="e">
        <f>AND('GA55 Entry'!J661,"AAAAADvn/1I=")</f>
        <v>#VALUE!</v>
      </c>
      <c r="CF178" t="e">
        <f>AND('GA55 Entry'!#REF!,"AAAAADvn/1M=")</f>
        <v>#REF!</v>
      </c>
      <c r="CG178" t="e">
        <f>AND('GA55 Entry'!K661,"AAAAADvn/1Q=")</f>
        <v>#VALUE!</v>
      </c>
      <c r="CH178" t="e">
        <f>AND('GA55 Entry'!L661,"AAAAADvn/1U=")</f>
        <v>#VALUE!</v>
      </c>
      <c r="CI178" t="e">
        <f>AND('GA55 Entry'!M661,"AAAAADvn/1Y=")</f>
        <v>#VALUE!</v>
      </c>
      <c r="CJ178" t="e">
        <f>AND('GA55 Entry'!N661,"AAAAADvn/1c=")</f>
        <v>#VALUE!</v>
      </c>
      <c r="CK178" t="e">
        <f>AND('GA55 Entry'!O661,"AAAAADvn/1g=")</f>
        <v>#VALUE!</v>
      </c>
      <c r="CL178" t="e">
        <f>AND('GA55 Entry'!P661,"AAAAADvn/1k=")</f>
        <v>#VALUE!</v>
      </c>
      <c r="CM178" t="e">
        <f>AND('GA55 Entry'!Q661,"AAAAADvn/1o=")</f>
        <v>#VALUE!</v>
      </c>
      <c r="CN178" t="e">
        <f>AND('GA55 Entry'!S661,"AAAAADvn/1s=")</f>
        <v>#VALUE!</v>
      </c>
      <c r="CO178" t="e">
        <f>AND('GA55 Entry'!#REF!,"AAAAADvn/1w=")</f>
        <v>#REF!</v>
      </c>
      <c r="CP178" t="e">
        <f>AND('GA55 Entry'!T661,"AAAAADvn/10=")</f>
        <v>#VALUE!</v>
      </c>
      <c r="CQ178" t="e">
        <f>AND('GA55 Entry'!U661,"AAAAADvn/14=")</f>
        <v>#VALUE!</v>
      </c>
      <c r="CR178" t="e">
        <f>AND('GA55 Entry'!V661,"AAAAADvn/18=")</f>
        <v>#VALUE!</v>
      </c>
      <c r="CS178" t="e">
        <f>AND('GA55 Entry'!#REF!,"AAAAADvn/2A=")</f>
        <v>#REF!</v>
      </c>
      <c r="CT178" t="e">
        <f>AND('GA55 Entry'!#REF!,"AAAAADvn/2E=")</f>
        <v>#REF!</v>
      </c>
      <c r="CU178" t="e">
        <f>AND('GA55 Entry'!X661,"AAAAADvn/2I=")</f>
        <v>#VALUE!</v>
      </c>
      <c r="CV178" t="e">
        <f>AND('GA55 Entry'!Y661,"AAAAADvn/2M=")</f>
        <v>#VALUE!</v>
      </c>
      <c r="CW178" t="e">
        <f>AND('GA55 Entry'!#REF!,"AAAAADvn/2Q=")</f>
        <v>#REF!</v>
      </c>
      <c r="CX178" t="e">
        <f>AND('GA55 Entry'!#REF!,"AAAAADvn/2U=")</f>
        <v>#REF!</v>
      </c>
      <c r="CY178" t="e">
        <f>AND('GA55 Entry'!#REF!,"AAAAADvn/2Y=")</f>
        <v>#REF!</v>
      </c>
      <c r="CZ178" t="e">
        <f>AND('GA55 Entry'!#REF!,"AAAAADvn/2c=")</f>
        <v>#REF!</v>
      </c>
      <c r="DA178" t="e">
        <f>AND('GA55 Entry'!#REF!,"AAAAADvn/2g=")</f>
        <v>#REF!</v>
      </c>
      <c r="DB178" t="e">
        <f>AND('GA55 Entry'!#REF!,"AAAAADvn/2k=")</f>
        <v>#REF!</v>
      </c>
      <c r="DC178" t="e">
        <f>AND('GA55 Entry'!#REF!,"AAAAADvn/2o=")</f>
        <v>#REF!</v>
      </c>
      <c r="DD178" t="e">
        <f>AND('GA55 Entry'!#REF!,"AAAAADvn/2s=")</f>
        <v>#REF!</v>
      </c>
      <c r="DE178" t="e">
        <f>AND('GA55 Entry'!#REF!,"AAAAADvn/2w=")</f>
        <v>#REF!</v>
      </c>
      <c r="DF178" t="e">
        <f>AND('GA55 Entry'!Z661,"AAAAADvn/20=")</f>
        <v>#VALUE!</v>
      </c>
      <c r="DG178" t="e">
        <f>AND('GA55 Entry'!AA661,"AAAAADvn/24=")</f>
        <v>#VALUE!</v>
      </c>
      <c r="DH178" t="e">
        <f>AND('GA55 Entry'!#REF!,"AAAAADvn/28=")</f>
        <v>#REF!</v>
      </c>
      <c r="DI178" t="e">
        <f>AND('GA55 Entry'!#REF!,"AAAAADvn/3A=")</f>
        <v>#REF!</v>
      </c>
      <c r="DJ178" t="e">
        <f>AND('GA55 Entry'!#REF!,"AAAAADvn/3E=")</f>
        <v>#REF!</v>
      </c>
      <c r="DK178" t="e">
        <f>AND('GA55 Entry'!AB661,"AAAAADvn/3I=")</f>
        <v>#VALUE!</v>
      </c>
      <c r="DL178" t="e">
        <f>AND('GA55 Entry'!AC661,"AAAAADvn/3M=")</f>
        <v>#VALUE!</v>
      </c>
      <c r="DM178" t="e">
        <f>AND('GA55 Entry'!#REF!,"AAAAADvn/3Q=")</f>
        <v>#REF!</v>
      </c>
      <c r="DN178">
        <f>IF('GA55 Entry'!662:662,"AAAAADvn/3U=",0)</f>
        <v>0</v>
      </c>
      <c r="DO178" t="e">
        <f>AND('GA55 Entry'!B662,"AAAAADvn/3Y=")</f>
        <v>#VALUE!</v>
      </c>
      <c r="DP178" t="e">
        <f>AND('GA55 Entry'!#REF!,"AAAAADvn/3c=")</f>
        <v>#REF!</v>
      </c>
      <c r="DQ178" t="e">
        <f>AND('GA55 Entry'!C662,"AAAAADvn/3g=")</f>
        <v>#VALUE!</v>
      </c>
      <c r="DR178" t="e">
        <f>AND('GA55 Entry'!#REF!,"AAAAADvn/3k=")</f>
        <v>#REF!</v>
      </c>
      <c r="DS178" t="e">
        <f>AND('GA55 Entry'!#REF!,"AAAAADvn/3o=")</f>
        <v>#REF!</v>
      </c>
      <c r="DT178" t="e">
        <f>AND('GA55 Entry'!#REF!,"AAAAADvn/3s=")</f>
        <v>#REF!</v>
      </c>
      <c r="DU178" t="e">
        <f>AND('GA55 Entry'!#REF!,"AAAAADvn/3w=")</f>
        <v>#REF!</v>
      </c>
      <c r="DV178" t="e">
        <f>AND('GA55 Entry'!#REF!,"AAAAADvn/30=")</f>
        <v>#REF!</v>
      </c>
      <c r="DW178" t="e">
        <f>AND('GA55 Entry'!D662,"AAAAADvn/34=")</f>
        <v>#VALUE!</v>
      </c>
      <c r="DX178" t="e">
        <f>AND('GA55 Entry'!#REF!,"AAAAADvn/38=")</f>
        <v>#REF!</v>
      </c>
      <c r="DY178" t="e">
        <f>AND('GA55 Entry'!E662,"AAAAADvn/4A=")</f>
        <v>#VALUE!</v>
      </c>
      <c r="DZ178" t="e">
        <f>AND('GA55 Entry'!F662,"AAAAADvn/4E=")</f>
        <v>#VALUE!</v>
      </c>
      <c r="EA178" t="e">
        <f>AND('GA55 Entry'!G662,"AAAAADvn/4I=")</f>
        <v>#VALUE!</v>
      </c>
      <c r="EB178" t="e">
        <f>AND('GA55 Entry'!H662,"AAAAADvn/4M=")</f>
        <v>#VALUE!</v>
      </c>
      <c r="EC178" t="e">
        <f>AND('GA55 Entry'!I662,"AAAAADvn/4Q=")</f>
        <v>#VALUE!</v>
      </c>
      <c r="ED178" t="e">
        <f>AND('GA55 Entry'!J662,"AAAAADvn/4U=")</f>
        <v>#VALUE!</v>
      </c>
      <c r="EE178" t="e">
        <f>AND('GA55 Entry'!#REF!,"AAAAADvn/4Y=")</f>
        <v>#REF!</v>
      </c>
      <c r="EF178" t="e">
        <f>AND('GA55 Entry'!K662,"AAAAADvn/4c=")</f>
        <v>#VALUE!</v>
      </c>
      <c r="EG178" t="e">
        <f>AND('GA55 Entry'!L662,"AAAAADvn/4g=")</f>
        <v>#VALUE!</v>
      </c>
      <c r="EH178" t="e">
        <f>AND('GA55 Entry'!M662,"AAAAADvn/4k=")</f>
        <v>#VALUE!</v>
      </c>
      <c r="EI178" t="e">
        <f>AND('GA55 Entry'!N662,"AAAAADvn/4o=")</f>
        <v>#VALUE!</v>
      </c>
      <c r="EJ178" t="e">
        <f>AND('GA55 Entry'!O662,"AAAAADvn/4s=")</f>
        <v>#VALUE!</v>
      </c>
      <c r="EK178" t="e">
        <f>AND('GA55 Entry'!P662,"AAAAADvn/4w=")</f>
        <v>#VALUE!</v>
      </c>
      <c r="EL178" t="e">
        <f>AND('GA55 Entry'!Q662,"AAAAADvn/40=")</f>
        <v>#VALUE!</v>
      </c>
      <c r="EM178" t="e">
        <f>AND('GA55 Entry'!S662,"AAAAADvn/44=")</f>
        <v>#VALUE!</v>
      </c>
      <c r="EN178" t="e">
        <f>AND('GA55 Entry'!#REF!,"AAAAADvn/48=")</f>
        <v>#REF!</v>
      </c>
      <c r="EO178" t="e">
        <f>AND('GA55 Entry'!T662,"AAAAADvn/5A=")</f>
        <v>#VALUE!</v>
      </c>
      <c r="EP178" t="e">
        <f>AND('GA55 Entry'!U662,"AAAAADvn/5E=")</f>
        <v>#VALUE!</v>
      </c>
      <c r="EQ178" t="e">
        <f>AND('GA55 Entry'!V662,"AAAAADvn/5I=")</f>
        <v>#VALUE!</v>
      </c>
      <c r="ER178" t="e">
        <f>AND('GA55 Entry'!#REF!,"AAAAADvn/5M=")</f>
        <v>#REF!</v>
      </c>
      <c r="ES178" t="e">
        <f>AND('GA55 Entry'!#REF!,"AAAAADvn/5Q=")</f>
        <v>#REF!</v>
      </c>
      <c r="ET178" t="e">
        <f>AND('GA55 Entry'!X662,"AAAAADvn/5U=")</f>
        <v>#VALUE!</v>
      </c>
      <c r="EU178" t="e">
        <f>AND('GA55 Entry'!Y662,"AAAAADvn/5Y=")</f>
        <v>#VALUE!</v>
      </c>
      <c r="EV178" t="e">
        <f>AND('GA55 Entry'!#REF!,"AAAAADvn/5c=")</f>
        <v>#REF!</v>
      </c>
      <c r="EW178" t="e">
        <f>AND('GA55 Entry'!#REF!,"AAAAADvn/5g=")</f>
        <v>#REF!</v>
      </c>
      <c r="EX178" t="e">
        <f>AND('GA55 Entry'!#REF!,"AAAAADvn/5k=")</f>
        <v>#REF!</v>
      </c>
      <c r="EY178" t="e">
        <f>AND('GA55 Entry'!#REF!,"AAAAADvn/5o=")</f>
        <v>#REF!</v>
      </c>
      <c r="EZ178" t="e">
        <f>AND('GA55 Entry'!#REF!,"AAAAADvn/5s=")</f>
        <v>#REF!</v>
      </c>
      <c r="FA178" t="e">
        <f>AND('GA55 Entry'!#REF!,"AAAAADvn/5w=")</f>
        <v>#REF!</v>
      </c>
      <c r="FB178" t="e">
        <f>AND('GA55 Entry'!#REF!,"AAAAADvn/50=")</f>
        <v>#REF!</v>
      </c>
      <c r="FC178" t="e">
        <f>AND('GA55 Entry'!#REF!,"AAAAADvn/54=")</f>
        <v>#REF!</v>
      </c>
      <c r="FD178" t="e">
        <f>AND('GA55 Entry'!#REF!,"AAAAADvn/58=")</f>
        <v>#REF!</v>
      </c>
      <c r="FE178" t="e">
        <f>AND('GA55 Entry'!Z662,"AAAAADvn/6A=")</f>
        <v>#VALUE!</v>
      </c>
      <c r="FF178" t="e">
        <f>AND('GA55 Entry'!AA662,"AAAAADvn/6E=")</f>
        <v>#VALUE!</v>
      </c>
      <c r="FG178" t="e">
        <f>AND('GA55 Entry'!#REF!,"AAAAADvn/6I=")</f>
        <v>#REF!</v>
      </c>
      <c r="FH178" t="e">
        <f>AND('GA55 Entry'!#REF!,"AAAAADvn/6M=")</f>
        <v>#REF!</v>
      </c>
      <c r="FI178" t="e">
        <f>AND('GA55 Entry'!#REF!,"AAAAADvn/6Q=")</f>
        <v>#REF!</v>
      </c>
      <c r="FJ178" t="e">
        <f>AND('GA55 Entry'!AB662,"AAAAADvn/6U=")</f>
        <v>#VALUE!</v>
      </c>
      <c r="FK178" t="e">
        <f>AND('GA55 Entry'!AC662,"AAAAADvn/6Y=")</f>
        <v>#VALUE!</v>
      </c>
      <c r="FL178" t="e">
        <f>AND('GA55 Entry'!#REF!,"AAAAADvn/6c=")</f>
        <v>#REF!</v>
      </c>
      <c r="FM178">
        <f>IF('GA55 Entry'!663:663,"AAAAADvn/6g=",0)</f>
        <v>0</v>
      </c>
      <c r="FN178" t="e">
        <f>AND('GA55 Entry'!B663,"AAAAADvn/6k=")</f>
        <v>#VALUE!</v>
      </c>
      <c r="FO178" t="e">
        <f>AND('GA55 Entry'!#REF!,"AAAAADvn/6o=")</f>
        <v>#REF!</v>
      </c>
      <c r="FP178" t="e">
        <f>AND('GA55 Entry'!C663,"AAAAADvn/6s=")</f>
        <v>#VALUE!</v>
      </c>
      <c r="FQ178" t="e">
        <f>AND('GA55 Entry'!#REF!,"AAAAADvn/6w=")</f>
        <v>#REF!</v>
      </c>
      <c r="FR178" t="e">
        <f>AND('GA55 Entry'!#REF!,"AAAAADvn/60=")</f>
        <v>#REF!</v>
      </c>
      <c r="FS178" t="e">
        <f>AND('GA55 Entry'!#REF!,"AAAAADvn/64=")</f>
        <v>#REF!</v>
      </c>
      <c r="FT178" t="e">
        <f>AND('GA55 Entry'!#REF!,"AAAAADvn/68=")</f>
        <v>#REF!</v>
      </c>
      <c r="FU178" t="e">
        <f>AND('GA55 Entry'!#REF!,"AAAAADvn/7A=")</f>
        <v>#REF!</v>
      </c>
      <c r="FV178" t="e">
        <f>AND('GA55 Entry'!D663,"AAAAADvn/7E=")</f>
        <v>#VALUE!</v>
      </c>
      <c r="FW178" t="e">
        <f>AND('GA55 Entry'!#REF!,"AAAAADvn/7I=")</f>
        <v>#REF!</v>
      </c>
      <c r="FX178" t="e">
        <f>AND('GA55 Entry'!E663,"AAAAADvn/7M=")</f>
        <v>#VALUE!</v>
      </c>
      <c r="FY178" t="e">
        <f>AND('GA55 Entry'!F663,"AAAAADvn/7Q=")</f>
        <v>#VALUE!</v>
      </c>
      <c r="FZ178" t="e">
        <f>AND('GA55 Entry'!G663,"AAAAADvn/7U=")</f>
        <v>#VALUE!</v>
      </c>
      <c r="GA178" t="e">
        <f>AND('GA55 Entry'!H663,"AAAAADvn/7Y=")</f>
        <v>#VALUE!</v>
      </c>
      <c r="GB178" t="e">
        <f>AND('GA55 Entry'!I663,"AAAAADvn/7c=")</f>
        <v>#VALUE!</v>
      </c>
      <c r="GC178" t="e">
        <f>AND('GA55 Entry'!J663,"AAAAADvn/7g=")</f>
        <v>#VALUE!</v>
      </c>
      <c r="GD178" t="e">
        <f>AND('GA55 Entry'!#REF!,"AAAAADvn/7k=")</f>
        <v>#REF!</v>
      </c>
      <c r="GE178" t="e">
        <f>AND('GA55 Entry'!K663,"AAAAADvn/7o=")</f>
        <v>#VALUE!</v>
      </c>
      <c r="GF178" t="e">
        <f>AND('GA55 Entry'!L663,"AAAAADvn/7s=")</f>
        <v>#VALUE!</v>
      </c>
      <c r="GG178" t="e">
        <f>AND('GA55 Entry'!M663,"AAAAADvn/7w=")</f>
        <v>#VALUE!</v>
      </c>
      <c r="GH178" t="e">
        <f>AND('GA55 Entry'!N663,"AAAAADvn/70=")</f>
        <v>#VALUE!</v>
      </c>
      <c r="GI178" t="e">
        <f>AND('GA55 Entry'!O663,"AAAAADvn/74=")</f>
        <v>#VALUE!</v>
      </c>
      <c r="GJ178" t="e">
        <f>AND('GA55 Entry'!P663,"AAAAADvn/78=")</f>
        <v>#VALUE!</v>
      </c>
      <c r="GK178" t="e">
        <f>AND('GA55 Entry'!Q663,"AAAAADvn/8A=")</f>
        <v>#VALUE!</v>
      </c>
      <c r="GL178" t="e">
        <f>AND('GA55 Entry'!S663,"AAAAADvn/8E=")</f>
        <v>#VALUE!</v>
      </c>
      <c r="GM178" t="e">
        <f>AND('GA55 Entry'!#REF!,"AAAAADvn/8I=")</f>
        <v>#REF!</v>
      </c>
      <c r="GN178" t="e">
        <f>AND('GA55 Entry'!T663,"AAAAADvn/8M=")</f>
        <v>#VALUE!</v>
      </c>
      <c r="GO178" t="e">
        <f>AND('GA55 Entry'!U663,"AAAAADvn/8Q=")</f>
        <v>#VALUE!</v>
      </c>
      <c r="GP178" t="e">
        <f>AND('GA55 Entry'!V663,"AAAAADvn/8U=")</f>
        <v>#VALUE!</v>
      </c>
      <c r="GQ178" t="e">
        <f>AND('GA55 Entry'!#REF!,"AAAAADvn/8Y=")</f>
        <v>#REF!</v>
      </c>
      <c r="GR178" t="e">
        <f>AND('GA55 Entry'!#REF!,"AAAAADvn/8c=")</f>
        <v>#REF!</v>
      </c>
      <c r="GS178" t="e">
        <f>AND('GA55 Entry'!X663,"AAAAADvn/8g=")</f>
        <v>#VALUE!</v>
      </c>
      <c r="GT178" t="e">
        <f>AND('GA55 Entry'!Y663,"AAAAADvn/8k=")</f>
        <v>#VALUE!</v>
      </c>
      <c r="GU178" t="e">
        <f>AND('GA55 Entry'!#REF!,"AAAAADvn/8o=")</f>
        <v>#REF!</v>
      </c>
      <c r="GV178" t="e">
        <f>AND('GA55 Entry'!#REF!,"AAAAADvn/8s=")</f>
        <v>#REF!</v>
      </c>
      <c r="GW178" t="e">
        <f>AND('GA55 Entry'!#REF!,"AAAAADvn/8w=")</f>
        <v>#REF!</v>
      </c>
      <c r="GX178" t="e">
        <f>AND('GA55 Entry'!#REF!,"AAAAADvn/80=")</f>
        <v>#REF!</v>
      </c>
      <c r="GY178" t="e">
        <f>AND('GA55 Entry'!#REF!,"AAAAADvn/84=")</f>
        <v>#REF!</v>
      </c>
      <c r="GZ178" t="e">
        <f>AND('GA55 Entry'!#REF!,"AAAAADvn/88=")</f>
        <v>#REF!</v>
      </c>
      <c r="HA178" t="e">
        <f>AND('GA55 Entry'!#REF!,"AAAAADvn/9A=")</f>
        <v>#REF!</v>
      </c>
      <c r="HB178" t="e">
        <f>AND('GA55 Entry'!#REF!,"AAAAADvn/9E=")</f>
        <v>#REF!</v>
      </c>
      <c r="HC178" t="e">
        <f>AND('GA55 Entry'!#REF!,"AAAAADvn/9I=")</f>
        <v>#REF!</v>
      </c>
      <c r="HD178" t="e">
        <f>AND('GA55 Entry'!Z663,"AAAAADvn/9M=")</f>
        <v>#VALUE!</v>
      </c>
      <c r="HE178" t="e">
        <f>AND('GA55 Entry'!AA663,"AAAAADvn/9Q=")</f>
        <v>#VALUE!</v>
      </c>
      <c r="HF178" t="e">
        <f>AND('GA55 Entry'!#REF!,"AAAAADvn/9U=")</f>
        <v>#REF!</v>
      </c>
      <c r="HG178" t="e">
        <f>AND('GA55 Entry'!#REF!,"AAAAADvn/9Y=")</f>
        <v>#REF!</v>
      </c>
      <c r="HH178" t="e">
        <f>AND('GA55 Entry'!#REF!,"AAAAADvn/9c=")</f>
        <v>#REF!</v>
      </c>
      <c r="HI178" t="e">
        <f>AND('GA55 Entry'!AB663,"AAAAADvn/9g=")</f>
        <v>#VALUE!</v>
      </c>
      <c r="HJ178" t="e">
        <f>AND('GA55 Entry'!AC663,"AAAAADvn/9k=")</f>
        <v>#VALUE!</v>
      </c>
      <c r="HK178" t="e">
        <f>AND('GA55 Entry'!#REF!,"AAAAADvn/9o=")</f>
        <v>#REF!</v>
      </c>
      <c r="HL178">
        <f>IF('GA55 Entry'!664:664,"AAAAADvn/9s=",0)</f>
        <v>0</v>
      </c>
      <c r="HM178" t="e">
        <f>AND('GA55 Entry'!B664,"AAAAADvn/9w=")</f>
        <v>#VALUE!</v>
      </c>
      <c r="HN178" t="e">
        <f>AND('GA55 Entry'!#REF!,"AAAAADvn/90=")</f>
        <v>#REF!</v>
      </c>
      <c r="HO178" t="e">
        <f>AND('GA55 Entry'!C664,"AAAAADvn/94=")</f>
        <v>#VALUE!</v>
      </c>
      <c r="HP178" t="e">
        <f>AND('GA55 Entry'!#REF!,"AAAAADvn/98=")</f>
        <v>#REF!</v>
      </c>
      <c r="HQ178" t="e">
        <f>AND('GA55 Entry'!#REF!,"AAAAADvn/+A=")</f>
        <v>#REF!</v>
      </c>
      <c r="HR178" t="e">
        <f>AND('GA55 Entry'!#REF!,"AAAAADvn/+E=")</f>
        <v>#REF!</v>
      </c>
      <c r="HS178" t="e">
        <f>AND('GA55 Entry'!#REF!,"AAAAADvn/+I=")</f>
        <v>#REF!</v>
      </c>
      <c r="HT178" t="e">
        <f>AND('GA55 Entry'!#REF!,"AAAAADvn/+M=")</f>
        <v>#REF!</v>
      </c>
      <c r="HU178" t="e">
        <f>AND('GA55 Entry'!D664,"AAAAADvn/+Q=")</f>
        <v>#VALUE!</v>
      </c>
      <c r="HV178" t="e">
        <f>AND('GA55 Entry'!#REF!,"AAAAADvn/+U=")</f>
        <v>#REF!</v>
      </c>
      <c r="HW178" t="e">
        <f>AND('GA55 Entry'!E664,"AAAAADvn/+Y=")</f>
        <v>#VALUE!</v>
      </c>
      <c r="HX178" t="e">
        <f>AND('GA55 Entry'!F664,"AAAAADvn/+c=")</f>
        <v>#VALUE!</v>
      </c>
      <c r="HY178" t="e">
        <f>AND('GA55 Entry'!G664,"AAAAADvn/+g=")</f>
        <v>#VALUE!</v>
      </c>
      <c r="HZ178" t="e">
        <f>AND('GA55 Entry'!H664,"AAAAADvn/+k=")</f>
        <v>#VALUE!</v>
      </c>
      <c r="IA178" t="e">
        <f>AND('GA55 Entry'!I664,"AAAAADvn/+o=")</f>
        <v>#VALUE!</v>
      </c>
      <c r="IB178" t="e">
        <f>AND('GA55 Entry'!J664,"AAAAADvn/+s=")</f>
        <v>#VALUE!</v>
      </c>
      <c r="IC178" t="e">
        <f>AND('GA55 Entry'!#REF!,"AAAAADvn/+w=")</f>
        <v>#REF!</v>
      </c>
      <c r="ID178" t="e">
        <f>AND('GA55 Entry'!K664,"AAAAADvn/+0=")</f>
        <v>#VALUE!</v>
      </c>
      <c r="IE178" t="e">
        <f>AND('GA55 Entry'!L664,"AAAAADvn/+4=")</f>
        <v>#VALUE!</v>
      </c>
      <c r="IF178" t="e">
        <f>AND('GA55 Entry'!M664,"AAAAADvn/+8=")</f>
        <v>#VALUE!</v>
      </c>
      <c r="IG178" t="e">
        <f>AND('GA55 Entry'!N664,"AAAAADvn//A=")</f>
        <v>#VALUE!</v>
      </c>
      <c r="IH178" t="e">
        <f>AND('GA55 Entry'!O664,"AAAAADvn//E=")</f>
        <v>#VALUE!</v>
      </c>
      <c r="II178" t="e">
        <f>AND('GA55 Entry'!P664,"AAAAADvn//I=")</f>
        <v>#VALUE!</v>
      </c>
      <c r="IJ178" t="e">
        <f>AND('GA55 Entry'!Q664,"AAAAADvn//M=")</f>
        <v>#VALUE!</v>
      </c>
      <c r="IK178" t="e">
        <f>AND('GA55 Entry'!S664,"AAAAADvn//Q=")</f>
        <v>#VALUE!</v>
      </c>
      <c r="IL178" t="e">
        <f>AND('GA55 Entry'!#REF!,"AAAAADvn//U=")</f>
        <v>#REF!</v>
      </c>
      <c r="IM178" t="e">
        <f>AND('GA55 Entry'!T664,"AAAAADvn//Y=")</f>
        <v>#VALUE!</v>
      </c>
      <c r="IN178" t="e">
        <f>AND('GA55 Entry'!U664,"AAAAADvn//c=")</f>
        <v>#VALUE!</v>
      </c>
      <c r="IO178" t="e">
        <f>AND('GA55 Entry'!V664,"AAAAADvn//g=")</f>
        <v>#VALUE!</v>
      </c>
      <c r="IP178" t="e">
        <f>AND('GA55 Entry'!#REF!,"AAAAADvn//k=")</f>
        <v>#REF!</v>
      </c>
      <c r="IQ178" t="e">
        <f>AND('GA55 Entry'!#REF!,"AAAAADvn//o=")</f>
        <v>#REF!</v>
      </c>
      <c r="IR178" t="e">
        <f>AND('GA55 Entry'!X664,"AAAAADvn//s=")</f>
        <v>#VALUE!</v>
      </c>
      <c r="IS178" t="e">
        <f>AND('GA55 Entry'!Y664,"AAAAADvn//w=")</f>
        <v>#VALUE!</v>
      </c>
      <c r="IT178" t="e">
        <f>AND('GA55 Entry'!#REF!,"AAAAADvn//0=")</f>
        <v>#REF!</v>
      </c>
      <c r="IU178" t="e">
        <f>AND('GA55 Entry'!#REF!,"AAAAADvn//4=")</f>
        <v>#REF!</v>
      </c>
      <c r="IV178" t="e">
        <f>AND('GA55 Entry'!#REF!,"AAAAADvn//8=")</f>
        <v>#REF!</v>
      </c>
    </row>
    <row r="179" spans="1:256">
      <c r="A179" t="e">
        <f>AND('GA55 Entry'!#REF!,"AAAAAG4avgA=")</f>
        <v>#REF!</v>
      </c>
      <c r="B179" t="e">
        <f>AND('GA55 Entry'!#REF!,"AAAAAG4avgE=")</f>
        <v>#REF!</v>
      </c>
      <c r="C179" t="e">
        <f>AND('GA55 Entry'!#REF!,"AAAAAG4avgI=")</f>
        <v>#REF!</v>
      </c>
      <c r="D179" t="e">
        <f>AND('GA55 Entry'!#REF!,"AAAAAG4avgM=")</f>
        <v>#REF!</v>
      </c>
      <c r="E179" t="e">
        <f>AND('GA55 Entry'!#REF!,"AAAAAG4avgQ=")</f>
        <v>#REF!</v>
      </c>
      <c r="F179" t="e">
        <f>AND('GA55 Entry'!#REF!,"AAAAAG4avgU=")</f>
        <v>#REF!</v>
      </c>
      <c r="G179" t="e">
        <f>AND('GA55 Entry'!Z664,"AAAAAG4avgY=")</f>
        <v>#VALUE!</v>
      </c>
      <c r="H179" t="e">
        <f>AND('GA55 Entry'!AA664,"AAAAAG4avgc=")</f>
        <v>#VALUE!</v>
      </c>
      <c r="I179" t="e">
        <f>AND('GA55 Entry'!#REF!,"AAAAAG4avgg=")</f>
        <v>#REF!</v>
      </c>
      <c r="J179" t="e">
        <f>AND('GA55 Entry'!#REF!,"AAAAAG4avgk=")</f>
        <v>#REF!</v>
      </c>
      <c r="K179" t="e">
        <f>AND('GA55 Entry'!#REF!,"AAAAAG4avgo=")</f>
        <v>#REF!</v>
      </c>
      <c r="L179" t="e">
        <f>AND('GA55 Entry'!AB664,"AAAAAG4avgs=")</f>
        <v>#VALUE!</v>
      </c>
      <c r="M179" t="e">
        <f>AND('GA55 Entry'!AC664,"AAAAAG4avgw=")</f>
        <v>#VALUE!</v>
      </c>
      <c r="N179" t="e">
        <f>AND('GA55 Entry'!#REF!,"AAAAAG4avg0=")</f>
        <v>#REF!</v>
      </c>
      <c r="O179">
        <f>IF('GA55 Entry'!665:665,"AAAAAG4avg4=",0)</f>
        <v>0</v>
      </c>
      <c r="P179" t="e">
        <f>AND('GA55 Entry'!B665,"AAAAAG4avg8=")</f>
        <v>#VALUE!</v>
      </c>
      <c r="Q179" t="e">
        <f>AND('GA55 Entry'!#REF!,"AAAAAG4avhA=")</f>
        <v>#REF!</v>
      </c>
      <c r="R179" t="e">
        <f>AND('GA55 Entry'!C665,"AAAAAG4avhE=")</f>
        <v>#VALUE!</v>
      </c>
      <c r="S179" t="e">
        <f>AND('GA55 Entry'!#REF!,"AAAAAG4avhI=")</f>
        <v>#REF!</v>
      </c>
      <c r="T179" t="e">
        <f>AND('GA55 Entry'!#REF!,"AAAAAG4avhM=")</f>
        <v>#REF!</v>
      </c>
      <c r="U179" t="e">
        <f>AND('GA55 Entry'!#REF!,"AAAAAG4avhQ=")</f>
        <v>#REF!</v>
      </c>
      <c r="V179" t="e">
        <f>AND('GA55 Entry'!#REF!,"AAAAAG4avhU=")</f>
        <v>#REF!</v>
      </c>
      <c r="W179" t="e">
        <f>AND('GA55 Entry'!#REF!,"AAAAAG4avhY=")</f>
        <v>#REF!</v>
      </c>
      <c r="X179" t="e">
        <f>AND('GA55 Entry'!D665,"AAAAAG4avhc=")</f>
        <v>#VALUE!</v>
      </c>
      <c r="Y179" t="e">
        <f>AND('GA55 Entry'!#REF!,"AAAAAG4avhg=")</f>
        <v>#REF!</v>
      </c>
      <c r="Z179" t="e">
        <f>AND('GA55 Entry'!E665,"AAAAAG4avhk=")</f>
        <v>#VALUE!</v>
      </c>
      <c r="AA179" t="e">
        <f>AND('GA55 Entry'!F665,"AAAAAG4avho=")</f>
        <v>#VALUE!</v>
      </c>
      <c r="AB179" t="e">
        <f>AND('GA55 Entry'!G665,"AAAAAG4avhs=")</f>
        <v>#VALUE!</v>
      </c>
      <c r="AC179" t="e">
        <f>AND('GA55 Entry'!H665,"AAAAAG4avhw=")</f>
        <v>#VALUE!</v>
      </c>
      <c r="AD179" t="e">
        <f>AND('GA55 Entry'!I665,"AAAAAG4avh0=")</f>
        <v>#VALUE!</v>
      </c>
      <c r="AE179" t="e">
        <f>AND('GA55 Entry'!J665,"AAAAAG4avh4=")</f>
        <v>#VALUE!</v>
      </c>
      <c r="AF179" t="e">
        <f>AND('GA55 Entry'!#REF!,"AAAAAG4avh8=")</f>
        <v>#REF!</v>
      </c>
      <c r="AG179" t="e">
        <f>AND('GA55 Entry'!K665,"AAAAAG4aviA=")</f>
        <v>#VALUE!</v>
      </c>
      <c r="AH179" t="e">
        <f>AND('GA55 Entry'!L665,"AAAAAG4aviE=")</f>
        <v>#VALUE!</v>
      </c>
      <c r="AI179" t="e">
        <f>AND('GA55 Entry'!M665,"AAAAAG4aviI=")</f>
        <v>#VALUE!</v>
      </c>
      <c r="AJ179" t="e">
        <f>AND('GA55 Entry'!N665,"AAAAAG4aviM=")</f>
        <v>#VALUE!</v>
      </c>
      <c r="AK179" t="e">
        <f>AND('GA55 Entry'!O665,"AAAAAG4aviQ=")</f>
        <v>#VALUE!</v>
      </c>
      <c r="AL179" t="e">
        <f>AND('GA55 Entry'!P665,"AAAAAG4aviU=")</f>
        <v>#VALUE!</v>
      </c>
      <c r="AM179" t="e">
        <f>AND('GA55 Entry'!Q665,"AAAAAG4aviY=")</f>
        <v>#VALUE!</v>
      </c>
      <c r="AN179" t="e">
        <f>AND('GA55 Entry'!S665,"AAAAAG4avic=")</f>
        <v>#VALUE!</v>
      </c>
      <c r="AO179" t="e">
        <f>AND('GA55 Entry'!#REF!,"AAAAAG4avig=")</f>
        <v>#REF!</v>
      </c>
      <c r="AP179" t="e">
        <f>AND('GA55 Entry'!T665,"AAAAAG4avik=")</f>
        <v>#VALUE!</v>
      </c>
      <c r="AQ179" t="e">
        <f>AND('GA55 Entry'!U665,"AAAAAG4avio=")</f>
        <v>#VALUE!</v>
      </c>
      <c r="AR179" t="e">
        <f>AND('GA55 Entry'!V665,"AAAAAG4avis=")</f>
        <v>#VALUE!</v>
      </c>
      <c r="AS179" t="e">
        <f>AND('GA55 Entry'!#REF!,"AAAAAG4aviw=")</f>
        <v>#REF!</v>
      </c>
      <c r="AT179" t="e">
        <f>AND('GA55 Entry'!#REF!,"AAAAAG4avi0=")</f>
        <v>#REF!</v>
      </c>
      <c r="AU179" t="e">
        <f>AND('GA55 Entry'!X665,"AAAAAG4avi4=")</f>
        <v>#VALUE!</v>
      </c>
      <c r="AV179" t="e">
        <f>AND('GA55 Entry'!Y665,"AAAAAG4avi8=")</f>
        <v>#VALUE!</v>
      </c>
      <c r="AW179" t="e">
        <f>AND('GA55 Entry'!#REF!,"AAAAAG4avjA=")</f>
        <v>#REF!</v>
      </c>
      <c r="AX179" t="e">
        <f>AND('GA55 Entry'!#REF!,"AAAAAG4avjE=")</f>
        <v>#REF!</v>
      </c>
      <c r="AY179" t="e">
        <f>AND('GA55 Entry'!#REF!,"AAAAAG4avjI=")</f>
        <v>#REF!</v>
      </c>
      <c r="AZ179" t="e">
        <f>AND('GA55 Entry'!#REF!,"AAAAAG4avjM=")</f>
        <v>#REF!</v>
      </c>
      <c r="BA179" t="e">
        <f>AND('GA55 Entry'!#REF!,"AAAAAG4avjQ=")</f>
        <v>#REF!</v>
      </c>
      <c r="BB179" t="e">
        <f>AND('GA55 Entry'!#REF!,"AAAAAG4avjU=")</f>
        <v>#REF!</v>
      </c>
      <c r="BC179" t="e">
        <f>AND('GA55 Entry'!#REF!,"AAAAAG4avjY=")</f>
        <v>#REF!</v>
      </c>
      <c r="BD179" t="e">
        <f>AND('GA55 Entry'!#REF!,"AAAAAG4avjc=")</f>
        <v>#REF!</v>
      </c>
      <c r="BE179" t="e">
        <f>AND('GA55 Entry'!#REF!,"AAAAAG4avjg=")</f>
        <v>#REF!</v>
      </c>
      <c r="BF179" t="e">
        <f>AND('GA55 Entry'!Z665,"AAAAAG4avjk=")</f>
        <v>#VALUE!</v>
      </c>
      <c r="BG179" t="e">
        <f>AND('GA55 Entry'!AA665,"AAAAAG4avjo=")</f>
        <v>#VALUE!</v>
      </c>
      <c r="BH179" t="e">
        <f>AND('GA55 Entry'!#REF!,"AAAAAG4avjs=")</f>
        <v>#REF!</v>
      </c>
      <c r="BI179" t="e">
        <f>AND('GA55 Entry'!#REF!,"AAAAAG4avjw=")</f>
        <v>#REF!</v>
      </c>
      <c r="BJ179" t="e">
        <f>AND('GA55 Entry'!#REF!,"AAAAAG4avj0=")</f>
        <v>#REF!</v>
      </c>
      <c r="BK179" t="e">
        <f>AND('GA55 Entry'!AB665,"AAAAAG4avj4=")</f>
        <v>#VALUE!</v>
      </c>
      <c r="BL179" t="e">
        <f>AND('GA55 Entry'!AC665,"AAAAAG4avj8=")</f>
        <v>#VALUE!</v>
      </c>
      <c r="BM179" t="e">
        <f>AND('GA55 Entry'!#REF!,"AAAAAG4avkA=")</f>
        <v>#REF!</v>
      </c>
      <c r="BN179">
        <f>IF('GA55 Entry'!666:666,"AAAAAG4avkE=",0)</f>
        <v>0</v>
      </c>
      <c r="BO179" t="e">
        <f>AND('GA55 Entry'!B666,"AAAAAG4avkI=")</f>
        <v>#VALUE!</v>
      </c>
      <c r="BP179" t="e">
        <f>AND('GA55 Entry'!#REF!,"AAAAAG4avkM=")</f>
        <v>#REF!</v>
      </c>
      <c r="BQ179" t="e">
        <f>AND('GA55 Entry'!C666,"AAAAAG4avkQ=")</f>
        <v>#VALUE!</v>
      </c>
      <c r="BR179" t="e">
        <f>AND('GA55 Entry'!#REF!,"AAAAAG4avkU=")</f>
        <v>#REF!</v>
      </c>
      <c r="BS179" t="e">
        <f>AND('GA55 Entry'!#REF!,"AAAAAG4avkY=")</f>
        <v>#REF!</v>
      </c>
      <c r="BT179" t="e">
        <f>AND('GA55 Entry'!#REF!,"AAAAAG4avkc=")</f>
        <v>#REF!</v>
      </c>
      <c r="BU179" t="e">
        <f>AND('GA55 Entry'!#REF!,"AAAAAG4avkg=")</f>
        <v>#REF!</v>
      </c>
      <c r="BV179" t="e">
        <f>AND('GA55 Entry'!#REF!,"AAAAAG4avkk=")</f>
        <v>#REF!</v>
      </c>
      <c r="BW179" t="e">
        <f>AND('GA55 Entry'!D666,"AAAAAG4avko=")</f>
        <v>#VALUE!</v>
      </c>
      <c r="BX179" t="e">
        <f>AND('GA55 Entry'!#REF!,"AAAAAG4avks=")</f>
        <v>#REF!</v>
      </c>
      <c r="BY179" t="e">
        <f>AND('GA55 Entry'!E666,"AAAAAG4avkw=")</f>
        <v>#VALUE!</v>
      </c>
      <c r="BZ179" t="e">
        <f>AND('GA55 Entry'!F666,"AAAAAG4avk0=")</f>
        <v>#VALUE!</v>
      </c>
      <c r="CA179" t="e">
        <f>AND('GA55 Entry'!G666,"AAAAAG4avk4=")</f>
        <v>#VALUE!</v>
      </c>
      <c r="CB179" t="e">
        <f>AND('GA55 Entry'!H666,"AAAAAG4avk8=")</f>
        <v>#VALUE!</v>
      </c>
      <c r="CC179" t="e">
        <f>AND('GA55 Entry'!I666,"AAAAAG4avlA=")</f>
        <v>#VALUE!</v>
      </c>
      <c r="CD179" t="e">
        <f>AND('GA55 Entry'!J666,"AAAAAG4avlE=")</f>
        <v>#VALUE!</v>
      </c>
      <c r="CE179" t="e">
        <f>AND('GA55 Entry'!#REF!,"AAAAAG4avlI=")</f>
        <v>#REF!</v>
      </c>
      <c r="CF179" t="e">
        <f>AND('GA55 Entry'!K666,"AAAAAG4avlM=")</f>
        <v>#VALUE!</v>
      </c>
      <c r="CG179" t="e">
        <f>AND('GA55 Entry'!L666,"AAAAAG4avlQ=")</f>
        <v>#VALUE!</v>
      </c>
      <c r="CH179" t="e">
        <f>AND('GA55 Entry'!M666,"AAAAAG4avlU=")</f>
        <v>#VALUE!</v>
      </c>
      <c r="CI179" t="e">
        <f>AND('GA55 Entry'!N666,"AAAAAG4avlY=")</f>
        <v>#VALUE!</v>
      </c>
      <c r="CJ179" t="e">
        <f>AND('GA55 Entry'!O666,"AAAAAG4avlc=")</f>
        <v>#VALUE!</v>
      </c>
      <c r="CK179" t="e">
        <f>AND('GA55 Entry'!P666,"AAAAAG4avlg=")</f>
        <v>#VALUE!</v>
      </c>
      <c r="CL179" t="e">
        <f>AND('GA55 Entry'!Q666,"AAAAAG4avlk=")</f>
        <v>#VALUE!</v>
      </c>
      <c r="CM179" t="e">
        <f>AND('GA55 Entry'!S666,"AAAAAG4avlo=")</f>
        <v>#VALUE!</v>
      </c>
      <c r="CN179" t="e">
        <f>AND('GA55 Entry'!#REF!,"AAAAAG4avls=")</f>
        <v>#REF!</v>
      </c>
      <c r="CO179" t="e">
        <f>AND('GA55 Entry'!T666,"AAAAAG4avlw=")</f>
        <v>#VALUE!</v>
      </c>
      <c r="CP179" t="e">
        <f>AND('GA55 Entry'!U666,"AAAAAG4avl0=")</f>
        <v>#VALUE!</v>
      </c>
      <c r="CQ179" t="e">
        <f>AND('GA55 Entry'!V666,"AAAAAG4avl4=")</f>
        <v>#VALUE!</v>
      </c>
      <c r="CR179" t="e">
        <f>AND('GA55 Entry'!#REF!,"AAAAAG4avl8=")</f>
        <v>#REF!</v>
      </c>
      <c r="CS179" t="e">
        <f>AND('GA55 Entry'!#REF!,"AAAAAG4avmA=")</f>
        <v>#REF!</v>
      </c>
      <c r="CT179" t="e">
        <f>AND('GA55 Entry'!X666,"AAAAAG4avmE=")</f>
        <v>#VALUE!</v>
      </c>
      <c r="CU179" t="e">
        <f>AND('GA55 Entry'!Y666,"AAAAAG4avmI=")</f>
        <v>#VALUE!</v>
      </c>
      <c r="CV179" t="e">
        <f>AND('GA55 Entry'!#REF!,"AAAAAG4avmM=")</f>
        <v>#REF!</v>
      </c>
      <c r="CW179" t="e">
        <f>AND('GA55 Entry'!#REF!,"AAAAAG4avmQ=")</f>
        <v>#REF!</v>
      </c>
      <c r="CX179" t="e">
        <f>AND('GA55 Entry'!#REF!,"AAAAAG4avmU=")</f>
        <v>#REF!</v>
      </c>
      <c r="CY179" t="e">
        <f>AND('GA55 Entry'!#REF!,"AAAAAG4avmY=")</f>
        <v>#REF!</v>
      </c>
      <c r="CZ179" t="e">
        <f>AND('GA55 Entry'!#REF!,"AAAAAG4avmc=")</f>
        <v>#REF!</v>
      </c>
      <c r="DA179" t="e">
        <f>AND('GA55 Entry'!#REF!,"AAAAAG4avmg=")</f>
        <v>#REF!</v>
      </c>
      <c r="DB179" t="e">
        <f>AND('GA55 Entry'!#REF!,"AAAAAG4avmk=")</f>
        <v>#REF!</v>
      </c>
      <c r="DC179" t="e">
        <f>AND('GA55 Entry'!#REF!,"AAAAAG4avmo=")</f>
        <v>#REF!</v>
      </c>
      <c r="DD179" t="e">
        <f>AND('GA55 Entry'!#REF!,"AAAAAG4avms=")</f>
        <v>#REF!</v>
      </c>
      <c r="DE179" t="e">
        <f>AND('GA55 Entry'!Z666,"AAAAAG4avmw=")</f>
        <v>#VALUE!</v>
      </c>
      <c r="DF179" t="e">
        <f>AND('GA55 Entry'!AA666,"AAAAAG4avm0=")</f>
        <v>#VALUE!</v>
      </c>
      <c r="DG179" t="e">
        <f>AND('GA55 Entry'!#REF!,"AAAAAG4avm4=")</f>
        <v>#REF!</v>
      </c>
      <c r="DH179" t="e">
        <f>AND('GA55 Entry'!#REF!,"AAAAAG4avm8=")</f>
        <v>#REF!</v>
      </c>
      <c r="DI179" t="e">
        <f>AND('GA55 Entry'!#REF!,"AAAAAG4avnA=")</f>
        <v>#REF!</v>
      </c>
      <c r="DJ179" t="e">
        <f>AND('GA55 Entry'!AB666,"AAAAAG4avnE=")</f>
        <v>#VALUE!</v>
      </c>
      <c r="DK179" t="e">
        <f>AND('GA55 Entry'!AC666,"AAAAAG4avnI=")</f>
        <v>#VALUE!</v>
      </c>
      <c r="DL179" t="e">
        <f>AND('GA55 Entry'!#REF!,"AAAAAG4avnM=")</f>
        <v>#REF!</v>
      </c>
      <c r="DM179">
        <f>IF('GA55 Entry'!667:667,"AAAAAG4avnQ=",0)</f>
        <v>0</v>
      </c>
      <c r="DN179" t="e">
        <f>AND('GA55 Entry'!B667,"AAAAAG4avnU=")</f>
        <v>#VALUE!</v>
      </c>
      <c r="DO179" t="e">
        <f>AND('GA55 Entry'!#REF!,"AAAAAG4avnY=")</f>
        <v>#REF!</v>
      </c>
      <c r="DP179" t="e">
        <f>AND('GA55 Entry'!C667,"AAAAAG4avnc=")</f>
        <v>#VALUE!</v>
      </c>
      <c r="DQ179" t="e">
        <f>AND('GA55 Entry'!#REF!,"AAAAAG4avng=")</f>
        <v>#REF!</v>
      </c>
      <c r="DR179" t="e">
        <f>AND('GA55 Entry'!#REF!,"AAAAAG4avnk=")</f>
        <v>#REF!</v>
      </c>
      <c r="DS179" t="e">
        <f>AND('GA55 Entry'!#REF!,"AAAAAG4avno=")</f>
        <v>#REF!</v>
      </c>
      <c r="DT179" t="e">
        <f>AND('GA55 Entry'!#REF!,"AAAAAG4avns=")</f>
        <v>#REF!</v>
      </c>
      <c r="DU179" t="e">
        <f>AND('GA55 Entry'!#REF!,"AAAAAG4avnw=")</f>
        <v>#REF!</v>
      </c>
      <c r="DV179" t="e">
        <f>AND('GA55 Entry'!D667,"AAAAAG4avn0=")</f>
        <v>#VALUE!</v>
      </c>
      <c r="DW179" t="e">
        <f>AND('GA55 Entry'!#REF!,"AAAAAG4avn4=")</f>
        <v>#REF!</v>
      </c>
      <c r="DX179" t="e">
        <f>AND('GA55 Entry'!E667,"AAAAAG4avn8=")</f>
        <v>#VALUE!</v>
      </c>
      <c r="DY179" t="e">
        <f>AND('GA55 Entry'!F667,"AAAAAG4avoA=")</f>
        <v>#VALUE!</v>
      </c>
      <c r="DZ179" t="e">
        <f>AND('GA55 Entry'!G667,"AAAAAG4avoE=")</f>
        <v>#VALUE!</v>
      </c>
      <c r="EA179" t="e">
        <f>AND('GA55 Entry'!H667,"AAAAAG4avoI=")</f>
        <v>#VALUE!</v>
      </c>
      <c r="EB179" t="e">
        <f>AND('GA55 Entry'!I667,"AAAAAG4avoM=")</f>
        <v>#VALUE!</v>
      </c>
      <c r="EC179" t="e">
        <f>AND('GA55 Entry'!J667,"AAAAAG4avoQ=")</f>
        <v>#VALUE!</v>
      </c>
      <c r="ED179" t="e">
        <f>AND('GA55 Entry'!#REF!,"AAAAAG4avoU=")</f>
        <v>#REF!</v>
      </c>
      <c r="EE179" t="e">
        <f>AND('GA55 Entry'!K667,"AAAAAG4avoY=")</f>
        <v>#VALUE!</v>
      </c>
      <c r="EF179" t="e">
        <f>AND('GA55 Entry'!L667,"AAAAAG4avoc=")</f>
        <v>#VALUE!</v>
      </c>
      <c r="EG179" t="e">
        <f>AND('GA55 Entry'!M667,"AAAAAG4avog=")</f>
        <v>#VALUE!</v>
      </c>
      <c r="EH179" t="e">
        <f>AND('GA55 Entry'!N667,"AAAAAG4avok=")</f>
        <v>#VALUE!</v>
      </c>
      <c r="EI179" t="e">
        <f>AND('GA55 Entry'!O667,"AAAAAG4avoo=")</f>
        <v>#VALUE!</v>
      </c>
      <c r="EJ179" t="e">
        <f>AND('GA55 Entry'!P667,"AAAAAG4avos=")</f>
        <v>#VALUE!</v>
      </c>
      <c r="EK179" t="e">
        <f>AND('GA55 Entry'!Q667,"AAAAAG4avow=")</f>
        <v>#VALUE!</v>
      </c>
      <c r="EL179" t="e">
        <f>AND('GA55 Entry'!S667,"AAAAAG4avo0=")</f>
        <v>#VALUE!</v>
      </c>
      <c r="EM179" t="e">
        <f>AND('GA55 Entry'!#REF!,"AAAAAG4avo4=")</f>
        <v>#REF!</v>
      </c>
      <c r="EN179" t="e">
        <f>AND('GA55 Entry'!T667,"AAAAAG4avo8=")</f>
        <v>#VALUE!</v>
      </c>
      <c r="EO179" t="e">
        <f>AND('GA55 Entry'!U667,"AAAAAG4avpA=")</f>
        <v>#VALUE!</v>
      </c>
      <c r="EP179" t="e">
        <f>AND('GA55 Entry'!V667,"AAAAAG4avpE=")</f>
        <v>#VALUE!</v>
      </c>
      <c r="EQ179" t="e">
        <f>AND('GA55 Entry'!#REF!,"AAAAAG4avpI=")</f>
        <v>#REF!</v>
      </c>
      <c r="ER179" t="e">
        <f>AND('GA55 Entry'!#REF!,"AAAAAG4avpM=")</f>
        <v>#REF!</v>
      </c>
      <c r="ES179" t="e">
        <f>AND('GA55 Entry'!X667,"AAAAAG4avpQ=")</f>
        <v>#VALUE!</v>
      </c>
      <c r="ET179" t="e">
        <f>AND('GA55 Entry'!Y667,"AAAAAG4avpU=")</f>
        <v>#VALUE!</v>
      </c>
      <c r="EU179" t="e">
        <f>AND('GA55 Entry'!#REF!,"AAAAAG4avpY=")</f>
        <v>#REF!</v>
      </c>
      <c r="EV179" t="e">
        <f>AND('GA55 Entry'!#REF!,"AAAAAG4avpc=")</f>
        <v>#REF!</v>
      </c>
      <c r="EW179" t="e">
        <f>AND('GA55 Entry'!#REF!,"AAAAAG4avpg=")</f>
        <v>#REF!</v>
      </c>
      <c r="EX179" t="e">
        <f>AND('GA55 Entry'!#REF!,"AAAAAG4avpk=")</f>
        <v>#REF!</v>
      </c>
      <c r="EY179" t="e">
        <f>AND('GA55 Entry'!#REF!,"AAAAAG4avpo=")</f>
        <v>#REF!</v>
      </c>
      <c r="EZ179" t="e">
        <f>AND('GA55 Entry'!#REF!,"AAAAAG4avps=")</f>
        <v>#REF!</v>
      </c>
      <c r="FA179" t="e">
        <f>AND('GA55 Entry'!#REF!,"AAAAAG4avpw=")</f>
        <v>#REF!</v>
      </c>
      <c r="FB179" t="e">
        <f>AND('GA55 Entry'!#REF!,"AAAAAG4avp0=")</f>
        <v>#REF!</v>
      </c>
      <c r="FC179" t="e">
        <f>AND('GA55 Entry'!#REF!,"AAAAAG4avp4=")</f>
        <v>#REF!</v>
      </c>
      <c r="FD179" t="e">
        <f>AND('GA55 Entry'!Z667,"AAAAAG4avp8=")</f>
        <v>#VALUE!</v>
      </c>
      <c r="FE179" t="e">
        <f>AND('GA55 Entry'!AA667,"AAAAAG4avqA=")</f>
        <v>#VALUE!</v>
      </c>
      <c r="FF179" t="e">
        <f>AND('GA55 Entry'!#REF!,"AAAAAG4avqE=")</f>
        <v>#REF!</v>
      </c>
      <c r="FG179" t="e">
        <f>AND('GA55 Entry'!#REF!,"AAAAAG4avqI=")</f>
        <v>#REF!</v>
      </c>
      <c r="FH179" t="e">
        <f>AND('GA55 Entry'!#REF!,"AAAAAG4avqM=")</f>
        <v>#REF!</v>
      </c>
      <c r="FI179" t="e">
        <f>AND('GA55 Entry'!AB667,"AAAAAG4avqQ=")</f>
        <v>#VALUE!</v>
      </c>
      <c r="FJ179" t="e">
        <f>AND('GA55 Entry'!AC667,"AAAAAG4avqU=")</f>
        <v>#VALUE!</v>
      </c>
      <c r="FK179" t="e">
        <f>AND('GA55 Entry'!#REF!,"AAAAAG4avqY=")</f>
        <v>#REF!</v>
      </c>
      <c r="FL179">
        <f>IF('GA55 Entry'!668:668,"AAAAAG4avqc=",0)</f>
        <v>0</v>
      </c>
      <c r="FM179" t="e">
        <f>AND('GA55 Entry'!B668,"AAAAAG4avqg=")</f>
        <v>#VALUE!</v>
      </c>
      <c r="FN179" t="e">
        <f>AND('GA55 Entry'!#REF!,"AAAAAG4avqk=")</f>
        <v>#REF!</v>
      </c>
      <c r="FO179" t="e">
        <f>AND('GA55 Entry'!C668,"AAAAAG4avqo=")</f>
        <v>#VALUE!</v>
      </c>
      <c r="FP179" t="e">
        <f>AND('GA55 Entry'!#REF!,"AAAAAG4avqs=")</f>
        <v>#REF!</v>
      </c>
      <c r="FQ179" t="e">
        <f>AND('GA55 Entry'!#REF!,"AAAAAG4avqw=")</f>
        <v>#REF!</v>
      </c>
      <c r="FR179" t="e">
        <f>AND('GA55 Entry'!#REF!,"AAAAAG4avq0=")</f>
        <v>#REF!</v>
      </c>
      <c r="FS179" t="e">
        <f>AND('GA55 Entry'!#REF!,"AAAAAG4avq4=")</f>
        <v>#REF!</v>
      </c>
      <c r="FT179" t="e">
        <f>AND('GA55 Entry'!#REF!,"AAAAAG4avq8=")</f>
        <v>#REF!</v>
      </c>
      <c r="FU179" t="e">
        <f>AND('GA55 Entry'!D668,"AAAAAG4avrA=")</f>
        <v>#VALUE!</v>
      </c>
      <c r="FV179" t="e">
        <f>AND('GA55 Entry'!#REF!,"AAAAAG4avrE=")</f>
        <v>#REF!</v>
      </c>
      <c r="FW179" t="e">
        <f>AND('GA55 Entry'!E668,"AAAAAG4avrI=")</f>
        <v>#VALUE!</v>
      </c>
      <c r="FX179" t="e">
        <f>AND('GA55 Entry'!F668,"AAAAAG4avrM=")</f>
        <v>#VALUE!</v>
      </c>
      <c r="FY179" t="e">
        <f>AND('GA55 Entry'!G668,"AAAAAG4avrQ=")</f>
        <v>#VALUE!</v>
      </c>
      <c r="FZ179" t="e">
        <f>AND('GA55 Entry'!H668,"AAAAAG4avrU=")</f>
        <v>#VALUE!</v>
      </c>
      <c r="GA179" t="e">
        <f>AND('GA55 Entry'!I668,"AAAAAG4avrY=")</f>
        <v>#VALUE!</v>
      </c>
      <c r="GB179" t="e">
        <f>AND('GA55 Entry'!J668,"AAAAAG4avrc=")</f>
        <v>#VALUE!</v>
      </c>
      <c r="GC179" t="e">
        <f>AND('GA55 Entry'!#REF!,"AAAAAG4avrg=")</f>
        <v>#REF!</v>
      </c>
      <c r="GD179" t="e">
        <f>AND('GA55 Entry'!K668,"AAAAAG4avrk=")</f>
        <v>#VALUE!</v>
      </c>
      <c r="GE179" t="e">
        <f>AND('GA55 Entry'!L668,"AAAAAG4avro=")</f>
        <v>#VALUE!</v>
      </c>
      <c r="GF179" t="e">
        <f>AND('GA55 Entry'!M668,"AAAAAG4avrs=")</f>
        <v>#VALUE!</v>
      </c>
      <c r="GG179" t="e">
        <f>AND('GA55 Entry'!N668,"AAAAAG4avrw=")</f>
        <v>#VALUE!</v>
      </c>
      <c r="GH179" t="e">
        <f>AND('GA55 Entry'!O668,"AAAAAG4avr0=")</f>
        <v>#VALUE!</v>
      </c>
      <c r="GI179" t="e">
        <f>AND('GA55 Entry'!P668,"AAAAAG4avr4=")</f>
        <v>#VALUE!</v>
      </c>
      <c r="GJ179" t="e">
        <f>AND('GA55 Entry'!Q668,"AAAAAG4avr8=")</f>
        <v>#VALUE!</v>
      </c>
      <c r="GK179" t="e">
        <f>AND('GA55 Entry'!S668,"AAAAAG4avsA=")</f>
        <v>#VALUE!</v>
      </c>
      <c r="GL179" t="e">
        <f>AND('GA55 Entry'!#REF!,"AAAAAG4avsE=")</f>
        <v>#REF!</v>
      </c>
      <c r="GM179" t="e">
        <f>AND('GA55 Entry'!T668,"AAAAAG4avsI=")</f>
        <v>#VALUE!</v>
      </c>
      <c r="GN179" t="e">
        <f>AND('GA55 Entry'!U668,"AAAAAG4avsM=")</f>
        <v>#VALUE!</v>
      </c>
      <c r="GO179" t="e">
        <f>AND('GA55 Entry'!V668,"AAAAAG4avsQ=")</f>
        <v>#VALUE!</v>
      </c>
      <c r="GP179" t="e">
        <f>AND('GA55 Entry'!#REF!,"AAAAAG4avsU=")</f>
        <v>#REF!</v>
      </c>
      <c r="GQ179" t="e">
        <f>AND('GA55 Entry'!#REF!,"AAAAAG4avsY=")</f>
        <v>#REF!</v>
      </c>
      <c r="GR179" t="e">
        <f>AND('GA55 Entry'!X668,"AAAAAG4avsc=")</f>
        <v>#VALUE!</v>
      </c>
      <c r="GS179" t="e">
        <f>AND('GA55 Entry'!Y668,"AAAAAG4avsg=")</f>
        <v>#VALUE!</v>
      </c>
      <c r="GT179" t="e">
        <f>AND('GA55 Entry'!#REF!,"AAAAAG4avsk=")</f>
        <v>#REF!</v>
      </c>
      <c r="GU179" t="e">
        <f>AND('GA55 Entry'!#REF!,"AAAAAG4avso=")</f>
        <v>#REF!</v>
      </c>
      <c r="GV179" t="e">
        <f>AND('GA55 Entry'!#REF!,"AAAAAG4avss=")</f>
        <v>#REF!</v>
      </c>
      <c r="GW179" t="e">
        <f>AND('GA55 Entry'!#REF!,"AAAAAG4avsw=")</f>
        <v>#REF!</v>
      </c>
      <c r="GX179" t="e">
        <f>AND('GA55 Entry'!#REF!,"AAAAAG4avs0=")</f>
        <v>#REF!</v>
      </c>
      <c r="GY179" t="e">
        <f>AND('GA55 Entry'!#REF!,"AAAAAG4avs4=")</f>
        <v>#REF!</v>
      </c>
      <c r="GZ179" t="e">
        <f>AND('GA55 Entry'!#REF!,"AAAAAG4avs8=")</f>
        <v>#REF!</v>
      </c>
      <c r="HA179" t="e">
        <f>AND('GA55 Entry'!#REF!,"AAAAAG4avtA=")</f>
        <v>#REF!</v>
      </c>
      <c r="HB179" t="e">
        <f>AND('GA55 Entry'!#REF!,"AAAAAG4avtE=")</f>
        <v>#REF!</v>
      </c>
      <c r="HC179" t="e">
        <f>AND('GA55 Entry'!Z668,"AAAAAG4avtI=")</f>
        <v>#VALUE!</v>
      </c>
      <c r="HD179" t="e">
        <f>AND('GA55 Entry'!AA668,"AAAAAG4avtM=")</f>
        <v>#VALUE!</v>
      </c>
      <c r="HE179" t="e">
        <f>AND('GA55 Entry'!#REF!,"AAAAAG4avtQ=")</f>
        <v>#REF!</v>
      </c>
      <c r="HF179" t="e">
        <f>AND('GA55 Entry'!#REF!,"AAAAAG4avtU=")</f>
        <v>#REF!</v>
      </c>
      <c r="HG179" t="e">
        <f>AND('GA55 Entry'!#REF!,"AAAAAG4avtY=")</f>
        <v>#REF!</v>
      </c>
      <c r="HH179" t="e">
        <f>AND('GA55 Entry'!AB668,"AAAAAG4avtc=")</f>
        <v>#VALUE!</v>
      </c>
      <c r="HI179" t="e">
        <f>AND('GA55 Entry'!AC668,"AAAAAG4avtg=")</f>
        <v>#VALUE!</v>
      </c>
      <c r="HJ179" t="e">
        <f>AND('GA55 Entry'!#REF!,"AAAAAG4avtk=")</f>
        <v>#REF!</v>
      </c>
      <c r="HK179">
        <f>IF('GA55 Entry'!669:669,"AAAAAG4avto=",0)</f>
        <v>0</v>
      </c>
      <c r="HL179" t="e">
        <f>AND('GA55 Entry'!B669,"AAAAAG4avts=")</f>
        <v>#VALUE!</v>
      </c>
      <c r="HM179" t="e">
        <f>AND('GA55 Entry'!#REF!,"AAAAAG4avtw=")</f>
        <v>#REF!</v>
      </c>
      <c r="HN179" t="e">
        <f>AND('GA55 Entry'!C669,"AAAAAG4avt0=")</f>
        <v>#VALUE!</v>
      </c>
      <c r="HO179" t="e">
        <f>AND('GA55 Entry'!#REF!,"AAAAAG4avt4=")</f>
        <v>#REF!</v>
      </c>
      <c r="HP179" t="e">
        <f>AND('GA55 Entry'!#REF!,"AAAAAG4avt8=")</f>
        <v>#REF!</v>
      </c>
      <c r="HQ179" t="e">
        <f>AND('GA55 Entry'!#REF!,"AAAAAG4avuA=")</f>
        <v>#REF!</v>
      </c>
      <c r="HR179" t="e">
        <f>AND('GA55 Entry'!#REF!,"AAAAAG4avuE=")</f>
        <v>#REF!</v>
      </c>
      <c r="HS179" t="e">
        <f>AND('GA55 Entry'!#REF!,"AAAAAG4avuI=")</f>
        <v>#REF!</v>
      </c>
      <c r="HT179" t="e">
        <f>AND('GA55 Entry'!D669,"AAAAAG4avuM=")</f>
        <v>#VALUE!</v>
      </c>
      <c r="HU179" t="e">
        <f>AND('GA55 Entry'!#REF!,"AAAAAG4avuQ=")</f>
        <v>#REF!</v>
      </c>
      <c r="HV179" t="e">
        <f>AND('GA55 Entry'!E669,"AAAAAG4avuU=")</f>
        <v>#VALUE!</v>
      </c>
      <c r="HW179" t="e">
        <f>AND('GA55 Entry'!F669,"AAAAAG4avuY=")</f>
        <v>#VALUE!</v>
      </c>
      <c r="HX179" t="e">
        <f>AND('GA55 Entry'!G669,"AAAAAG4avuc=")</f>
        <v>#VALUE!</v>
      </c>
      <c r="HY179" t="e">
        <f>AND('GA55 Entry'!H669,"AAAAAG4avug=")</f>
        <v>#VALUE!</v>
      </c>
      <c r="HZ179" t="e">
        <f>AND('GA55 Entry'!I669,"AAAAAG4avuk=")</f>
        <v>#VALUE!</v>
      </c>
      <c r="IA179" t="e">
        <f>AND('GA55 Entry'!J669,"AAAAAG4avuo=")</f>
        <v>#VALUE!</v>
      </c>
      <c r="IB179" t="e">
        <f>AND('GA55 Entry'!#REF!,"AAAAAG4avus=")</f>
        <v>#REF!</v>
      </c>
      <c r="IC179" t="e">
        <f>AND('GA55 Entry'!K669,"AAAAAG4avuw=")</f>
        <v>#VALUE!</v>
      </c>
      <c r="ID179" t="e">
        <f>AND('GA55 Entry'!L669,"AAAAAG4avu0=")</f>
        <v>#VALUE!</v>
      </c>
      <c r="IE179" t="e">
        <f>AND('GA55 Entry'!M669,"AAAAAG4avu4=")</f>
        <v>#VALUE!</v>
      </c>
      <c r="IF179" t="e">
        <f>AND('GA55 Entry'!N669,"AAAAAG4avu8=")</f>
        <v>#VALUE!</v>
      </c>
      <c r="IG179" t="e">
        <f>AND('GA55 Entry'!O669,"AAAAAG4avvA=")</f>
        <v>#VALUE!</v>
      </c>
      <c r="IH179" t="e">
        <f>AND('GA55 Entry'!P669,"AAAAAG4avvE=")</f>
        <v>#VALUE!</v>
      </c>
      <c r="II179" t="e">
        <f>AND('GA55 Entry'!Q669,"AAAAAG4avvI=")</f>
        <v>#VALUE!</v>
      </c>
      <c r="IJ179" t="e">
        <f>AND('GA55 Entry'!S669,"AAAAAG4avvM=")</f>
        <v>#VALUE!</v>
      </c>
      <c r="IK179" t="e">
        <f>AND('GA55 Entry'!#REF!,"AAAAAG4avvQ=")</f>
        <v>#REF!</v>
      </c>
      <c r="IL179" t="e">
        <f>AND('GA55 Entry'!T669,"AAAAAG4avvU=")</f>
        <v>#VALUE!</v>
      </c>
      <c r="IM179" t="e">
        <f>AND('GA55 Entry'!U669,"AAAAAG4avvY=")</f>
        <v>#VALUE!</v>
      </c>
      <c r="IN179" t="e">
        <f>AND('GA55 Entry'!V669,"AAAAAG4avvc=")</f>
        <v>#VALUE!</v>
      </c>
      <c r="IO179" t="e">
        <f>AND('GA55 Entry'!#REF!,"AAAAAG4avvg=")</f>
        <v>#REF!</v>
      </c>
      <c r="IP179" t="e">
        <f>AND('GA55 Entry'!#REF!,"AAAAAG4avvk=")</f>
        <v>#REF!</v>
      </c>
      <c r="IQ179" t="e">
        <f>AND('GA55 Entry'!X669,"AAAAAG4avvo=")</f>
        <v>#VALUE!</v>
      </c>
      <c r="IR179" t="e">
        <f>AND('GA55 Entry'!Y669,"AAAAAG4avvs=")</f>
        <v>#VALUE!</v>
      </c>
      <c r="IS179" t="e">
        <f>AND('GA55 Entry'!#REF!,"AAAAAG4avvw=")</f>
        <v>#REF!</v>
      </c>
      <c r="IT179" t="e">
        <f>AND('GA55 Entry'!#REF!,"AAAAAG4avv0=")</f>
        <v>#REF!</v>
      </c>
      <c r="IU179" t="e">
        <f>AND('GA55 Entry'!#REF!,"AAAAAG4avv4=")</f>
        <v>#REF!</v>
      </c>
      <c r="IV179" t="e">
        <f>AND('GA55 Entry'!#REF!,"AAAAAG4avv8=")</f>
        <v>#REF!</v>
      </c>
    </row>
    <row r="180" spans="1:256">
      <c r="A180" t="e">
        <f>AND('GA55 Entry'!#REF!,"AAAAAH/ZvwA=")</f>
        <v>#REF!</v>
      </c>
      <c r="B180" t="e">
        <f>AND('GA55 Entry'!#REF!,"AAAAAH/ZvwE=")</f>
        <v>#REF!</v>
      </c>
      <c r="C180" t="e">
        <f>AND('GA55 Entry'!#REF!,"AAAAAH/ZvwI=")</f>
        <v>#REF!</v>
      </c>
      <c r="D180" t="e">
        <f>AND('GA55 Entry'!#REF!,"AAAAAH/ZvwM=")</f>
        <v>#REF!</v>
      </c>
      <c r="E180" t="e">
        <f>AND('GA55 Entry'!#REF!,"AAAAAH/ZvwQ=")</f>
        <v>#REF!</v>
      </c>
      <c r="F180" t="e">
        <f>AND('GA55 Entry'!Z669,"AAAAAH/ZvwU=")</f>
        <v>#VALUE!</v>
      </c>
      <c r="G180" t="e">
        <f>AND('GA55 Entry'!AA669,"AAAAAH/ZvwY=")</f>
        <v>#VALUE!</v>
      </c>
      <c r="H180" t="e">
        <f>AND('GA55 Entry'!#REF!,"AAAAAH/Zvwc=")</f>
        <v>#REF!</v>
      </c>
      <c r="I180" t="e">
        <f>AND('GA55 Entry'!#REF!,"AAAAAH/Zvwg=")</f>
        <v>#REF!</v>
      </c>
      <c r="J180" t="e">
        <f>AND('GA55 Entry'!#REF!,"AAAAAH/Zvwk=")</f>
        <v>#REF!</v>
      </c>
      <c r="K180" t="e">
        <f>AND('GA55 Entry'!AB669,"AAAAAH/Zvwo=")</f>
        <v>#VALUE!</v>
      </c>
      <c r="L180" t="e">
        <f>AND('GA55 Entry'!AC669,"AAAAAH/Zvws=")</f>
        <v>#VALUE!</v>
      </c>
      <c r="M180" t="e">
        <f>AND('GA55 Entry'!#REF!,"AAAAAH/Zvww=")</f>
        <v>#REF!</v>
      </c>
      <c r="N180">
        <f>IF('GA55 Entry'!670:670,"AAAAAH/Zvw0=",0)</f>
        <v>0</v>
      </c>
      <c r="O180" t="e">
        <f>AND('GA55 Entry'!B670,"AAAAAH/Zvw4=")</f>
        <v>#VALUE!</v>
      </c>
      <c r="P180" t="e">
        <f>AND('GA55 Entry'!#REF!,"AAAAAH/Zvw8=")</f>
        <v>#REF!</v>
      </c>
      <c r="Q180" t="e">
        <f>AND('GA55 Entry'!C670,"AAAAAH/ZvxA=")</f>
        <v>#VALUE!</v>
      </c>
      <c r="R180" t="e">
        <f>AND('GA55 Entry'!#REF!,"AAAAAH/ZvxE=")</f>
        <v>#REF!</v>
      </c>
      <c r="S180" t="e">
        <f>AND('GA55 Entry'!#REF!,"AAAAAH/ZvxI=")</f>
        <v>#REF!</v>
      </c>
      <c r="T180" t="e">
        <f>AND('GA55 Entry'!#REF!,"AAAAAH/ZvxM=")</f>
        <v>#REF!</v>
      </c>
      <c r="U180" t="e">
        <f>AND('GA55 Entry'!#REF!,"AAAAAH/ZvxQ=")</f>
        <v>#REF!</v>
      </c>
      <c r="V180" t="e">
        <f>AND('GA55 Entry'!#REF!,"AAAAAH/ZvxU=")</f>
        <v>#REF!</v>
      </c>
      <c r="W180" t="e">
        <f>AND('GA55 Entry'!D670,"AAAAAH/ZvxY=")</f>
        <v>#VALUE!</v>
      </c>
      <c r="X180" t="e">
        <f>AND('GA55 Entry'!#REF!,"AAAAAH/Zvxc=")</f>
        <v>#REF!</v>
      </c>
      <c r="Y180" t="e">
        <f>AND('GA55 Entry'!E670,"AAAAAH/Zvxg=")</f>
        <v>#VALUE!</v>
      </c>
      <c r="Z180" t="e">
        <f>AND('GA55 Entry'!F670,"AAAAAH/Zvxk=")</f>
        <v>#VALUE!</v>
      </c>
      <c r="AA180" t="e">
        <f>AND('GA55 Entry'!G670,"AAAAAH/Zvxo=")</f>
        <v>#VALUE!</v>
      </c>
      <c r="AB180" t="e">
        <f>AND('GA55 Entry'!H670,"AAAAAH/Zvxs=")</f>
        <v>#VALUE!</v>
      </c>
      <c r="AC180" t="e">
        <f>AND('GA55 Entry'!I670,"AAAAAH/Zvxw=")</f>
        <v>#VALUE!</v>
      </c>
      <c r="AD180" t="e">
        <f>AND('GA55 Entry'!J670,"AAAAAH/Zvx0=")</f>
        <v>#VALUE!</v>
      </c>
      <c r="AE180" t="e">
        <f>AND('GA55 Entry'!#REF!,"AAAAAH/Zvx4=")</f>
        <v>#REF!</v>
      </c>
      <c r="AF180" t="e">
        <f>AND('GA55 Entry'!K670,"AAAAAH/Zvx8=")</f>
        <v>#VALUE!</v>
      </c>
      <c r="AG180" t="e">
        <f>AND('GA55 Entry'!L670,"AAAAAH/ZvyA=")</f>
        <v>#VALUE!</v>
      </c>
      <c r="AH180" t="e">
        <f>AND('GA55 Entry'!M670,"AAAAAH/ZvyE=")</f>
        <v>#VALUE!</v>
      </c>
      <c r="AI180" t="e">
        <f>AND('GA55 Entry'!N670,"AAAAAH/ZvyI=")</f>
        <v>#VALUE!</v>
      </c>
      <c r="AJ180" t="e">
        <f>AND('GA55 Entry'!O670,"AAAAAH/ZvyM=")</f>
        <v>#VALUE!</v>
      </c>
      <c r="AK180" t="e">
        <f>AND('GA55 Entry'!P670,"AAAAAH/ZvyQ=")</f>
        <v>#VALUE!</v>
      </c>
      <c r="AL180" t="e">
        <f>AND('GA55 Entry'!Q670,"AAAAAH/ZvyU=")</f>
        <v>#VALUE!</v>
      </c>
      <c r="AM180" t="e">
        <f>AND('GA55 Entry'!S670,"AAAAAH/ZvyY=")</f>
        <v>#VALUE!</v>
      </c>
      <c r="AN180" t="e">
        <f>AND('GA55 Entry'!#REF!,"AAAAAH/Zvyc=")</f>
        <v>#REF!</v>
      </c>
      <c r="AO180" t="e">
        <f>AND('GA55 Entry'!T670,"AAAAAH/Zvyg=")</f>
        <v>#VALUE!</v>
      </c>
      <c r="AP180" t="e">
        <f>AND('GA55 Entry'!U670,"AAAAAH/Zvyk=")</f>
        <v>#VALUE!</v>
      </c>
      <c r="AQ180" t="e">
        <f>AND('GA55 Entry'!V670,"AAAAAH/Zvyo=")</f>
        <v>#VALUE!</v>
      </c>
      <c r="AR180" t="e">
        <f>AND('GA55 Entry'!#REF!,"AAAAAH/Zvys=")</f>
        <v>#REF!</v>
      </c>
      <c r="AS180" t="e">
        <f>AND('GA55 Entry'!#REF!,"AAAAAH/Zvyw=")</f>
        <v>#REF!</v>
      </c>
      <c r="AT180" t="e">
        <f>AND('GA55 Entry'!X670,"AAAAAH/Zvy0=")</f>
        <v>#VALUE!</v>
      </c>
      <c r="AU180" t="e">
        <f>AND('GA55 Entry'!Y670,"AAAAAH/Zvy4=")</f>
        <v>#VALUE!</v>
      </c>
      <c r="AV180" t="e">
        <f>AND('GA55 Entry'!#REF!,"AAAAAH/Zvy8=")</f>
        <v>#REF!</v>
      </c>
      <c r="AW180" t="e">
        <f>AND('GA55 Entry'!#REF!,"AAAAAH/ZvzA=")</f>
        <v>#REF!</v>
      </c>
      <c r="AX180" t="e">
        <f>AND('GA55 Entry'!#REF!,"AAAAAH/ZvzE=")</f>
        <v>#REF!</v>
      </c>
      <c r="AY180" t="e">
        <f>AND('GA55 Entry'!#REF!,"AAAAAH/ZvzI=")</f>
        <v>#REF!</v>
      </c>
      <c r="AZ180" t="e">
        <f>AND('GA55 Entry'!#REF!,"AAAAAH/ZvzM=")</f>
        <v>#REF!</v>
      </c>
      <c r="BA180" t="e">
        <f>AND('GA55 Entry'!#REF!,"AAAAAH/ZvzQ=")</f>
        <v>#REF!</v>
      </c>
      <c r="BB180" t="e">
        <f>AND('GA55 Entry'!#REF!,"AAAAAH/ZvzU=")</f>
        <v>#REF!</v>
      </c>
      <c r="BC180" t="e">
        <f>AND('GA55 Entry'!#REF!,"AAAAAH/ZvzY=")</f>
        <v>#REF!</v>
      </c>
      <c r="BD180" t="e">
        <f>AND('GA55 Entry'!#REF!,"AAAAAH/Zvzc=")</f>
        <v>#REF!</v>
      </c>
      <c r="BE180" t="e">
        <f>AND('GA55 Entry'!Z670,"AAAAAH/Zvzg=")</f>
        <v>#VALUE!</v>
      </c>
      <c r="BF180" t="e">
        <f>AND('GA55 Entry'!AA670,"AAAAAH/Zvzk=")</f>
        <v>#VALUE!</v>
      </c>
      <c r="BG180" t="e">
        <f>AND('GA55 Entry'!#REF!,"AAAAAH/Zvzo=")</f>
        <v>#REF!</v>
      </c>
      <c r="BH180" t="e">
        <f>AND('GA55 Entry'!#REF!,"AAAAAH/Zvzs=")</f>
        <v>#REF!</v>
      </c>
      <c r="BI180" t="e">
        <f>AND('GA55 Entry'!#REF!,"AAAAAH/Zvzw=")</f>
        <v>#REF!</v>
      </c>
      <c r="BJ180" t="e">
        <f>AND('GA55 Entry'!AB670,"AAAAAH/Zvz0=")</f>
        <v>#VALUE!</v>
      </c>
      <c r="BK180" t="e">
        <f>AND('GA55 Entry'!AC670,"AAAAAH/Zvz4=")</f>
        <v>#VALUE!</v>
      </c>
      <c r="BL180" t="e">
        <f>AND('GA55 Entry'!#REF!,"AAAAAH/Zvz8=")</f>
        <v>#REF!</v>
      </c>
      <c r="BM180">
        <f>IF('GA55 Entry'!671:671,"AAAAAH/Zv0A=",0)</f>
        <v>0</v>
      </c>
      <c r="BN180" t="e">
        <f>AND('GA55 Entry'!B671,"AAAAAH/Zv0E=")</f>
        <v>#VALUE!</v>
      </c>
      <c r="BO180" t="e">
        <f>AND('GA55 Entry'!#REF!,"AAAAAH/Zv0I=")</f>
        <v>#REF!</v>
      </c>
      <c r="BP180" t="e">
        <f>AND('GA55 Entry'!C671,"AAAAAH/Zv0M=")</f>
        <v>#VALUE!</v>
      </c>
      <c r="BQ180" t="e">
        <f>AND('GA55 Entry'!#REF!,"AAAAAH/Zv0Q=")</f>
        <v>#REF!</v>
      </c>
      <c r="BR180" t="e">
        <f>AND('GA55 Entry'!#REF!,"AAAAAH/Zv0U=")</f>
        <v>#REF!</v>
      </c>
      <c r="BS180" t="e">
        <f>AND('GA55 Entry'!#REF!,"AAAAAH/Zv0Y=")</f>
        <v>#REF!</v>
      </c>
      <c r="BT180" t="e">
        <f>AND('GA55 Entry'!#REF!,"AAAAAH/Zv0c=")</f>
        <v>#REF!</v>
      </c>
      <c r="BU180" t="e">
        <f>AND('GA55 Entry'!#REF!,"AAAAAH/Zv0g=")</f>
        <v>#REF!</v>
      </c>
      <c r="BV180" t="e">
        <f>AND('GA55 Entry'!D671,"AAAAAH/Zv0k=")</f>
        <v>#VALUE!</v>
      </c>
      <c r="BW180" t="e">
        <f>AND('GA55 Entry'!#REF!,"AAAAAH/Zv0o=")</f>
        <v>#REF!</v>
      </c>
      <c r="BX180" t="e">
        <f>AND('GA55 Entry'!E671,"AAAAAH/Zv0s=")</f>
        <v>#VALUE!</v>
      </c>
      <c r="BY180" t="e">
        <f>AND('GA55 Entry'!F671,"AAAAAH/Zv0w=")</f>
        <v>#VALUE!</v>
      </c>
      <c r="BZ180" t="e">
        <f>AND('GA55 Entry'!G671,"AAAAAH/Zv00=")</f>
        <v>#VALUE!</v>
      </c>
      <c r="CA180" t="e">
        <f>AND('GA55 Entry'!H671,"AAAAAH/Zv04=")</f>
        <v>#VALUE!</v>
      </c>
      <c r="CB180" t="e">
        <f>AND('GA55 Entry'!I671,"AAAAAH/Zv08=")</f>
        <v>#VALUE!</v>
      </c>
      <c r="CC180" t="e">
        <f>AND('GA55 Entry'!J671,"AAAAAH/Zv1A=")</f>
        <v>#VALUE!</v>
      </c>
      <c r="CD180" t="e">
        <f>AND('GA55 Entry'!#REF!,"AAAAAH/Zv1E=")</f>
        <v>#REF!</v>
      </c>
      <c r="CE180" t="e">
        <f>AND('GA55 Entry'!K671,"AAAAAH/Zv1I=")</f>
        <v>#VALUE!</v>
      </c>
      <c r="CF180" t="e">
        <f>AND('GA55 Entry'!L671,"AAAAAH/Zv1M=")</f>
        <v>#VALUE!</v>
      </c>
      <c r="CG180" t="e">
        <f>AND('GA55 Entry'!M671,"AAAAAH/Zv1Q=")</f>
        <v>#VALUE!</v>
      </c>
      <c r="CH180" t="e">
        <f>AND('GA55 Entry'!N671,"AAAAAH/Zv1U=")</f>
        <v>#VALUE!</v>
      </c>
      <c r="CI180" t="e">
        <f>AND('GA55 Entry'!O671,"AAAAAH/Zv1Y=")</f>
        <v>#VALUE!</v>
      </c>
      <c r="CJ180" t="e">
        <f>AND('GA55 Entry'!P671,"AAAAAH/Zv1c=")</f>
        <v>#VALUE!</v>
      </c>
      <c r="CK180" t="e">
        <f>AND('GA55 Entry'!Q671,"AAAAAH/Zv1g=")</f>
        <v>#VALUE!</v>
      </c>
      <c r="CL180" t="e">
        <f>AND('GA55 Entry'!S671,"AAAAAH/Zv1k=")</f>
        <v>#VALUE!</v>
      </c>
      <c r="CM180" t="e">
        <f>AND('GA55 Entry'!#REF!,"AAAAAH/Zv1o=")</f>
        <v>#REF!</v>
      </c>
      <c r="CN180" t="e">
        <f>AND('GA55 Entry'!T671,"AAAAAH/Zv1s=")</f>
        <v>#VALUE!</v>
      </c>
      <c r="CO180" t="e">
        <f>AND('GA55 Entry'!U671,"AAAAAH/Zv1w=")</f>
        <v>#VALUE!</v>
      </c>
      <c r="CP180" t="e">
        <f>AND('GA55 Entry'!V671,"AAAAAH/Zv10=")</f>
        <v>#VALUE!</v>
      </c>
      <c r="CQ180" t="e">
        <f>AND('GA55 Entry'!#REF!,"AAAAAH/Zv14=")</f>
        <v>#REF!</v>
      </c>
      <c r="CR180" t="e">
        <f>AND('GA55 Entry'!#REF!,"AAAAAH/Zv18=")</f>
        <v>#REF!</v>
      </c>
      <c r="CS180" t="e">
        <f>AND('GA55 Entry'!X671,"AAAAAH/Zv2A=")</f>
        <v>#VALUE!</v>
      </c>
      <c r="CT180" t="e">
        <f>AND('GA55 Entry'!Y671,"AAAAAH/Zv2E=")</f>
        <v>#VALUE!</v>
      </c>
      <c r="CU180" t="e">
        <f>AND('GA55 Entry'!#REF!,"AAAAAH/Zv2I=")</f>
        <v>#REF!</v>
      </c>
      <c r="CV180" t="e">
        <f>AND('GA55 Entry'!#REF!,"AAAAAH/Zv2M=")</f>
        <v>#REF!</v>
      </c>
      <c r="CW180" t="e">
        <f>AND('GA55 Entry'!#REF!,"AAAAAH/Zv2Q=")</f>
        <v>#REF!</v>
      </c>
      <c r="CX180" t="e">
        <f>AND('GA55 Entry'!#REF!,"AAAAAH/Zv2U=")</f>
        <v>#REF!</v>
      </c>
      <c r="CY180" t="e">
        <f>AND('GA55 Entry'!#REF!,"AAAAAH/Zv2Y=")</f>
        <v>#REF!</v>
      </c>
      <c r="CZ180" t="e">
        <f>AND('GA55 Entry'!#REF!,"AAAAAH/Zv2c=")</f>
        <v>#REF!</v>
      </c>
      <c r="DA180" t="e">
        <f>AND('GA55 Entry'!#REF!,"AAAAAH/Zv2g=")</f>
        <v>#REF!</v>
      </c>
      <c r="DB180" t="e">
        <f>AND('GA55 Entry'!#REF!,"AAAAAH/Zv2k=")</f>
        <v>#REF!</v>
      </c>
      <c r="DC180" t="e">
        <f>AND('GA55 Entry'!#REF!,"AAAAAH/Zv2o=")</f>
        <v>#REF!</v>
      </c>
      <c r="DD180" t="e">
        <f>AND('GA55 Entry'!Z671,"AAAAAH/Zv2s=")</f>
        <v>#VALUE!</v>
      </c>
      <c r="DE180" t="e">
        <f>AND('GA55 Entry'!AA671,"AAAAAH/Zv2w=")</f>
        <v>#VALUE!</v>
      </c>
      <c r="DF180" t="e">
        <f>AND('GA55 Entry'!#REF!,"AAAAAH/Zv20=")</f>
        <v>#REF!</v>
      </c>
      <c r="DG180" t="e">
        <f>AND('GA55 Entry'!#REF!,"AAAAAH/Zv24=")</f>
        <v>#REF!</v>
      </c>
      <c r="DH180" t="e">
        <f>AND('GA55 Entry'!#REF!,"AAAAAH/Zv28=")</f>
        <v>#REF!</v>
      </c>
      <c r="DI180" t="e">
        <f>AND('GA55 Entry'!AB671,"AAAAAH/Zv3A=")</f>
        <v>#VALUE!</v>
      </c>
      <c r="DJ180" t="e">
        <f>AND('GA55 Entry'!AC671,"AAAAAH/Zv3E=")</f>
        <v>#VALUE!</v>
      </c>
      <c r="DK180" t="e">
        <f>AND('GA55 Entry'!#REF!,"AAAAAH/Zv3I=")</f>
        <v>#REF!</v>
      </c>
      <c r="DL180">
        <f>IF('GA55 Entry'!672:672,"AAAAAH/Zv3M=",0)</f>
        <v>0</v>
      </c>
      <c r="DM180" t="e">
        <f>AND('GA55 Entry'!B672,"AAAAAH/Zv3Q=")</f>
        <v>#VALUE!</v>
      </c>
      <c r="DN180" t="e">
        <f>AND('GA55 Entry'!#REF!,"AAAAAH/Zv3U=")</f>
        <v>#REF!</v>
      </c>
      <c r="DO180" t="e">
        <f>AND('GA55 Entry'!C672,"AAAAAH/Zv3Y=")</f>
        <v>#VALUE!</v>
      </c>
      <c r="DP180" t="e">
        <f>AND('GA55 Entry'!#REF!,"AAAAAH/Zv3c=")</f>
        <v>#REF!</v>
      </c>
      <c r="DQ180" t="e">
        <f>AND('GA55 Entry'!#REF!,"AAAAAH/Zv3g=")</f>
        <v>#REF!</v>
      </c>
      <c r="DR180" t="e">
        <f>AND('GA55 Entry'!#REF!,"AAAAAH/Zv3k=")</f>
        <v>#REF!</v>
      </c>
      <c r="DS180" t="e">
        <f>AND('GA55 Entry'!#REF!,"AAAAAH/Zv3o=")</f>
        <v>#REF!</v>
      </c>
      <c r="DT180" t="e">
        <f>AND('GA55 Entry'!#REF!,"AAAAAH/Zv3s=")</f>
        <v>#REF!</v>
      </c>
      <c r="DU180" t="e">
        <f>AND('GA55 Entry'!D672,"AAAAAH/Zv3w=")</f>
        <v>#VALUE!</v>
      </c>
      <c r="DV180" t="e">
        <f>AND('GA55 Entry'!#REF!,"AAAAAH/Zv30=")</f>
        <v>#REF!</v>
      </c>
      <c r="DW180" t="e">
        <f>AND('GA55 Entry'!E672,"AAAAAH/Zv34=")</f>
        <v>#VALUE!</v>
      </c>
      <c r="DX180" t="e">
        <f>AND('GA55 Entry'!F672,"AAAAAH/Zv38=")</f>
        <v>#VALUE!</v>
      </c>
      <c r="DY180" t="e">
        <f>AND('GA55 Entry'!G672,"AAAAAH/Zv4A=")</f>
        <v>#VALUE!</v>
      </c>
      <c r="DZ180" t="e">
        <f>AND('GA55 Entry'!H672,"AAAAAH/Zv4E=")</f>
        <v>#VALUE!</v>
      </c>
      <c r="EA180" t="e">
        <f>AND('GA55 Entry'!I672,"AAAAAH/Zv4I=")</f>
        <v>#VALUE!</v>
      </c>
      <c r="EB180" t="e">
        <f>AND('GA55 Entry'!J672,"AAAAAH/Zv4M=")</f>
        <v>#VALUE!</v>
      </c>
      <c r="EC180" t="e">
        <f>AND('GA55 Entry'!#REF!,"AAAAAH/Zv4Q=")</f>
        <v>#REF!</v>
      </c>
      <c r="ED180" t="e">
        <f>AND('GA55 Entry'!K672,"AAAAAH/Zv4U=")</f>
        <v>#VALUE!</v>
      </c>
      <c r="EE180" t="e">
        <f>AND('GA55 Entry'!L672,"AAAAAH/Zv4Y=")</f>
        <v>#VALUE!</v>
      </c>
      <c r="EF180" t="e">
        <f>AND('GA55 Entry'!M672,"AAAAAH/Zv4c=")</f>
        <v>#VALUE!</v>
      </c>
      <c r="EG180" t="e">
        <f>AND('GA55 Entry'!N672,"AAAAAH/Zv4g=")</f>
        <v>#VALUE!</v>
      </c>
      <c r="EH180" t="e">
        <f>AND('GA55 Entry'!O672,"AAAAAH/Zv4k=")</f>
        <v>#VALUE!</v>
      </c>
      <c r="EI180" t="e">
        <f>AND('GA55 Entry'!P672,"AAAAAH/Zv4o=")</f>
        <v>#VALUE!</v>
      </c>
      <c r="EJ180" t="e">
        <f>AND('GA55 Entry'!Q672,"AAAAAH/Zv4s=")</f>
        <v>#VALUE!</v>
      </c>
      <c r="EK180" t="e">
        <f>AND('GA55 Entry'!S672,"AAAAAH/Zv4w=")</f>
        <v>#VALUE!</v>
      </c>
      <c r="EL180" t="e">
        <f>AND('GA55 Entry'!#REF!,"AAAAAH/Zv40=")</f>
        <v>#REF!</v>
      </c>
      <c r="EM180" t="e">
        <f>AND('GA55 Entry'!T672,"AAAAAH/Zv44=")</f>
        <v>#VALUE!</v>
      </c>
      <c r="EN180" t="e">
        <f>AND('GA55 Entry'!U672,"AAAAAH/Zv48=")</f>
        <v>#VALUE!</v>
      </c>
      <c r="EO180" t="e">
        <f>AND('GA55 Entry'!V672,"AAAAAH/Zv5A=")</f>
        <v>#VALUE!</v>
      </c>
      <c r="EP180" t="e">
        <f>AND('GA55 Entry'!#REF!,"AAAAAH/Zv5E=")</f>
        <v>#REF!</v>
      </c>
      <c r="EQ180" t="e">
        <f>AND('GA55 Entry'!#REF!,"AAAAAH/Zv5I=")</f>
        <v>#REF!</v>
      </c>
      <c r="ER180" t="e">
        <f>AND('GA55 Entry'!X672,"AAAAAH/Zv5M=")</f>
        <v>#VALUE!</v>
      </c>
      <c r="ES180" t="e">
        <f>AND('GA55 Entry'!Y672,"AAAAAH/Zv5Q=")</f>
        <v>#VALUE!</v>
      </c>
      <c r="ET180" t="e">
        <f>AND('GA55 Entry'!#REF!,"AAAAAH/Zv5U=")</f>
        <v>#REF!</v>
      </c>
      <c r="EU180" t="e">
        <f>AND('GA55 Entry'!#REF!,"AAAAAH/Zv5Y=")</f>
        <v>#REF!</v>
      </c>
      <c r="EV180" t="e">
        <f>AND('GA55 Entry'!#REF!,"AAAAAH/Zv5c=")</f>
        <v>#REF!</v>
      </c>
      <c r="EW180" t="e">
        <f>AND('GA55 Entry'!#REF!,"AAAAAH/Zv5g=")</f>
        <v>#REF!</v>
      </c>
      <c r="EX180" t="e">
        <f>AND('GA55 Entry'!#REF!,"AAAAAH/Zv5k=")</f>
        <v>#REF!</v>
      </c>
      <c r="EY180" t="e">
        <f>AND('GA55 Entry'!#REF!,"AAAAAH/Zv5o=")</f>
        <v>#REF!</v>
      </c>
      <c r="EZ180" t="e">
        <f>AND('GA55 Entry'!#REF!,"AAAAAH/Zv5s=")</f>
        <v>#REF!</v>
      </c>
      <c r="FA180" t="e">
        <f>AND('GA55 Entry'!#REF!,"AAAAAH/Zv5w=")</f>
        <v>#REF!</v>
      </c>
      <c r="FB180" t="e">
        <f>AND('GA55 Entry'!#REF!,"AAAAAH/Zv50=")</f>
        <v>#REF!</v>
      </c>
      <c r="FC180" t="e">
        <f>AND('GA55 Entry'!Z672,"AAAAAH/Zv54=")</f>
        <v>#VALUE!</v>
      </c>
      <c r="FD180" t="e">
        <f>AND('GA55 Entry'!AA672,"AAAAAH/Zv58=")</f>
        <v>#VALUE!</v>
      </c>
      <c r="FE180" t="e">
        <f>AND('GA55 Entry'!#REF!,"AAAAAH/Zv6A=")</f>
        <v>#REF!</v>
      </c>
      <c r="FF180" t="e">
        <f>AND('GA55 Entry'!#REF!,"AAAAAH/Zv6E=")</f>
        <v>#REF!</v>
      </c>
      <c r="FG180" t="e">
        <f>AND('GA55 Entry'!#REF!,"AAAAAH/Zv6I=")</f>
        <v>#REF!</v>
      </c>
      <c r="FH180" t="e">
        <f>AND('GA55 Entry'!AB672,"AAAAAH/Zv6M=")</f>
        <v>#VALUE!</v>
      </c>
      <c r="FI180" t="e">
        <f>AND('GA55 Entry'!AC672,"AAAAAH/Zv6Q=")</f>
        <v>#VALUE!</v>
      </c>
      <c r="FJ180" t="e">
        <f>AND('GA55 Entry'!#REF!,"AAAAAH/Zv6U=")</f>
        <v>#REF!</v>
      </c>
      <c r="FK180">
        <f>IF('GA55 Entry'!673:673,"AAAAAH/Zv6Y=",0)</f>
        <v>0</v>
      </c>
      <c r="FL180" t="e">
        <f>AND('GA55 Entry'!B673,"AAAAAH/Zv6c=")</f>
        <v>#VALUE!</v>
      </c>
      <c r="FM180" t="e">
        <f>AND('GA55 Entry'!#REF!,"AAAAAH/Zv6g=")</f>
        <v>#REF!</v>
      </c>
      <c r="FN180" t="e">
        <f>AND('GA55 Entry'!C673,"AAAAAH/Zv6k=")</f>
        <v>#VALUE!</v>
      </c>
      <c r="FO180" t="e">
        <f>AND('GA55 Entry'!#REF!,"AAAAAH/Zv6o=")</f>
        <v>#REF!</v>
      </c>
      <c r="FP180" t="e">
        <f>AND('GA55 Entry'!#REF!,"AAAAAH/Zv6s=")</f>
        <v>#REF!</v>
      </c>
      <c r="FQ180" t="e">
        <f>AND('GA55 Entry'!#REF!,"AAAAAH/Zv6w=")</f>
        <v>#REF!</v>
      </c>
      <c r="FR180" t="e">
        <f>AND('GA55 Entry'!#REF!,"AAAAAH/Zv60=")</f>
        <v>#REF!</v>
      </c>
      <c r="FS180" t="e">
        <f>AND('GA55 Entry'!#REF!,"AAAAAH/Zv64=")</f>
        <v>#REF!</v>
      </c>
      <c r="FT180" t="e">
        <f>AND('GA55 Entry'!D673,"AAAAAH/Zv68=")</f>
        <v>#VALUE!</v>
      </c>
      <c r="FU180" t="e">
        <f>AND('GA55 Entry'!#REF!,"AAAAAH/Zv7A=")</f>
        <v>#REF!</v>
      </c>
      <c r="FV180" t="e">
        <f>AND('GA55 Entry'!E673,"AAAAAH/Zv7E=")</f>
        <v>#VALUE!</v>
      </c>
      <c r="FW180" t="e">
        <f>AND('GA55 Entry'!F673,"AAAAAH/Zv7I=")</f>
        <v>#VALUE!</v>
      </c>
      <c r="FX180" t="e">
        <f>AND('GA55 Entry'!G673,"AAAAAH/Zv7M=")</f>
        <v>#VALUE!</v>
      </c>
      <c r="FY180" t="e">
        <f>AND('GA55 Entry'!H673,"AAAAAH/Zv7Q=")</f>
        <v>#VALUE!</v>
      </c>
      <c r="FZ180" t="e">
        <f>AND('GA55 Entry'!I673,"AAAAAH/Zv7U=")</f>
        <v>#VALUE!</v>
      </c>
      <c r="GA180" t="e">
        <f>AND('GA55 Entry'!J673,"AAAAAH/Zv7Y=")</f>
        <v>#VALUE!</v>
      </c>
      <c r="GB180" t="e">
        <f>AND('GA55 Entry'!#REF!,"AAAAAH/Zv7c=")</f>
        <v>#REF!</v>
      </c>
      <c r="GC180" t="e">
        <f>AND('GA55 Entry'!K673,"AAAAAH/Zv7g=")</f>
        <v>#VALUE!</v>
      </c>
      <c r="GD180" t="e">
        <f>AND('GA55 Entry'!L673,"AAAAAH/Zv7k=")</f>
        <v>#VALUE!</v>
      </c>
      <c r="GE180" t="e">
        <f>AND('GA55 Entry'!M673,"AAAAAH/Zv7o=")</f>
        <v>#VALUE!</v>
      </c>
      <c r="GF180" t="e">
        <f>AND('GA55 Entry'!N673,"AAAAAH/Zv7s=")</f>
        <v>#VALUE!</v>
      </c>
      <c r="GG180" t="e">
        <f>AND('GA55 Entry'!O673,"AAAAAH/Zv7w=")</f>
        <v>#VALUE!</v>
      </c>
      <c r="GH180" t="e">
        <f>AND('GA55 Entry'!P673,"AAAAAH/Zv70=")</f>
        <v>#VALUE!</v>
      </c>
      <c r="GI180" t="e">
        <f>AND('GA55 Entry'!Q673,"AAAAAH/Zv74=")</f>
        <v>#VALUE!</v>
      </c>
      <c r="GJ180" t="e">
        <f>AND('GA55 Entry'!S673,"AAAAAH/Zv78=")</f>
        <v>#VALUE!</v>
      </c>
      <c r="GK180" t="e">
        <f>AND('GA55 Entry'!#REF!,"AAAAAH/Zv8A=")</f>
        <v>#REF!</v>
      </c>
      <c r="GL180" t="e">
        <f>AND('GA55 Entry'!T673,"AAAAAH/Zv8E=")</f>
        <v>#VALUE!</v>
      </c>
      <c r="GM180" t="e">
        <f>AND('GA55 Entry'!U673,"AAAAAH/Zv8I=")</f>
        <v>#VALUE!</v>
      </c>
      <c r="GN180" t="e">
        <f>AND('GA55 Entry'!V673,"AAAAAH/Zv8M=")</f>
        <v>#VALUE!</v>
      </c>
      <c r="GO180" t="e">
        <f>AND('GA55 Entry'!#REF!,"AAAAAH/Zv8Q=")</f>
        <v>#REF!</v>
      </c>
      <c r="GP180" t="e">
        <f>AND('GA55 Entry'!#REF!,"AAAAAH/Zv8U=")</f>
        <v>#REF!</v>
      </c>
      <c r="GQ180" t="e">
        <f>AND('GA55 Entry'!X673,"AAAAAH/Zv8Y=")</f>
        <v>#VALUE!</v>
      </c>
      <c r="GR180" t="e">
        <f>AND('GA55 Entry'!Y673,"AAAAAH/Zv8c=")</f>
        <v>#VALUE!</v>
      </c>
      <c r="GS180" t="e">
        <f>AND('GA55 Entry'!#REF!,"AAAAAH/Zv8g=")</f>
        <v>#REF!</v>
      </c>
      <c r="GT180" t="e">
        <f>AND('GA55 Entry'!#REF!,"AAAAAH/Zv8k=")</f>
        <v>#REF!</v>
      </c>
      <c r="GU180" t="e">
        <f>AND('GA55 Entry'!#REF!,"AAAAAH/Zv8o=")</f>
        <v>#REF!</v>
      </c>
      <c r="GV180" t="e">
        <f>AND('GA55 Entry'!#REF!,"AAAAAH/Zv8s=")</f>
        <v>#REF!</v>
      </c>
      <c r="GW180" t="e">
        <f>AND('GA55 Entry'!#REF!,"AAAAAH/Zv8w=")</f>
        <v>#REF!</v>
      </c>
      <c r="GX180" t="e">
        <f>AND('GA55 Entry'!#REF!,"AAAAAH/Zv80=")</f>
        <v>#REF!</v>
      </c>
      <c r="GY180" t="e">
        <f>AND('GA55 Entry'!#REF!,"AAAAAH/Zv84=")</f>
        <v>#REF!</v>
      </c>
      <c r="GZ180" t="e">
        <f>AND('GA55 Entry'!#REF!,"AAAAAH/Zv88=")</f>
        <v>#REF!</v>
      </c>
      <c r="HA180" t="e">
        <f>AND('GA55 Entry'!#REF!,"AAAAAH/Zv9A=")</f>
        <v>#REF!</v>
      </c>
      <c r="HB180" t="e">
        <f>AND('GA55 Entry'!Z673,"AAAAAH/Zv9E=")</f>
        <v>#VALUE!</v>
      </c>
      <c r="HC180" t="e">
        <f>AND('GA55 Entry'!AA673,"AAAAAH/Zv9I=")</f>
        <v>#VALUE!</v>
      </c>
      <c r="HD180" t="e">
        <f>AND('GA55 Entry'!#REF!,"AAAAAH/Zv9M=")</f>
        <v>#REF!</v>
      </c>
      <c r="HE180" t="e">
        <f>AND('GA55 Entry'!#REF!,"AAAAAH/Zv9Q=")</f>
        <v>#REF!</v>
      </c>
      <c r="HF180" t="e">
        <f>AND('GA55 Entry'!#REF!,"AAAAAH/Zv9U=")</f>
        <v>#REF!</v>
      </c>
      <c r="HG180" t="e">
        <f>AND('GA55 Entry'!AB673,"AAAAAH/Zv9Y=")</f>
        <v>#VALUE!</v>
      </c>
      <c r="HH180" t="e">
        <f>AND('GA55 Entry'!AC673,"AAAAAH/Zv9c=")</f>
        <v>#VALUE!</v>
      </c>
      <c r="HI180" t="e">
        <f>AND('GA55 Entry'!#REF!,"AAAAAH/Zv9g=")</f>
        <v>#REF!</v>
      </c>
      <c r="HJ180">
        <f>IF('GA55 Entry'!674:674,"AAAAAH/Zv9k=",0)</f>
        <v>0</v>
      </c>
      <c r="HK180" t="e">
        <f>AND('GA55 Entry'!B674,"AAAAAH/Zv9o=")</f>
        <v>#VALUE!</v>
      </c>
      <c r="HL180" t="e">
        <f>AND('GA55 Entry'!#REF!,"AAAAAH/Zv9s=")</f>
        <v>#REF!</v>
      </c>
      <c r="HM180" t="e">
        <f>AND('GA55 Entry'!C674,"AAAAAH/Zv9w=")</f>
        <v>#VALUE!</v>
      </c>
      <c r="HN180" t="e">
        <f>AND('GA55 Entry'!#REF!,"AAAAAH/Zv90=")</f>
        <v>#REF!</v>
      </c>
      <c r="HO180" t="e">
        <f>AND('GA55 Entry'!#REF!,"AAAAAH/Zv94=")</f>
        <v>#REF!</v>
      </c>
      <c r="HP180" t="e">
        <f>AND('GA55 Entry'!#REF!,"AAAAAH/Zv98=")</f>
        <v>#REF!</v>
      </c>
      <c r="HQ180" t="e">
        <f>AND('GA55 Entry'!#REF!,"AAAAAH/Zv+A=")</f>
        <v>#REF!</v>
      </c>
      <c r="HR180" t="e">
        <f>AND('GA55 Entry'!#REF!,"AAAAAH/Zv+E=")</f>
        <v>#REF!</v>
      </c>
      <c r="HS180" t="e">
        <f>AND('GA55 Entry'!D674,"AAAAAH/Zv+I=")</f>
        <v>#VALUE!</v>
      </c>
      <c r="HT180" t="e">
        <f>AND('GA55 Entry'!#REF!,"AAAAAH/Zv+M=")</f>
        <v>#REF!</v>
      </c>
      <c r="HU180" t="e">
        <f>AND('GA55 Entry'!E674,"AAAAAH/Zv+Q=")</f>
        <v>#VALUE!</v>
      </c>
      <c r="HV180" t="e">
        <f>AND('GA55 Entry'!F674,"AAAAAH/Zv+U=")</f>
        <v>#VALUE!</v>
      </c>
      <c r="HW180" t="e">
        <f>AND('GA55 Entry'!G674,"AAAAAH/Zv+Y=")</f>
        <v>#VALUE!</v>
      </c>
      <c r="HX180" t="e">
        <f>AND('GA55 Entry'!H674,"AAAAAH/Zv+c=")</f>
        <v>#VALUE!</v>
      </c>
      <c r="HY180" t="e">
        <f>AND('GA55 Entry'!I674,"AAAAAH/Zv+g=")</f>
        <v>#VALUE!</v>
      </c>
      <c r="HZ180" t="e">
        <f>AND('GA55 Entry'!J674,"AAAAAH/Zv+k=")</f>
        <v>#VALUE!</v>
      </c>
      <c r="IA180" t="e">
        <f>AND('GA55 Entry'!#REF!,"AAAAAH/Zv+o=")</f>
        <v>#REF!</v>
      </c>
      <c r="IB180" t="e">
        <f>AND('GA55 Entry'!K674,"AAAAAH/Zv+s=")</f>
        <v>#VALUE!</v>
      </c>
      <c r="IC180" t="e">
        <f>AND('GA55 Entry'!L674,"AAAAAH/Zv+w=")</f>
        <v>#VALUE!</v>
      </c>
      <c r="ID180" t="e">
        <f>AND('GA55 Entry'!M674,"AAAAAH/Zv+0=")</f>
        <v>#VALUE!</v>
      </c>
      <c r="IE180" t="e">
        <f>AND('GA55 Entry'!N674,"AAAAAH/Zv+4=")</f>
        <v>#VALUE!</v>
      </c>
      <c r="IF180" t="e">
        <f>AND('GA55 Entry'!O674,"AAAAAH/Zv+8=")</f>
        <v>#VALUE!</v>
      </c>
      <c r="IG180" t="e">
        <f>AND('GA55 Entry'!P674,"AAAAAH/Zv/A=")</f>
        <v>#VALUE!</v>
      </c>
      <c r="IH180" t="e">
        <f>AND('GA55 Entry'!Q674,"AAAAAH/Zv/E=")</f>
        <v>#VALUE!</v>
      </c>
      <c r="II180" t="e">
        <f>AND('GA55 Entry'!S674,"AAAAAH/Zv/I=")</f>
        <v>#VALUE!</v>
      </c>
      <c r="IJ180" t="e">
        <f>AND('GA55 Entry'!#REF!,"AAAAAH/Zv/M=")</f>
        <v>#REF!</v>
      </c>
      <c r="IK180" t="e">
        <f>AND('GA55 Entry'!T674,"AAAAAH/Zv/Q=")</f>
        <v>#VALUE!</v>
      </c>
      <c r="IL180" t="e">
        <f>AND('GA55 Entry'!U674,"AAAAAH/Zv/U=")</f>
        <v>#VALUE!</v>
      </c>
      <c r="IM180" t="e">
        <f>AND('GA55 Entry'!V674,"AAAAAH/Zv/Y=")</f>
        <v>#VALUE!</v>
      </c>
      <c r="IN180" t="e">
        <f>AND('GA55 Entry'!#REF!,"AAAAAH/Zv/c=")</f>
        <v>#REF!</v>
      </c>
      <c r="IO180" t="e">
        <f>AND('GA55 Entry'!#REF!,"AAAAAH/Zv/g=")</f>
        <v>#REF!</v>
      </c>
      <c r="IP180" t="e">
        <f>AND('GA55 Entry'!X674,"AAAAAH/Zv/k=")</f>
        <v>#VALUE!</v>
      </c>
      <c r="IQ180" t="e">
        <f>AND('GA55 Entry'!Y674,"AAAAAH/Zv/o=")</f>
        <v>#VALUE!</v>
      </c>
      <c r="IR180" t="e">
        <f>AND('GA55 Entry'!#REF!,"AAAAAH/Zv/s=")</f>
        <v>#REF!</v>
      </c>
      <c r="IS180" t="e">
        <f>AND('GA55 Entry'!#REF!,"AAAAAH/Zv/w=")</f>
        <v>#REF!</v>
      </c>
      <c r="IT180" t="e">
        <f>AND('GA55 Entry'!#REF!,"AAAAAH/Zv/0=")</f>
        <v>#REF!</v>
      </c>
      <c r="IU180" t="e">
        <f>AND('GA55 Entry'!#REF!,"AAAAAH/Zv/4=")</f>
        <v>#REF!</v>
      </c>
      <c r="IV180" t="e">
        <f>AND('GA55 Entry'!#REF!,"AAAAAH/Zv/8=")</f>
        <v>#REF!</v>
      </c>
    </row>
    <row r="181" spans="1:256">
      <c r="A181" t="e">
        <f>AND('GA55 Entry'!#REF!,"AAAAAH79yQA=")</f>
        <v>#REF!</v>
      </c>
      <c r="B181" t="e">
        <f>AND('GA55 Entry'!#REF!,"AAAAAH79yQE=")</f>
        <v>#REF!</v>
      </c>
      <c r="C181" t="e">
        <f>AND('GA55 Entry'!#REF!,"AAAAAH79yQI=")</f>
        <v>#REF!</v>
      </c>
      <c r="D181" t="e">
        <f>AND('GA55 Entry'!#REF!,"AAAAAH79yQM=")</f>
        <v>#REF!</v>
      </c>
      <c r="E181" t="e">
        <f>AND('GA55 Entry'!Z674,"AAAAAH79yQQ=")</f>
        <v>#VALUE!</v>
      </c>
      <c r="F181" t="e">
        <f>AND('GA55 Entry'!AA674,"AAAAAH79yQU=")</f>
        <v>#VALUE!</v>
      </c>
      <c r="G181" t="e">
        <f>AND('GA55 Entry'!#REF!,"AAAAAH79yQY=")</f>
        <v>#REF!</v>
      </c>
      <c r="H181" t="e">
        <f>AND('GA55 Entry'!#REF!,"AAAAAH79yQc=")</f>
        <v>#REF!</v>
      </c>
      <c r="I181" t="e">
        <f>AND('GA55 Entry'!#REF!,"AAAAAH79yQg=")</f>
        <v>#REF!</v>
      </c>
      <c r="J181" t="e">
        <f>AND('GA55 Entry'!AB674,"AAAAAH79yQk=")</f>
        <v>#VALUE!</v>
      </c>
      <c r="K181" t="e">
        <f>AND('GA55 Entry'!AC674,"AAAAAH79yQo=")</f>
        <v>#VALUE!</v>
      </c>
      <c r="L181" t="e">
        <f>AND('GA55 Entry'!#REF!,"AAAAAH79yQs=")</f>
        <v>#REF!</v>
      </c>
      <c r="M181">
        <f>IF('GA55 Entry'!675:675,"AAAAAH79yQw=",0)</f>
        <v>0</v>
      </c>
      <c r="N181" t="e">
        <f>AND('GA55 Entry'!B675,"AAAAAH79yQ0=")</f>
        <v>#VALUE!</v>
      </c>
      <c r="O181" t="e">
        <f>AND('GA55 Entry'!#REF!,"AAAAAH79yQ4=")</f>
        <v>#REF!</v>
      </c>
      <c r="P181" t="e">
        <f>AND('GA55 Entry'!C675,"AAAAAH79yQ8=")</f>
        <v>#VALUE!</v>
      </c>
      <c r="Q181" t="e">
        <f>AND('GA55 Entry'!#REF!,"AAAAAH79yRA=")</f>
        <v>#REF!</v>
      </c>
      <c r="R181" t="e">
        <f>AND('GA55 Entry'!#REF!,"AAAAAH79yRE=")</f>
        <v>#REF!</v>
      </c>
      <c r="S181" t="e">
        <f>AND('GA55 Entry'!#REF!,"AAAAAH79yRI=")</f>
        <v>#REF!</v>
      </c>
      <c r="T181" t="e">
        <f>AND('GA55 Entry'!#REF!,"AAAAAH79yRM=")</f>
        <v>#REF!</v>
      </c>
      <c r="U181" t="e">
        <f>AND('GA55 Entry'!#REF!,"AAAAAH79yRQ=")</f>
        <v>#REF!</v>
      </c>
      <c r="V181" t="e">
        <f>AND('GA55 Entry'!D675,"AAAAAH79yRU=")</f>
        <v>#VALUE!</v>
      </c>
      <c r="W181" t="e">
        <f>AND('GA55 Entry'!#REF!,"AAAAAH79yRY=")</f>
        <v>#REF!</v>
      </c>
      <c r="X181" t="e">
        <f>AND('GA55 Entry'!E675,"AAAAAH79yRc=")</f>
        <v>#VALUE!</v>
      </c>
      <c r="Y181" t="e">
        <f>AND('GA55 Entry'!F675,"AAAAAH79yRg=")</f>
        <v>#VALUE!</v>
      </c>
      <c r="Z181" t="e">
        <f>AND('GA55 Entry'!G675,"AAAAAH79yRk=")</f>
        <v>#VALUE!</v>
      </c>
      <c r="AA181" t="e">
        <f>AND('GA55 Entry'!H675,"AAAAAH79yRo=")</f>
        <v>#VALUE!</v>
      </c>
      <c r="AB181" t="e">
        <f>AND('GA55 Entry'!I675,"AAAAAH79yRs=")</f>
        <v>#VALUE!</v>
      </c>
      <c r="AC181" t="e">
        <f>AND('GA55 Entry'!J675,"AAAAAH79yRw=")</f>
        <v>#VALUE!</v>
      </c>
      <c r="AD181" t="e">
        <f>AND('GA55 Entry'!#REF!,"AAAAAH79yR0=")</f>
        <v>#REF!</v>
      </c>
      <c r="AE181" t="e">
        <f>AND('GA55 Entry'!K675,"AAAAAH79yR4=")</f>
        <v>#VALUE!</v>
      </c>
      <c r="AF181" t="e">
        <f>AND('GA55 Entry'!L675,"AAAAAH79yR8=")</f>
        <v>#VALUE!</v>
      </c>
      <c r="AG181" t="e">
        <f>AND('GA55 Entry'!M675,"AAAAAH79ySA=")</f>
        <v>#VALUE!</v>
      </c>
      <c r="AH181" t="e">
        <f>AND('GA55 Entry'!N675,"AAAAAH79ySE=")</f>
        <v>#VALUE!</v>
      </c>
      <c r="AI181" t="e">
        <f>AND('GA55 Entry'!O675,"AAAAAH79ySI=")</f>
        <v>#VALUE!</v>
      </c>
      <c r="AJ181" t="e">
        <f>AND('GA55 Entry'!P675,"AAAAAH79ySM=")</f>
        <v>#VALUE!</v>
      </c>
      <c r="AK181" t="e">
        <f>AND('GA55 Entry'!Q675,"AAAAAH79ySQ=")</f>
        <v>#VALUE!</v>
      </c>
      <c r="AL181" t="e">
        <f>AND('GA55 Entry'!S675,"AAAAAH79ySU=")</f>
        <v>#VALUE!</v>
      </c>
      <c r="AM181" t="e">
        <f>AND('GA55 Entry'!#REF!,"AAAAAH79ySY=")</f>
        <v>#REF!</v>
      </c>
      <c r="AN181" t="e">
        <f>AND('GA55 Entry'!T675,"AAAAAH79ySc=")</f>
        <v>#VALUE!</v>
      </c>
      <c r="AO181" t="e">
        <f>AND('GA55 Entry'!U675,"AAAAAH79ySg=")</f>
        <v>#VALUE!</v>
      </c>
      <c r="AP181" t="e">
        <f>AND('GA55 Entry'!V675,"AAAAAH79ySk=")</f>
        <v>#VALUE!</v>
      </c>
      <c r="AQ181" t="e">
        <f>AND('GA55 Entry'!#REF!,"AAAAAH79ySo=")</f>
        <v>#REF!</v>
      </c>
      <c r="AR181" t="e">
        <f>AND('GA55 Entry'!#REF!,"AAAAAH79ySs=")</f>
        <v>#REF!</v>
      </c>
      <c r="AS181" t="e">
        <f>AND('GA55 Entry'!X675,"AAAAAH79ySw=")</f>
        <v>#VALUE!</v>
      </c>
      <c r="AT181" t="e">
        <f>AND('GA55 Entry'!Y675,"AAAAAH79yS0=")</f>
        <v>#VALUE!</v>
      </c>
      <c r="AU181" t="e">
        <f>AND('GA55 Entry'!#REF!,"AAAAAH79yS4=")</f>
        <v>#REF!</v>
      </c>
      <c r="AV181" t="e">
        <f>AND('GA55 Entry'!#REF!,"AAAAAH79yS8=")</f>
        <v>#REF!</v>
      </c>
      <c r="AW181" t="e">
        <f>AND('GA55 Entry'!#REF!,"AAAAAH79yTA=")</f>
        <v>#REF!</v>
      </c>
      <c r="AX181" t="e">
        <f>AND('GA55 Entry'!#REF!,"AAAAAH79yTE=")</f>
        <v>#REF!</v>
      </c>
      <c r="AY181" t="e">
        <f>AND('GA55 Entry'!#REF!,"AAAAAH79yTI=")</f>
        <v>#REF!</v>
      </c>
      <c r="AZ181" t="e">
        <f>AND('GA55 Entry'!#REF!,"AAAAAH79yTM=")</f>
        <v>#REF!</v>
      </c>
      <c r="BA181" t="e">
        <f>AND('GA55 Entry'!#REF!,"AAAAAH79yTQ=")</f>
        <v>#REF!</v>
      </c>
      <c r="BB181" t="e">
        <f>AND('GA55 Entry'!#REF!,"AAAAAH79yTU=")</f>
        <v>#REF!</v>
      </c>
      <c r="BC181" t="e">
        <f>AND('GA55 Entry'!#REF!,"AAAAAH79yTY=")</f>
        <v>#REF!</v>
      </c>
      <c r="BD181" t="e">
        <f>AND('GA55 Entry'!Z675,"AAAAAH79yTc=")</f>
        <v>#VALUE!</v>
      </c>
      <c r="BE181" t="e">
        <f>AND('GA55 Entry'!AA675,"AAAAAH79yTg=")</f>
        <v>#VALUE!</v>
      </c>
      <c r="BF181" t="e">
        <f>AND('GA55 Entry'!#REF!,"AAAAAH79yTk=")</f>
        <v>#REF!</v>
      </c>
      <c r="BG181" t="e">
        <f>AND('GA55 Entry'!#REF!,"AAAAAH79yTo=")</f>
        <v>#REF!</v>
      </c>
      <c r="BH181" t="e">
        <f>AND('GA55 Entry'!#REF!,"AAAAAH79yTs=")</f>
        <v>#REF!</v>
      </c>
      <c r="BI181" t="e">
        <f>AND('GA55 Entry'!AB675,"AAAAAH79yTw=")</f>
        <v>#VALUE!</v>
      </c>
      <c r="BJ181" t="e">
        <f>AND('GA55 Entry'!AC675,"AAAAAH79yT0=")</f>
        <v>#VALUE!</v>
      </c>
      <c r="BK181" t="e">
        <f>AND('GA55 Entry'!#REF!,"AAAAAH79yT4=")</f>
        <v>#REF!</v>
      </c>
      <c r="BL181">
        <f>IF('GA55 Entry'!676:676,"AAAAAH79yT8=",0)</f>
        <v>0</v>
      </c>
      <c r="BM181" t="e">
        <f>AND('GA55 Entry'!B676,"AAAAAH79yUA=")</f>
        <v>#VALUE!</v>
      </c>
      <c r="BN181" t="e">
        <f>AND('GA55 Entry'!#REF!,"AAAAAH79yUE=")</f>
        <v>#REF!</v>
      </c>
      <c r="BO181" t="e">
        <f>AND('GA55 Entry'!C676,"AAAAAH79yUI=")</f>
        <v>#VALUE!</v>
      </c>
      <c r="BP181" t="e">
        <f>AND('GA55 Entry'!#REF!,"AAAAAH79yUM=")</f>
        <v>#REF!</v>
      </c>
      <c r="BQ181" t="e">
        <f>AND('GA55 Entry'!#REF!,"AAAAAH79yUQ=")</f>
        <v>#REF!</v>
      </c>
      <c r="BR181" t="e">
        <f>AND('GA55 Entry'!#REF!,"AAAAAH79yUU=")</f>
        <v>#REF!</v>
      </c>
      <c r="BS181" t="e">
        <f>AND('GA55 Entry'!#REF!,"AAAAAH79yUY=")</f>
        <v>#REF!</v>
      </c>
      <c r="BT181" t="e">
        <f>AND('GA55 Entry'!#REF!,"AAAAAH79yUc=")</f>
        <v>#REF!</v>
      </c>
      <c r="BU181" t="e">
        <f>AND('GA55 Entry'!D676,"AAAAAH79yUg=")</f>
        <v>#VALUE!</v>
      </c>
      <c r="BV181" t="e">
        <f>AND('GA55 Entry'!#REF!,"AAAAAH79yUk=")</f>
        <v>#REF!</v>
      </c>
      <c r="BW181" t="e">
        <f>AND('GA55 Entry'!E676,"AAAAAH79yUo=")</f>
        <v>#VALUE!</v>
      </c>
      <c r="BX181" t="e">
        <f>AND('GA55 Entry'!F676,"AAAAAH79yUs=")</f>
        <v>#VALUE!</v>
      </c>
      <c r="BY181" t="e">
        <f>AND('GA55 Entry'!G676,"AAAAAH79yUw=")</f>
        <v>#VALUE!</v>
      </c>
      <c r="BZ181" t="e">
        <f>AND('GA55 Entry'!H676,"AAAAAH79yU0=")</f>
        <v>#VALUE!</v>
      </c>
      <c r="CA181" t="e">
        <f>AND('GA55 Entry'!I676,"AAAAAH79yU4=")</f>
        <v>#VALUE!</v>
      </c>
      <c r="CB181" t="e">
        <f>AND('GA55 Entry'!J676,"AAAAAH79yU8=")</f>
        <v>#VALUE!</v>
      </c>
      <c r="CC181" t="e">
        <f>AND('GA55 Entry'!#REF!,"AAAAAH79yVA=")</f>
        <v>#REF!</v>
      </c>
      <c r="CD181" t="e">
        <f>AND('GA55 Entry'!K676,"AAAAAH79yVE=")</f>
        <v>#VALUE!</v>
      </c>
      <c r="CE181" t="e">
        <f>AND('GA55 Entry'!L676,"AAAAAH79yVI=")</f>
        <v>#VALUE!</v>
      </c>
      <c r="CF181" t="e">
        <f>AND('GA55 Entry'!M676,"AAAAAH79yVM=")</f>
        <v>#VALUE!</v>
      </c>
      <c r="CG181" t="e">
        <f>AND('GA55 Entry'!N676,"AAAAAH79yVQ=")</f>
        <v>#VALUE!</v>
      </c>
      <c r="CH181" t="e">
        <f>AND('GA55 Entry'!O676,"AAAAAH79yVU=")</f>
        <v>#VALUE!</v>
      </c>
      <c r="CI181" t="e">
        <f>AND('GA55 Entry'!P676,"AAAAAH79yVY=")</f>
        <v>#VALUE!</v>
      </c>
      <c r="CJ181" t="e">
        <f>AND('GA55 Entry'!Q676,"AAAAAH79yVc=")</f>
        <v>#VALUE!</v>
      </c>
      <c r="CK181" t="e">
        <f>AND('GA55 Entry'!S676,"AAAAAH79yVg=")</f>
        <v>#VALUE!</v>
      </c>
      <c r="CL181" t="e">
        <f>AND('GA55 Entry'!#REF!,"AAAAAH79yVk=")</f>
        <v>#REF!</v>
      </c>
      <c r="CM181" t="e">
        <f>AND('GA55 Entry'!T676,"AAAAAH79yVo=")</f>
        <v>#VALUE!</v>
      </c>
      <c r="CN181" t="e">
        <f>AND('GA55 Entry'!U676,"AAAAAH79yVs=")</f>
        <v>#VALUE!</v>
      </c>
      <c r="CO181" t="e">
        <f>AND('GA55 Entry'!V676,"AAAAAH79yVw=")</f>
        <v>#VALUE!</v>
      </c>
      <c r="CP181" t="e">
        <f>AND('GA55 Entry'!#REF!,"AAAAAH79yV0=")</f>
        <v>#REF!</v>
      </c>
      <c r="CQ181" t="e">
        <f>AND('GA55 Entry'!#REF!,"AAAAAH79yV4=")</f>
        <v>#REF!</v>
      </c>
      <c r="CR181" t="e">
        <f>AND('GA55 Entry'!X676,"AAAAAH79yV8=")</f>
        <v>#VALUE!</v>
      </c>
      <c r="CS181" t="e">
        <f>AND('GA55 Entry'!Y676,"AAAAAH79yWA=")</f>
        <v>#VALUE!</v>
      </c>
      <c r="CT181" t="e">
        <f>AND('GA55 Entry'!#REF!,"AAAAAH79yWE=")</f>
        <v>#REF!</v>
      </c>
      <c r="CU181" t="e">
        <f>AND('GA55 Entry'!#REF!,"AAAAAH79yWI=")</f>
        <v>#REF!</v>
      </c>
      <c r="CV181" t="e">
        <f>AND('GA55 Entry'!#REF!,"AAAAAH79yWM=")</f>
        <v>#REF!</v>
      </c>
      <c r="CW181" t="e">
        <f>AND('GA55 Entry'!#REF!,"AAAAAH79yWQ=")</f>
        <v>#REF!</v>
      </c>
      <c r="CX181" t="e">
        <f>AND('GA55 Entry'!#REF!,"AAAAAH79yWU=")</f>
        <v>#REF!</v>
      </c>
      <c r="CY181" t="e">
        <f>AND('GA55 Entry'!#REF!,"AAAAAH79yWY=")</f>
        <v>#REF!</v>
      </c>
      <c r="CZ181" t="e">
        <f>AND('GA55 Entry'!#REF!,"AAAAAH79yWc=")</f>
        <v>#REF!</v>
      </c>
      <c r="DA181" t="e">
        <f>AND('GA55 Entry'!#REF!,"AAAAAH79yWg=")</f>
        <v>#REF!</v>
      </c>
      <c r="DB181" t="e">
        <f>AND('GA55 Entry'!#REF!,"AAAAAH79yWk=")</f>
        <v>#REF!</v>
      </c>
      <c r="DC181" t="e">
        <f>AND('GA55 Entry'!Z676,"AAAAAH79yWo=")</f>
        <v>#VALUE!</v>
      </c>
      <c r="DD181" t="e">
        <f>AND('GA55 Entry'!AA676,"AAAAAH79yWs=")</f>
        <v>#VALUE!</v>
      </c>
      <c r="DE181" t="e">
        <f>AND('GA55 Entry'!#REF!,"AAAAAH79yWw=")</f>
        <v>#REF!</v>
      </c>
      <c r="DF181" t="e">
        <f>AND('GA55 Entry'!#REF!,"AAAAAH79yW0=")</f>
        <v>#REF!</v>
      </c>
      <c r="DG181" t="e">
        <f>AND('GA55 Entry'!#REF!,"AAAAAH79yW4=")</f>
        <v>#REF!</v>
      </c>
      <c r="DH181" t="e">
        <f>AND('GA55 Entry'!AB676,"AAAAAH79yW8=")</f>
        <v>#VALUE!</v>
      </c>
      <c r="DI181" t="e">
        <f>AND('GA55 Entry'!AC676,"AAAAAH79yXA=")</f>
        <v>#VALUE!</v>
      </c>
      <c r="DJ181" t="e">
        <f>AND('GA55 Entry'!#REF!,"AAAAAH79yXE=")</f>
        <v>#REF!</v>
      </c>
      <c r="DK181">
        <f>IF('GA55 Entry'!677:677,"AAAAAH79yXI=",0)</f>
        <v>0</v>
      </c>
      <c r="DL181" t="e">
        <f>AND('GA55 Entry'!B677,"AAAAAH79yXM=")</f>
        <v>#VALUE!</v>
      </c>
      <c r="DM181" t="e">
        <f>AND('GA55 Entry'!#REF!,"AAAAAH79yXQ=")</f>
        <v>#REF!</v>
      </c>
      <c r="DN181" t="e">
        <f>AND('GA55 Entry'!C677,"AAAAAH79yXU=")</f>
        <v>#VALUE!</v>
      </c>
      <c r="DO181" t="e">
        <f>AND('GA55 Entry'!#REF!,"AAAAAH79yXY=")</f>
        <v>#REF!</v>
      </c>
      <c r="DP181" t="e">
        <f>AND('GA55 Entry'!#REF!,"AAAAAH79yXc=")</f>
        <v>#REF!</v>
      </c>
      <c r="DQ181" t="e">
        <f>AND('GA55 Entry'!#REF!,"AAAAAH79yXg=")</f>
        <v>#REF!</v>
      </c>
      <c r="DR181" t="e">
        <f>AND('GA55 Entry'!#REF!,"AAAAAH79yXk=")</f>
        <v>#REF!</v>
      </c>
      <c r="DS181" t="e">
        <f>AND('GA55 Entry'!#REF!,"AAAAAH79yXo=")</f>
        <v>#REF!</v>
      </c>
      <c r="DT181" t="e">
        <f>AND('GA55 Entry'!D677,"AAAAAH79yXs=")</f>
        <v>#VALUE!</v>
      </c>
      <c r="DU181" t="e">
        <f>AND('GA55 Entry'!#REF!,"AAAAAH79yXw=")</f>
        <v>#REF!</v>
      </c>
      <c r="DV181" t="e">
        <f>AND('GA55 Entry'!E677,"AAAAAH79yX0=")</f>
        <v>#VALUE!</v>
      </c>
      <c r="DW181" t="e">
        <f>AND('GA55 Entry'!F677,"AAAAAH79yX4=")</f>
        <v>#VALUE!</v>
      </c>
      <c r="DX181" t="e">
        <f>AND('GA55 Entry'!G677,"AAAAAH79yX8=")</f>
        <v>#VALUE!</v>
      </c>
      <c r="DY181" t="e">
        <f>AND('GA55 Entry'!H677,"AAAAAH79yYA=")</f>
        <v>#VALUE!</v>
      </c>
      <c r="DZ181" t="e">
        <f>AND('GA55 Entry'!I677,"AAAAAH79yYE=")</f>
        <v>#VALUE!</v>
      </c>
      <c r="EA181" t="e">
        <f>AND('GA55 Entry'!J677,"AAAAAH79yYI=")</f>
        <v>#VALUE!</v>
      </c>
      <c r="EB181" t="e">
        <f>AND('GA55 Entry'!#REF!,"AAAAAH79yYM=")</f>
        <v>#REF!</v>
      </c>
      <c r="EC181" t="e">
        <f>AND('GA55 Entry'!K677,"AAAAAH79yYQ=")</f>
        <v>#VALUE!</v>
      </c>
      <c r="ED181" t="e">
        <f>AND('GA55 Entry'!L677,"AAAAAH79yYU=")</f>
        <v>#VALUE!</v>
      </c>
      <c r="EE181" t="e">
        <f>AND('GA55 Entry'!M677,"AAAAAH79yYY=")</f>
        <v>#VALUE!</v>
      </c>
      <c r="EF181" t="e">
        <f>AND('GA55 Entry'!N677,"AAAAAH79yYc=")</f>
        <v>#VALUE!</v>
      </c>
      <c r="EG181" t="e">
        <f>AND('GA55 Entry'!O677,"AAAAAH79yYg=")</f>
        <v>#VALUE!</v>
      </c>
      <c r="EH181" t="e">
        <f>AND('GA55 Entry'!P677,"AAAAAH79yYk=")</f>
        <v>#VALUE!</v>
      </c>
      <c r="EI181" t="e">
        <f>AND('GA55 Entry'!Q677,"AAAAAH79yYo=")</f>
        <v>#VALUE!</v>
      </c>
      <c r="EJ181" t="e">
        <f>AND('GA55 Entry'!S677,"AAAAAH79yYs=")</f>
        <v>#VALUE!</v>
      </c>
      <c r="EK181" t="e">
        <f>AND('GA55 Entry'!#REF!,"AAAAAH79yYw=")</f>
        <v>#REF!</v>
      </c>
      <c r="EL181" t="e">
        <f>AND('GA55 Entry'!T677,"AAAAAH79yY0=")</f>
        <v>#VALUE!</v>
      </c>
      <c r="EM181" t="e">
        <f>AND('GA55 Entry'!U677,"AAAAAH79yY4=")</f>
        <v>#VALUE!</v>
      </c>
      <c r="EN181" t="e">
        <f>AND('GA55 Entry'!V677,"AAAAAH79yY8=")</f>
        <v>#VALUE!</v>
      </c>
      <c r="EO181" t="e">
        <f>AND('GA55 Entry'!#REF!,"AAAAAH79yZA=")</f>
        <v>#REF!</v>
      </c>
      <c r="EP181" t="e">
        <f>AND('GA55 Entry'!#REF!,"AAAAAH79yZE=")</f>
        <v>#REF!</v>
      </c>
      <c r="EQ181" t="e">
        <f>AND('GA55 Entry'!X677,"AAAAAH79yZI=")</f>
        <v>#VALUE!</v>
      </c>
      <c r="ER181" t="e">
        <f>AND('GA55 Entry'!Y677,"AAAAAH79yZM=")</f>
        <v>#VALUE!</v>
      </c>
      <c r="ES181" t="e">
        <f>AND('GA55 Entry'!#REF!,"AAAAAH79yZQ=")</f>
        <v>#REF!</v>
      </c>
      <c r="ET181" t="e">
        <f>AND('GA55 Entry'!#REF!,"AAAAAH79yZU=")</f>
        <v>#REF!</v>
      </c>
      <c r="EU181" t="e">
        <f>AND('GA55 Entry'!#REF!,"AAAAAH79yZY=")</f>
        <v>#REF!</v>
      </c>
      <c r="EV181" t="e">
        <f>AND('GA55 Entry'!#REF!,"AAAAAH79yZc=")</f>
        <v>#REF!</v>
      </c>
      <c r="EW181" t="e">
        <f>AND('GA55 Entry'!#REF!,"AAAAAH79yZg=")</f>
        <v>#REF!</v>
      </c>
      <c r="EX181" t="e">
        <f>AND('GA55 Entry'!#REF!,"AAAAAH79yZk=")</f>
        <v>#REF!</v>
      </c>
      <c r="EY181" t="e">
        <f>AND('GA55 Entry'!#REF!,"AAAAAH79yZo=")</f>
        <v>#REF!</v>
      </c>
      <c r="EZ181" t="e">
        <f>AND('GA55 Entry'!#REF!,"AAAAAH79yZs=")</f>
        <v>#REF!</v>
      </c>
      <c r="FA181" t="e">
        <f>AND('GA55 Entry'!#REF!,"AAAAAH79yZw=")</f>
        <v>#REF!</v>
      </c>
      <c r="FB181" t="e">
        <f>AND('GA55 Entry'!Z677,"AAAAAH79yZ0=")</f>
        <v>#VALUE!</v>
      </c>
      <c r="FC181" t="e">
        <f>AND('GA55 Entry'!AA677,"AAAAAH79yZ4=")</f>
        <v>#VALUE!</v>
      </c>
      <c r="FD181" t="e">
        <f>AND('GA55 Entry'!#REF!,"AAAAAH79yZ8=")</f>
        <v>#REF!</v>
      </c>
      <c r="FE181" t="e">
        <f>AND('GA55 Entry'!#REF!,"AAAAAH79yaA=")</f>
        <v>#REF!</v>
      </c>
      <c r="FF181" t="e">
        <f>AND('GA55 Entry'!#REF!,"AAAAAH79yaE=")</f>
        <v>#REF!</v>
      </c>
      <c r="FG181" t="e">
        <f>AND('GA55 Entry'!AB677,"AAAAAH79yaI=")</f>
        <v>#VALUE!</v>
      </c>
      <c r="FH181" t="e">
        <f>AND('GA55 Entry'!AC677,"AAAAAH79yaM=")</f>
        <v>#VALUE!</v>
      </c>
      <c r="FI181" t="e">
        <f>AND('GA55 Entry'!#REF!,"AAAAAH79yaQ=")</f>
        <v>#REF!</v>
      </c>
      <c r="FJ181">
        <f>IF('GA55 Entry'!678:678,"AAAAAH79yaU=",0)</f>
        <v>0</v>
      </c>
      <c r="FK181" t="e">
        <f>AND('GA55 Entry'!B678,"AAAAAH79yaY=")</f>
        <v>#VALUE!</v>
      </c>
      <c r="FL181" t="e">
        <f>AND('GA55 Entry'!#REF!,"AAAAAH79yac=")</f>
        <v>#REF!</v>
      </c>
      <c r="FM181" t="e">
        <f>AND('GA55 Entry'!C678,"AAAAAH79yag=")</f>
        <v>#VALUE!</v>
      </c>
      <c r="FN181" t="e">
        <f>AND('GA55 Entry'!#REF!,"AAAAAH79yak=")</f>
        <v>#REF!</v>
      </c>
      <c r="FO181" t="e">
        <f>AND('GA55 Entry'!#REF!,"AAAAAH79yao=")</f>
        <v>#REF!</v>
      </c>
      <c r="FP181" t="e">
        <f>AND('GA55 Entry'!#REF!,"AAAAAH79yas=")</f>
        <v>#REF!</v>
      </c>
      <c r="FQ181" t="e">
        <f>AND('GA55 Entry'!#REF!,"AAAAAH79yaw=")</f>
        <v>#REF!</v>
      </c>
      <c r="FR181" t="e">
        <f>AND('GA55 Entry'!#REF!,"AAAAAH79ya0=")</f>
        <v>#REF!</v>
      </c>
      <c r="FS181" t="e">
        <f>AND('GA55 Entry'!D678,"AAAAAH79ya4=")</f>
        <v>#VALUE!</v>
      </c>
      <c r="FT181" t="e">
        <f>AND('GA55 Entry'!#REF!,"AAAAAH79ya8=")</f>
        <v>#REF!</v>
      </c>
      <c r="FU181" t="e">
        <f>AND('GA55 Entry'!E678,"AAAAAH79ybA=")</f>
        <v>#VALUE!</v>
      </c>
      <c r="FV181" t="e">
        <f>AND('GA55 Entry'!F678,"AAAAAH79ybE=")</f>
        <v>#VALUE!</v>
      </c>
      <c r="FW181" t="e">
        <f>AND('GA55 Entry'!G678,"AAAAAH79ybI=")</f>
        <v>#VALUE!</v>
      </c>
      <c r="FX181" t="e">
        <f>AND('GA55 Entry'!H678,"AAAAAH79ybM=")</f>
        <v>#VALUE!</v>
      </c>
      <c r="FY181" t="e">
        <f>AND('GA55 Entry'!I678,"AAAAAH79ybQ=")</f>
        <v>#VALUE!</v>
      </c>
      <c r="FZ181" t="e">
        <f>AND('GA55 Entry'!J678,"AAAAAH79ybU=")</f>
        <v>#VALUE!</v>
      </c>
      <c r="GA181" t="e">
        <f>AND('GA55 Entry'!#REF!,"AAAAAH79ybY=")</f>
        <v>#REF!</v>
      </c>
      <c r="GB181" t="e">
        <f>AND('GA55 Entry'!K678,"AAAAAH79ybc=")</f>
        <v>#VALUE!</v>
      </c>
      <c r="GC181" t="e">
        <f>AND('GA55 Entry'!L678,"AAAAAH79ybg=")</f>
        <v>#VALUE!</v>
      </c>
      <c r="GD181" t="e">
        <f>AND('GA55 Entry'!M678,"AAAAAH79ybk=")</f>
        <v>#VALUE!</v>
      </c>
      <c r="GE181" t="e">
        <f>AND('GA55 Entry'!N678,"AAAAAH79ybo=")</f>
        <v>#VALUE!</v>
      </c>
      <c r="GF181" t="e">
        <f>AND('GA55 Entry'!O678,"AAAAAH79ybs=")</f>
        <v>#VALUE!</v>
      </c>
      <c r="GG181" t="e">
        <f>AND('GA55 Entry'!P678,"AAAAAH79ybw=")</f>
        <v>#VALUE!</v>
      </c>
      <c r="GH181" t="e">
        <f>AND('GA55 Entry'!Q678,"AAAAAH79yb0=")</f>
        <v>#VALUE!</v>
      </c>
      <c r="GI181" t="e">
        <f>AND('GA55 Entry'!S678,"AAAAAH79yb4=")</f>
        <v>#VALUE!</v>
      </c>
      <c r="GJ181" t="e">
        <f>AND('GA55 Entry'!#REF!,"AAAAAH79yb8=")</f>
        <v>#REF!</v>
      </c>
      <c r="GK181" t="e">
        <f>AND('GA55 Entry'!T678,"AAAAAH79ycA=")</f>
        <v>#VALUE!</v>
      </c>
      <c r="GL181" t="e">
        <f>AND('GA55 Entry'!U678,"AAAAAH79ycE=")</f>
        <v>#VALUE!</v>
      </c>
      <c r="GM181" t="e">
        <f>AND('GA55 Entry'!V678,"AAAAAH79ycI=")</f>
        <v>#VALUE!</v>
      </c>
      <c r="GN181" t="e">
        <f>AND('GA55 Entry'!#REF!,"AAAAAH79ycM=")</f>
        <v>#REF!</v>
      </c>
      <c r="GO181" t="e">
        <f>AND('GA55 Entry'!#REF!,"AAAAAH79ycQ=")</f>
        <v>#REF!</v>
      </c>
      <c r="GP181" t="e">
        <f>AND('GA55 Entry'!X678,"AAAAAH79ycU=")</f>
        <v>#VALUE!</v>
      </c>
      <c r="GQ181" t="e">
        <f>AND('GA55 Entry'!Y678,"AAAAAH79ycY=")</f>
        <v>#VALUE!</v>
      </c>
      <c r="GR181" t="e">
        <f>AND('GA55 Entry'!#REF!,"AAAAAH79ycc=")</f>
        <v>#REF!</v>
      </c>
      <c r="GS181" t="e">
        <f>AND('GA55 Entry'!#REF!,"AAAAAH79ycg=")</f>
        <v>#REF!</v>
      </c>
      <c r="GT181" t="e">
        <f>AND('GA55 Entry'!#REF!,"AAAAAH79yck=")</f>
        <v>#REF!</v>
      </c>
      <c r="GU181" t="e">
        <f>AND('GA55 Entry'!#REF!,"AAAAAH79yco=")</f>
        <v>#REF!</v>
      </c>
      <c r="GV181" t="e">
        <f>AND('GA55 Entry'!#REF!,"AAAAAH79ycs=")</f>
        <v>#REF!</v>
      </c>
      <c r="GW181" t="e">
        <f>AND('GA55 Entry'!#REF!,"AAAAAH79ycw=")</f>
        <v>#REF!</v>
      </c>
      <c r="GX181" t="e">
        <f>AND('GA55 Entry'!#REF!,"AAAAAH79yc0=")</f>
        <v>#REF!</v>
      </c>
      <c r="GY181" t="e">
        <f>AND('GA55 Entry'!#REF!,"AAAAAH79yc4=")</f>
        <v>#REF!</v>
      </c>
      <c r="GZ181" t="e">
        <f>AND('GA55 Entry'!#REF!,"AAAAAH79yc8=")</f>
        <v>#REF!</v>
      </c>
      <c r="HA181" t="e">
        <f>AND('GA55 Entry'!Z678,"AAAAAH79ydA=")</f>
        <v>#VALUE!</v>
      </c>
      <c r="HB181" t="e">
        <f>AND('GA55 Entry'!AA678,"AAAAAH79ydE=")</f>
        <v>#VALUE!</v>
      </c>
      <c r="HC181" t="e">
        <f>AND('GA55 Entry'!#REF!,"AAAAAH79ydI=")</f>
        <v>#REF!</v>
      </c>
      <c r="HD181" t="e">
        <f>AND('GA55 Entry'!#REF!,"AAAAAH79ydM=")</f>
        <v>#REF!</v>
      </c>
      <c r="HE181" t="e">
        <f>AND('GA55 Entry'!#REF!,"AAAAAH79ydQ=")</f>
        <v>#REF!</v>
      </c>
      <c r="HF181" t="e">
        <f>AND('GA55 Entry'!AB678,"AAAAAH79ydU=")</f>
        <v>#VALUE!</v>
      </c>
      <c r="HG181" t="e">
        <f>AND('GA55 Entry'!AC678,"AAAAAH79ydY=")</f>
        <v>#VALUE!</v>
      </c>
      <c r="HH181" t="e">
        <f>AND('GA55 Entry'!#REF!,"AAAAAH79ydc=")</f>
        <v>#REF!</v>
      </c>
      <c r="HI181">
        <f>IF('GA55 Entry'!679:679,"AAAAAH79ydg=",0)</f>
        <v>0</v>
      </c>
      <c r="HJ181" t="e">
        <f>AND('GA55 Entry'!B679,"AAAAAH79ydk=")</f>
        <v>#VALUE!</v>
      </c>
      <c r="HK181" t="e">
        <f>AND('GA55 Entry'!#REF!,"AAAAAH79ydo=")</f>
        <v>#REF!</v>
      </c>
      <c r="HL181" t="e">
        <f>AND('GA55 Entry'!C679,"AAAAAH79yds=")</f>
        <v>#VALUE!</v>
      </c>
      <c r="HM181" t="e">
        <f>AND('GA55 Entry'!#REF!,"AAAAAH79ydw=")</f>
        <v>#REF!</v>
      </c>
      <c r="HN181" t="e">
        <f>AND('GA55 Entry'!#REF!,"AAAAAH79yd0=")</f>
        <v>#REF!</v>
      </c>
      <c r="HO181" t="e">
        <f>AND('GA55 Entry'!#REF!,"AAAAAH79yd4=")</f>
        <v>#REF!</v>
      </c>
      <c r="HP181" t="e">
        <f>AND('GA55 Entry'!#REF!,"AAAAAH79yd8=")</f>
        <v>#REF!</v>
      </c>
      <c r="HQ181" t="e">
        <f>AND('GA55 Entry'!#REF!,"AAAAAH79yeA=")</f>
        <v>#REF!</v>
      </c>
      <c r="HR181" t="e">
        <f>AND('GA55 Entry'!D679,"AAAAAH79yeE=")</f>
        <v>#VALUE!</v>
      </c>
      <c r="HS181" t="e">
        <f>AND('GA55 Entry'!#REF!,"AAAAAH79yeI=")</f>
        <v>#REF!</v>
      </c>
      <c r="HT181" t="e">
        <f>AND('GA55 Entry'!E679,"AAAAAH79yeM=")</f>
        <v>#VALUE!</v>
      </c>
      <c r="HU181" t="e">
        <f>AND('GA55 Entry'!F679,"AAAAAH79yeQ=")</f>
        <v>#VALUE!</v>
      </c>
      <c r="HV181" t="e">
        <f>AND('GA55 Entry'!G679,"AAAAAH79yeU=")</f>
        <v>#VALUE!</v>
      </c>
      <c r="HW181" t="e">
        <f>AND('GA55 Entry'!H679,"AAAAAH79yeY=")</f>
        <v>#VALUE!</v>
      </c>
      <c r="HX181" t="e">
        <f>AND('GA55 Entry'!I679,"AAAAAH79yec=")</f>
        <v>#VALUE!</v>
      </c>
      <c r="HY181" t="e">
        <f>AND('GA55 Entry'!J679,"AAAAAH79yeg=")</f>
        <v>#VALUE!</v>
      </c>
      <c r="HZ181" t="e">
        <f>AND('GA55 Entry'!#REF!,"AAAAAH79yek=")</f>
        <v>#REF!</v>
      </c>
      <c r="IA181" t="e">
        <f>AND('GA55 Entry'!K679,"AAAAAH79yeo=")</f>
        <v>#VALUE!</v>
      </c>
      <c r="IB181" t="e">
        <f>AND('GA55 Entry'!L679,"AAAAAH79yes=")</f>
        <v>#VALUE!</v>
      </c>
      <c r="IC181" t="e">
        <f>AND('GA55 Entry'!M679,"AAAAAH79yew=")</f>
        <v>#VALUE!</v>
      </c>
      <c r="ID181" t="e">
        <f>AND('GA55 Entry'!N679,"AAAAAH79ye0=")</f>
        <v>#VALUE!</v>
      </c>
      <c r="IE181" t="e">
        <f>AND('GA55 Entry'!O679,"AAAAAH79ye4=")</f>
        <v>#VALUE!</v>
      </c>
      <c r="IF181" t="e">
        <f>AND('GA55 Entry'!P679,"AAAAAH79ye8=")</f>
        <v>#VALUE!</v>
      </c>
      <c r="IG181" t="e">
        <f>AND('GA55 Entry'!Q679,"AAAAAH79yfA=")</f>
        <v>#VALUE!</v>
      </c>
      <c r="IH181" t="e">
        <f>AND('GA55 Entry'!S679,"AAAAAH79yfE=")</f>
        <v>#VALUE!</v>
      </c>
      <c r="II181" t="e">
        <f>AND('GA55 Entry'!#REF!,"AAAAAH79yfI=")</f>
        <v>#REF!</v>
      </c>
      <c r="IJ181" t="e">
        <f>AND('GA55 Entry'!T679,"AAAAAH79yfM=")</f>
        <v>#VALUE!</v>
      </c>
      <c r="IK181" t="e">
        <f>AND('GA55 Entry'!U679,"AAAAAH79yfQ=")</f>
        <v>#VALUE!</v>
      </c>
      <c r="IL181" t="e">
        <f>AND('GA55 Entry'!V679,"AAAAAH79yfU=")</f>
        <v>#VALUE!</v>
      </c>
      <c r="IM181" t="e">
        <f>AND('GA55 Entry'!#REF!,"AAAAAH79yfY=")</f>
        <v>#REF!</v>
      </c>
      <c r="IN181" t="e">
        <f>AND('GA55 Entry'!#REF!,"AAAAAH79yfc=")</f>
        <v>#REF!</v>
      </c>
      <c r="IO181" t="e">
        <f>AND('GA55 Entry'!X679,"AAAAAH79yfg=")</f>
        <v>#VALUE!</v>
      </c>
      <c r="IP181" t="e">
        <f>AND('GA55 Entry'!Y679,"AAAAAH79yfk=")</f>
        <v>#VALUE!</v>
      </c>
      <c r="IQ181" t="e">
        <f>AND('GA55 Entry'!#REF!,"AAAAAH79yfo=")</f>
        <v>#REF!</v>
      </c>
      <c r="IR181" t="e">
        <f>AND('GA55 Entry'!#REF!,"AAAAAH79yfs=")</f>
        <v>#REF!</v>
      </c>
      <c r="IS181" t="e">
        <f>AND('GA55 Entry'!#REF!,"AAAAAH79yfw=")</f>
        <v>#REF!</v>
      </c>
      <c r="IT181" t="e">
        <f>AND('GA55 Entry'!#REF!,"AAAAAH79yf0=")</f>
        <v>#REF!</v>
      </c>
      <c r="IU181" t="e">
        <f>AND('GA55 Entry'!#REF!,"AAAAAH79yf4=")</f>
        <v>#REF!</v>
      </c>
      <c r="IV181" t="e">
        <f>AND('GA55 Entry'!#REF!,"AAAAAH79yf8=")</f>
        <v>#REF!</v>
      </c>
    </row>
    <row r="182" spans="1:256">
      <c r="A182" t="e">
        <f>AND('GA55 Entry'!#REF!,"AAAAAGfX3gA=")</f>
        <v>#REF!</v>
      </c>
      <c r="B182" t="e">
        <f>AND('GA55 Entry'!#REF!,"AAAAAGfX3gE=")</f>
        <v>#REF!</v>
      </c>
      <c r="C182" t="e">
        <f>AND('GA55 Entry'!#REF!,"AAAAAGfX3gI=")</f>
        <v>#REF!</v>
      </c>
      <c r="D182" t="e">
        <f>AND('GA55 Entry'!Z679,"AAAAAGfX3gM=")</f>
        <v>#VALUE!</v>
      </c>
      <c r="E182" t="e">
        <f>AND('GA55 Entry'!AA679,"AAAAAGfX3gQ=")</f>
        <v>#VALUE!</v>
      </c>
      <c r="F182" t="e">
        <f>AND('GA55 Entry'!#REF!,"AAAAAGfX3gU=")</f>
        <v>#REF!</v>
      </c>
      <c r="G182" t="e">
        <f>AND('GA55 Entry'!#REF!,"AAAAAGfX3gY=")</f>
        <v>#REF!</v>
      </c>
      <c r="H182" t="e">
        <f>AND('GA55 Entry'!#REF!,"AAAAAGfX3gc=")</f>
        <v>#REF!</v>
      </c>
      <c r="I182" t="e">
        <f>AND('GA55 Entry'!AB679,"AAAAAGfX3gg=")</f>
        <v>#VALUE!</v>
      </c>
      <c r="J182" t="e">
        <f>AND('GA55 Entry'!AC679,"AAAAAGfX3gk=")</f>
        <v>#VALUE!</v>
      </c>
      <c r="K182" t="e">
        <f>AND('GA55 Entry'!#REF!,"AAAAAGfX3go=")</f>
        <v>#REF!</v>
      </c>
      <c r="L182">
        <f>IF('GA55 Entry'!680:680,"AAAAAGfX3gs=",0)</f>
        <v>0</v>
      </c>
      <c r="M182" t="e">
        <f>AND('GA55 Entry'!B680,"AAAAAGfX3gw=")</f>
        <v>#VALUE!</v>
      </c>
      <c r="N182" t="e">
        <f>AND('GA55 Entry'!#REF!,"AAAAAGfX3g0=")</f>
        <v>#REF!</v>
      </c>
      <c r="O182" t="e">
        <f>AND('GA55 Entry'!C680,"AAAAAGfX3g4=")</f>
        <v>#VALUE!</v>
      </c>
      <c r="P182" t="e">
        <f>AND('GA55 Entry'!#REF!,"AAAAAGfX3g8=")</f>
        <v>#REF!</v>
      </c>
      <c r="Q182" t="e">
        <f>AND('GA55 Entry'!#REF!,"AAAAAGfX3hA=")</f>
        <v>#REF!</v>
      </c>
      <c r="R182" t="e">
        <f>AND('GA55 Entry'!#REF!,"AAAAAGfX3hE=")</f>
        <v>#REF!</v>
      </c>
      <c r="S182" t="e">
        <f>AND('GA55 Entry'!#REF!,"AAAAAGfX3hI=")</f>
        <v>#REF!</v>
      </c>
      <c r="T182" t="e">
        <f>AND('GA55 Entry'!#REF!,"AAAAAGfX3hM=")</f>
        <v>#REF!</v>
      </c>
      <c r="U182" t="e">
        <f>AND('GA55 Entry'!D680,"AAAAAGfX3hQ=")</f>
        <v>#VALUE!</v>
      </c>
      <c r="V182" t="e">
        <f>AND('GA55 Entry'!#REF!,"AAAAAGfX3hU=")</f>
        <v>#REF!</v>
      </c>
      <c r="W182" t="e">
        <f>AND('GA55 Entry'!E680,"AAAAAGfX3hY=")</f>
        <v>#VALUE!</v>
      </c>
      <c r="X182" t="e">
        <f>AND('GA55 Entry'!F680,"AAAAAGfX3hc=")</f>
        <v>#VALUE!</v>
      </c>
      <c r="Y182" t="e">
        <f>AND('GA55 Entry'!G680,"AAAAAGfX3hg=")</f>
        <v>#VALUE!</v>
      </c>
      <c r="Z182" t="e">
        <f>AND('GA55 Entry'!H680,"AAAAAGfX3hk=")</f>
        <v>#VALUE!</v>
      </c>
      <c r="AA182" t="e">
        <f>AND('GA55 Entry'!I680,"AAAAAGfX3ho=")</f>
        <v>#VALUE!</v>
      </c>
      <c r="AB182" t="e">
        <f>AND('GA55 Entry'!J680,"AAAAAGfX3hs=")</f>
        <v>#VALUE!</v>
      </c>
      <c r="AC182" t="e">
        <f>AND('GA55 Entry'!#REF!,"AAAAAGfX3hw=")</f>
        <v>#REF!</v>
      </c>
      <c r="AD182" t="e">
        <f>AND('GA55 Entry'!K680,"AAAAAGfX3h0=")</f>
        <v>#VALUE!</v>
      </c>
      <c r="AE182" t="e">
        <f>AND('GA55 Entry'!L680,"AAAAAGfX3h4=")</f>
        <v>#VALUE!</v>
      </c>
      <c r="AF182" t="e">
        <f>AND('GA55 Entry'!M680,"AAAAAGfX3h8=")</f>
        <v>#VALUE!</v>
      </c>
      <c r="AG182" t="e">
        <f>AND('GA55 Entry'!N680,"AAAAAGfX3iA=")</f>
        <v>#VALUE!</v>
      </c>
      <c r="AH182" t="e">
        <f>AND('GA55 Entry'!O680,"AAAAAGfX3iE=")</f>
        <v>#VALUE!</v>
      </c>
      <c r="AI182" t="e">
        <f>AND('GA55 Entry'!P680,"AAAAAGfX3iI=")</f>
        <v>#VALUE!</v>
      </c>
      <c r="AJ182" t="e">
        <f>AND('GA55 Entry'!Q680,"AAAAAGfX3iM=")</f>
        <v>#VALUE!</v>
      </c>
      <c r="AK182" t="e">
        <f>AND('GA55 Entry'!S680,"AAAAAGfX3iQ=")</f>
        <v>#VALUE!</v>
      </c>
      <c r="AL182" t="e">
        <f>AND('GA55 Entry'!#REF!,"AAAAAGfX3iU=")</f>
        <v>#REF!</v>
      </c>
      <c r="AM182" t="e">
        <f>AND('GA55 Entry'!T680,"AAAAAGfX3iY=")</f>
        <v>#VALUE!</v>
      </c>
      <c r="AN182" t="e">
        <f>AND('GA55 Entry'!U680,"AAAAAGfX3ic=")</f>
        <v>#VALUE!</v>
      </c>
      <c r="AO182" t="e">
        <f>AND('GA55 Entry'!V680,"AAAAAGfX3ig=")</f>
        <v>#VALUE!</v>
      </c>
      <c r="AP182" t="e">
        <f>AND('GA55 Entry'!#REF!,"AAAAAGfX3ik=")</f>
        <v>#REF!</v>
      </c>
      <c r="AQ182" t="e">
        <f>AND('GA55 Entry'!#REF!,"AAAAAGfX3io=")</f>
        <v>#REF!</v>
      </c>
      <c r="AR182" t="e">
        <f>AND('GA55 Entry'!X680,"AAAAAGfX3is=")</f>
        <v>#VALUE!</v>
      </c>
      <c r="AS182" t="e">
        <f>AND('GA55 Entry'!Y680,"AAAAAGfX3iw=")</f>
        <v>#VALUE!</v>
      </c>
      <c r="AT182" t="e">
        <f>AND('GA55 Entry'!#REF!,"AAAAAGfX3i0=")</f>
        <v>#REF!</v>
      </c>
      <c r="AU182" t="e">
        <f>AND('GA55 Entry'!#REF!,"AAAAAGfX3i4=")</f>
        <v>#REF!</v>
      </c>
      <c r="AV182" t="e">
        <f>AND('GA55 Entry'!#REF!,"AAAAAGfX3i8=")</f>
        <v>#REF!</v>
      </c>
      <c r="AW182" t="e">
        <f>AND('GA55 Entry'!#REF!,"AAAAAGfX3jA=")</f>
        <v>#REF!</v>
      </c>
      <c r="AX182" t="e">
        <f>AND('GA55 Entry'!#REF!,"AAAAAGfX3jE=")</f>
        <v>#REF!</v>
      </c>
      <c r="AY182" t="e">
        <f>AND('GA55 Entry'!#REF!,"AAAAAGfX3jI=")</f>
        <v>#REF!</v>
      </c>
      <c r="AZ182" t="e">
        <f>AND('GA55 Entry'!#REF!,"AAAAAGfX3jM=")</f>
        <v>#REF!</v>
      </c>
      <c r="BA182" t="e">
        <f>AND('GA55 Entry'!#REF!,"AAAAAGfX3jQ=")</f>
        <v>#REF!</v>
      </c>
      <c r="BB182" t="e">
        <f>AND('GA55 Entry'!#REF!,"AAAAAGfX3jU=")</f>
        <v>#REF!</v>
      </c>
      <c r="BC182" t="e">
        <f>AND('GA55 Entry'!Z680,"AAAAAGfX3jY=")</f>
        <v>#VALUE!</v>
      </c>
      <c r="BD182" t="e">
        <f>AND('GA55 Entry'!AA680,"AAAAAGfX3jc=")</f>
        <v>#VALUE!</v>
      </c>
      <c r="BE182" t="e">
        <f>AND('GA55 Entry'!#REF!,"AAAAAGfX3jg=")</f>
        <v>#REF!</v>
      </c>
      <c r="BF182" t="e">
        <f>AND('GA55 Entry'!#REF!,"AAAAAGfX3jk=")</f>
        <v>#REF!</v>
      </c>
      <c r="BG182" t="e">
        <f>AND('GA55 Entry'!#REF!,"AAAAAGfX3jo=")</f>
        <v>#REF!</v>
      </c>
      <c r="BH182" t="e">
        <f>AND('GA55 Entry'!AB680,"AAAAAGfX3js=")</f>
        <v>#VALUE!</v>
      </c>
      <c r="BI182" t="e">
        <f>AND('GA55 Entry'!AC680,"AAAAAGfX3jw=")</f>
        <v>#VALUE!</v>
      </c>
      <c r="BJ182" t="e">
        <f>AND('GA55 Entry'!#REF!,"AAAAAGfX3j0=")</f>
        <v>#REF!</v>
      </c>
      <c r="BK182">
        <f>IF('GA55 Entry'!681:681,"AAAAAGfX3j4=",0)</f>
        <v>0</v>
      </c>
      <c r="BL182" t="e">
        <f>AND('GA55 Entry'!B681,"AAAAAGfX3j8=")</f>
        <v>#VALUE!</v>
      </c>
      <c r="BM182" t="e">
        <f>AND('GA55 Entry'!#REF!,"AAAAAGfX3kA=")</f>
        <v>#REF!</v>
      </c>
      <c r="BN182" t="e">
        <f>AND('GA55 Entry'!C681,"AAAAAGfX3kE=")</f>
        <v>#VALUE!</v>
      </c>
      <c r="BO182" t="e">
        <f>AND('GA55 Entry'!#REF!,"AAAAAGfX3kI=")</f>
        <v>#REF!</v>
      </c>
      <c r="BP182" t="e">
        <f>AND('GA55 Entry'!#REF!,"AAAAAGfX3kM=")</f>
        <v>#REF!</v>
      </c>
      <c r="BQ182" t="e">
        <f>AND('GA55 Entry'!#REF!,"AAAAAGfX3kQ=")</f>
        <v>#REF!</v>
      </c>
      <c r="BR182" t="e">
        <f>AND('GA55 Entry'!#REF!,"AAAAAGfX3kU=")</f>
        <v>#REF!</v>
      </c>
      <c r="BS182" t="e">
        <f>AND('GA55 Entry'!#REF!,"AAAAAGfX3kY=")</f>
        <v>#REF!</v>
      </c>
      <c r="BT182" t="e">
        <f>AND('GA55 Entry'!D681,"AAAAAGfX3kc=")</f>
        <v>#VALUE!</v>
      </c>
      <c r="BU182" t="e">
        <f>AND('GA55 Entry'!#REF!,"AAAAAGfX3kg=")</f>
        <v>#REF!</v>
      </c>
      <c r="BV182" t="e">
        <f>AND('GA55 Entry'!E681,"AAAAAGfX3kk=")</f>
        <v>#VALUE!</v>
      </c>
      <c r="BW182" t="e">
        <f>AND('GA55 Entry'!F681,"AAAAAGfX3ko=")</f>
        <v>#VALUE!</v>
      </c>
      <c r="BX182" t="e">
        <f>AND('GA55 Entry'!G681,"AAAAAGfX3ks=")</f>
        <v>#VALUE!</v>
      </c>
      <c r="BY182" t="e">
        <f>AND('GA55 Entry'!H681,"AAAAAGfX3kw=")</f>
        <v>#VALUE!</v>
      </c>
      <c r="BZ182" t="e">
        <f>AND('GA55 Entry'!I681,"AAAAAGfX3k0=")</f>
        <v>#VALUE!</v>
      </c>
      <c r="CA182" t="e">
        <f>AND('GA55 Entry'!J681,"AAAAAGfX3k4=")</f>
        <v>#VALUE!</v>
      </c>
      <c r="CB182" t="e">
        <f>AND('GA55 Entry'!#REF!,"AAAAAGfX3k8=")</f>
        <v>#REF!</v>
      </c>
      <c r="CC182" t="e">
        <f>AND('GA55 Entry'!K681,"AAAAAGfX3lA=")</f>
        <v>#VALUE!</v>
      </c>
      <c r="CD182" t="e">
        <f>AND('GA55 Entry'!L681,"AAAAAGfX3lE=")</f>
        <v>#VALUE!</v>
      </c>
      <c r="CE182" t="e">
        <f>AND('GA55 Entry'!M681,"AAAAAGfX3lI=")</f>
        <v>#VALUE!</v>
      </c>
      <c r="CF182" t="e">
        <f>AND('GA55 Entry'!N681,"AAAAAGfX3lM=")</f>
        <v>#VALUE!</v>
      </c>
      <c r="CG182" t="e">
        <f>AND('GA55 Entry'!O681,"AAAAAGfX3lQ=")</f>
        <v>#VALUE!</v>
      </c>
      <c r="CH182" t="e">
        <f>AND('GA55 Entry'!P681,"AAAAAGfX3lU=")</f>
        <v>#VALUE!</v>
      </c>
      <c r="CI182" t="e">
        <f>AND('GA55 Entry'!Q681,"AAAAAGfX3lY=")</f>
        <v>#VALUE!</v>
      </c>
      <c r="CJ182" t="e">
        <f>AND('GA55 Entry'!S681,"AAAAAGfX3lc=")</f>
        <v>#VALUE!</v>
      </c>
      <c r="CK182" t="e">
        <f>AND('GA55 Entry'!#REF!,"AAAAAGfX3lg=")</f>
        <v>#REF!</v>
      </c>
      <c r="CL182" t="e">
        <f>AND('GA55 Entry'!T681,"AAAAAGfX3lk=")</f>
        <v>#VALUE!</v>
      </c>
      <c r="CM182" t="e">
        <f>AND('GA55 Entry'!U681,"AAAAAGfX3lo=")</f>
        <v>#VALUE!</v>
      </c>
      <c r="CN182" t="e">
        <f>AND('GA55 Entry'!V681,"AAAAAGfX3ls=")</f>
        <v>#VALUE!</v>
      </c>
      <c r="CO182" t="e">
        <f>AND('GA55 Entry'!#REF!,"AAAAAGfX3lw=")</f>
        <v>#REF!</v>
      </c>
      <c r="CP182" t="e">
        <f>AND('GA55 Entry'!#REF!,"AAAAAGfX3l0=")</f>
        <v>#REF!</v>
      </c>
      <c r="CQ182" t="e">
        <f>AND('GA55 Entry'!X681,"AAAAAGfX3l4=")</f>
        <v>#VALUE!</v>
      </c>
      <c r="CR182" t="e">
        <f>AND('GA55 Entry'!Y681,"AAAAAGfX3l8=")</f>
        <v>#VALUE!</v>
      </c>
      <c r="CS182" t="e">
        <f>AND('GA55 Entry'!#REF!,"AAAAAGfX3mA=")</f>
        <v>#REF!</v>
      </c>
      <c r="CT182" t="e">
        <f>AND('GA55 Entry'!#REF!,"AAAAAGfX3mE=")</f>
        <v>#REF!</v>
      </c>
      <c r="CU182" t="e">
        <f>AND('GA55 Entry'!#REF!,"AAAAAGfX3mI=")</f>
        <v>#REF!</v>
      </c>
      <c r="CV182" t="e">
        <f>AND('GA55 Entry'!#REF!,"AAAAAGfX3mM=")</f>
        <v>#REF!</v>
      </c>
      <c r="CW182" t="e">
        <f>AND('GA55 Entry'!#REF!,"AAAAAGfX3mQ=")</f>
        <v>#REF!</v>
      </c>
      <c r="CX182" t="e">
        <f>AND('GA55 Entry'!#REF!,"AAAAAGfX3mU=")</f>
        <v>#REF!</v>
      </c>
      <c r="CY182" t="e">
        <f>AND('GA55 Entry'!#REF!,"AAAAAGfX3mY=")</f>
        <v>#REF!</v>
      </c>
      <c r="CZ182" t="e">
        <f>AND('GA55 Entry'!#REF!,"AAAAAGfX3mc=")</f>
        <v>#REF!</v>
      </c>
      <c r="DA182" t="e">
        <f>AND('GA55 Entry'!#REF!,"AAAAAGfX3mg=")</f>
        <v>#REF!</v>
      </c>
      <c r="DB182" t="e">
        <f>AND('GA55 Entry'!Z681,"AAAAAGfX3mk=")</f>
        <v>#VALUE!</v>
      </c>
      <c r="DC182" t="e">
        <f>AND('GA55 Entry'!AA681,"AAAAAGfX3mo=")</f>
        <v>#VALUE!</v>
      </c>
      <c r="DD182" t="e">
        <f>AND('GA55 Entry'!#REF!,"AAAAAGfX3ms=")</f>
        <v>#REF!</v>
      </c>
      <c r="DE182" t="e">
        <f>AND('GA55 Entry'!#REF!,"AAAAAGfX3mw=")</f>
        <v>#REF!</v>
      </c>
      <c r="DF182" t="e">
        <f>AND('GA55 Entry'!#REF!,"AAAAAGfX3m0=")</f>
        <v>#REF!</v>
      </c>
      <c r="DG182" t="e">
        <f>AND('GA55 Entry'!AB681,"AAAAAGfX3m4=")</f>
        <v>#VALUE!</v>
      </c>
      <c r="DH182" t="e">
        <f>AND('GA55 Entry'!AC681,"AAAAAGfX3m8=")</f>
        <v>#VALUE!</v>
      </c>
      <c r="DI182" t="e">
        <f>AND('GA55 Entry'!#REF!,"AAAAAGfX3nA=")</f>
        <v>#REF!</v>
      </c>
      <c r="DJ182">
        <f>IF('GA55 Entry'!682:682,"AAAAAGfX3nE=",0)</f>
        <v>0</v>
      </c>
      <c r="DK182" t="e">
        <f>AND('GA55 Entry'!B682,"AAAAAGfX3nI=")</f>
        <v>#VALUE!</v>
      </c>
      <c r="DL182" t="e">
        <f>AND('GA55 Entry'!#REF!,"AAAAAGfX3nM=")</f>
        <v>#REF!</v>
      </c>
      <c r="DM182" t="e">
        <f>AND('GA55 Entry'!C682,"AAAAAGfX3nQ=")</f>
        <v>#VALUE!</v>
      </c>
      <c r="DN182" t="e">
        <f>AND('GA55 Entry'!#REF!,"AAAAAGfX3nU=")</f>
        <v>#REF!</v>
      </c>
      <c r="DO182" t="e">
        <f>AND('GA55 Entry'!#REF!,"AAAAAGfX3nY=")</f>
        <v>#REF!</v>
      </c>
      <c r="DP182" t="e">
        <f>AND('GA55 Entry'!#REF!,"AAAAAGfX3nc=")</f>
        <v>#REF!</v>
      </c>
      <c r="DQ182" t="e">
        <f>AND('GA55 Entry'!#REF!,"AAAAAGfX3ng=")</f>
        <v>#REF!</v>
      </c>
      <c r="DR182" t="e">
        <f>AND('GA55 Entry'!#REF!,"AAAAAGfX3nk=")</f>
        <v>#REF!</v>
      </c>
      <c r="DS182" t="e">
        <f>AND('GA55 Entry'!D682,"AAAAAGfX3no=")</f>
        <v>#VALUE!</v>
      </c>
      <c r="DT182" t="e">
        <f>AND('GA55 Entry'!#REF!,"AAAAAGfX3ns=")</f>
        <v>#REF!</v>
      </c>
      <c r="DU182" t="e">
        <f>AND('GA55 Entry'!E682,"AAAAAGfX3nw=")</f>
        <v>#VALUE!</v>
      </c>
      <c r="DV182" t="e">
        <f>AND('GA55 Entry'!F682,"AAAAAGfX3n0=")</f>
        <v>#VALUE!</v>
      </c>
      <c r="DW182" t="e">
        <f>AND('GA55 Entry'!G682,"AAAAAGfX3n4=")</f>
        <v>#VALUE!</v>
      </c>
      <c r="DX182" t="e">
        <f>AND('GA55 Entry'!H682,"AAAAAGfX3n8=")</f>
        <v>#VALUE!</v>
      </c>
      <c r="DY182" t="e">
        <f>AND('GA55 Entry'!I682,"AAAAAGfX3oA=")</f>
        <v>#VALUE!</v>
      </c>
      <c r="DZ182" t="e">
        <f>AND('GA55 Entry'!J682,"AAAAAGfX3oE=")</f>
        <v>#VALUE!</v>
      </c>
      <c r="EA182" t="e">
        <f>AND('GA55 Entry'!#REF!,"AAAAAGfX3oI=")</f>
        <v>#REF!</v>
      </c>
      <c r="EB182" t="e">
        <f>AND('GA55 Entry'!K682,"AAAAAGfX3oM=")</f>
        <v>#VALUE!</v>
      </c>
      <c r="EC182" t="e">
        <f>AND('GA55 Entry'!L682,"AAAAAGfX3oQ=")</f>
        <v>#VALUE!</v>
      </c>
      <c r="ED182" t="e">
        <f>AND('GA55 Entry'!M682,"AAAAAGfX3oU=")</f>
        <v>#VALUE!</v>
      </c>
      <c r="EE182" t="e">
        <f>AND('GA55 Entry'!N682,"AAAAAGfX3oY=")</f>
        <v>#VALUE!</v>
      </c>
      <c r="EF182" t="e">
        <f>AND('GA55 Entry'!O682,"AAAAAGfX3oc=")</f>
        <v>#VALUE!</v>
      </c>
      <c r="EG182" t="e">
        <f>AND('GA55 Entry'!P682,"AAAAAGfX3og=")</f>
        <v>#VALUE!</v>
      </c>
      <c r="EH182" t="e">
        <f>AND('GA55 Entry'!Q682,"AAAAAGfX3ok=")</f>
        <v>#VALUE!</v>
      </c>
      <c r="EI182" t="e">
        <f>AND('GA55 Entry'!S682,"AAAAAGfX3oo=")</f>
        <v>#VALUE!</v>
      </c>
      <c r="EJ182" t="e">
        <f>AND('GA55 Entry'!#REF!,"AAAAAGfX3os=")</f>
        <v>#REF!</v>
      </c>
      <c r="EK182" t="e">
        <f>AND('GA55 Entry'!T682,"AAAAAGfX3ow=")</f>
        <v>#VALUE!</v>
      </c>
      <c r="EL182" t="e">
        <f>AND('GA55 Entry'!U682,"AAAAAGfX3o0=")</f>
        <v>#VALUE!</v>
      </c>
      <c r="EM182" t="e">
        <f>AND('GA55 Entry'!V682,"AAAAAGfX3o4=")</f>
        <v>#VALUE!</v>
      </c>
      <c r="EN182" t="e">
        <f>AND('GA55 Entry'!#REF!,"AAAAAGfX3o8=")</f>
        <v>#REF!</v>
      </c>
      <c r="EO182" t="e">
        <f>AND('GA55 Entry'!#REF!,"AAAAAGfX3pA=")</f>
        <v>#REF!</v>
      </c>
      <c r="EP182" t="e">
        <f>AND('GA55 Entry'!X682,"AAAAAGfX3pE=")</f>
        <v>#VALUE!</v>
      </c>
      <c r="EQ182" t="e">
        <f>AND('GA55 Entry'!Y682,"AAAAAGfX3pI=")</f>
        <v>#VALUE!</v>
      </c>
      <c r="ER182" t="e">
        <f>AND('GA55 Entry'!#REF!,"AAAAAGfX3pM=")</f>
        <v>#REF!</v>
      </c>
      <c r="ES182" t="e">
        <f>AND('GA55 Entry'!#REF!,"AAAAAGfX3pQ=")</f>
        <v>#REF!</v>
      </c>
      <c r="ET182" t="e">
        <f>AND('GA55 Entry'!#REF!,"AAAAAGfX3pU=")</f>
        <v>#REF!</v>
      </c>
      <c r="EU182" t="e">
        <f>AND('GA55 Entry'!#REF!,"AAAAAGfX3pY=")</f>
        <v>#REF!</v>
      </c>
      <c r="EV182" t="e">
        <f>AND('GA55 Entry'!#REF!,"AAAAAGfX3pc=")</f>
        <v>#REF!</v>
      </c>
      <c r="EW182" t="e">
        <f>AND('GA55 Entry'!#REF!,"AAAAAGfX3pg=")</f>
        <v>#REF!</v>
      </c>
      <c r="EX182" t="e">
        <f>AND('GA55 Entry'!#REF!,"AAAAAGfX3pk=")</f>
        <v>#REF!</v>
      </c>
      <c r="EY182" t="e">
        <f>AND('GA55 Entry'!#REF!,"AAAAAGfX3po=")</f>
        <v>#REF!</v>
      </c>
      <c r="EZ182" t="e">
        <f>AND('GA55 Entry'!#REF!,"AAAAAGfX3ps=")</f>
        <v>#REF!</v>
      </c>
      <c r="FA182" t="e">
        <f>AND('GA55 Entry'!Z682,"AAAAAGfX3pw=")</f>
        <v>#VALUE!</v>
      </c>
      <c r="FB182" t="e">
        <f>AND('GA55 Entry'!AA682,"AAAAAGfX3p0=")</f>
        <v>#VALUE!</v>
      </c>
      <c r="FC182" t="e">
        <f>AND('GA55 Entry'!#REF!,"AAAAAGfX3p4=")</f>
        <v>#REF!</v>
      </c>
      <c r="FD182" t="e">
        <f>AND('GA55 Entry'!#REF!,"AAAAAGfX3p8=")</f>
        <v>#REF!</v>
      </c>
      <c r="FE182" t="e">
        <f>AND('GA55 Entry'!#REF!,"AAAAAGfX3qA=")</f>
        <v>#REF!</v>
      </c>
      <c r="FF182" t="e">
        <f>AND('GA55 Entry'!AB682,"AAAAAGfX3qE=")</f>
        <v>#VALUE!</v>
      </c>
      <c r="FG182" t="e">
        <f>AND('GA55 Entry'!AC682,"AAAAAGfX3qI=")</f>
        <v>#VALUE!</v>
      </c>
      <c r="FH182" t="e">
        <f>AND('GA55 Entry'!#REF!,"AAAAAGfX3qM=")</f>
        <v>#REF!</v>
      </c>
      <c r="FI182">
        <f>IF('GA55 Entry'!683:683,"AAAAAGfX3qQ=",0)</f>
        <v>0</v>
      </c>
      <c r="FJ182" t="e">
        <f>AND('GA55 Entry'!B683,"AAAAAGfX3qU=")</f>
        <v>#VALUE!</v>
      </c>
      <c r="FK182" t="e">
        <f>AND('GA55 Entry'!#REF!,"AAAAAGfX3qY=")</f>
        <v>#REF!</v>
      </c>
      <c r="FL182" t="e">
        <f>AND('GA55 Entry'!C683,"AAAAAGfX3qc=")</f>
        <v>#VALUE!</v>
      </c>
      <c r="FM182" t="e">
        <f>AND('GA55 Entry'!#REF!,"AAAAAGfX3qg=")</f>
        <v>#REF!</v>
      </c>
      <c r="FN182" t="e">
        <f>AND('GA55 Entry'!#REF!,"AAAAAGfX3qk=")</f>
        <v>#REF!</v>
      </c>
      <c r="FO182" t="e">
        <f>AND('GA55 Entry'!#REF!,"AAAAAGfX3qo=")</f>
        <v>#REF!</v>
      </c>
      <c r="FP182" t="e">
        <f>AND('GA55 Entry'!#REF!,"AAAAAGfX3qs=")</f>
        <v>#REF!</v>
      </c>
      <c r="FQ182" t="e">
        <f>AND('GA55 Entry'!#REF!,"AAAAAGfX3qw=")</f>
        <v>#REF!</v>
      </c>
      <c r="FR182" t="e">
        <f>AND('GA55 Entry'!D683,"AAAAAGfX3q0=")</f>
        <v>#VALUE!</v>
      </c>
      <c r="FS182" t="e">
        <f>AND('GA55 Entry'!#REF!,"AAAAAGfX3q4=")</f>
        <v>#REF!</v>
      </c>
      <c r="FT182" t="e">
        <f>AND('GA55 Entry'!E683,"AAAAAGfX3q8=")</f>
        <v>#VALUE!</v>
      </c>
      <c r="FU182" t="e">
        <f>AND('GA55 Entry'!F683,"AAAAAGfX3rA=")</f>
        <v>#VALUE!</v>
      </c>
      <c r="FV182" t="e">
        <f>AND('GA55 Entry'!G683,"AAAAAGfX3rE=")</f>
        <v>#VALUE!</v>
      </c>
      <c r="FW182" t="e">
        <f>AND('GA55 Entry'!H683,"AAAAAGfX3rI=")</f>
        <v>#VALUE!</v>
      </c>
      <c r="FX182" t="e">
        <f>AND('GA55 Entry'!I683,"AAAAAGfX3rM=")</f>
        <v>#VALUE!</v>
      </c>
      <c r="FY182" t="e">
        <f>AND('GA55 Entry'!J683,"AAAAAGfX3rQ=")</f>
        <v>#VALUE!</v>
      </c>
      <c r="FZ182" t="e">
        <f>AND('GA55 Entry'!#REF!,"AAAAAGfX3rU=")</f>
        <v>#REF!</v>
      </c>
      <c r="GA182" t="e">
        <f>AND('GA55 Entry'!K683,"AAAAAGfX3rY=")</f>
        <v>#VALUE!</v>
      </c>
      <c r="GB182" t="e">
        <f>AND('GA55 Entry'!L683,"AAAAAGfX3rc=")</f>
        <v>#VALUE!</v>
      </c>
      <c r="GC182" t="e">
        <f>AND('GA55 Entry'!M683,"AAAAAGfX3rg=")</f>
        <v>#VALUE!</v>
      </c>
      <c r="GD182" t="e">
        <f>AND('GA55 Entry'!N683,"AAAAAGfX3rk=")</f>
        <v>#VALUE!</v>
      </c>
      <c r="GE182" t="e">
        <f>AND('GA55 Entry'!O683,"AAAAAGfX3ro=")</f>
        <v>#VALUE!</v>
      </c>
      <c r="GF182" t="e">
        <f>AND('GA55 Entry'!P683,"AAAAAGfX3rs=")</f>
        <v>#VALUE!</v>
      </c>
      <c r="GG182" t="e">
        <f>AND('GA55 Entry'!Q683,"AAAAAGfX3rw=")</f>
        <v>#VALUE!</v>
      </c>
      <c r="GH182" t="e">
        <f>AND('GA55 Entry'!S683,"AAAAAGfX3r0=")</f>
        <v>#VALUE!</v>
      </c>
      <c r="GI182" t="e">
        <f>AND('GA55 Entry'!#REF!,"AAAAAGfX3r4=")</f>
        <v>#REF!</v>
      </c>
      <c r="GJ182" t="e">
        <f>AND('GA55 Entry'!T683,"AAAAAGfX3r8=")</f>
        <v>#VALUE!</v>
      </c>
      <c r="GK182" t="e">
        <f>AND('GA55 Entry'!U683,"AAAAAGfX3sA=")</f>
        <v>#VALUE!</v>
      </c>
      <c r="GL182" t="e">
        <f>AND('GA55 Entry'!V683,"AAAAAGfX3sE=")</f>
        <v>#VALUE!</v>
      </c>
      <c r="GM182" t="e">
        <f>AND('GA55 Entry'!#REF!,"AAAAAGfX3sI=")</f>
        <v>#REF!</v>
      </c>
      <c r="GN182" t="e">
        <f>AND('GA55 Entry'!#REF!,"AAAAAGfX3sM=")</f>
        <v>#REF!</v>
      </c>
      <c r="GO182" t="e">
        <f>AND('GA55 Entry'!X683,"AAAAAGfX3sQ=")</f>
        <v>#VALUE!</v>
      </c>
      <c r="GP182" t="e">
        <f>AND('GA55 Entry'!Y683,"AAAAAGfX3sU=")</f>
        <v>#VALUE!</v>
      </c>
      <c r="GQ182" t="e">
        <f>AND('GA55 Entry'!#REF!,"AAAAAGfX3sY=")</f>
        <v>#REF!</v>
      </c>
      <c r="GR182" t="e">
        <f>AND('GA55 Entry'!#REF!,"AAAAAGfX3sc=")</f>
        <v>#REF!</v>
      </c>
      <c r="GS182" t="e">
        <f>AND('GA55 Entry'!#REF!,"AAAAAGfX3sg=")</f>
        <v>#REF!</v>
      </c>
      <c r="GT182" t="e">
        <f>AND('GA55 Entry'!#REF!,"AAAAAGfX3sk=")</f>
        <v>#REF!</v>
      </c>
      <c r="GU182" t="e">
        <f>AND('GA55 Entry'!#REF!,"AAAAAGfX3so=")</f>
        <v>#REF!</v>
      </c>
      <c r="GV182" t="e">
        <f>AND('GA55 Entry'!#REF!,"AAAAAGfX3ss=")</f>
        <v>#REF!</v>
      </c>
      <c r="GW182" t="e">
        <f>AND('GA55 Entry'!#REF!,"AAAAAGfX3sw=")</f>
        <v>#REF!</v>
      </c>
      <c r="GX182" t="e">
        <f>AND('GA55 Entry'!#REF!,"AAAAAGfX3s0=")</f>
        <v>#REF!</v>
      </c>
      <c r="GY182" t="e">
        <f>AND('GA55 Entry'!#REF!,"AAAAAGfX3s4=")</f>
        <v>#REF!</v>
      </c>
      <c r="GZ182" t="e">
        <f>AND('GA55 Entry'!Z683,"AAAAAGfX3s8=")</f>
        <v>#VALUE!</v>
      </c>
      <c r="HA182" t="e">
        <f>AND('GA55 Entry'!AA683,"AAAAAGfX3tA=")</f>
        <v>#VALUE!</v>
      </c>
      <c r="HB182" t="e">
        <f>AND('GA55 Entry'!#REF!,"AAAAAGfX3tE=")</f>
        <v>#REF!</v>
      </c>
      <c r="HC182" t="e">
        <f>AND('GA55 Entry'!#REF!,"AAAAAGfX3tI=")</f>
        <v>#REF!</v>
      </c>
      <c r="HD182" t="e">
        <f>AND('GA55 Entry'!#REF!,"AAAAAGfX3tM=")</f>
        <v>#REF!</v>
      </c>
      <c r="HE182" t="e">
        <f>AND('GA55 Entry'!AB683,"AAAAAGfX3tQ=")</f>
        <v>#VALUE!</v>
      </c>
      <c r="HF182" t="e">
        <f>AND('GA55 Entry'!AC683,"AAAAAGfX3tU=")</f>
        <v>#VALUE!</v>
      </c>
      <c r="HG182" t="e">
        <f>AND('GA55 Entry'!#REF!,"AAAAAGfX3tY=")</f>
        <v>#REF!</v>
      </c>
      <c r="HH182">
        <f>IF('GA55 Entry'!684:684,"AAAAAGfX3tc=",0)</f>
        <v>0</v>
      </c>
      <c r="HI182" t="e">
        <f>AND('GA55 Entry'!B684,"AAAAAGfX3tg=")</f>
        <v>#VALUE!</v>
      </c>
      <c r="HJ182" t="e">
        <f>AND('GA55 Entry'!#REF!,"AAAAAGfX3tk=")</f>
        <v>#REF!</v>
      </c>
      <c r="HK182" t="e">
        <f>AND('GA55 Entry'!C684,"AAAAAGfX3to=")</f>
        <v>#VALUE!</v>
      </c>
      <c r="HL182" t="e">
        <f>AND('GA55 Entry'!#REF!,"AAAAAGfX3ts=")</f>
        <v>#REF!</v>
      </c>
      <c r="HM182" t="e">
        <f>AND('GA55 Entry'!#REF!,"AAAAAGfX3tw=")</f>
        <v>#REF!</v>
      </c>
      <c r="HN182" t="e">
        <f>AND('GA55 Entry'!#REF!,"AAAAAGfX3t0=")</f>
        <v>#REF!</v>
      </c>
      <c r="HO182" t="e">
        <f>AND('GA55 Entry'!#REF!,"AAAAAGfX3t4=")</f>
        <v>#REF!</v>
      </c>
      <c r="HP182" t="e">
        <f>AND('GA55 Entry'!#REF!,"AAAAAGfX3t8=")</f>
        <v>#REF!</v>
      </c>
      <c r="HQ182" t="e">
        <f>AND('GA55 Entry'!D684,"AAAAAGfX3uA=")</f>
        <v>#VALUE!</v>
      </c>
      <c r="HR182" t="e">
        <f>AND('GA55 Entry'!#REF!,"AAAAAGfX3uE=")</f>
        <v>#REF!</v>
      </c>
      <c r="HS182" t="e">
        <f>AND('GA55 Entry'!E684,"AAAAAGfX3uI=")</f>
        <v>#VALUE!</v>
      </c>
      <c r="HT182" t="e">
        <f>AND('GA55 Entry'!F684,"AAAAAGfX3uM=")</f>
        <v>#VALUE!</v>
      </c>
      <c r="HU182" t="e">
        <f>AND('GA55 Entry'!G684,"AAAAAGfX3uQ=")</f>
        <v>#VALUE!</v>
      </c>
      <c r="HV182" t="e">
        <f>AND('GA55 Entry'!H684,"AAAAAGfX3uU=")</f>
        <v>#VALUE!</v>
      </c>
      <c r="HW182" t="e">
        <f>AND('GA55 Entry'!I684,"AAAAAGfX3uY=")</f>
        <v>#VALUE!</v>
      </c>
      <c r="HX182" t="e">
        <f>AND('GA55 Entry'!J684,"AAAAAGfX3uc=")</f>
        <v>#VALUE!</v>
      </c>
      <c r="HY182" t="e">
        <f>AND('GA55 Entry'!#REF!,"AAAAAGfX3ug=")</f>
        <v>#REF!</v>
      </c>
      <c r="HZ182" t="e">
        <f>AND('GA55 Entry'!K684,"AAAAAGfX3uk=")</f>
        <v>#VALUE!</v>
      </c>
      <c r="IA182" t="e">
        <f>AND('GA55 Entry'!L684,"AAAAAGfX3uo=")</f>
        <v>#VALUE!</v>
      </c>
      <c r="IB182" t="e">
        <f>AND('GA55 Entry'!M684,"AAAAAGfX3us=")</f>
        <v>#VALUE!</v>
      </c>
      <c r="IC182" t="e">
        <f>AND('GA55 Entry'!N684,"AAAAAGfX3uw=")</f>
        <v>#VALUE!</v>
      </c>
      <c r="ID182" t="e">
        <f>AND('GA55 Entry'!O684,"AAAAAGfX3u0=")</f>
        <v>#VALUE!</v>
      </c>
      <c r="IE182" t="e">
        <f>AND('GA55 Entry'!P684,"AAAAAGfX3u4=")</f>
        <v>#VALUE!</v>
      </c>
      <c r="IF182" t="e">
        <f>AND('GA55 Entry'!Q684,"AAAAAGfX3u8=")</f>
        <v>#VALUE!</v>
      </c>
      <c r="IG182" t="e">
        <f>AND('GA55 Entry'!S684,"AAAAAGfX3vA=")</f>
        <v>#VALUE!</v>
      </c>
      <c r="IH182" t="e">
        <f>AND('GA55 Entry'!#REF!,"AAAAAGfX3vE=")</f>
        <v>#REF!</v>
      </c>
      <c r="II182" t="e">
        <f>AND('GA55 Entry'!T684,"AAAAAGfX3vI=")</f>
        <v>#VALUE!</v>
      </c>
      <c r="IJ182" t="e">
        <f>AND('GA55 Entry'!U684,"AAAAAGfX3vM=")</f>
        <v>#VALUE!</v>
      </c>
      <c r="IK182" t="e">
        <f>AND('GA55 Entry'!V684,"AAAAAGfX3vQ=")</f>
        <v>#VALUE!</v>
      </c>
      <c r="IL182" t="e">
        <f>AND('GA55 Entry'!#REF!,"AAAAAGfX3vU=")</f>
        <v>#REF!</v>
      </c>
      <c r="IM182" t="e">
        <f>AND('GA55 Entry'!#REF!,"AAAAAGfX3vY=")</f>
        <v>#REF!</v>
      </c>
      <c r="IN182" t="e">
        <f>AND('GA55 Entry'!X684,"AAAAAGfX3vc=")</f>
        <v>#VALUE!</v>
      </c>
      <c r="IO182" t="e">
        <f>AND('GA55 Entry'!Y684,"AAAAAGfX3vg=")</f>
        <v>#VALUE!</v>
      </c>
      <c r="IP182" t="e">
        <f>AND('GA55 Entry'!#REF!,"AAAAAGfX3vk=")</f>
        <v>#REF!</v>
      </c>
      <c r="IQ182" t="e">
        <f>AND('GA55 Entry'!#REF!,"AAAAAGfX3vo=")</f>
        <v>#REF!</v>
      </c>
      <c r="IR182" t="e">
        <f>AND('GA55 Entry'!#REF!,"AAAAAGfX3vs=")</f>
        <v>#REF!</v>
      </c>
      <c r="IS182" t="e">
        <f>AND('GA55 Entry'!#REF!,"AAAAAGfX3vw=")</f>
        <v>#REF!</v>
      </c>
      <c r="IT182" t="e">
        <f>AND('GA55 Entry'!#REF!,"AAAAAGfX3v0=")</f>
        <v>#REF!</v>
      </c>
      <c r="IU182" t="e">
        <f>AND('GA55 Entry'!#REF!,"AAAAAGfX3v4=")</f>
        <v>#REF!</v>
      </c>
      <c r="IV182" t="e">
        <f>AND('GA55 Entry'!#REF!,"AAAAAGfX3v8=")</f>
        <v>#REF!</v>
      </c>
    </row>
    <row r="183" spans="1:256">
      <c r="A183" t="e">
        <f>AND('GA55 Entry'!#REF!,"AAAAAE9vzgA=")</f>
        <v>#REF!</v>
      </c>
      <c r="B183" t="e">
        <f>AND('GA55 Entry'!#REF!,"AAAAAE9vzgE=")</f>
        <v>#REF!</v>
      </c>
      <c r="C183" t="e">
        <f>AND('GA55 Entry'!Z684,"AAAAAE9vzgI=")</f>
        <v>#VALUE!</v>
      </c>
      <c r="D183" t="e">
        <f>AND('GA55 Entry'!AA684,"AAAAAE9vzgM=")</f>
        <v>#VALUE!</v>
      </c>
      <c r="E183" t="e">
        <f>AND('GA55 Entry'!#REF!,"AAAAAE9vzgQ=")</f>
        <v>#REF!</v>
      </c>
      <c r="F183" t="e">
        <f>AND('GA55 Entry'!#REF!,"AAAAAE9vzgU=")</f>
        <v>#REF!</v>
      </c>
      <c r="G183" t="e">
        <f>AND('GA55 Entry'!#REF!,"AAAAAE9vzgY=")</f>
        <v>#REF!</v>
      </c>
      <c r="H183" t="e">
        <f>AND('GA55 Entry'!AB684,"AAAAAE9vzgc=")</f>
        <v>#VALUE!</v>
      </c>
      <c r="I183" t="e">
        <f>AND('GA55 Entry'!AC684,"AAAAAE9vzgg=")</f>
        <v>#VALUE!</v>
      </c>
      <c r="J183" t="e">
        <f>AND('GA55 Entry'!#REF!,"AAAAAE9vzgk=")</f>
        <v>#REF!</v>
      </c>
      <c r="K183">
        <f>IF('GA55 Entry'!685:685,"AAAAAE9vzgo=",0)</f>
        <v>0</v>
      </c>
      <c r="L183" t="e">
        <f>AND('GA55 Entry'!B685,"AAAAAE9vzgs=")</f>
        <v>#VALUE!</v>
      </c>
      <c r="M183" t="e">
        <f>AND('GA55 Entry'!#REF!,"AAAAAE9vzgw=")</f>
        <v>#REF!</v>
      </c>
      <c r="N183" t="e">
        <f>AND('GA55 Entry'!C685,"AAAAAE9vzg0=")</f>
        <v>#VALUE!</v>
      </c>
      <c r="O183" t="e">
        <f>AND('GA55 Entry'!#REF!,"AAAAAE9vzg4=")</f>
        <v>#REF!</v>
      </c>
      <c r="P183" t="e">
        <f>AND('GA55 Entry'!#REF!,"AAAAAE9vzg8=")</f>
        <v>#REF!</v>
      </c>
      <c r="Q183" t="e">
        <f>AND('GA55 Entry'!#REF!,"AAAAAE9vzhA=")</f>
        <v>#REF!</v>
      </c>
      <c r="R183" t="e">
        <f>AND('GA55 Entry'!#REF!,"AAAAAE9vzhE=")</f>
        <v>#REF!</v>
      </c>
      <c r="S183" t="e">
        <f>AND('GA55 Entry'!#REF!,"AAAAAE9vzhI=")</f>
        <v>#REF!</v>
      </c>
      <c r="T183" t="e">
        <f>AND('GA55 Entry'!D685,"AAAAAE9vzhM=")</f>
        <v>#VALUE!</v>
      </c>
      <c r="U183" t="e">
        <f>AND('GA55 Entry'!#REF!,"AAAAAE9vzhQ=")</f>
        <v>#REF!</v>
      </c>
      <c r="V183" t="e">
        <f>AND('GA55 Entry'!E685,"AAAAAE9vzhU=")</f>
        <v>#VALUE!</v>
      </c>
      <c r="W183" t="e">
        <f>AND('GA55 Entry'!F685,"AAAAAE9vzhY=")</f>
        <v>#VALUE!</v>
      </c>
      <c r="X183" t="e">
        <f>AND('GA55 Entry'!G685,"AAAAAE9vzhc=")</f>
        <v>#VALUE!</v>
      </c>
      <c r="Y183" t="e">
        <f>AND('GA55 Entry'!H685,"AAAAAE9vzhg=")</f>
        <v>#VALUE!</v>
      </c>
      <c r="Z183" t="e">
        <f>AND('GA55 Entry'!I685,"AAAAAE9vzhk=")</f>
        <v>#VALUE!</v>
      </c>
      <c r="AA183" t="e">
        <f>AND('GA55 Entry'!J685,"AAAAAE9vzho=")</f>
        <v>#VALUE!</v>
      </c>
      <c r="AB183" t="e">
        <f>AND('GA55 Entry'!#REF!,"AAAAAE9vzhs=")</f>
        <v>#REF!</v>
      </c>
      <c r="AC183" t="e">
        <f>AND('GA55 Entry'!K685,"AAAAAE9vzhw=")</f>
        <v>#VALUE!</v>
      </c>
      <c r="AD183" t="e">
        <f>AND('GA55 Entry'!L685,"AAAAAE9vzh0=")</f>
        <v>#VALUE!</v>
      </c>
      <c r="AE183" t="e">
        <f>AND('GA55 Entry'!M685,"AAAAAE9vzh4=")</f>
        <v>#VALUE!</v>
      </c>
      <c r="AF183" t="e">
        <f>AND('GA55 Entry'!N685,"AAAAAE9vzh8=")</f>
        <v>#VALUE!</v>
      </c>
      <c r="AG183" t="e">
        <f>AND('GA55 Entry'!O685,"AAAAAE9vziA=")</f>
        <v>#VALUE!</v>
      </c>
      <c r="AH183" t="e">
        <f>AND('GA55 Entry'!P685,"AAAAAE9vziE=")</f>
        <v>#VALUE!</v>
      </c>
      <c r="AI183" t="e">
        <f>AND('GA55 Entry'!Q685,"AAAAAE9vziI=")</f>
        <v>#VALUE!</v>
      </c>
      <c r="AJ183" t="e">
        <f>AND('GA55 Entry'!S685,"AAAAAE9vziM=")</f>
        <v>#VALUE!</v>
      </c>
      <c r="AK183" t="e">
        <f>AND('GA55 Entry'!#REF!,"AAAAAE9vziQ=")</f>
        <v>#REF!</v>
      </c>
      <c r="AL183" t="e">
        <f>AND('GA55 Entry'!T685,"AAAAAE9vziU=")</f>
        <v>#VALUE!</v>
      </c>
      <c r="AM183" t="e">
        <f>AND('GA55 Entry'!U685,"AAAAAE9vziY=")</f>
        <v>#VALUE!</v>
      </c>
      <c r="AN183" t="e">
        <f>AND('GA55 Entry'!V685,"AAAAAE9vzic=")</f>
        <v>#VALUE!</v>
      </c>
      <c r="AO183" t="e">
        <f>AND('GA55 Entry'!#REF!,"AAAAAE9vzig=")</f>
        <v>#REF!</v>
      </c>
      <c r="AP183" t="e">
        <f>AND('GA55 Entry'!#REF!,"AAAAAE9vzik=")</f>
        <v>#REF!</v>
      </c>
      <c r="AQ183" t="e">
        <f>AND('GA55 Entry'!X685,"AAAAAE9vzio=")</f>
        <v>#VALUE!</v>
      </c>
      <c r="AR183" t="e">
        <f>AND('GA55 Entry'!Y685,"AAAAAE9vzis=")</f>
        <v>#VALUE!</v>
      </c>
      <c r="AS183" t="e">
        <f>AND('GA55 Entry'!#REF!,"AAAAAE9vziw=")</f>
        <v>#REF!</v>
      </c>
      <c r="AT183" t="e">
        <f>AND('GA55 Entry'!#REF!,"AAAAAE9vzi0=")</f>
        <v>#REF!</v>
      </c>
      <c r="AU183" t="e">
        <f>AND('GA55 Entry'!#REF!,"AAAAAE9vzi4=")</f>
        <v>#REF!</v>
      </c>
      <c r="AV183" t="e">
        <f>AND('GA55 Entry'!#REF!,"AAAAAE9vzi8=")</f>
        <v>#REF!</v>
      </c>
      <c r="AW183" t="e">
        <f>AND('GA55 Entry'!#REF!,"AAAAAE9vzjA=")</f>
        <v>#REF!</v>
      </c>
      <c r="AX183" t="e">
        <f>AND('GA55 Entry'!#REF!,"AAAAAE9vzjE=")</f>
        <v>#REF!</v>
      </c>
      <c r="AY183" t="e">
        <f>AND('GA55 Entry'!#REF!,"AAAAAE9vzjI=")</f>
        <v>#REF!</v>
      </c>
      <c r="AZ183" t="e">
        <f>AND('GA55 Entry'!#REF!,"AAAAAE9vzjM=")</f>
        <v>#REF!</v>
      </c>
      <c r="BA183" t="e">
        <f>AND('GA55 Entry'!#REF!,"AAAAAE9vzjQ=")</f>
        <v>#REF!</v>
      </c>
      <c r="BB183" t="e">
        <f>AND('GA55 Entry'!Z685,"AAAAAE9vzjU=")</f>
        <v>#VALUE!</v>
      </c>
      <c r="BC183" t="e">
        <f>AND('GA55 Entry'!AA685,"AAAAAE9vzjY=")</f>
        <v>#VALUE!</v>
      </c>
      <c r="BD183" t="e">
        <f>AND('GA55 Entry'!#REF!,"AAAAAE9vzjc=")</f>
        <v>#REF!</v>
      </c>
      <c r="BE183" t="e">
        <f>AND('GA55 Entry'!#REF!,"AAAAAE9vzjg=")</f>
        <v>#REF!</v>
      </c>
      <c r="BF183" t="e">
        <f>AND('GA55 Entry'!#REF!,"AAAAAE9vzjk=")</f>
        <v>#REF!</v>
      </c>
      <c r="BG183" t="e">
        <f>AND('GA55 Entry'!AB685,"AAAAAE9vzjo=")</f>
        <v>#VALUE!</v>
      </c>
      <c r="BH183" t="e">
        <f>AND('GA55 Entry'!AC685,"AAAAAE9vzjs=")</f>
        <v>#VALUE!</v>
      </c>
      <c r="BI183" t="e">
        <f>AND('GA55 Entry'!#REF!,"AAAAAE9vzjw=")</f>
        <v>#REF!</v>
      </c>
      <c r="BJ183">
        <f>IF('GA55 Entry'!686:686,"AAAAAE9vzj0=",0)</f>
        <v>0</v>
      </c>
      <c r="BK183" t="e">
        <f>AND('GA55 Entry'!B686,"AAAAAE9vzj4=")</f>
        <v>#VALUE!</v>
      </c>
      <c r="BL183" t="e">
        <f>AND('GA55 Entry'!#REF!,"AAAAAE9vzj8=")</f>
        <v>#REF!</v>
      </c>
      <c r="BM183" t="e">
        <f>AND('GA55 Entry'!C686,"AAAAAE9vzkA=")</f>
        <v>#VALUE!</v>
      </c>
      <c r="BN183" t="e">
        <f>AND('GA55 Entry'!#REF!,"AAAAAE9vzkE=")</f>
        <v>#REF!</v>
      </c>
      <c r="BO183" t="e">
        <f>AND('GA55 Entry'!#REF!,"AAAAAE9vzkI=")</f>
        <v>#REF!</v>
      </c>
      <c r="BP183" t="e">
        <f>AND('GA55 Entry'!#REF!,"AAAAAE9vzkM=")</f>
        <v>#REF!</v>
      </c>
      <c r="BQ183" t="e">
        <f>AND('GA55 Entry'!#REF!,"AAAAAE9vzkQ=")</f>
        <v>#REF!</v>
      </c>
      <c r="BR183" t="e">
        <f>AND('GA55 Entry'!#REF!,"AAAAAE9vzkU=")</f>
        <v>#REF!</v>
      </c>
      <c r="BS183" t="e">
        <f>AND('GA55 Entry'!D686,"AAAAAE9vzkY=")</f>
        <v>#VALUE!</v>
      </c>
      <c r="BT183" t="e">
        <f>AND('GA55 Entry'!#REF!,"AAAAAE9vzkc=")</f>
        <v>#REF!</v>
      </c>
      <c r="BU183" t="e">
        <f>AND('GA55 Entry'!E686,"AAAAAE9vzkg=")</f>
        <v>#VALUE!</v>
      </c>
      <c r="BV183" t="e">
        <f>AND('GA55 Entry'!F686,"AAAAAE9vzkk=")</f>
        <v>#VALUE!</v>
      </c>
      <c r="BW183" t="e">
        <f>AND('GA55 Entry'!G686,"AAAAAE9vzko=")</f>
        <v>#VALUE!</v>
      </c>
      <c r="BX183" t="e">
        <f>AND('GA55 Entry'!H686,"AAAAAE9vzks=")</f>
        <v>#VALUE!</v>
      </c>
      <c r="BY183" t="e">
        <f>AND('GA55 Entry'!I686,"AAAAAE9vzkw=")</f>
        <v>#VALUE!</v>
      </c>
      <c r="BZ183" t="e">
        <f>AND('GA55 Entry'!J686,"AAAAAE9vzk0=")</f>
        <v>#VALUE!</v>
      </c>
      <c r="CA183" t="e">
        <f>AND('GA55 Entry'!#REF!,"AAAAAE9vzk4=")</f>
        <v>#REF!</v>
      </c>
      <c r="CB183" t="e">
        <f>AND('GA55 Entry'!K686,"AAAAAE9vzk8=")</f>
        <v>#VALUE!</v>
      </c>
      <c r="CC183" t="e">
        <f>AND('GA55 Entry'!L686,"AAAAAE9vzlA=")</f>
        <v>#VALUE!</v>
      </c>
      <c r="CD183" t="e">
        <f>AND('GA55 Entry'!M686,"AAAAAE9vzlE=")</f>
        <v>#VALUE!</v>
      </c>
      <c r="CE183" t="e">
        <f>AND('GA55 Entry'!N686,"AAAAAE9vzlI=")</f>
        <v>#VALUE!</v>
      </c>
      <c r="CF183" t="e">
        <f>AND('GA55 Entry'!O686,"AAAAAE9vzlM=")</f>
        <v>#VALUE!</v>
      </c>
      <c r="CG183" t="e">
        <f>AND('GA55 Entry'!P686,"AAAAAE9vzlQ=")</f>
        <v>#VALUE!</v>
      </c>
      <c r="CH183" t="e">
        <f>AND('GA55 Entry'!Q686,"AAAAAE9vzlU=")</f>
        <v>#VALUE!</v>
      </c>
      <c r="CI183" t="e">
        <f>AND('GA55 Entry'!S686,"AAAAAE9vzlY=")</f>
        <v>#VALUE!</v>
      </c>
      <c r="CJ183" t="e">
        <f>AND('GA55 Entry'!#REF!,"AAAAAE9vzlc=")</f>
        <v>#REF!</v>
      </c>
      <c r="CK183" t="e">
        <f>AND('GA55 Entry'!T686,"AAAAAE9vzlg=")</f>
        <v>#VALUE!</v>
      </c>
      <c r="CL183" t="e">
        <f>AND('GA55 Entry'!U686,"AAAAAE9vzlk=")</f>
        <v>#VALUE!</v>
      </c>
      <c r="CM183" t="e">
        <f>AND('GA55 Entry'!V686,"AAAAAE9vzlo=")</f>
        <v>#VALUE!</v>
      </c>
      <c r="CN183" t="e">
        <f>AND('GA55 Entry'!#REF!,"AAAAAE9vzls=")</f>
        <v>#REF!</v>
      </c>
      <c r="CO183" t="e">
        <f>AND('GA55 Entry'!#REF!,"AAAAAE9vzlw=")</f>
        <v>#REF!</v>
      </c>
      <c r="CP183" t="e">
        <f>AND('GA55 Entry'!X686,"AAAAAE9vzl0=")</f>
        <v>#VALUE!</v>
      </c>
      <c r="CQ183" t="e">
        <f>AND('GA55 Entry'!Y686,"AAAAAE9vzl4=")</f>
        <v>#VALUE!</v>
      </c>
      <c r="CR183" t="e">
        <f>AND('GA55 Entry'!#REF!,"AAAAAE9vzl8=")</f>
        <v>#REF!</v>
      </c>
      <c r="CS183" t="e">
        <f>AND('GA55 Entry'!#REF!,"AAAAAE9vzmA=")</f>
        <v>#REF!</v>
      </c>
      <c r="CT183" t="e">
        <f>AND('GA55 Entry'!#REF!,"AAAAAE9vzmE=")</f>
        <v>#REF!</v>
      </c>
      <c r="CU183" t="e">
        <f>AND('GA55 Entry'!#REF!,"AAAAAE9vzmI=")</f>
        <v>#REF!</v>
      </c>
      <c r="CV183" t="e">
        <f>AND('GA55 Entry'!#REF!,"AAAAAE9vzmM=")</f>
        <v>#REF!</v>
      </c>
      <c r="CW183" t="e">
        <f>AND('GA55 Entry'!#REF!,"AAAAAE9vzmQ=")</f>
        <v>#REF!</v>
      </c>
      <c r="CX183" t="e">
        <f>AND('GA55 Entry'!#REF!,"AAAAAE9vzmU=")</f>
        <v>#REF!</v>
      </c>
      <c r="CY183" t="e">
        <f>AND('GA55 Entry'!#REF!,"AAAAAE9vzmY=")</f>
        <v>#REF!</v>
      </c>
      <c r="CZ183" t="e">
        <f>AND('GA55 Entry'!#REF!,"AAAAAE9vzmc=")</f>
        <v>#REF!</v>
      </c>
      <c r="DA183" t="e">
        <f>AND('GA55 Entry'!Z686,"AAAAAE9vzmg=")</f>
        <v>#VALUE!</v>
      </c>
      <c r="DB183" t="e">
        <f>AND('GA55 Entry'!AA686,"AAAAAE9vzmk=")</f>
        <v>#VALUE!</v>
      </c>
      <c r="DC183" t="e">
        <f>AND('GA55 Entry'!#REF!,"AAAAAE9vzmo=")</f>
        <v>#REF!</v>
      </c>
      <c r="DD183" t="e">
        <f>AND('GA55 Entry'!#REF!,"AAAAAE9vzms=")</f>
        <v>#REF!</v>
      </c>
      <c r="DE183" t="e">
        <f>AND('GA55 Entry'!#REF!,"AAAAAE9vzmw=")</f>
        <v>#REF!</v>
      </c>
      <c r="DF183" t="e">
        <f>AND('GA55 Entry'!AB686,"AAAAAE9vzm0=")</f>
        <v>#VALUE!</v>
      </c>
      <c r="DG183" t="e">
        <f>AND('GA55 Entry'!AC686,"AAAAAE9vzm4=")</f>
        <v>#VALUE!</v>
      </c>
      <c r="DH183" t="e">
        <f>AND('GA55 Entry'!#REF!,"AAAAAE9vzm8=")</f>
        <v>#REF!</v>
      </c>
      <c r="DI183">
        <f>IF('GA55 Entry'!687:687,"AAAAAE9vznA=",0)</f>
        <v>0</v>
      </c>
      <c r="DJ183" t="e">
        <f>AND('GA55 Entry'!B687,"AAAAAE9vznE=")</f>
        <v>#VALUE!</v>
      </c>
      <c r="DK183" t="e">
        <f>AND('GA55 Entry'!#REF!,"AAAAAE9vznI=")</f>
        <v>#REF!</v>
      </c>
      <c r="DL183" t="e">
        <f>AND('GA55 Entry'!C687,"AAAAAE9vznM=")</f>
        <v>#VALUE!</v>
      </c>
      <c r="DM183" t="e">
        <f>AND('GA55 Entry'!#REF!,"AAAAAE9vznQ=")</f>
        <v>#REF!</v>
      </c>
      <c r="DN183" t="e">
        <f>AND('GA55 Entry'!#REF!,"AAAAAE9vznU=")</f>
        <v>#REF!</v>
      </c>
      <c r="DO183" t="e">
        <f>AND('GA55 Entry'!#REF!,"AAAAAE9vznY=")</f>
        <v>#REF!</v>
      </c>
      <c r="DP183" t="e">
        <f>AND('GA55 Entry'!#REF!,"AAAAAE9vznc=")</f>
        <v>#REF!</v>
      </c>
      <c r="DQ183" t="e">
        <f>AND('GA55 Entry'!#REF!,"AAAAAE9vzng=")</f>
        <v>#REF!</v>
      </c>
      <c r="DR183" t="e">
        <f>AND('GA55 Entry'!D687,"AAAAAE9vznk=")</f>
        <v>#VALUE!</v>
      </c>
      <c r="DS183" t="e">
        <f>AND('GA55 Entry'!#REF!,"AAAAAE9vzno=")</f>
        <v>#REF!</v>
      </c>
      <c r="DT183" t="e">
        <f>AND('GA55 Entry'!E687,"AAAAAE9vzns=")</f>
        <v>#VALUE!</v>
      </c>
      <c r="DU183" t="e">
        <f>AND('GA55 Entry'!F687,"AAAAAE9vznw=")</f>
        <v>#VALUE!</v>
      </c>
      <c r="DV183" t="e">
        <f>AND('GA55 Entry'!G687,"AAAAAE9vzn0=")</f>
        <v>#VALUE!</v>
      </c>
      <c r="DW183" t="e">
        <f>AND('GA55 Entry'!H687,"AAAAAE9vzn4=")</f>
        <v>#VALUE!</v>
      </c>
      <c r="DX183" t="e">
        <f>AND('GA55 Entry'!I687,"AAAAAE9vzn8=")</f>
        <v>#VALUE!</v>
      </c>
      <c r="DY183" t="e">
        <f>AND('GA55 Entry'!J687,"AAAAAE9vzoA=")</f>
        <v>#VALUE!</v>
      </c>
      <c r="DZ183" t="e">
        <f>AND('GA55 Entry'!#REF!,"AAAAAE9vzoE=")</f>
        <v>#REF!</v>
      </c>
      <c r="EA183" t="e">
        <f>AND('GA55 Entry'!K687,"AAAAAE9vzoI=")</f>
        <v>#VALUE!</v>
      </c>
      <c r="EB183" t="e">
        <f>AND('GA55 Entry'!L687,"AAAAAE9vzoM=")</f>
        <v>#VALUE!</v>
      </c>
      <c r="EC183" t="e">
        <f>AND('GA55 Entry'!M687,"AAAAAE9vzoQ=")</f>
        <v>#VALUE!</v>
      </c>
      <c r="ED183" t="e">
        <f>AND('GA55 Entry'!N687,"AAAAAE9vzoU=")</f>
        <v>#VALUE!</v>
      </c>
      <c r="EE183" t="e">
        <f>AND('GA55 Entry'!O687,"AAAAAE9vzoY=")</f>
        <v>#VALUE!</v>
      </c>
      <c r="EF183" t="e">
        <f>AND('GA55 Entry'!P687,"AAAAAE9vzoc=")</f>
        <v>#VALUE!</v>
      </c>
      <c r="EG183" t="e">
        <f>AND('GA55 Entry'!Q687,"AAAAAE9vzog=")</f>
        <v>#VALUE!</v>
      </c>
      <c r="EH183" t="e">
        <f>AND('GA55 Entry'!S687,"AAAAAE9vzok=")</f>
        <v>#VALUE!</v>
      </c>
      <c r="EI183" t="e">
        <f>AND('GA55 Entry'!#REF!,"AAAAAE9vzoo=")</f>
        <v>#REF!</v>
      </c>
      <c r="EJ183" t="e">
        <f>AND('GA55 Entry'!T687,"AAAAAE9vzos=")</f>
        <v>#VALUE!</v>
      </c>
      <c r="EK183" t="e">
        <f>AND('GA55 Entry'!U687,"AAAAAE9vzow=")</f>
        <v>#VALUE!</v>
      </c>
      <c r="EL183" t="e">
        <f>AND('GA55 Entry'!V687,"AAAAAE9vzo0=")</f>
        <v>#VALUE!</v>
      </c>
      <c r="EM183" t="e">
        <f>AND('GA55 Entry'!#REF!,"AAAAAE9vzo4=")</f>
        <v>#REF!</v>
      </c>
      <c r="EN183" t="e">
        <f>AND('GA55 Entry'!#REF!,"AAAAAE9vzo8=")</f>
        <v>#REF!</v>
      </c>
      <c r="EO183" t="e">
        <f>AND('GA55 Entry'!X687,"AAAAAE9vzpA=")</f>
        <v>#VALUE!</v>
      </c>
      <c r="EP183" t="e">
        <f>AND('GA55 Entry'!Y687,"AAAAAE9vzpE=")</f>
        <v>#VALUE!</v>
      </c>
      <c r="EQ183" t="e">
        <f>AND('GA55 Entry'!#REF!,"AAAAAE9vzpI=")</f>
        <v>#REF!</v>
      </c>
      <c r="ER183" t="e">
        <f>AND('GA55 Entry'!#REF!,"AAAAAE9vzpM=")</f>
        <v>#REF!</v>
      </c>
      <c r="ES183" t="e">
        <f>AND('GA55 Entry'!#REF!,"AAAAAE9vzpQ=")</f>
        <v>#REF!</v>
      </c>
      <c r="ET183" t="e">
        <f>AND('GA55 Entry'!#REF!,"AAAAAE9vzpU=")</f>
        <v>#REF!</v>
      </c>
      <c r="EU183" t="e">
        <f>AND('GA55 Entry'!#REF!,"AAAAAE9vzpY=")</f>
        <v>#REF!</v>
      </c>
      <c r="EV183" t="e">
        <f>AND('GA55 Entry'!#REF!,"AAAAAE9vzpc=")</f>
        <v>#REF!</v>
      </c>
      <c r="EW183" t="e">
        <f>AND('GA55 Entry'!#REF!,"AAAAAE9vzpg=")</f>
        <v>#REF!</v>
      </c>
      <c r="EX183" t="e">
        <f>AND('GA55 Entry'!#REF!,"AAAAAE9vzpk=")</f>
        <v>#REF!</v>
      </c>
      <c r="EY183" t="e">
        <f>AND('GA55 Entry'!#REF!,"AAAAAE9vzpo=")</f>
        <v>#REF!</v>
      </c>
      <c r="EZ183" t="e">
        <f>AND('GA55 Entry'!Z687,"AAAAAE9vzps=")</f>
        <v>#VALUE!</v>
      </c>
      <c r="FA183" t="e">
        <f>AND('GA55 Entry'!AA687,"AAAAAE9vzpw=")</f>
        <v>#VALUE!</v>
      </c>
      <c r="FB183" t="e">
        <f>AND('GA55 Entry'!#REF!,"AAAAAE9vzp0=")</f>
        <v>#REF!</v>
      </c>
      <c r="FC183" t="e">
        <f>AND('GA55 Entry'!#REF!,"AAAAAE9vzp4=")</f>
        <v>#REF!</v>
      </c>
      <c r="FD183" t="e">
        <f>AND('GA55 Entry'!#REF!,"AAAAAE9vzp8=")</f>
        <v>#REF!</v>
      </c>
      <c r="FE183" t="e">
        <f>AND('GA55 Entry'!AB687,"AAAAAE9vzqA=")</f>
        <v>#VALUE!</v>
      </c>
      <c r="FF183" t="e">
        <f>AND('GA55 Entry'!AC687,"AAAAAE9vzqE=")</f>
        <v>#VALUE!</v>
      </c>
      <c r="FG183" t="e">
        <f>AND('GA55 Entry'!#REF!,"AAAAAE9vzqI=")</f>
        <v>#REF!</v>
      </c>
      <c r="FH183">
        <f>IF('GA55 Entry'!688:688,"AAAAAE9vzqM=",0)</f>
        <v>0</v>
      </c>
      <c r="FI183" t="e">
        <f>AND('GA55 Entry'!B688,"AAAAAE9vzqQ=")</f>
        <v>#VALUE!</v>
      </c>
      <c r="FJ183" t="e">
        <f>AND('GA55 Entry'!#REF!,"AAAAAE9vzqU=")</f>
        <v>#REF!</v>
      </c>
      <c r="FK183" t="e">
        <f>AND('GA55 Entry'!C688,"AAAAAE9vzqY=")</f>
        <v>#VALUE!</v>
      </c>
      <c r="FL183" t="e">
        <f>AND('GA55 Entry'!#REF!,"AAAAAE9vzqc=")</f>
        <v>#REF!</v>
      </c>
      <c r="FM183" t="e">
        <f>AND('GA55 Entry'!#REF!,"AAAAAE9vzqg=")</f>
        <v>#REF!</v>
      </c>
      <c r="FN183" t="e">
        <f>AND('GA55 Entry'!#REF!,"AAAAAE9vzqk=")</f>
        <v>#REF!</v>
      </c>
      <c r="FO183" t="e">
        <f>AND('GA55 Entry'!#REF!,"AAAAAE9vzqo=")</f>
        <v>#REF!</v>
      </c>
      <c r="FP183" t="e">
        <f>AND('GA55 Entry'!#REF!,"AAAAAE9vzqs=")</f>
        <v>#REF!</v>
      </c>
      <c r="FQ183" t="e">
        <f>AND('GA55 Entry'!D688,"AAAAAE9vzqw=")</f>
        <v>#VALUE!</v>
      </c>
      <c r="FR183" t="e">
        <f>AND('GA55 Entry'!#REF!,"AAAAAE9vzq0=")</f>
        <v>#REF!</v>
      </c>
      <c r="FS183" t="e">
        <f>AND('GA55 Entry'!E688,"AAAAAE9vzq4=")</f>
        <v>#VALUE!</v>
      </c>
      <c r="FT183" t="e">
        <f>AND('GA55 Entry'!F688,"AAAAAE9vzq8=")</f>
        <v>#VALUE!</v>
      </c>
      <c r="FU183" t="e">
        <f>AND('GA55 Entry'!G688,"AAAAAE9vzrA=")</f>
        <v>#VALUE!</v>
      </c>
      <c r="FV183" t="e">
        <f>AND('GA55 Entry'!H688,"AAAAAE9vzrE=")</f>
        <v>#VALUE!</v>
      </c>
      <c r="FW183" t="e">
        <f>AND('GA55 Entry'!I688,"AAAAAE9vzrI=")</f>
        <v>#VALUE!</v>
      </c>
      <c r="FX183" t="e">
        <f>AND('GA55 Entry'!J688,"AAAAAE9vzrM=")</f>
        <v>#VALUE!</v>
      </c>
      <c r="FY183" t="e">
        <f>AND('GA55 Entry'!#REF!,"AAAAAE9vzrQ=")</f>
        <v>#REF!</v>
      </c>
      <c r="FZ183" t="e">
        <f>AND('GA55 Entry'!K688,"AAAAAE9vzrU=")</f>
        <v>#VALUE!</v>
      </c>
      <c r="GA183" t="e">
        <f>AND('GA55 Entry'!L688,"AAAAAE9vzrY=")</f>
        <v>#VALUE!</v>
      </c>
      <c r="GB183" t="e">
        <f>AND('GA55 Entry'!M688,"AAAAAE9vzrc=")</f>
        <v>#VALUE!</v>
      </c>
      <c r="GC183" t="e">
        <f>AND('GA55 Entry'!N688,"AAAAAE9vzrg=")</f>
        <v>#VALUE!</v>
      </c>
      <c r="GD183" t="e">
        <f>AND('GA55 Entry'!O688,"AAAAAE9vzrk=")</f>
        <v>#VALUE!</v>
      </c>
      <c r="GE183" t="e">
        <f>AND('GA55 Entry'!P688,"AAAAAE9vzro=")</f>
        <v>#VALUE!</v>
      </c>
      <c r="GF183" t="e">
        <f>AND('GA55 Entry'!Q688,"AAAAAE9vzrs=")</f>
        <v>#VALUE!</v>
      </c>
      <c r="GG183" t="e">
        <f>AND('GA55 Entry'!S688,"AAAAAE9vzrw=")</f>
        <v>#VALUE!</v>
      </c>
      <c r="GH183" t="e">
        <f>AND('GA55 Entry'!#REF!,"AAAAAE9vzr0=")</f>
        <v>#REF!</v>
      </c>
      <c r="GI183" t="e">
        <f>AND('GA55 Entry'!T688,"AAAAAE9vzr4=")</f>
        <v>#VALUE!</v>
      </c>
      <c r="GJ183" t="e">
        <f>AND('GA55 Entry'!U688,"AAAAAE9vzr8=")</f>
        <v>#VALUE!</v>
      </c>
      <c r="GK183" t="e">
        <f>AND('GA55 Entry'!V688,"AAAAAE9vzsA=")</f>
        <v>#VALUE!</v>
      </c>
      <c r="GL183" t="e">
        <f>AND('GA55 Entry'!#REF!,"AAAAAE9vzsE=")</f>
        <v>#REF!</v>
      </c>
      <c r="GM183" t="e">
        <f>AND('GA55 Entry'!#REF!,"AAAAAE9vzsI=")</f>
        <v>#REF!</v>
      </c>
      <c r="GN183" t="e">
        <f>AND('GA55 Entry'!X688,"AAAAAE9vzsM=")</f>
        <v>#VALUE!</v>
      </c>
      <c r="GO183" t="e">
        <f>AND('GA55 Entry'!Y688,"AAAAAE9vzsQ=")</f>
        <v>#VALUE!</v>
      </c>
      <c r="GP183" t="e">
        <f>AND('GA55 Entry'!#REF!,"AAAAAE9vzsU=")</f>
        <v>#REF!</v>
      </c>
      <c r="GQ183" t="e">
        <f>AND('GA55 Entry'!#REF!,"AAAAAE9vzsY=")</f>
        <v>#REF!</v>
      </c>
      <c r="GR183" t="e">
        <f>AND('GA55 Entry'!#REF!,"AAAAAE9vzsc=")</f>
        <v>#REF!</v>
      </c>
      <c r="GS183" t="e">
        <f>AND('GA55 Entry'!#REF!,"AAAAAE9vzsg=")</f>
        <v>#REF!</v>
      </c>
      <c r="GT183" t="e">
        <f>AND('GA55 Entry'!#REF!,"AAAAAE9vzsk=")</f>
        <v>#REF!</v>
      </c>
      <c r="GU183" t="e">
        <f>AND('GA55 Entry'!#REF!,"AAAAAE9vzso=")</f>
        <v>#REF!</v>
      </c>
      <c r="GV183" t="e">
        <f>AND('GA55 Entry'!#REF!,"AAAAAE9vzss=")</f>
        <v>#REF!</v>
      </c>
      <c r="GW183" t="e">
        <f>AND('GA55 Entry'!#REF!,"AAAAAE9vzsw=")</f>
        <v>#REF!</v>
      </c>
      <c r="GX183" t="e">
        <f>AND('GA55 Entry'!#REF!,"AAAAAE9vzs0=")</f>
        <v>#REF!</v>
      </c>
      <c r="GY183" t="e">
        <f>AND('GA55 Entry'!Z688,"AAAAAE9vzs4=")</f>
        <v>#VALUE!</v>
      </c>
      <c r="GZ183" t="e">
        <f>AND('GA55 Entry'!AA688,"AAAAAE9vzs8=")</f>
        <v>#VALUE!</v>
      </c>
      <c r="HA183" t="e">
        <f>AND('GA55 Entry'!#REF!,"AAAAAE9vztA=")</f>
        <v>#REF!</v>
      </c>
      <c r="HB183" t="e">
        <f>AND('GA55 Entry'!#REF!,"AAAAAE9vztE=")</f>
        <v>#REF!</v>
      </c>
      <c r="HC183" t="e">
        <f>AND('GA55 Entry'!#REF!,"AAAAAE9vztI=")</f>
        <v>#REF!</v>
      </c>
      <c r="HD183" t="e">
        <f>AND('GA55 Entry'!AB688,"AAAAAE9vztM=")</f>
        <v>#VALUE!</v>
      </c>
      <c r="HE183" t="e">
        <f>AND('GA55 Entry'!AC688,"AAAAAE9vztQ=")</f>
        <v>#VALUE!</v>
      </c>
      <c r="HF183" t="e">
        <f>AND('GA55 Entry'!#REF!,"AAAAAE9vztU=")</f>
        <v>#REF!</v>
      </c>
      <c r="HG183">
        <f>IF('GA55 Entry'!689:689,"AAAAAE9vztY=",0)</f>
        <v>0</v>
      </c>
      <c r="HH183" t="e">
        <f>AND('GA55 Entry'!B689,"AAAAAE9vztc=")</f>
        <v>#VALUE!</v>
      </c>
      <c r="HI183" t="e">
        <f>AND('GA55 Entry'!#REF!,"AAAAAE9vztg=")</f>
        <v>#REF!</v>
      </c>
      <c r="HJ183" t="e">
        <f>AND('GA55 Entry'!C689,"AAAAAE9vztk=")</f>
        <v>#VALUE!</v>
      </c>
      <c r="HK183" t="e">
        <f>AND('GA55 Entry'!#REF!,"AAAAAE9vzto=")</f>
        <v>#REF!</v>
      </c>
      <c r="HL183" t="e">
        <f>AND('GA55 Entry'!#REF!,"AAAAAE9vzts=")</f>
        <v>#REF!</v>
      </c>
      <c r="HM183" t="e">
        <f>AND('GA55 Entry'!#REF!,"AAAAAE9vztw=")</f>
        <v>#REF!</v>
      </c>
      <c r="HN183" t="e">
        <f>AND('GA55 Entry'!#REF!,"AAAAAE9vzt0=")</f>
        <v>#REF!</v>
      </c>
      <c r="HO183" t="e">
        <f>AND('GA55 Entry'!#REF!,"AAAAAE9vzt4=")</f>
        <v>#REF!</v>
      </c>
      <c r="HP183" t="e">
        <f>AND('GA55 Entry'!D689,"AAAAAE9vzt8=")</f>
        <v>#VALUE!</v>
      </c>
      <c r="HQ183" t="e">
        <f>AND('GA55 Entry'!#REF!,"AAAAAE9vzuA=")</f>
        <v>#REF!</v>
      </c>
      <c r="HR183" t="e">
        <f>AND('GA55 Entry'!E689,"AAAAAE9vzuE=")</f>
        <v>#VALUE!</v>
      </c>
      <c r="HS183" t="e">
        <f>AND('GA55 Entry'!F689,"AAAAAE9vzuI=")</f>
        <v>#VALUE!</v>
      </c>
      <c r="HT183" t="e">
        <f>AND('GA55 Entry'!G689,"AAAAAE9vzuM=")</f>
        <v>#VALUE!</v>
      </c>
      <c r="HU183" t="e">
        <f>AND('GA55 Entry'!H689,"AAAAAE9vzuQ=")</f>
        <v>#VALUE!</v>
      </c>
      <c r="HV183" t="e">
        <f>AND('GA55 Entry'!I689,"AAAAAE9vzuU=")</f>
        <v>#VALUE!</v>
      </c>
      <c r="HW183" t="e">
        <f>AND('GA55 Entry'!J689,"AAAAAE9vzuY=")</f>
        <v>#VALUE!</v>
      </c>
      <c r="HX183" t="e">
        <f>AND('GA55 Entry'!#REF!,"AAAAAE9vzuc=")</f>
        <v>#REF!</v>
      </c>
      <c r="HY183" t="e">
        <f>AND('GA55 Entry'!K689,"AAAAAE9vzug=")</f>
        <v>#VALUE!</v>
      </c>
      <c r="HZ183" t="e">
        <f>AND('GA55 Entry'!L689,"AAAAAE9vzuk=")</f>
        <v>#VALUE!</v>
      </c>
      <c r="IA183" t="e">
        <f>AND('GA55 Entry'!M689,"AAAAAE9vzuo=")</f>
        <v>#VALUE!</v>
      </c>
      <c r="IB183" t="e">
        <f>AND('GA55 Entry'!N689,"AAAAAE9vzus=")</f>
        <v>#VALUE!</v>
      </c>
      <c r="IC183" t="e">
        <f>AND('GA55 Entry'!O689,"AAAAAE9vzuw=")</f>
        <v>#VALUE!</v>
      </c>
      <c r="ID183" t="e">
        <f>AND('GA55 Entry'!P689,"AAAAAE9vzu0=")</f>
        <v>#VALUE!</v>
      </c>
      <c r="IE183" t="e">
        <f>AND('GA55 Entry'!Q689,"AAAAAE9vzu4=")</f>
        <v>#VALUE!</v>
      </c>
      <c r="IF183" t="e">
        <f>AND('GA55 Entry'!S689,"AAAAAE9vzu8=")</f>
        <v>#VALUE!</v>
      </c>
      <c r="IG183" t="e">
        <f>AND('GA55 Entry'!#REF!,"AAAAAE9vzvA=")</f>
        <v>#REF!</v>
      </c>
      <c r="IH183" t="e">
        <f>AND('GA55 Entry'!T689,"AAAAAE9vzvE=")</f>
        <v>#VALUE!</v>
      </c>
      <c r="II183" t="e">
        <f>AND('GA55 Entry'!U689,"AAAAAE9vzvI=")</f>
        <v>#VALUE!</v>
      </c>
      <c r="IJ183" t="e">
        <f>AND('GA55 Entry'!V689,"AAAAAE9vzvM=")</f>
        <v>#VALUE!</v>
      </c>
      <c r="IK183" t="e">
        <f>AND('GA55 Entry'!#REF!,"AAAAAE9vzvQ=")</f>
        <v>#REF!</v>
      </c>
      <c r="IL183" t="e">
        <f>AND('GA55 Entry'!#REF!,"AAAAAE9vzvU=")</f>
        <v>#REF!</v>
      </c>
      <c r="IM183" t="e">
        <f>AND('GA55 Entry'!X689,"AAAAAE9vzvY=")</f>
        <v>#VALUE!</v>
      </c>
      <c r="IN183" t="e">
        <f>AND('GA55 Entry'!Y689,"AAAAAE9vzvc=")</f>
        <v>#VALUE!</v>
      </c>
      <c r="IO183" t="e">
        <f>AND('GA55 Entry'!#REF!,"AAAAAE9vzvg=")</f>
        <v>#REF!</v>
      </c>
      <c r="IP183" t="e">
        <f>AND('GA55 Entry'!#REF!,"AAAAAE9vzvk=")</f>
        <v>#REF!</v>
      </c>
      <c r="IQ183" t="e">
        <f>AND('GA55 Entry'!#REF!,"AAAAAE9vzvo=")</f>
        <v>#REF!</v>
      </c>
      <c r="IR183" t="e">
        <f>AND('GA55 Entry'!#REF!,"AAAAAE9vzvs=")</f>
        <v>#REF!</v>
      </c>
      <c r="IS183" t="e">
        <f>AND('GA55 Entry'!#REF!,"AAAAAE9vzvw=")</f>
        <v>#REF!</v>
      </c>
      <c r="IT183" t="e">
        <f>AND('GA55 Entry'!#REF!,"AAAAAE9vzv0=")</f>
        <v>#REF!</v>
      </c>
      <c r="IU183" t="e">
        <f>AND('GA55 Entry'!#REF!,"AAAAAE9vzv4=")</f>
        <v>#REF!</v>
      </c>
      <c r="IV183" t="e">
        <f>AND('GA55 Entry'!#REF!,"AAAAAE9vzv8=")</f>
        <v>#REF!</v>
      </c>
    </row>
    <row r="184" spans="1:256">
      <c r="A184" t="e">
        <f>AND('GA55 Entry'!#REF!,"AAAAAH3vDwA=")</f>
        <v>#REF!</v>
      </c>
      <c r="B184" t="e">
        <f>AND('GA55 Entry'!Z689,"AAAAAH3vDwE=")</f>
        <v>#VALUE!</v>
      </c>
      <c r="C184" t="e">
        <f>AND('GA55 Entry'!AA689,"AAAAAH3vDwI=")</f>
        <v>#VALUE!</v>
      </c>
      <c r="D184" t="e">
        <f>AND('GA55 Entry'!#REF!,"AAAAAH3vDwM=")</f>
        <v>#REF!</v>
      </c>
      <c r="E184" t="e">
        <f>AND('GA55 Entry'!#REF!,"AAAAAH3vDwQ=")</f>
        <v>#REF!</v>
      </c>
      <c r="F184" t="e">
        <f>AND('GA55 Entry'!#REF!,"AAAAAH3vDwU=")</f>
        <v>#REF!</v>
      </c>
      <c r="G184" t="e">
        <f>AND('GA55 Entry'!AB689,"AAAAAH3vDwY=")</f>
        <v>#VALUE!</v>
      </c>
      <c r="H184" t="e">
        <f>AND('GA55 Entry'!AC689,"AAAAAH3vDwc=")</f>
        <v>#VALUE!</v>
      </c>
      <c r="I184" t="e">
        <f>AND('GA55 Entry'!#REF!,"AAAAAH3vDwg=")</f>
        <v>#REF!</v>
      </c>
      <c r="J184">
        <f>IF('GA55 Entry'!690:690,"AAAAAH3vDwk=",0)</f>
        <v>0</v>
      </c>
      <c r="K184" t="e">
        <f>AND('GA55 Entry'!B690,"AAAAAH3vDwo=")</f>
        <v>#VALUE!</v>
      </c>
      <c r="L184" t="e">
        <f>AND('GA55 Entry'!#REF!,"AAAAAH3vDws=")</f>
        <v>#REF!</v>
      </c>
      <c r="M184" t="e">
        <f>AND('GA55 Entry'!C690,"AAAAAH3vDww=")</f>
        <v>#VALUE!</v>
      </c>
      <c r="N184" t="e">
        <f>AND('GA55 Entry'!#REF!,"AAAAAH3vDw0=")</f>
        <v>#REF!</v>
      </c>
      <c r="O184" t="e">
        <f>AND('GA55 Entry'!#REF!,"AAAAAH3vDw4=")</f>
        <v>#REF!</v>
      </c>
      <c r="P184" t="e">
        <f>AND('GA55 Entry'!#REF!,"AAAAAH3vDw8=")</f>
        <v>#REF!</v>
      </c>
      <c r="Q184" t="e">
        <f>AND('GA55 Entry'!#REF!,"AAAAAH3vDxA=")</f>
        <v>#REF!</v>
      </c>
      <c r="R184" t="e">
        <f>AND('GA55 Entry'!#REF!,"AAAAAH3vDxE=")</f>
        <v>#REF!</v>
      </c>
      <c r="S184" t="e">
        <f>AND('GA55 Entry'!D690,"AAAAAH3vDxI=")</f>
        <v>#VALUE!</v>
      </c>
      <c r="T184" t="e">
        <f>AND('GA55 Entry'!#REF!,"AAAAAH3vDxM=")</f>
        <v>#REF!</v>
      </c>
      <c r="U184" t="e">
        <f>AND('GA55 Entry'!E690,"AAAAAH3vDxQ=")</f>
        <v>#VALUE!</v>
      </c>
      <c r="V184" t="e">
        <f>AND('GA55 Entry'!F690,"AAAAAH3vDxU=")</f>
        <v>#VALUE!</v>
      </c>
      <c r="W184" t="e">
        <f>AND('GA55 Entry'!G690,"AAAAAH3vDxY=")</f>
        <v>#VALUE!</v>
      </c>
      <c r="X184" t="e">
        <f>AND('GA55 Entry'!H690,"AAAAAH3vDxc=")</f>
        <v>#VALUE!</v>
      </c>
      <c r="Y184" t="e">
        <f>AND('GA55 Entry'!I690,"AAAAAH3vDxg=")</f>
        <v>#VALUE!</v>
      </c>
      <c r="Z184" t="e">
        <f>AND('GA55 Entry'!J690,"AAAAAH3vDxk=")</f>
        <v>#VALUE!</v>
      </c>
      <c r="AA184" t="e">
        <f>AND('GA55 Entry'!#REF!,"AAAAAH3vDxo=")</f>
        <v>#REF!</v>
      </c>
      <c r="AB184" t="e">
        <f>AND('GA55 Entry'!K690,"AAAAAH3vDxs=")</f>
        <v>#VALUE!</v>
      </c>
      <c r="AC184" t="e">
        <f>AND('GA55 Entry'!L690,"AAAAAH3vDxw=")</f>
        <v>#VALUE!</v>
      </c>
      <c r="AD184" t="e">
        <f>AND('GA55 Entry'!M690,"AAAAAH3vDx0=")</f>
        <v>#VALUE!</v>
      </c>
      <c r="AE184" t="e">
        <f>AND('GA55 Entry'!N690,"AAAAAH3vDx4=")</f>
        <v>#VALUE!</v>
      </c>
      <c r="AF184" t="e">
        <f>AND('GA55 Entry'!O690,"AAAAAH3vDx8=")</f>
        <v>#VALUE!</v>
      </c>
      <c r="AG184" t="e">
        <f>AND('GA55 Entry'!P690,"AAAAAH3vDyA=")</f>
        <v>#VALUE!</v>
      </c>
      <c r="AH184" t="e">
        <f>AND('GA55 Entry'!Q690,"AAAAAH3vDyE=")</f>
        <v>#VALUE!</v>
      </c>
      <c r="AI184" t="e">
        <f>AND('GA55 Entry'!S690,"AAAAAH3vDyI=")</f>
        <v>#VALUE!</v>
      </c>
      <c r="AJ184" t="e">
        <f>AND('GA55 Entry'!#REF!,"AAAAAH3vDyM=")</f>
        <v>#REF!</v>
      </c>
      <c r="AK184" t="e">
        <f>AND('GA55 Entry'!T690,"AAAAAH3vDyQ=")</f>
        <v>#VALUE!</v>
      </c>
      <c r="AL184" t="e">
        <f>AND('GA55 Entry'!U690,"AAAAAH3vDyU=")</f>
        <v>#VALUE!</v>
      </c>
      <c r="AM184" t="e">
        <f>AND('GA55 Entry'!V690,"AAAAAH3vDyY=")</f>
        <v>#VALUE!</v>
      </c>
      <c r="AN184" t="e">
        <f>AND('GA55 Entry'!#REF!,"AAAAAH3vDyc=")</f>
        <v>#REF!</v>
      </c>
      <c r="AO184" t="e">
        <f>AND('GA55 Entry'!#REF!,"AAAAAH3vDyg=")</f>
        <v>#REF!</v>
      </c>
      <c r="AP184" t="e">
        <f>AND('GA55 Entry'!X690,"AAAAAH3vDyk=")</f>
        <v>#VALUE!</v>
      </c>
      <c r="AQ184" t="e">
        <f>AND('GA55 Entry'!Y690,"AAAAAH3vDyo=")</f>
        <v>#VALUE!</v>
      </c>
      <c r="AR184" t="e">
        <f>AND('GA55 Entry'!#REF!,"AAAAAH3vDys=")</f>
        <v>#REF!</v>
      </c>
      <c r="AS184" t="e">
        <f>AND('GA55 Entry'!#REF!,"AAAAAH3vDyw=")</f>
        <v>#REF!</v>
      </c>
      <c r="AT184" t="e">
        <f>AND('GA55 Entry'!#REF!,"AAAAAH3vDy0=")</f>
        <v>#REF!</v>
      </c>
      <c r="AU184" t="e">
        <f>AND('GA55 Entry'!#REF!,"AAAAAH3vDy4=")</f>
        <v>#REF!</v>
      </c>
      <c r="AV184" t="e">
        <f>AND('GA55 Entry'!#REF!,"AAAAAH3vDy8=")</f>
        <v>#REF!</v>
      </c>
      <c r="AW184" t="e">
        <f>AND('GA55 Entry'!#REF!,"AAAAAH3vDzA=")</f>
        <v>#REF!</v>
      </c>
      <c r="AX184" t="e">
        <f>AND('GA55 Entry'!#REF!,"AAAAAH3vDzE=")</f>
        <v>#REF!</v>
      </c>
      <c r="AY184" t="e">
        <f>AND('GA55 Entry'!#REF!,"AAAAAH3vDzI=")</f>
        <v>#REF!</v>
      </c>
      <c r="AZ184" t="e">
        <f>AND('GA55 Entry'!#REF!,"AAAAAH3vDzM=")</f>
        <v>#REF!</v>
      </c>
      <c r="BA184" t="e">
        <f>AND('GA55 Entry'!Z690,"AAAAAH3vDzQ=")</f>
        <v>#VALUE!</v>
      </c>
      <c r="BB184" t="e">
        <f>AND('GA55 Entry'!AA690,"AAAAAH3vDzU=")</f>
        <v>#VALUE!</v>
      </c>
      <c r="BC184" t="e">
        <f>AND('GA55 Entry'!#REF!,"AAAAAH3vDzY=")</f>
        <v>#REF!</v>
      </c>
      <c r="BD184" t="e">
        <f>AND('GA55 Entry'!#REF!,"AAAAAH3vDzc=")</f>
        <v>#REF!</v>
      </c>
      <c r="BE184" t="e">
        <f>AND('GA55 Entry'!#REF!,"AAAAAH3vDzg=")</f>
        <v>#REF!</v>
      </c>
      <c r="BF184" t="e">
        <f>AND('GA55 Entry'!AB690,"AAAAAH3vDzk=")</f>
        <v>#VALUE!</v>
      </c>
      <c r="BG184" t="e">
        <f>AND('GA55 Entry'!AC690,"AAAAAH3vDzo=")</f>
        <v>#VALUE!</v>
      </c>
      <c r="BH184" t="e">
        <f>AND('GA55 Entry'!#REF!,"AAAAAH3vDzs=")</f>
        <v>#REF!</v>
      </c>
      <c r="BI184">
        <f>IF('GA55 Entry'!691:691,"AAAAAH3vDzw=",0)</f>
        <v>0</v>
      </c>
      <c r="BJ184" t="e">
        <f>AND('GA55 Entry'!B691,"AAAAAH3vDz0=")</f>
        <v>#VALUE!</v>
      </c>
      <c r="BK184" t="e">
        <f>AND('GA55 Entry'!#REF!,"AAAAAH3vDz4=")</f>
        <v>#REF!</v>
      </c>
      <c r="BL184" t="e">
        <f>AND('GA55 Entry'!C691,"AAAAAH3vDz8=")</f>
        <v>#VALUE!</v>
      </c>
      <c r="BM184" t="e">
        <f>AND('GA55 Entry'!#REF!,"AAAAAH3vD0A=")</f>
        <v>#REF!</v>
      </c>
      <c r="BN184" t="e">
        <f>AND('GA55 Entry'!#REF!,"AAAAAH3vD0E=")</f>
        <v>#REF!</v>
      </c>
      <c r="BO184" t="e">
        <f>AND('GA55 Entry'!#REF!,"AAAAAH3vD0I=")</f>
        <v>#REF!</v>
      </c>
      <c r="BP184" t="e">
        <f>AND('GA55 Entry'!#REF!,"AAAAAH3vD0M=")</f>
        <v>#REF!</v>
      </c>
      <c r="BQ184" t="e">
        <f>AND('GA55 Entry'!#REF!,"AAAAAH3vD0Q=")</f>
        <v>#REF!</v>
      </c>
      <c r="BR184" t="e">
        <f>AND('GA55 Entry'!D691,"AAAAAH3vD0U=")</f>
        <v>#VALUE!</v>
      </c>
      <c r="BS184" t="e">
        <f>AND('GA55 Entry'!#REF!,"AAAAAH3vD0Y=")</f>
        <v>#REF!</v>
      </c>
      <c r="BT184" t="e">
        <f>AND('GA55 Entry'!E691,"AAAAAH3vD0c=")</f>
        <v>#VALUE!</v>
      </c>
      <c r="BU184" t="e">
        <f>AND('GA55 Entry'!F691,"AAAAAH3vD0g=")</f>
        <v>#VALUE!</v>
      </c>
      <c r="BV184" t="e">
        <f>AND('GA55 Entry'!G691,"AAAAAH3vD0k=")</f>
        <v>#VALUE!</v>
      </c>
      <c r="BW184" t="e">
        <f>AND('GA55 Entry'!H691,"AAAAAH3vD0o=")</f>
        <v>#VALUE!</v>
      </c>
      <c r="BX184" t="e">
        <f>AND('GA55 Entry'!I691,"AAAAAH3vD0s=")</f>
        <v>#VALUE!</v>
      </c>
      <c r="BY184" t="e">
        <f>AND('GA55 Entry'!J691,"AAAAAH3vD0w=")</f>
        <v>#VALUE!</v>
      </c>
      <c r="BZ184" t="e">
        <f>AND('GA55 Entry'!#REF!,"AAAAAH3vD00=")</f>
        <v>#REF!</v>
      </c>
      <c r="CA184" t="e">
        <f>AND('GA55 Entry'!K691,"AAAAAH3vD04=")</f>
        <v>#VALUE!</v>
      </c>
      <c r="CB184" t="e">
        <f>AND('GA55 Entry'!L691,"AAAAAH3vD08=")</f>
        <v>#VALUE!</v>
      </c>
      <c r="CC184" t="e">
        <f>AND('GA55 Entry'!M691,"AAAAAH3vD1A=")</f>
        <v>#VALUE!</v>
      </c>
      <c r="CD184" t="e">
        <f>AND('GA55 Entry'!N691,"AAAAAH3vD1E=")</f>
        <v>#VALUE!</v>
      </c>
      <c r="CE184" t="e">
        <f>AND('GA55 Entry'!O691,"AAAAAH3vD1I=")</f>
        <v>#VALUE!</v>
      </c>
      <c r="CF184" t="e">
        <f>AND('GA55 Entry'!P691,"AAAAAH3vD1M=")</f>
        <v>#VALUE!</v>
      </c>
      <c r="CG184" t="e">
        <f>AND('GA55 Entry'!Q691,"AAAAAH3vD1Q=")</f>
        <v>#VALUE!</v>
      </c>
      <c r="CH184" t="e">
        <f>AND('GA55 Entry'!S691,"AAAAAH3vD1U=")</f>
        <v>#VALUE!</v>
      </c>
      <c r="CI184" t="e">
        <f>AND('GA55 Entry'!#REF!,"AAAAAH3vD1Y=")</f>
        <v>#REF!</v>
      </c>
      <c r="CJ184" t="e">
        <f>AND('GA55 Entry'!T691,"AAAAAH3vD1c=")</f>
        <v>#VALUE!</v>
      </c>
      <c r="CK184" t="e">
        <f>AND('GA55 Entry'!U691,"AAAAAH3vD1g=")</f>
        <v>#VALUE!</v>
      </c>
      <c r="CL184" t="e">
        <f>AND('GA55 Entry'!V691,"AAAAAH3vD1k=")</f>
        <v>#VALUE!</v>
      </c>
      <c r="CM184" t="e">
        <f>AND('GA55 Entry'!#REF!,"AAAAAH3vD1o=")</f>
        <v>#REF!</v>
      </c>
      <c r="CN184" t="e">
        <f>AND('GA55 Entry'!#REF!,"AAAAAH3vD1s=")</f>
        <v>#REF!</v>
      </c>
      <c r="CO184" t="e">
        <f>AND('GA55 Entry'!X691,"AAAAAH3vD1w=")</f>
        <v>#VALUE!</v>
      </c>
      <c r="CP184" t="e">
        <f>AND('GA55 Entry'!Y691,"AAAAAH3vD10=")</f>
        <v>#VALUE!</v>
      </c>
      <c r="CQ184" t="e">
        <f>AND('GA55 Entry'!#REF!,"AAAAAH3vD14=")</f>
        <v>#REF!</v>
      </c>
      <c r="CR184" t="e">
        <f>AND('GA55 Entry'!#REF!,"AAAAAH3vD18=")</f>
        <v>#REF!</v>
      </c>
      <c r="CS184" t="e">
        <f>AND('GA55 Entry'!#REF!,"AAAAAH3vD2A=")</f>
        <v>#REF!</v>
      </c>
      <c r="CT184" t="e">
        <f>AND('GA55 Entry'!#REF!,"AAAAAH3vD2E=")</f>
        <v>#REF!</v>
      </c>
      <c r="CU184" t="e">
        <f>AND('GA55 Entry'!#REF!,"AAAAAH3vD2I=")</f>
        <v>#REF!</v>
      </c>
      <c r="CV184" t="e">
        <f>AND('GA55 Entry'!#REF!,"AAAAAH3vD2M=")</f>
        <v>#REF!</v>
      </c>
      <c r="CW184" t="e">
        <f>AND('GA55 Entry'!#REF!,"AAAAAH3vD2Q=")</f>
        <v>#REF!</v>
      </c>
      <c r="CX184" t="e">
        <f>AND('GA55 Entry'!#REF!,"AAAAAH3vD2U=")</f>
        <v>#REF!</v>
      </c>
      <c r="CY184" t="e">
        <f>AND('GA55 Entry'!#REF!,"AAAAAH3vD2Y=")</f>
        <v>#REF!</v>
      </c>
      <c r="CZ184" t="e">
        <f>AND('GA55 Entry'!Z691,"AAAAAH3vD2c=")</f>
        <v>#VALUE!</v>
      </c>
      <c r="DA184" t="e">
        <f>AND('GA55 Entry'!AA691,"AAAAAH3vD2g=")</f>
        <v>#VALUE!</v>
      </c>
      <c r="DB184" t="e">
        <f>AND('GA55 Entry'!#REF!,"AAAAAH3vD2k=")</f>
        <v>#REF!</v>
      </c>
      <c r="DC184" t="e">
        <f>AND('GA55 Entry'!#REF!,"AAAAAH3vD2o=")</f>
        <v>#REF!</v>
      </c>
      <c r="DD184" t="e">
        <f>AND('GA55 Entry'!#REF!,"AAAAAH3vD2s=")</f>
        <v>#REF!</v>
      </c>
      <c r="DE184" t="e">
        <f>AND('GA55 Entry'!AB691,"AAAAAH3vD2w=")</f>
        <v>#VALUE!</v>
      </c>
      <c r="DF184" t="e">
        <f>AND('GA55 Entry'!AC691,"AAAAAH3vD20=")</f>
        <v>#VALUE!</v>
      </c>
      <c r="DG184" t="e">
        <f>AND('GA55 Entry'!#REF!,"AAAAAH3vD24=")</f>
        <v>#REF!</v>
      </c>
      <c r="DH184">
        <f>IF('GA55 Entry'!692:692,"AAAAAH3vD28=",0)</f>
        <v>0</v>
      </c>
      <c r="DI184" t="e">
        <f>AND('GA55 Entry'!B692,"AAAAAH3vD3A=")</f>
        <v>#VALUE!</v>
      </c>
      <c r="DJ184" t="e">
        <f>AND('GA55 Entry'!#REF!,"AAAAAH3vD3E=")</f>
        <v>#REF!</v>
      </c>
      <c r="DK184" t="e">
        <f>AND('GA55 Entry'!C692,"AAAAAH3vD3I=")</f>
        <v>#VALUE!</v>
      </c>
      <c r="DL184" t="e">
        <f>AND('GA55 Entry'!#REF!,"AAAAAH3vD3M=")</f>
        <v>#REF!</v>
      </c>
      <c r="DM184" t="e">
        <f>AND('GA55 Entry'!#REF!,"AAAAAH3vD3Q=")</f>
        <v>#REF!</v>
      </c>
      <c r="DN184" t="e">
        <f>AND('GA55 Entry'!#REF!,"AAAAAH3vD3U=")</f>
        <v>#REF!</v>
      </c>
      <c r="DO184" t="e">
        <f>AND('GA55 Entry'!#REF!,"AAAAAH3vD3Y=")</f>
        <v>#REF!</v>
      </c>
      <c r="DP184" t="e">
        <f>AND('GA55 Entry'!#REF!,"AAAAAH3vD3c=")</f>
        <v>#REF!</v>
      </c>
      <c r="DQ184" t="e">
        <f>AND('GA55 Entry'!D692,"AAAAAH3vD3g=")</f>
        <v>#VALUE!</v>
      </c>
      <c r="DR184" t="e">
        <f>AND('GA55 Entry'!#REF!,"AAAAAH3vD3k=")</f>
        <v>#REF!</v>
      </c>
      <c r="DS184" t="e">
        <f>AND('GA55 Entry'!E692,"AAAAAH3vD3o=")</f>
        <v>#VALUE!</v>
      </c>
      <c r="DT184" t="e">
        <f>AND('GA55 Entry'!F692,"AAAAAH3vD3s=")</f>
        <v>#VALUE!</v>
      </c>
      <c r="DU184" t="e">
        <f>AND('GA55 Entry'!G692,"AAAAAH3vD3w=")</f>
        <v>#VALUE!</v>
      </c>
      <c r="DV184" t="e">
        <f>AND('GA55 Entry'!H692,"AAAAAH3vD30=")</f>
        <v>#VALUE!</v>
      </c>
      <c r="DW184" t="e">
        <f>AND('GA55 Entry'!I692,"AAAAAH3vD34=")</f>
        <v>#VALUE!</v>
      </c>
      <c r="DX184" t="e">
        <f>AND('GA55 Entry'!J692,"AAAAAH3vD38=")</f>
        <v>#VALUE!</v>
      </c>
      <c r="DY184" t="e">
        <f>AND('GA55 Entry'!#REF!,"AAAAAH3vD4A=")</f>
        <v>#REF!</v>
      </c>
      <c r="DZ184" t="e">
        <f>AND('GA55 Entry'!K692,"AAAAAH3vD4E=")</f>
        <v>#VALUE!</v>
      </c>
      <c r="EA184" t="e">
        <f>AND('GA55 Entry'!L692,"AAAAAH3vD4I=")</f>
        <v>#VALUE!</v>
      </c>
      <c r="EB184" t="e">
        <f>AND('GA55 Entry'!M692,"AAAAAH3vD4M=")</f>
        <v>#VALUE!</v>
      </c>
      <c r="EC184" t="e">
        <f>AND('GA55 Entry'!N692,"AAAAAH3vD4Q=")</f>
        <v>#VALUE!</v>
      </c>
      <c r="ED184" t="e">
        <f>AND('GA55 Entry'!O692,"AAAAAH3vD4U=")</f>
        <v>#VALUE!</v>
      </c>
      <c r="EE184" t="e">
        <f>AND('GA55 Entry'!P692,"AAAAAH3vD4Y=")</f>
        <v>#VALUE!</v>
      </c>
      <c r="EF184" t="e">
        <f>AND('GA55 Entry'!Q692,"AAAAAH3vD4c=")</f>
        <v>#VALUE!</v>
      </c>
      <c r="EG184" t="e">
        <f>AND('GA55 Entry'!S692,"AAAAAH3vD4g=")</f>
        <v>#VALUE!</v>
      </c>
      <c r="EH184" t="e">
        <f>AND('GA55 Entry'!#REF!,"AAAAAH3vD4k=")</f>
        <v>#REF!</v>
      </c>
      <c r="EI184" t="e">
        <f>AND('GA55 Entry'!T692,"AAAAAH3vD4o=")</f>
        <v>#VALUE!</v>
      </c>
      <c r="EJ184" t="e">
        <f>AND('GA55 Entry'!U692,"AAAAAH3vD4s=")</f>
        <v>#VALUE!</v>
      </c>
      <c r="EK184" t="e">
        <f>AND('GA55 Entry'!V692,"AAAAAH3vD4w=")</f>
        <v>#VALUE!</v>
      </c>
      <c r="EL184" t="e">
        <f>AND('GA55 Entry'!#REF!,"AAAAAH3vD40=")</f>
        <v>#REF!</v>
      </c>
      <c r="EM184" t="e">
        <f>AND('GA55 Entry'!#REF!,"AAAAAH3vD44=")</f>
        <v>#REF!</v>
      </c>
      <c r="EN184" t="e">
        <f>AND('GA55 Entry'!X692,"AAAAAH3vD48=")</f>
        <v>#VALUE!</v>
      </c>
      <c r="EO184" t="e">
        <f>AND('GA55 Entry'!Y692,"AAAAAH3vD5A=")</f>
        <v>#VALUE!</v>
      </c>
      <c r="EP184" t="e">
        <f>AND('GA55 Entry'!#REF!,"AAAAAH3vD5E=")</f>
        <v>#REF!</v>
      </c>
      <c r="EQ184" t="e">
        <f>AND('GA55 Entry'!#REF!,"AAAAAH3vD5I=")</f>
        <v>#REF!</v>
      </c>
      <c r="ER184" t="e">
        <f>AND('GA55 Entry'!#REF!,"AAAAAH3vD5M=")</f>
        <v>#REF!</v>
      </c>
      <c r="ES184" t="e">
        <f>AND('GA55 Entry'!#REF!,"AAAAAH3vD5Q=")</f>
        <v>#REF!</v>
      </c>
      <c r="ET184" t="e">
        <f>AND('GA55 Entry'!#REF!,"AAAAAH3vD5U=")</f>
        <v>#REF!</v>
      </c>
      <c r="EU184" t="e">
        <f>AND('GA55 Entry'!#REF!,"AAAAAH3vD5Y=")</f>
        <v>#REF!</v>
      </c>
      <c r="EV184" t="e">
        <f>AND('GA55 Entry'!#REF!,"AAAAAH3vD5c=")</f>
        <v>#REF!</v>
      </c>
      <c r="EW184" t="e">
        <f>AND('GA55 Entry'!#REF!,"AAAAAH3vD5g=")</f>
        <v>#REF!</v>
      </c>
      <c r="EX184" t="e">
        <f>AND('GA55 Entry'!#REF!,"AAAAAH3vD5k=")</f>
        <v>#REF!</v>
      </c>
      <c r="EY184" t="e">
        <f>AND('GA55 Entry'!Z692,"AAAAAH3vD5o=")</f>
        <v>#VALUE!</v>
      </c>
      <c r="EZ184" t="e">
        <f>AND('GA55 Entry'!AA692,"AAAAAH3vD5s=")</f>
        <v>#VALUE!</v>
      </c>
      <c r="FA184" t="e">
        <f>AND('GA55 Entry'!#REF!,"AAAAAH3vD5w=")</f>
        <v>#REF!</v>
      </c>
      <c r="FB184" t="e">
        <f>AND('GA55 Entry'!#REF!,"AAAAAH3vD50=")</f>
        <v>#REF!</v>
      </c>
      <c r="FC184" t="e">
        <f>AND('GA55 Entry'!#REF!,"AAAAAH3vD54=")</f>
        <v>#REF!</v>
      </c>
      <c r="FD184" t="e">
        <f>AND('GA55 Entry'!AB692,"AAAAAH3vD58=")</f>
        <v>#VALUE!</v>
      </c>
      <c r="FE184" t="e">
        <f>AND('GA55 Entry'!AC692,"AAAAAH3vD6A=")</f>
        <v>#VALUE!</v>
      </c>
      <c r="FF184" t="e">
        <f>AND('GA55 Entry'!#REF!,"AAAAAH3vD6E=")</f>
        <v>#REF!</v>
      </c>
      <c r="FG184">
        <f>IF('GA55 Entry'!693:693,"AAAAAH3vD6I=",0)</f>
        <v>0</v>
      </c>
      <c r="FH184" t="e">
        <f>AND('GA55 Entry'!B693,"AAAAAH3vD6M=")</f>
        <v>#VALUE!</v>
      </c>
      <c r="FI184" t="e">
        <f>AND('GA55 Entry'!#REF!,"AAAAAH3vD6Q=")</f>
        <v>#REF!</v>
      </c>
      <c r="FJ184" t="e">
        <f>AND('GA55 Entry'!C693,"AAAAAH3vD6U=")</f>
        <v>#VALUE!</v>
      </c>
      <c r="FK184" t="e">
        <f>AND('GA55 Entry'!#REF!,"AAAAAH3vD6Y=")</f>
        <v>#REF!</v>
      </c>
      <c r="FL184" t="e">
        <f>AND('GA55 Entry'!#REF!,"AAAAAH3vD6c=")</f>
        <v>#REF!</v>
      </c>
      <c r="FM184" t="e">
        <f>AND('GA55 Entry'!#REF!,"AAAAAH3vD6g=")</f>
        <v>#REF!</v>
      </c>
      <c r="FN184" t="e">
        <f>AND('GA55 Entry'!#REF!,"AAAAAH3vD6k=")</f>
        <v>#REF!</v>
      </c>
      <c r="FO184" t="e">
        <f>AND('GA55 Entry'!#REF!,"AAAAAH3vD6o=")</f>
        <v>#REF!</v>
      </c>
      <c r="FP184" t="e">
        <f>AND('GA55 Entry'!D693,"AAAAAH3vD6s=")</f>
        <v>#VALUE!</v>
      </c>
      <c r="FQ184" t="e">
        <f>AND('GA55 Entry'!#REF!,"AAAAAH3vD6w=")</f>
        <v>#REF!</v>
      </c>
      <c r="FR184" t="e">
        <f>AND('GA55 Entry'!E693,"AAAAAH3vD60=")</f>
        <v>#VALUE!</v>
      </c>
      <c r="FS184" t="e">
        <f>AND('GA55 Entry'!F693,"AAAAAH3vD64=")</f>
        <v>#VALUE!</v>
      </c>
      <c r="FT184" t="e">
        <f>AND('GA55 Entry'!G693,"AAAAAH3vD68=")</f>
        <v>#VALUE!</v>
      </c>
      <c r="FU184" t="e">
        <f>AND('GA55 Entry'!H693,"AAAAAH3vD7A=")</f>
        <v>#VALUE!</v>
      </c>
      <c r="FV184" t="e">
        <f>AND('GA55 Entry'!I693,"AAAAAH3vD7E=")</f>
        <v>#VALUE!</v>
      </c>
      <c r="FW184" t="e">
        <f>AND('GA55 Entry'!J693,"AAAAAH3vD7I=")</f>
        <v>#VALUE!</v>
      </c>
      <c r="FX184" t="e">
        <f>AND('GA55 Entry'!#REF!,"AAAAAH3vD7M=")</f>
        <v>#REF!</v>
      </c>
      <c r="FY184" t="e">
        <f>AND('GA55 Entry'!K693,"AAAAAH3vD7Q=")</f>
        <v>#VALUE!</v>
      </c>
      <c r="FZ184" t="e">
        <f>AND('GA55 Entry'!L693,"AAAAAH3vD7U=")</f>
        <v>#VALUE!</v>
      </c>
      <c r="GA184" t="e">
        <f>AND('GA55 Entry'!M693,"AAAAAH3vD7Y=")</f>
        <v>#VALUE!</v>
      </c>
      <c r="GB184" t="e">
        <f>AND('GA55 Entry'!N693,"AAAAAH3vD7c=")</f>
        <v>#VALUE!</v>
      </c>
      <c r="GC184" t="e">
        <f>AND('GA55 Entry'!O693,"AAAAAH3vD7g=")</f>
        <v>#VALUE!</v>
      </c>
      <c r="GD184" t="e">
        <f>AND('GA55 Entry'!P693,"AAAAAH3vD7k=")</f>
        <v>#VALUE!</v>
      </c>
      <c r="GE184" t="e">
        <f>AND('GA55 Entry'!Q693,"AAAAAH3vD7o=")</f>
        <v>#VALUE!</v>
      </c>
      <c r="GF184" t="e">
        <f>AND('GA55 Entry'!S693,"AAAAAH3vD7s=")</f>
        <v>#VALUE!</v>
      </c>
      <c r="GG184" t="e">
        <f>AND('GA55 Entry'!#REF!,"AAAAAH3vD7w=")</f>
        <v>#REF!</v>
      </c>
      <c r="GH184" t="e">
        <f>AND('GA55 Entry'!T693,"AAAAAH3vD70=")</f>
        <v>#VALUE!</v>
      </c>
      <c r="GI184" t="e">
        <f>AND('GA55 Entry'!U693,"AAAAAH3vD74=")</f>
        <v>#VALUE!</v>
      </c>
      <c r="GJ184" t="e">
        <f>AND('GA55 Entry'!V693,"AAAAAH3vD78=")</f>
        <v>#VALUE!</v>
      </c>
      <c r="GK184" t="e">
        <f>AND('GA55 Entry'!#REF!,"AAAAAH3vD8A=")</f>
        <v>#REF!</v>
      </c>
      <c r="GL184" t="e">
        <f>AND('GA55 Entry'!#REF!,"AAAAAH3vD8E=")</f>
        <v>#REF!</v>
      </c>
      <c r="GM184" t="e">
        <f>AND('GA55 Entry'!X693,"AAAAAH3vD8I=")</f>
        <v>#VALUE!</v>
      </c>
      <c r="GN184" t="e">
        <f>AND('GA55 Entry'!Y693,"AAAAAH3vD8M=")</f>
        <v>#VALUE!</v>
      </c>
      <c r="GO184" t="e">
        <f>AND('GA55 Entry'!#REF!,"AAAAAH3vD8Q=")</f>
        <v>#REF!</v>
      </c>
      <c r="GP184" t="e">
        <f>AND('GA55 Entry'!#REF!,"AAAAAH3vD8U=")</f>
        <v>#REF!</v>
      </c>
      <c r="GQ184" t="e">
        <f>AND('GA55 Entry'!#REF!,"AAAAAH3vD8Y=")</f>
        <v>#REF!</v>
      </c>
      <c r="GR184" t="e">
        <f>AND('GA55 Entry'!#REF!,"AAAAAH3vD8c=")</f>
        <v>#REF!</v>
      </c>
      <c r="GS184" t="e">
        <f>AND('GA55 Entry'!#REF!,"AAAAAH3vD8g=")</f>
        <v>#REF!</v>
      </c>
      <c r="GT184" t="e">
        <f>AND('GA55 Entry'!#REF!,"AAAAAH3vD8k=")</f>
        <v>#REF!</v>
      </c>
      <c r="GU184" t="e">
        <f>AND('GA55 Entry'!#REF!,"AAAAAH3vD8o=")</f>
        <v>#REF!</v>
      </c>
      <c r="GV184" t="e">
        <f>AND('GA55 Entry'!#REF!,"AAAAAH3vD8s=")</f>
        <v>#REF!</v>
      </c>
      <c r="GW184" t="e">
        <f>AND('GA55 Entry'!#REF!,"AAAAAH3vD8w=")</f>
        <v>#REF!</v>
      </c>
      <c r="GX184" t="e">
        <f>AND('GA55 Entry'!Z693,"AAAAAH3vD80=")</f>
        <v>#VALUE!</v>
      </c>
      <c r="GY184" t="e">
        <f>AND('GA55 Entry'!AA693,"AAAAAH3vD84=")</f>
        <v>#VALUE!</v>
      </c>
      <c r="GZ184" t="e">
        <f>AND('GA55 Entry'!#REF!,"AAAAAH3vD88=")</f>
        <v>#REF!</v>
      </c>
      <c r="HA184" t="e">
        <f>AND('GA55 Entry'!#REF!,"AAAAAH3vD9A=")</f>
        <v>#REF!</v>
      </c>
      <c r="HB184" t="e">
        <f>AND('GA55 Entry'!#REF!,"AAAAAH3vD9E=")</f>
        <v>#REF!</v>
      </c>
      <c r="HC184" t="e">
        <f>AND('GA55 Entry'!AB693,"AAAAAH3vD9I=")</f>
        <v>#VALUE!</v>
      </c>
      <c r="HD184" t="e">
        <f>AND('GA55 Entry'!AC693,"AAAAAH3vD9M=")</f>
        <v>#VALUE!</v>
      </c>
      <c r="HE184" t="e">
        <f>AND('GA55 Entry'!#REF!,"AAAAAH3vD9Q=")</f>
        <v>#REF!</v>
      </c>
      <c r="HF184">
        <f>IF('GA55 Entry'!694:694,"AAAAAH3vD9U=",0)</f>
        <v>0</v>
      </c>
      <c r="HG184" t="e">
        <f>AND('GA55 Entry'!B694,"AAAAAH3vD9Y=")</f>
        <v>#VALUE!</v>
      </c>
      <c r="HH184" t="e">
        <f>AND('GA55 Entry'!#REF!,"AAAAAH3vD9c=")</f>
        <v>#REF!</v>
      </c>
      <c r="HI184" t="e">
        <f>AND('GA55 Entry'!C694,"AAAAAH3vD9g=")</f>
        <v>#VALUE!</v>
      </c>
      <c r="HJ184" t="e">
        <f>AND('GA55 Entry'!#REF!,"AAAAAH3vD9k=")</f>
        <v>#REF!</v>
      </c>
      <c r="HK184" t="e">
        <f>AND('GA55 Entry'!#REF!,"AAAAAH3vD9o=")</f>
        <v>#REF!</v>
      </c>
      <c r="HL184" t="e">
        <f>AND('GA55 Entry'!#REF!,"AAAAAH3vD9s=")</f>
        <v>#REF!</v>
      </c>
      <c r="HM184" t="e">
        <f>AND('GA55 Entry'!#REF!,"AAAAAH3vD9w=")</f>
        <v>#REF!</v>
      </c>
      <c r="HN184" t="e">
        <f>AND('GA55 Entry'!#REF!,"AAAAAH3vD90=")</f>
        <v>#REF!</v>
      </c>
      <c r="HO184" t="e">
        <f>AND('GA55 Entry'!D694,"AAAAAH3vD94=")</f>
        <v>#VALUE!</v>
      </c>
      <c r="HP184" t="e">
        <f>AND('GA55 Entry'!#REF!,"AAAAAH3vD98=")</f>
        <v>#REF!</v>
      </c>
      <c r="HQ184" t="e">
        <f>AND('GA55 Entry'!E694,"AAAAAH3vD+A=")</f>
        <v>#VALUE!</v>
      </c>
      <c r="HR184" t="e">
        <f>AND('GA55 Entry'!F694,"AAAAAH3vD+E=")</f>
        <v>#VALUE!</v>
      </c>
      <c r="HS184" t="e">
        <f>AND('GA55 Entry'!G694,"AAAAAH3vD+I=")</f>
        <v>#VALUE!</v>
      </c>
      <c r="HT184" t="e">
        <f>AND('GA55 Entry'!H694,"AAAAAH3vD+M=")</f>
        <v>#VALUE!</v>
      </c>
      <c r="HU184" t="e">
        <f>AND('GA55 Entry'!I694,"AAAAAH3vD+Q=")</f>
        <v>#VALUE!</v>
      </c>
      <c r="HV184" t="e">
        <f>AND('GA55 Entry'!J694,"AAAAAH3vD+U=")</f>
        <v>#VALUE!</v>
      </c>
      <c r="HW184" t="e">
        <f>AND('GA55 Entry'!#REF!,"AAAAAH3vD+Y=")</f>
        <v>#REF!</v>
      </c>
      <c r="HX184" t="e">
        <f>AND('GA55 Entry'!K694,"AAAAAH3vD+c=")</f>
        <v>#VALUE!</v>
      </c>
      <c r="HY184" t="e">
        <f>AND('GA55 Entry'!L694,"AAAAAH3vD+g=")</f>
        <v>#VALUE!</v>
      </c>
      <c r="HZ184" t="e">
        <f>AND('GA55 Entry'!M694,"AAAAAH3vD+k=")</f>
        <v>#VALUE!</v>
      </c>
      <c r="IA184" t="e">
        <f>AND('GA55 Entry'!N694,"AAAAAH3vD+o=")</f>
        <v>#VALUE!</v>
      </c>
      <c r="IB184" t="e">
        <f>AND('GA55 Entry'!O694,"AAAAAH3vD+s=")</f>
        <v>#VALUE!</v>
      </c>
      <c r="IC184" t="e">
        <f>AND('GA55 Entry'!P694,"AAAAAH3vD+w=")</f>
        <v>#VALUE!</v>
      </c>
      <c r="ID184" t="e">
        <f>AND('GA55 Entry'!Q694,"AAAAAH3vD+0=")</f>
        <v>#VALUE!</v>
      </c>
      <c r="IE184" t="e">
        <f>AND('GA55 Entry'!S694,"AAAAAH3vD+4=")</f>
        <v>#VALUE!</v>
      </c>
      <c r="IF184" t="e">
        <f>AND('GA55 Entry'!#REF!,"AAAAAH3vD+8=")</f>
        <v>#REF!</v>
      </c>
      <c r="IG184" t="e">
        <f>AND('GA55 Entry'!T694,"AAAAAH3vD/A=")</f>
        <v>#VALUE!</v>
      </c>
      <c r="IH184" t="e">
        <f>AND('GA55 Entry'!U694,"AAAAAH3vD/E=")</f>
        <v>#VALUE!</v>
      </c>
      <c r="II184" t="e">
        <f>AND('GA55 Entry'!V694,"AAAAAH3vD/I=")</f>
        <v>#VALUE!</v>
      </c>
      <c r="IJ184" t="e">
        <f>AND('GA55 Entry'!#REF!,"AAAAAH3vD/M=")</f>
        <v>#REF!</v>
      </c>
      <c r="IK184" t="e">
        <f>AND('GA55 Entry'!#REF!,"AAAAAH3vD/Q=")</f>
        <v>#REF!</v>
      </c>
      <c r="IL184" t="e">
        <f>AND('GA55 Entry'!X694,"AAAAAH3vD/U=")</f>
        <v>#VALUE!</v>
      </c>
      <c r="IM184" t="e">
        <f>AND('GA55 Entry'!Y694,"AAAAAH3vD/Y=")</f>
        <v>#VALUE!</v>
      </c>
      <c r="IN184" t="e">
        <f>AND('GA55 Entry'!#REF!,"AAAAAH3vD/c=")</f>
        <v>#REF!</v>
      </c>
      <c r="IO184" t="e">
        <f>AND('GA55 Entry'!#REF!,"AAAAAH3vD/g=")</f>
        <v>#REF!</v>
      </c>
      <c r="IP184" t="e">
        <f>AND('GA55 Entry'!#REF!,"AAAAAH3vD/k=")</f>
        <v>#REF!</v>
      </c>
      <c r="IQ184" t="e">
        <f>AND('GA55 Entry'!#REF!,"AAAAAH3vD/o=")</f>
        <v>#REF!</v>
      </c>
      <c r="IR184" t="e">
        <f>AND('GA55 Entry'!#REF!,"AAAAAH3vD/s=")</f>
        <v>#REF!</v>
      </c>
      <c r="IS184" t="e">
        <f>AND('GA55 Entry'!#REF!,"AAAAAH3vD/w=")</f>
        <v>#REF!</v>
      </c>
      <c r="IT184" t="e">
        <f>AND('GA55 Entry'!#REF!,"AAAAAH3vD/0=")</f>
        <v>#REF!</v>
      </c>
      <c r="IU184" t="e">
        <f>AND('GA55 Entry'!#REF!,"AAAAAH3vD/4=")</f>
        <v>#REF!</v>
      </c>
      <c r="IV184" t="e">
        <f>AND('GA55 Entry'!#REF!,"AAAAAH3vD/8=")</f>
        <v>#REF!</v>
      </c>
    </row>
    <row r="185" spans="1:256">
      <c r="A185" t="e">
        <f>AND('GA55 Entry'!Z694,"AAAAAFm+PwA=")</f>
        <v>#VALUE!</v>
      </c>
      <c r="B185" t="e">
        <f>AND('GA55 Entry'!AA694,"AAAAAFm+PwE=")</f>
        <v>#VALUE!</v>
      </c>
      <c r="C185" t="e">
        <f>AND('GA55 Entry'!#REF!,"AAAAAFm+PwI=")</f>
        <v>#REF!</v>
      </c>
      <c r="D185" t="e">
        <f>AND('GA55 Entry'!#REF!,"AAAAAFm+PwM=")</f>
        <v>#REF!</v>
      </c>
      <c r="E185" t="e">
        <f>AND('GA55 Entry'!#REF!,"AAAAAFm+PwQ=")</f>
        <v>#REF!</v>
      </c>
      <c r="F185" t="e">
        <f>AND('GA55 Entry'!AB694,"AAAAAFm+PwU=")</f>
        <v>#VALUE!</v>
      </c>
      <c r="G185" t="e">
        <f>AND('GA55 Entry'!AC694,"AAAAAFm+PwY=")</f>
        <v>#VALUE!</v>
      </c>
      <c r="H185" t="e">
        <f>AND('GA55 Entry'!#REF!,"AAAAAFm+Pwc=")</f>
        <v>#REF!</v>
      </c>
      <c r="I185">
        <f>IF('GA55 Entry'!695:695,"AAAAAFm+Pwg=",0)</f>
        <v>0</v>
      </c>
      <c r="J185" t="e">
        <f>AND('GA55 Entry'!B695,"AAAAAFm+Pwk=")</f>
        <v>#VALUE!</v>
      </c>
      <c r="K185" t="e">
        <f>AND('GA55 Entry'!#REF!,"AAAAAFm+Pwo=")</f>
        <v>#REF!</v>
      </c>
      <c r="L185" t="e">
        <f>AND('GA55 Entry'!C695,"AAAAAFm+Pws=")</f>
        <v>#VALUE!</v>
      </c>
      <c r="M185" t="e">
        <f>AND('GA55 Entry'!#REF!,"AAAAAFm+Pww=")</f>
        <v>#REF!</v>
      </c>
      <c r="N185" t="e">
        <f>AND('GA55 Entry'!#REF!,"AAAAAFm+Pw0=")</f>
        <v>#REF!</v>
      </c>
      <c r="O185" t="e">
        <f>AND('GA55 Entry'!#REF!,"AAAAAFm+Pw4=")</f>
        <v>#REF!</v>
      </c>
      <c r="P185" t="e">
        <f>AND('GA55 Entry'!#REF!,"AAAAAFm+Pw8=")</f>
        <v>#REF!</v>
      </c>
      <c r="Q185" t="e">
        <f>AND('GA55 Entry'!#REF!,"AAAAAFm+PxA=")</f>
        <v>#REF!</v>
      </c>
      <c r="R185" t="e">
        <f>AND('GA55 Entry'!D695,"AAAAAFm+PxE=")</f>
        <v>#VALUE!</v>
      </c>
      <c r="S185" t="e">
        <f>AND('GA55 Entry'!#REF!,"AAAAAFm+PxI=")</f>
        <v>#REF!</v>
      </c>
      <c r="T185" t="e">
        <f>AND('GA55 Entry'!E695,"AAAAAFm+PxM=")</f>
        <v>#VALUE!</v>
      </c>
      <c r="U185" t="e">
        <f>AND('GA55 Entry'!F695,"AAAAAFm+PxQ=")</f>
        <v>#VALUE!</v>
      </c>
      <c r="V185" t="e">
        <f>AND('GA55 Entry'!G695,"AAAAAFm+PxU=")</f>
        <v>#VALUE!</v>
      </c>
      <c r="W185" t="e">
        <f>AND('GA55 Entry'!H695,"AAAAAFm+PxY=")</f>
        <v>#VALUE!</v>
      </c>
      <c r="X185" t="e">
        <f>AND('GA55 Entry'!I695,"AAAAAFm+Pxc=")</f>
        <v>#VALUE!</v>
      </c>
      <c r="Y185" t="e">
        <f>AND('GA55 Entry'!J695,"AAAAAFm+Pxg=")</f>
        <v>#VALUE!</v>
      </c>
      <c r="Z185" t="e">
        <f>AND('GA55 Entry'!#REF!,"AAAAAFm+Pxk=")</f>
        <v>#REF!</v>
      </c>
      <c r="AA185" t="e">
        <f>AND('GA55 Entry'!K695,"AAAAAFm+Pxo=")</f>
        <v>#VALUE!</v>
      </c>
      <c r="AB185" t="e">
        <f>AND('GA55 Entry'!L695,"AAAAAFm+Pxs=")</f>
        <v>#VALUE!</v>
      </c>
      <c r="AC185" t="e">
        <f>AND('GA55 Entry'!M695,"AAAAAFm+Pxw=")</f>
        <v>#VALUE!</v>
      </c>
      <c r="AD185" t="e">
        <f>AND('GA55 Entry'!N695,"AAAAAFm+Px0=")</f>
        <v>#VALUE!</v>
      </c>
      <c r="AE185" t="e">
        <f>AND('GA55 Entry'!O695,"AAAAAFm+Px4=")</f>
        <v>#VALUE!</v>
      </c>
      <c r="AF185" t="e">
        <f>AND('GA55 Entry'!P695,"AAAAAFm+Px8=")</f>
        <v>#VALUE!</v>
      </c>
      <c r="AG185" t="e">
        <f>AND('GA55 Entry'!Q695,"AAAAAFm+PyA=")</f>
        <v>#VALUE!</v>
      </c>
      <c r="AH185" t="e">
        <f>AND('GA55 Entry'!S695,"AAAAAFm+PyE=")</f>
        <v>#VALUE!</v>
      </c>
      <c r="AI185" t="e">
        <f>AND('GA55 Entry'!#REF!,"AAAAAFm+PyI=")</f>
        <v>#REF!</v>
      </c>
      <c r="AJ185" t="e">
        <f>AND('GA55 Entry'!T695,"AAAAAFm+PyM=")</f>
        <v>#VALUE!</v>
      </c>
      <c r="AK185" t="e">
        <f>AND('GA55 Entry'!U695,"AAAAAFm+PyQ=")</f>
        <v>#VALUE!</v>
      </c>
      <c r="AL185" t="e">
        <f>AND('GA55 Entry'!V695,"AAAAAFm+PyU=")</f>
        <v>#VALUE!</v>
      </c>
      <c r="AM185" t="e">
        <f>AND('GA55 Entry'!#REF!,"AAAAAFm+PyY=")</f>
        <v>#REF!</v>
      </c>
      <c r="AN185" t="e">
        <f>AND('GA55 Entry'!#REF!,"AAAAAFm+Pyc=")</f>
        <v>#REF!</v>
      </c>
      <c r="AO185" t="e">
        <f>AND('GA55 Entry'!X695,"AAAAAFm+Pyg=")</f>
        <v>#VALUE!</v>
      </c>
      <c r="AP185" t="e">
        <f>AND('GA55 Entry'!Y695,"AAAAAFm+Pyk=")</f>
        <v>#VALUE!</v>
      </c>
      <c r="AQ185" t="e">
        <f>AND('GA55 Entry'!#REF!,"AAAAAFm+Pyo=")</f>
        <v>#REF!</v>
      </c>
      <c r="AR185" t="e">
        <f>AND('GA55 Entry'!#REF!,"AAAAAFm+Pys=")</f>
        <v>#REF!</v>
      </c>
      <c r="AS185" t="e">
        <f>AND('GA55 Entry'!#REF!,"AAAAAFm+Pyw=")</f>
        <v>#REF!</v>
      </c>
      <c r="AT185" t="e">
        <f>AND('GA55 Entry'!#REF!,"AAAAAFm+Py0=")</f>
        <v>#REF!</v>
      </c>
      <c r="AU185" t="e">
        <f>AND('GA55 Entry'!#REF!,"AAAAAFm+Py4=")</f>
        <v>#REF!</v>
      </c>
      <c r="AV185" t="e">
        <f>AND('GA55 Entry'!#REF!,"AAAAAFm+Py8=")</f>
        <v>#REF!</v>
      </c>
      <c r="AW185" t="e">
        <f>AND('GA55 Entry'!#REF!,"AAAAAFm+PzA=")</f>
        <v>#REF!</v>
      </c>
      <c r="AX185" t="e">
        <f>AND('GA55 Entry'!#REF!,"AAAAAFm+PzE=")</f>
        <v>#REF!</v>
      </c>
      <c r="AY185" t="e">
        <f>AND('GA55 Entry'!#REF!,"AAAAAFm+PzI=")</f>
        <v>#REF!</v>
      </c>
      <c r="AZ185" t="e">
        <f>AND('GA55 Entry'!Z695,"AAAAAFm+PzM=")</f>
        <v>#VALUE!</v>
      </c>
      <c r="BA185" t="e">
        <f>AND('GA55 Entry'!AA695,"AAAAAFm+PzQ=")</f>
        <v>#VALUE!</v>
      </c>
      <c r="BB185" t="e">
        <f>AND('GA55 Entry'!#REF!,"AAAAAFm+PzU=")</f>
        <v>#REF!</v>
      </c>
      <c r="BC185" t="e">
        <f>AND('GA55 Entry'!#REF!,"AAAAAFm+PzY=")</f>
        <v>#REF!</v>
      </c>
      <c r="BD185" t="e">
        <f>AND('GA55 Entry'!#REF!,"AAAAAFm+Pzc=")</f>
        <v>#REF!</v>
      </c>
      <c r="BE185" t="e">
        <f>AND('GA55 Entry'!AB695,"AAAAAFm+Pzg=")</f>
        <v>#VALUE!</v>
      </c>
      <c r="BF185" t="e">
        <f>AND('GA55 Entry'!AC695,"AAAAAFm+Pzk=")</f>
        <v>#VALUE!</v>
      </c>
      <c r="BG185" t="e">
        <f>AND('GA55 Entry'!#REF!,"AAAAAFm+Pzo=")</f>
        <v>#REF!</v>
      </c>
      <c r="BH185">
        <f>IF('GA55 Entry'!696:696,"AAAAAFm+Pzs=",0)</f>
        <v>0</v>
      </c>
      <c r="BI185" t="e">
        <f>AND('GA55 Entry'!B696,"AAAAAFm+Pzw=")</f>
        <v>#VALUE!</v>
      </c>
      <c r="BJ185" t="e">
        <f>AND('GA55 Entry'!#REF!,"AAAAAFm+Pz0=")</f>
        <v>#REF!</v>
      </c>
      <c r="BK185" t="e">
        <f>AND('GA55 Entry'!C696,"AAAAAFm+Pz4=")</f>
        <v>#VALUE!</v>
      </c>
      <c r="BL185" t="e">
        <f>AND('GA55 Entry'!#REF!,"AAAAAFm+Pz8=")</f>
        <v>#REF!</v>
      </c>
      <c r="BM185" t="e">
        <f>AND('GA55 Entry'!#REF!,"AAAAAFm+P0A=")</f>
        <v>#REF!</v>
      </c>
      <c r="BN185" t="e">
        <f>AND('GA55 Entry'!#REF!,"AAAAAFm+P0E=")</f>
        <v>#REF!</v>
      </c>
      <c r="BO185" t="e">
        <f>AND('GA55 Entry'!#REF!,"AAAAAFm+P0I=")</f>
        <v>#REF!</v>
      </c>
      <c r="BP185" t="e">
        <f>AND('GA55 Entry'!#REF!,"AAAAAFm+P0M=")</f>
        <v>#REF!</v>
      </c>
      <c r="BQ185" t="e">
        <f>AND('GA55 Entry'!D696,"AAAAAFm+P0Q=")</f>
        <v>#VALUE!</v>
      </c>
      <c r="BR185" t="e">
        <f>AND('GA55 Entry'!#REF!,"AAAAAFm+P0U=")</f>
        <v>#REF!</v>
      </c>
      <c r="BS185" t="e">
        <f>AND('GA55 Entry'!E696,"AAAAAFm+P0Y=")</f>
        <v>#VALUE!</v>
      </c>
      <c r="BT185" t="e">
        <f>AND('GA55 Entry'!F696,"AAAAAFm+P0c=")</f>
        <v>#VALUE!</v>
      </c>
      <c r="BU185" t="e">
        <f>AND('GA55 Entry'!G696,"AAAAAFm+P0g=")</f>
        <v>#VALUE!</v>
      </c>
      <c r="BV185" t="e">
        <f>AND('GA55 Entry'!H696,"AAAAAFm+P0k=")</f>
        <v>#VALUE!</v>
      </c>
      <c r="BW185" t="e">
        <f>AND('GA55 Entry'!I696,"AAAAAFm+P0o=")</f>
        <v>#VALUE!</v>
      </c>
      <c r="BX185" t="e">
        <f>AND('GA55 Entry'!J696,"AAAAAFm+P0s=")</f>
        <v>#VALUE!</v>
      </c>
      <c r="BY185" t="e">
        <f>AND('GA55 Entry'!#REF!,"AAAAAFm+P0w=")</f>
        <v>#REF!</v>
      </c>
      <c r="BZ185" t="e">
        <f>AND('GA55 Entry'!K696,"AAAAAFm+P00=")</f>
        <v>#VALUE!</v>
      </c>
      <c r="CA185" t="e">
        <f>AND('GA55 Entry'!L696,"AAAAAFm+P04=")</f>
        <v>#VALUE!</v>
      </c>
      <c r="CB185" t="e">
        <f>AND('GA55 Entry'!M696,"AAAAAFm+P08=")</f>
        <v>#VALUE!</v>
      </c>
      <c r="CC185" t="e">
        <f>AND('GA55 Entry'!N696,"AAAAAFm+P1A=")</f>
        <v>#VALUE!</v>
      </c>
      <c r="CD185" t="e">
        <f>AND('GA55 Entry'!O696,"AAAAAFm+P1E=")</f>
        <v>#VALUE!</v>
      </c>
      <c r="CE185" t="e">
        <f>AND('GA55 Entry'!P696,"AAAAAFm+P1I=")</f>
        <v>#VALUE!</v>
      </c>
      <c r="CF185" t="e">
        <f>AND('GA55 Entry'!Q696,"AAAAAFm+P1M=")</f>
        <v>#VALUE!</v>
      </c>
      <c r="CG185" t="e">
        <f>AND('GA55 Entry'!S696,"AAAAAFm+P1Q=")</f>
        <v>#VALUE!</v>
      </c>
      <c r="CH185" t="e">
        <f>AND('GA55 Entry'!#REF!,"AAAAAFm+P1U=")</f>
        <v>#REF!</v>
      </c>
      <c r="CI185" t="e">
        <f>AND('GA55 Entry'!T696,"AAAAAFm+P1Y=")</f>
        <v>#VALUE!</v>
      </c>
      <c r="CJ185" t="e">
        <f>AND('GA55 Entry'!U696,"AAAAAFm+P1c=")</f>
        <v>#VALUE!</v>
      </c>
      <c r="CK185" t="e">
        <f>AND('GA55 Entry'!V696,"AAAAAFm+P1g=")</f>
        <v>#VALUE!</v>
      </c>
      <c r="CL185" t="e">
        <f>AND('GA55 Entry'!#REF!,"AAAAAFm+P1k=")</f>
        <v>#REF!</v>
      </c>
      <c r="CM185" t="e">
        <f>AND('GA55 Entry'!#REF!,"AAAAAFm+P1o=")</f>
        <v>#REF!</v>
      </c>
      <c r="CN185" t="e">
        <f>AND('GA55 Entry'!X696,"AAAAAFm+P1s=")</f>
        <v>#VALUE!</v>
      </c>
      <c r="CO185" t="e">
        <f>AND('GA55 Entry'!Y696,"AAAAAFm+P1w=")</f>
        <v>#VALUE!</v>
      </c>
      <c r="CP185" t="e">
        <f>AND('GA55 Entry'!#REF!,"AAAAAFm+P10=")</f>
        <v>#REF!</v>
      </c>
      <c r="CQ185" t="e">
        <f>AND('GA55 Entry'!#REF!,"AAAAAFm+P14=")</f>
        <v>#REF!</v>
      </c>
      <c r="CR185" t="e">
        <f>AND('GA55 Entry'!#REF!,"AAAAAFm+P18=")</f>
        <v>#REF!</v>
      </c>
      <c r="CS185" t="e">
        <f>AND('GA55 Entry'!#REF!,"AAAAAFm+P2A=")</f>
        <v>#REF!</v>
      </c>
      <c r="CT185" t="e">
        <f>AND('GA55 Entry'!#REF!,"AAAAAFm+P2E=")</f>
        <v>#REF!</v>
      </c>
      <c r="CU185" t="e">
        <f>AND('GA55 Entry'!#REF!,"AAAAAFm+P2I=")</f>
        <v>#REF!</v>
      </c>
      <c r="CV185" t="e">
        <f>AND('GA55 Entry'!#REF!,"AAAAAFm+P2M=")</f>
        <v>#REF!</v>
      </c>
      <c r="CW185" t="e">
        <f>AND('GA55 Entry'!#REF!,"AAAAAFm+P2Q=")</f>
        <v>#REF!</v>
      </c>
      <c r="CX185" t="e">
        <f>AND('GA55 Entry'!#REF!,"AAAAAFm+P2U=")</f>
        <v>#REF!</v>
      </c>
      <c r="CY185" t="e">
        <f>AND('GA55 Entry'!Z696,"AAAAAFm+P2Y=")</f>
        <v>#VALUE!</v>
      </c>
      <c r="CZ185" t="e">
        <f>AND('GA55 Entry'!AA696,"AAAAAFm+P2c=")</f>
        <v>#VALUE!</v>
      </c>
      <c r="DA185" t="e">
        <f>AND('GA55 Entry'!#REF!,"AAAAAFm+P2g=")</f>
        <v>#REF!</v>
      </c>
      <c r="DB185" t="e">
        <f>AND('GA55 Entry'!#REF!,"AAAAAFm+P2k=")</f>
        <v>#REF!</v>
      </c>
      <c r="DC185" t="e">
        <f>AND('GA55 Entry'!#REF!,"AAAAAFm+P2o=")</f>
        <v>#REF!</v>
      </c>
      <c r="DD185" t="e">
        <f>AND('GA55 Entry'!AB696,"AAAAAFm+P2s=")</f>
        <v>#VALUE!</v>
      </c>
      <c r="DE185" t="e">
        <f>AND('GA55 Entry'!AC696,"AAAAAFm+P2w=")</f>
        <v>#VALUE!</v>
      </c>
      <c r="DF185" t="e">
        <f>AND('GA55 Entry'!#REF!,"AAAAAFm+P20=")</f>
        <v>#REF!</v>
      </c>
      <c r="DG185">
        <f>IF('GA55 Entry'!697:697,"AAAAAFm+P24=",0)</f>
        <v>0</v>
      </c>
      <c r="DH185" t="e">
        <f>AND('GA55 Entry'!B697,"AAAAAFm+P28=")</f>
        <v>#VALUE!</v>
      </c>
      <c r="DI185" t="e">
        <f>AND('GA55 Entry'!#REF!,"AAAAAFm+P3A=")</f>
        <v>#REF!</v>
      </c>
      <c r="DJ185" t="e">
        <f>AND('GA55 Entry'!C697,"AAAAAFm+P3E=")</f>
        <v>#VALUE!</v>
      </c>
      <c r="DK185" t="e">
        <f>AND('GA55 Entry'!#REF!,"AAAAAFm+P3I=")</f>
        <v>#REF!</v>
      </c>
      <c r="DL185" t="e">
        <f>AND('GA55 Entry'!#REF!,"AAAAAFm+P3M=")</f>
        <v>#REF!</v>
      </c>
      <c r="DM185" t="e">
        <f>AND('GA55 Entry'!#REF!,"AAAAAFm+P3Q=")</f>
        <v>#REF!</v>
      </c>
      <c r="DN185" t="e">
        <f>AND('GA55 Entry'!#REF!,"AAAAAFm+P3U=")</f>
        <v>#REF!</v>
      </c>
      <c r="DO185" t="e">
        <f>AND('GA55 Entry'!#REF!,"AAAAAFm+P3Y=")</f>
        <v>#REF!</v>
      </c>
      <c r="DP185" t="e">
        <f>AND('GA55 Entry'!D697,"AAAAAFm+P3c=")</f>
        <v>#VALUE!</v>
      </c>
      <c r="DQ185" t="e">
        <f>AND('GA55 Entry'!#REF!,"AAAAAFm+P3g=")</f>
        <v>#REF!</v>
      </c>
      <c r="DR185" t="e">
        <f>AND('GA55 Entry'!E697,"AAAAAFm+P3k=")</f>
        <v>#VALUE!</v>
      </c>
      <c r="DS185" t="e">
        <f>AND('GA55 Entry'!F697,"AAAAAFm+P3o=")</f>
        <v>#VALUE!</v>
      </c>
      <c r="DT185" t="e">
        <f>AND('GA55 Entry'!G697,"AAAAAFm+P3s=")</f>
        <v>#VALUE!</v>
      </c>
      <c r="DU185" t="e">
        <f>AND('GA55 Entry'!H697,"AAAAAFm+P3w=")</f>
        <v>#VALUE!</v>
      </c>
      <c r="DV185" t="e">
        <f>AND('GA55 Entry'!I697,"AAAAAFm+P30=")</f>
        <v>#VALUE!</v>
      </c>
      <c r="DW185" t="e">
        <f>AND('GA55 Entry'!J697,"AAAAAFm+P34=")</f>
        <v>#VALUE!</v>
      </c>
      <c r="DX185" t="e">
        <f>AND('GA55 Entry'!#REF!,"AAAAAFm+P38=")</f>
        <v>#REF!</v>
      </c>
      <c r="DY185" t="e">
        <f>AND('GA55 Entry'!K697,"AAAAAFm+P4A=")</f>
        <v>#VALUE!</v>
      </c>
      <c r="DZ185" t="e">
        <f>AND('GA55 Entry'!L697,"AAAAAFm+P4E=")</f>
        <v>#VALUE!</v>
      </c>
      <c r="EA185" t="e">
        <f>AND('GA55 Entry'!M697,"AAAAAFm+P4I=")</f>
        <v>#VALUE!</v>
      </c>
      <c r="EB185" t="e">
        <f>AND('GA55 Entry'!N697,"AAAAAFm+P4M=")</f>
        <v>#VALUE!</v>
      </c>
      <c r="EC185" t="e">
        <f>AND('GA55 Entry'!O697,"AAAAAFm+P4Q=")</f>
        <v>#VALUE!</v>
      </c>
      <c r="ED185" t="e">
        <f>AND('GA55 Entry'!P697,"AAAAAFm+P4U=")</f>
        <v>#VALUE!</v>
      </c>
      <c r="EE185" t="e">
        <f>AND('GA55 Entry'!Q697,"AAAAAFm+P4Y=")</f>
        <v>#VALUE!</v>
      </c>
      <c r="EF185" t="e">
        <f>AND('GA55 Entry'!S697,"AAAAAFm+P4c=")</f>
        <v>#VALUE!</v>
      </c>
      <c r="EG185" t="e">
        <f>AND('GA55 Entry'!#REF!,"AAAAAFm+P4g=")</f>
        <v>#REF!</v>
      </c>
      <c r="EH185" t="e">
        <f>AND('GA55 Entry'!T697,"AAAAAFm+P4k=")</f>
        <v>#VALUE!</v>
      </c>
      <c r="EI185" t="e">
        <f>AND('GA55 Entry'!U697,"AAAAAFm+P4o=")</f>
        <v>#VALUE!</v>
      </c>
      <c r="EJ185" t="e">
        <f>AND('GA55 Entry'!V697,"AAAAAFm+P4s=")</f>
        <v>#VALUE!</v>
      </c>
      <c r="EK185" t="e">
        <f>AND('GA55 Entry'!#REF!,"AAAAAFm+P4w=")</f>
        <v>#REF!</v>
      </c>
      <c r="EL185" t="e">
        <f>AND('GA55 Entry'!#REF!,"AAAAAFm+P40=")</f>
        <v>#REF!</v>
      </c>
      <c r="EM185" t="e">
        <f>AND('GA55 Entry'!X697,"AAAAAFm+P44=")</f>
        <v>#VALUE!</v>
      </c>
      <c r="EN185" t="e">
        <f>AND('GA55 Entry'!Y697,"AAAAAFm+P48=")</f>
        <v>#VALUE!</v>
      </c>
      <c r="EO185" t="e">
        <f>AND('GA55 Entry'!#REF!,"AAAAAFm+P5A=")</f>
        <v>#REF!</v>
      </c>
      <c r="EP185" t="e">
        <f>AND('GA55 Entry'!#REF!,"AAAAAFm+P5E=")</f>
        <v>#REF!</v>
      </c>
      <c r="EQ185" t="e">
        <f>AND('GA55 Entry'!#REF!,"AAAAAFm+P5I=")</f>
        <v>#REF!</v>
      </c>
      <c r="ER185" t="e">
        <f>AND('GA55 Entry'!#REF!,"AAAAAFm+P5M=")</f>
        <v>#REF!</v>
      </c>
      <c r="ES185" t="e">
        <f>AND('GA55 Entry'!#REF!,"AAAAAFm+P5Q=")</f>
        <v>#REF!</v>
      </c>
      <c r="ET185" t="e">
        <f>AND('GA55 Entry'!#REF!,"AAAAAFm+P5U=")</f>
        <v>#REF!</v>
      </c>
      <c r="EU185" t="e">
        <f>AND('GA55 Entry'!#REF!,"AAAAAFm+P5Y=")</f>
        <v>#REF!</v>
      </c>
      <c r="EV185" t="e">
        <f>AND('GA55 Entry'!#REF!,"AAAAAFm+P5c=")</f>
        <v>#REF!</v>
      </c>
      <c r="EW185" t="e">
        <f>AND('GA55 Entry'!#REF!,"AAAAAFm+P5g=")</f>
        <v>#REF!</v>
      </c>
      <c r="EX185" t="e">
        <f>AND('GA55 Entry'!Z697,"AAAAAFm+P5k=")</f>
        <v>#VALUE!</v>
      </c>
      <c r="EY185" t="e">
        <f>AND('GA55 Entry'!AA697,"AAAAAFm+P5o=")</f>
        <v>#VALUE!</v>
      </c>
      <c r="EZ185" t="e">
        <f>AND('GA55 Entry'!#REF!,"AAAAAFm+P5s=")</f>
        <v>#REF!</v>
      </c>
      <c r="FA185" t="e">
        <f>AND('GA55 Entry'!#REF!,"AAAAAFm+P5w=")</f>
        <v>#REF!</v>
      </c>
      <c r="FB185" t="e">
        <f>AND('GA55 Entry'!#REF!,"AAAAAFm+P50=")</f>
        <v>#REF!</v>
      </c>
      <c r="FC185" t="e">
        <f>AND('GA55 Entry'!AB697,"AAAAAFm+P54=")</f>
        <v>#VALUE!</v>
      </c>
      <c r="FD185" t="e">
        <f>AND('GA55 Entry'!AC697,"AAAAAFm+P58=")</f>
        <v>#VALUE!</v>
      </c>
      <c r="FE185" t="e">
        <f>AND('GA55 Entry'!#REF!,"AAAAAFm+P6A=")</f>
        <v>#REF!</v>
      </c>
      <c r="FF185">
        <f>IF('GA55 Entry'!698:698,"AAAAAFm+P6E=",0)</f>
        <v>0</v>
      </c>
      <c r="FG185" t="e">
        <f>AND('GA55 Entry'!B698,"AAAAAFm+P6I=")</f>
        <v>#VALUE!</v>
      </c>
      <c r="FH185" t="e">
        <f>AND('GA55 Entry'!#REF!,"AAAAAFm+P6M=")</f>
        <v>#REF!</v>
      </c>
      <c r="FI185" t="e">
        <f>AND('GA55 Entry'!C698,"AAAAAFm+P6Q=")</f>
        <v>#VALUE!</v>
      </c>
      <c r="FJ185" t="e">
        <f>AND('GA55 Entry'!#REF!,"AAAAAFm+P6U=")</f>
        <v>#REF!</v>
      </c>
      <c r="FK185" t="e">
        <f>AND('GA55 Entry'!#REF!,"AAAAAFm+P6Y=")</f>
        <v>#REF!</v>
      </c>
      <c r="FL185" t="e">
        <f>AND('GA55 Entry'!#REF!,"AAAAAFm+P6c=")</f>
        <v>#REF!</v>
      </c>
      <c r="FM185" t="e">
        <f>AND('GA55 Entry'!#REF!,"AAAAAFm+P6g=")</f>
        <v>#REF!</v>
      </c>
      <c r="FN185" t="e">
        <f>AND('GA55 Entry'!#REF!,"AAAAAFm+P6k=")</f>
        <v>#REF!</v>
      </c>
      <c r="FO185" t="e">
        <f>AND('GA55 Entry'!D698,"AAAAAFm+P6o=")</f>
        <v>#VALUE!</v>
      </c>
      <c r="FP185" t="e">
        <f>AND('GA55 Entry'!#REF!,"AAAAAFm+P6s=")</f>
        <v>#REF!</v>
      </c>
      <c r="FQ185" t="e">
        <f>AND('GA55 Entry'!E698,"AAAAAFm+P6w=")</f>
        <v>#VALUE!</v>
      </c>
      <c r="FR185" t="e">
        <f>AND('GA55 Entry'!F698,"AAAAAFm+P60=")</f>
        <v>#VALUE!</v>
      </c>
      <c r="FS185" t="e">
        <f>AND('GA55 Entry'!G698,"AAAAAFm+P64=")</f>
        <v>#VALUE!</v>
      </c>
      <c r="FT185" t="e">
        <f>AND('GA55 Entry'!H698,"AAAAAFm+P68=")</f>
        <v>#VALUE!</v>
      </c>
      <c r="FU185" t="e">
        <f>AND('GA55 Entry'!I698,"AAAAAFm+P7A=")</f>
        <v>#VALUE!</v>
      </c>
      <c r="FV185" t="e">
        <f>AND('GA55 Entry'!J698,"AAAAAFm+P7E=")</f>
        <v>#VALUE!</v>
      </c>
      <c r="FW185" t="e">
        <f>AND('GA55 Entry'!#REF!,"AAAAAFm+P7I=")</f>
        <v>#REF!</v>
      </c>
      <c r="FX185" t="e">
        <f>AND('GA55 Entry'!K698,"AAAAAFm+P7M=")</f>
        <v>#VALUE!</v>
      </c>
      <c r="FY185" t="e">
        <f>AND('GA55 Entry'!L698,"AAAAAFm+P7Q=")</f>
        <v>#VALUE!</v>
      </c>
      <c r="FZ185" t="e">
        <f>AND('GA55 Entry'!M698,"AAAAAFm+P7U=")</f>
        <v>#VALUE!</v>
      </c>
      <c r="GA185" t="e">
        <f>AND('GA55 Entry'!N698,"AAAAAFm+P7Y=")</f>
        <v>#VALUE!</v>
      </c>
      <c r="GB185" t="e">
        <f>AND('GA55 Entry'!O698,"AAAAAFm+P7c=")</f>
        <v>#VALUE!</v>
      </c>
      <c r="GC185" t="e">
        <f>AND('GA55 Entry'!P698,"AAAAAFm+P7g=")</f>
        <v>#VALUE!</v>
      </c>
      <c r="GD185" t="e">
        <f>AND('GA55 Entry'!Q698,"AAAAAFm+P7k=")</f>
        <v>#VALUE!</v>
      </c>
      <c r="GE185" t="e">
        <f>AND('GA55 Entry'!S698,"AAAAAFm+P7o=")</f>
        <v>#VALUE!</v>
      </c>
      <c r="GF185" t="e">
        <f>AND('GA55 Entry'!#REF!,"AAAAAFm+P7s=")</f>
        <v>#REF!</v>
      </c>
      <c r="GG185" t="e">
        <f>AND('GA55 Entry'!T698,"AAAAAFm+P7w=")</f>
        <v>#VALUE!</v>
      </c>
      <c r="GH185" t="e">
        <f>AND('GA55 Entry'!U698,"AAAAAFm+P70=")</f>
        <v>#VALUE!</v>
      </c>
      <c r="GI185" t="e">
        <f>AND('GA55 Entry'!V698,"AAAAAFm+P74=")</f>
        <v>#VALUE!</v>
      </c>
      <c r="GJ185" t="e">
        <f>AND('GA55 Entry'!#REF!,"AAAAAFm+P78=")</f>
        <v>#REF!</v>
      </c>
      <c r="GK185" t="e">
        <f>AND('GA55 Entry'!#REF!,"AAAAAFm+P8A=")</f>
        <v>#REF!</v>
      </c>
      <c r="GL185" t="e">
        <f>AND('GA55 Entry'!X698,"AAAAAFm+P8E=")</f>
        <v>#VALUE!</v>
      </c>
      <c r="GM185" t="e">
        <f>AND('GA55 Entry'!Y698,"AAAAAFm+P8I=")</f>
        <v>#VALUE!</v>
      </c>
      <c r="GN185" t="e">
        <f>AND('GA55 Entry'!#REF!,"AAAAAFm+P8M=")</f>
        <v>#REF!</v>
      </c>
      <c r="GO185" t="e">
        <f>AND('GA55 Entry'!#REF!,"AAAAAFm+P8Q=")</f>
        <v>#REF!</v>
      </c>
      <c r="GP185" t="e">
        <f>AND('GA55 Entry'!#REF!,"AAAAAFm+P8U=")</f>
        <v>#REF!</v>
      </c>
      <c r="GQ185" t="e">
        <f>AND('GA55 Entry'!#REF!,"AAAAAFm+P8Y=")</f>
        <v>#REF!</v>
      </c>
      <c r="GR185" t="e">
        <f>AND('GA55 Entry'!#REF!,"AAAAAFm+P8c=")</f>
        <v>#REF!</v>
      </c>
      <c r="GS185" t="e">
        <f>AND('GA55 Entry'!#REF!,"AAAAAFm+P8g=")</f>
        <v>#REF!</v>
      </c>
      <c r="GT185" t="e">
        <f>AND('GA55 Entry'!#REF!,"AAAAAFm+P8k=")</f>
        <v>#REF!</v>
      </c>
      <c r="GU185" t="e">
        <f>AND('GA55 Entry'!#REF!,"AAAAAFm+P8o=")</f>
        <v>#REF!</v>
      </c>
      <c r="GV185" t="e">
        <f>AND('GA55 Entry'!#REF!,"AAAAAFm+P8s=")</f>
        <v>#REF!</v>
      </c>
      <c r="GW185" t="e">
        <f>AND('GA55 Entry'!Z698,"AAAAAFm+P8w=")</f>
        <v>#VALUE!</v>
      </c>
      <c r="GX185" t="e">
        <f>AND('GA55 Entry'!AA698,"AAAAAFm+P80=")</f>
        <v>#VALUE!</v>
      </c>
      <c r="GY185" t="e">
        <f>AND('GA55 Entry'!#REF!,"AAAAAFm+P84=")</f>
        <v>#REF!</v>
      </c>
      <c r="GZ185" t="e">
        <f>AND('GA55 Entry'!#REF!,"AAAAAFm+P88=")</f>
        <v>#REF!</v>
      </c>
      <c r="HA185" t="e">
        <f>AND('GA55 Entry'!#REF!,"AAAAAFm+P9A=")</f>
        <v>#REF!</v>
      </c>
      <c r="HB185" t="e">
        <f>AND('GA55 Entry'!AB698,"AAAAAFm+P9E=")</f>
        <v>#VALUE!</v>
      </c>
      <c r="HC185" t="e">
        <f>AND('GA55 Entry'!AC698,"AAAAAFm+P9I=")</f>
        <v>#VALUE!</v>
      </c>
      <c r="HD185" t="e">
        <f>AND('GA55 Entry'!#REF!,"AAAAAFm+P9M=")</f>
        <v>#REF!</v>
      </c>
      <c r="HE185">
        <f>IF('GA55 Entry'!699:699,"AAAAAFm+P9Q=",0)</f>
        <v>0</v>
      </c>
      <c r="HF185" t="e">
        <f>AND('GA55 Entry'!B699,"AAAAAFm+P9U=")</f>
        <v>#VALUE!</v>
      </c>
      <c r="HG185" t="e">
        <f>AND('GA55 Entry'!#REF!,"AAAAAFm+P9Y=")</f>
        <v>#REF!</v>
      </c>
      <c r="HH185" t="e">
        <f>AND('GA55 Entry'!C699,"AAAAAFm+P9c=")</f>
        <v>#VALUE!</v>
      </c>
      <c r="HI185" t="e">
        <f>AND('GA55 Entry'!#REF!,"AAAAAFm+P9g=")</f>
        <v>#REF!</v>
      </c>
      <c r="HJ185" t="e">
        <f>AND('GA55 Entry'!#REF!,"AAAAAFm+P9k=")</f>
        <v>#REF!</v>
      </c>
      <c r="HK185" t="e">
        <f>AND('GA55 Entry'!#REF!,"AAAAAFm+P9o=")</f>
        <v>#REF!</v>
      </c>
      <c r="HL185" t="e">
        <f>AND('GA55 Entry'!#REF!,"AAAAAFm+P9s=")</f>
        <v>#REF!</v>
      </c>
      <c r="HM185" t="e">
        <f>AND('GA55 Entry'!#REF!,"AAAAAFm+P9w=")</f>
        <v>#REF!</v>
      </c>
      <c r="HN185" t="e">
        <f>AND('GA55 Entry'!D699,"AAAAAFm+P90=")</f>
        <v>#VALUE!</v>
      </c>
      <c r="HO185" t="e">
        <f>AND('GA55 Entry'!#REF!,"AAAAAFm+P94=")</f>
        <v>#REF!</v>
      </c>
      <c r="HP185" t="e">
        <f>AND('GA55 Entry'!E699,"AAAAAFm+P98=")</f>
        <v>#VALUE!</v>
      </c>
      <c r="HQ185" t="e">
        <f>AND('GA55 Entry'!F699,"AAAAAFm+P+A=")</f>
        <v>#VALUE!</v>
      </c>
      <c r="HR185" t="e">
        <f>AND('GA55 Entry'!G699,"AAAAAFm+P+E=")</f>
        <v>#VALUE!</v>
      </c>
      <c r="HS185" t="e">
        <f>AND('GA55 Entry'!H699,"AAAAAFm+P+I=")</f>
        <v>#VALUE!</v>
      </c>
      <c r="HT185" t="e">
        <f>AND('GA55 Entry'!I699,"AAAAAFm+P+M=")</f>
        <v>#VALUE!</v>
      </c>
      <c r="HU185" t="e">
        <f>AND('GA55 Entry'!J699,"AAAAAFm+P+Q=")</f>
        <v>#VALUE!</v>
      </c>
      <c r="HV185" t="e">
        <f>AND('GA55 Entry'!#REF!,"AAAAAFm+P+U=")</f>
        <v>#REF!</v>
      </c>
      <c r="HW185" t="e">
        <f>AND('GA55 Entry'!K699,"AAAAAFm+P+Y=")</f>
        <v>#VALUE!</v>
      </c>
      <c r="HX185" t="e">
        <f>AND('GA55 Entry'!L699,"AAAAAFm+P+c=")</f>
        <v>#VALUE!</v>
      </c>
      <c r="HY185" t="e">
        <f>AND('GA55 Entry'!M699,"AAAAAFm+P+g=")</f>
        <v>#VALUE!</v>
      </c>
      <c r="HZ185" t="e">
        <f>AND('GA55 Entry'!N699,"AAAAAFm+P+k=")</f>
        <v>#VALUE!</v>
      </c>
      <c r="IA185" t="e">
        <f>AND('GA55 Entry'!O699,"AAAAAFm+P+o=")</f>
        <v>#VALUE!</v>
      </c>
      <c r="IB185" t="e">
        <f>AND('GA55 Entry'!P699,"AAAAAFm+P+s=")</f>
        <v>#VALUE!</v>
      </c>
      <c r="IC185" t="e">
        <f>AND('GA55 Entry'!Q699,"AAAAAFm+P+w=")</f>
        <v>#VALUE!</v>
      </c>
      <c r="ID185" t="e">
        <f>AND('GA55 Entry'!S699,"AAAAAFm+P+0=")</f>
        <v>#VALUE!</v>
      </c>
      <c r="IE185" t="e">
        <f>AND('GA55 Entry'!#REF!,"AAAAAFm+P+4=")</f>
        <v>#REF!</v>
      </c>
      <c r="IF185" t="e">
        <f>AND('GA55 Entry'!T699,"AAAAAFm+P+8=")</f>
        <v>#VALUE!</v>
      </c>
      <c r="IG185" t="e">
        <f>AND('GA55 Entry'!U699,"AAAAAFm+P/A=")</f>
        <v>#VALUE!</v>
      </c>
      <c r="IH185" t="e">
        <f>AND('GA55 Entry'!V699,"AAAAAFm+P/E=")</f>
        <v>#VALUE!</v>
      </c>
      <c r="II185" t="e">
        <f>AND('GA55 Entry'!#REF!,"AAAAAFm+P/I=")</f>
        <v>#REF!</v>
      </c>
      <c r="IJ185" t="e">
        <f>AND('GA55 Entry'!#REF!,"AAAAAFm+P/M=")</f>
        <v>#REF!</v>
      </c>
      <c r="IK185" t="e">
        <f>AND('GA55 Entry'!X699,"AAAAAFm+P/Q=")</f>
        <v>#VALUE!</v>
      </c>
      <c r="IL185" t="e">
        <f>AND('GA55 Entry'!Y699,"AAAAAFm+P/U=")</f>
        <v>#VALUE!</v>
      </c>
      <c r="IM185" t="e">
        <f>AND('GA55 Entry'!#REF!,"AAAAAFm+P/Y=")</f>
        <v>#REF!</v>
      </c>
      <c r="IN185" t="e">
        <f>AND('GA55 Entry'!#REF!,"AAAAAFm+P/c=")</f>
        <v>#REF!</v>
      </c>
      <c r="IO185" t="e">
        <f>AND('GA55 Entry'!#REF!,"AAAAAFm+P/g=")</f>
        <v>#REF!</v>
      </c>
      <c r="IP185" t="e">
        <f>AND('GA55 Entry'!#REF!,"AAAAAFm+P/k=")</f>
        <v>#REF!</v>
      </c>
      <c r="IQ185" t="e">
        <f>AND('GA55 Entry'!#REF!,"AAAAAFm+P/o=")</f>
        <v>#REF!</v>
      </c>
      <c r="IR185" t="e">
        <f>AND('GA55 Entry'!#REF!,"AAAAAFm+P/s=")</f>
        <v>#REF!</v>
      </c>
      <c r="IS185" t="e">
        <f>AND('GA55 Entry'!#REF!,"AAAAAFm+P/w=")</f>
        <v>#REF!</v>
      </c>
      <c r="IT185" t="e">
        <f>AND('GA55 Entry'!#REF!,"AAAAAFm+P/0=")</f>
        <v>#REF!</v>
      </c>
      <c r="IU185" t="e">
        <f>AND('GA55 Entry'!#REF!,"AAAAAFm+P/4=")</f>
        <v>#REF!</v>
      </c>
      <c r="IV185" t="e">
        <f>AND('GA55 Entry'!Z699,"AAAAAFm+P/8=")</f>
        <v>#VALUE!</v>
      </c>
    </row>
    <row r="186" spans="1:256">
      <c r="A186" t="e">
        <f>AND('GA55 Entry'!AA699,"AAAAAH9f6wA=")</f>
        <v>#VALUE!</v>
      </c>
      <c r="B186" t="e">
        <f>AND('GA55 Entry'!#REF!,"AAAAAH9f6wE=")</f>
        <v>#REF!</v>
      </c>
      <c r="C186" t="e">
        <f>AND('GA55 Entry'!#REF!,"AAAAAH9f6wI=")</f>
        <v>#REF!</v>
      </c>
      <c r="D186" t="e">
        <f>AND('GA55 Entry'!#REF!,"AAAAAH9f6wM=")</f>
        <v>#REF!</v>
      </c>
      <c r="E186" t="e">
        <f>AND('GA55 Entry'!AB699,"AAAAAH9f6wQ=")</f>
        <v>#VALUE!</v>
      </c>
      <c r="F186" t="e">
        <f>AND('GA55 Entry'!AC699,"AAAAAH9f6wU=")</f>
        <v>#VALUE!</v>
      </c>
      <c r="G186" t="e">
        <f>AND('GA55 Entry'!#REF!,"AAAAAH9f6wY=")</f>
        <v>#REF!</v>
      </c>
      <c r="H186">
        <f>IF('GA55 Entry'!700:700,"AAAAAH9f6wc=",0)</f>
        <v>0</v>
      </c>
      <c r="I186" t="e">
        <f>AND('GA55 Entry'!B700,"AAAAAH9f6wg=")</f>
        <v>#VALUE!</v>
      </c>
      <c r="J186" t="e">
        <f>AND('GA55 Entry'!#REF!,"AAAAAH9f6wk=")</f>
        <v>#REF!</v>
      </c>
      <c r="K186" t="e">
        <f>AND('GA55 Entry'!C700,"AAAAAH9f6wo=")</f>
        <v>#VALUE!</v>
      </c>
      <c r="L186" t="e">
        <f>AND('GA55 Entry'!#REF!,"AAAAAH9f6ws=")</f>
        <v>#REF!</v>
      </c>
      <c r="M186" t="e">
        <f>AND('GA55 Entry'!#REF!,"AAAAAH9f6ww=")</f>
        <v>#REF!</v>
      </c>
      <c r="N186" t="e">
        <f>AND('GA55 Entry'!#REF!,"AAAAAH9f6w0=")</f>
        <v>#REF!</v>
      </c>
      <c r="O186" t="e">
        <f>AND('GA55 Entry'!#REF!,"AAAAAH9f6w4=")</f>
        <v>#REF!</v>
      </c>
      <c r="P186" t="e">
        <f>AND('GA55 Entry'!#REF!,"AAAAAH9f6w8=")</f>
        <v>#REF!</v>
      </c>
      <c r="Q186" t="e">
        <f>AND('GA55 Entry'!D700,"AAAAAH9f6xA=")</f>
        <v>#VALUE!</v>
      </c>
      <c r="R186" t="e">
        <f>AND('GA55 Entry'!#REF!,"AAAAAH9f6xE=")</f>
        <v>#REF!</v>
      </c>
      <c r="S186" t="e">
        <f>AND('GA55 Entry'!E700,"AAAAAH9f6xI=")</f>
        <v>#VALUE!</v>
      </c>
      <c r="T186" t="e">
        <f>AND('GA55 Entry'!F700,"AAAAAH9f6xM=")</f>
        <v>#VALUE!</v>
      </c>
      <c r="U186" t="e">
        <f>AND('GA55 Entry'!G700,"AAAAAH9f6xQ=")</f>
        <v>#VALUE!</v>
      </c>
      <c r="V186" t="e">
        <f>AND('GA55 Entry'!H700,"AAAAAH9f6xU=")</f>
        <v>#VALUE!</v>
      </c>
      <c r="W186" t="e">
        <f>AND('GA55 Entry'!I700,"AAAAAH9f6xY=")</f>
        <v>#VALUE!</v>
      </c>
      <c r="X186" t="e">
        <f>AND('GA55 Entry'!J700,"AAAAAH9f6xc=")</f>
        <v>#VALUE!</v>
      </c>
      <c r="Y186" t="e">
        <f>AND('GA55 Entry'!#REF!,"AAAAAH9f6xg=")</f>
        <v>#REF!</v>
      </c>
      <c r="Z186" t="e">
        <f>AND('GA55 Entry'!K700,"AAAAAH9f6xk=")</f>
        <v>#VALUE!</v>
      </c>
      <c r="AA186" t="e">
        <f>AND('GA55 Entry'!L700,"AAAAAH9f6xo=")</f>
        <v>#VALUE!</v>
      </c>
      <c r="AB186" t="e">
        <f>AND('GA55 Entry'!M700,"AAAAAH9f6xs=")</f>
        <v>#VALUE!</v>
      </c>
      <c r="AC186" t="e">
        <f>AND('GA55 Entry'!N700,"AAAAAH9f6xw=")</f>
        <v>#VALUE!</v>
      </c>
      <c r="AD186" t="e">
        <f>AND('GA55 Entry'!O700,"AAAAAH9f6x0=")</f>
        <v>#VALUE!</v>
      </c>
      <c r="AE186" t="e">
        <f>AND('GA55 Entry'!P700,"AAAAAH9f6x4=")</f>
        <v>#VALUE!</v>
      </c>
      <c r="AF186" t="e">
        <f>AND('GA55 Entry'!Q700,"AAAAAH9f6x8=")</f>
        <v>#VALUE!</v>
      </c>
      <c r="AG186" t="e">
        <f>AND('GA55 Entry'!S700,"AAAAAH9f6yA=")</f>
        <v>#VALUE!</v>
      </c>
      <c r="AH186" t="e">
        <f>AND('GA55 Entry'!#REF!,"AAAAAH9f6yE=")</f>
        <v>#REF!</v>
      </c>
      <c r="AI186" t="e">
        <f>AND('GA55 Entry'!T700,"AAAAAH9f6yI=")</f>
        <v>#VALUE!</v>
      </c>
      <c r="AJ186" t="e">
        <f>AND('GA55 Entry'!U700,"AAAAAH9f6yM=")</f>
        <v>#VALUE!</v>
      </c>
      <c r="AK186" t="e">
        <f>AND('GA55 Entry'!V700,"AAAAAH9f6yQ=")</f>
        <v>#VALUE!</v>
      </c>
      <c r="AL186" t="e">
        <f>AND('GA55 Entry'!#REF!,"AAAAAH9f6yU=")</f>
        <v>#REF!</v>
      </c>
      <c r="AM186" t="e">
        <f>AND('GA55 Entry'!#REF!,"AAAAAH9f6yY=")</f>
        <v>#REF!</v>
      </c>
      <c r="AN186" t="e">
        <f>AND('GA55 Entry'!X700,"AAAAAH9f6yc=")</f>
        <v>#VALUE!</v>
      </c>
      <c r="AO186" t="e">
        <f>AND('GA55 Entry'!Y700,"AAAAAH9f6yg=")</f>
        <v>#VALUE!</v>
      </c>
      <c r="AP186" t="e">
        <f>AND('GA55 Entry'!#REF!,"AAAAAH9f6yk=")</f>
        <v>#REF!</v>
      </c>
      <c r="AQ186" t="e">
        <f>AND('GA55 Entry'!#REF!,"AAAAAH9f6yo=")</f>
        <v>#REF!</v>
      </c>
      <c r="AR186" t="e">
        <f>AND('GA55 Entry'!#REF!,"AAAAAH9f6ys=")</f>
        <v>#REF!</v>
      </c>
      <c r="AS186" t="e">
        <f>AND('GA55 Entry'!#REF!,"AAAAAH9f6yw=")</f>
        <v>#REF!</v>
      </c>
      <c r="AT186" t="e">
        <f>AND('GA55 Entry'!#REF!,"AAAAAH9f6y0=")</f>
        <v>#REF!</v>
      </c>
      <c r="AU186" t="e">
        <f>AND('GA55 Entry'!#REF!,"AAAAAH9f6y4=")</f>
        <v>#REF!</v>
      </c>
      <c r="AV186" t="e">
        <f>AND('GA55 Entry'!#REF!,"AAAAAH9f6y8=")</f>
        <v>#REF!</v>
      </c>
      <c r="AW186" t="e">
        <f>AND('GA55 Entry'!#REF!,"AAAAAH9f6zA=")</f>
        <v>#REF!</v>
      </c>
      <c r="AX186" t="e">
        <f>AND('GA55 Entry'!#REF!,"AAAAAH9f6zE=")</f>
        <v>#REF!</v>
      </c>
      <c r="AY186" t="e">
        <f>AND('GA55 Entry'!Z700,"AAAAAH9f6zI=")</f>
        <v>#VALUE!</v>
      </c>
      <c r="AZ186" t="e">
        <f>AND('GA55 Entry'!AA700,"AAAAAH9f6zM=")</f>
        <v>#VALUE!</v>
      </c>
      <c r="BA186" t="e">
        <f>AND('GA55 Entry'!#REF!,"AAAAAH9f6zQ=")</f>
        <v>#REF!</v>
      </c>
      <c r="BB186" t="e">
        <f>AND('GA55 Entry'!#REF!,"AAAAAH9f6zU=")</f>
        <v>#REF!</v>
      </c>
      <c r="BC186" t="e">
        <f>AND('GA55 Entry'!#REF!,"AAAAAH9f6zY=")</f>
        <v>#REF!</v>
      </c>
      <c r="BD186" t="e">
        <f>AND('GA55 Entry'!AB700,"AAAAAH9f6zc=")</f>
        <v>#VALUE!</v>
      </c>
      <c r="BE186" t="e">
        <f>AND('GA55 Entry'!AC700,"AAAAAH9f6zg=")</f>
        <v>#VALUE!</v>
      </c>
      <c r="BF186" t="e">
        <f>AND('GA55 Entry'!#REF!,"AAAAAH9f6zk=")</f>
        <v>#REF!</v>
      </c>
      <c r="BG186">
        <f>IF('GA55 Entry'!701:701,"AAAAAH9f6zo=",0)</f>
        <v>0</v>
      </c>
      <c r="BH186" t="e">
        <f>AND('GA55 Entry'!B701,"AAAAAH9f6zs=")</f>
        <v>#VALUE!</v>
      </c>
      <c r="BI186" t="e">
        <f>AND('GA55 Entry'!#REF!,"AAAAAH9f6zw=")</f>
        <v>#REF!</v>
      </c>
      <c r="BJ186" t="e">
        <f>AND('GA55 Entry'!C701,"AAAAAH9f6z0=")</f>
        <v>#VALUE!</v>
      </c>
      <c r="BK186" t="e">
        <f>AND('GA55 Entry'!#REF!,"AAAAAH9f6z4=")</f>
        <v>#REF!</v>
      </c>
      <c r="BL186" t="e">
        <f>AND('GA55 Entry'!#REF!,"AAAAAH9f6z8=")</f>
        <v>#REF!</v>
      </c>
      <c r="BM186" t="e">
        <f>AND('GA55 Entry'!#REF!,"AAAAAH9f60A=")</f>
        <v>#REF!</v>
      </c>
      <c r="BN186" t="e">
        <f>AND('GA55 Entry'!#REF!,"AAAAAH9f60E=")</f>
        <v>#REF!</v>
      </c>
      <c r="BO186" t="e">
        <f>AND('GA55 Entry'!#REF!,"AAAAAH9f60I=")</f>
        <v>#REF!</v>
      </c>
      <c r="BP186" t="e">
        <f>AND('GA55 Entry'!D701,"AAAAAH9f60M=")</f>
        <v>#VALUE!</v>
      </c>
      <c r="BQ186" t="e">
        <f>AND('GA55 Entry'!#REF!,"AAAAAH9f60Q=")</f>
        <v>#REF!</v>
      </c>
      <c r="BR186" t="e">
        <f>AND('GA55 Entry'!E701,"AAAAAH9f60U=")</f>
        <v>#VALUE!</v>
      </c>
      <c r="BS186" t="e">
        <f>AND('GA55 Entry'!F701,"AAAAAH9f60Y=")</f>
        <v>#VALUE!</v>
      </c>
      <c r="BT186" t="e">
        <f>AND('GA55 Entry'!G701,"AAAAAH9f60c=")</f>
        <v>#VALUE!</v>
      </c>
      <c r="BU186" t="e">
        <f>AND('GA55 Entry'!H701,"AAAAAH9f60g=")</f>
        <v>#VALUE!</v>
      </c>
      <c r="BV186" t="e">
        <f>AND('GA55 Entry'!I701,"AAAAAH9f60k=")</f>
        <v>#VALUE!</v>
      </c>
      <c r="BW186" t="e">
        <f>AND('GA55 Entry'!J701,"AAAAAH9f60o=")</f>
        <v>#VALUE!</v>
      </c>
      <c r="BX186" t="e">
        <f>AND('GA55 Entry'!#REF!,"AAAAAH9f60s=")</f>
        <v>#REF!</v>
      </c>
      <c r="BY186" t="e">
        <f>AND('GA55 Entry'!K701,"AAAAAH9f60w=")</f>
        <v>#VALUE!</v>
      </c>
      <c r="BZ186" t="e">
        <f>AND('GA55 Entry'!L701,"AAAAAH9f600=")</f>
        <v>#VALUE!</v>
      </c>
      <c r="CA186" t="e">
        <f>AND('GA55 Entry'!M701,"AAAAAH9f604=")</f>
        <v>#VALUE!</v>
      </c>
      <c r="CB186" t="e">
        <f>AND('GA55 Entry'!N701,"AAAAAH9f608=")</f>
        <v>#VALUE!</v>
      </c>
      <c r="CC186" t="e">
        <f>AND('GA55 Entry'!O701,"AAAAAH9f61A=")</f>
        <v>#VALUE!</v>
      </c>
      <c r="CD186" t="e">
        <f>AND('GA55 Entry'!P701,"AAAAAH9f61E=")</f>
        <v>#VALUE!</v>
      </c>
      <c r="CE186" t="e">
        <f>AND('GA55 Entry'!Q701,"AAAAAH9f61I=")</f>
        <v>#VALUE!</v>
      </c>
      <c r="CF186" t="e">
        <f>AND('GA55 Entry'!S701,"AAAAAH9f61M=")</f>
        <v>#VALUE!</v>
      </c>
      <c r="CG186" t="e">
        <f>AND('GA55 Entry'!#REF!,"AAAAAH9f61Q=")</f>
        <v>#REF!</v>
      </c>
      <c r="CH186" t="e">
        <f>AND('GA55 Entry'!T701,"AAAAAH9f61U=")</f>
        <v>#VALUE!</v>
      </c>
      <c r="CI186" t="e">
        <f>AND('GA55 Entry'!U701,"AAAAAH9f61Y=")</f>
        <v>#VALUE!</v>
      </c>
      <c r="CJ186" t="e">
        <f>AND('GA55 Entry'!V701,"AAAAAH9f61c=")</f>
        <v>#VALUE!</v>
      </c>
      <c r="CK186" t="e">
        <f>AND('GA55 Entry'!#REF!,"AAAAAH9f61g=")</f>
        <v>#REF!</v>
      </c>
      <c r="CL186" t="e">
        <f>AND('GA55 Entry'!#REF!,"AAAAAH9f61k=")</f>
        <v>#REF!</v>
      </c>
      <c r="CM186" t="e">
        <f>AND('GA55 Entry'!X701,"AAAAAH9f61o=")</f>
        <v>#VALUE!</v>
      </c>
      <c r="CN186" t="e">
        <f>AND('GA55 Entry'!Y701,"AAAAAH9f61s=")</f>
        <v>#VALUE!</v>
      </c>
      <c r="CO186" t="e">
        <f>AND('GA55 Entry'!#REF!,"AAAAAH9f61w=")</f>
        <v>#REF!</v>
      </c>
      <c r="CP186" t="e">
        <f>AND('GA55 Entry'!#REF!,"AAAAAH9f610=")</f>
        <v>#REF!</v>
      </c>
      <c r="CQ186" t="e">
        <f>AND('GA55 Entry'!#REF!,"AAAAAH9f614=")</f>
        <v>#REF!</v>
      </c>
      <c r="CR186" t="e">
        <f>AND('GA55 Entry'!#REF!,"AAAAAH9f618=")</f>
        <v>#REF!</v>
      </c>
      <c r="CS186" t="e">
        <f>AND('GA55 Entry'!#REF!,"AAAAAH9f62A=")</f>
        <v>#REF!</v>
      </c>
      <c r="CT186" t="e">
        <f>AND('GA55 Entry'!#REF!,"AAAAAH9f62E=")</f>
        <v>#REF!</v>
      </c>
      <c r="CU186" t="e">
        <f>AND('GA55 Entry'!#REF!,"AAAAAH9f62I=")</f>
        <v>#REF!</v>
      </c>
      <c r="CV186" t="e">
        <f>AND('GA55 Entry'!#REF!,"AAAAAH9f62M=")</f>
        <v>#REF!</v>
      </c>
      <c r="CW186" t="e">
        <f>AND('GA55 Entry'!#REF!,"AAAAAH9f62Q=")</f>
        <v>#REF!</v>
      </c>
      <c r="CX186" t="e">
        <f>AND('GA55 Entry'!Z701,"AAAAAH9f62U=")</f>
        <v>#VALUE!</v>
      </c>
      <c r="CY186" t="e">
        <f>AND('GA55 Entry'!AA701,"AAAAAH9f62Y=")</f>
        <v>#VALUE!</v>
      </c>
      <c r="CZ186" t="e">
        <f>AND('GA55 Entry'!#REF!,"AAAAAH9f62c=")</f>
        <v>#REF!</v>
      </c>
      <c r="DA186" t="e">
        <f>AND('GA55 Entry'!#REF!,"AAAAAH9f62g=")</f>
        <v>#REF!</v>
      </c>
      <c r="DB186" t="e">
        <f>AND('GA55 Entry'!#REF!,"AAAAAH9f62k=")</f>
        <v>#REF!</v>
      </c>
      <c r="DC186" t="e">
        <f>AND('GA55 Entry'!AB701,"AAAAAH9f62o=")</f>
        <v>#VALUE!</v>
      </c>
      <c r="DD186" t="e">
        <f>AND('GA55 Entry'!AC701,"AAAAAH9f62s=")</f>
        <v>#VALUE!</v>
      </c>
      <c r="DE186" t="e">
        <f>AND('GA55 Entry'!#REF!,"AAAAAH9f62w=")</f>
        <v>#REF!</v>
      </c>
      <c r="DF186">
        <f>IF('GA55 Entry'!702:702,"AAAAAH9f620=",0)</f>
        <v>0</v>
      </c>
      <c r="DG186" t="e">
        <f>AND('GA55 Entry'!B702,"AAAAAH9f624=")</f>
        <v>#VALUE!</v>
      </c>
      <c r="DH186" t="e">
        <f>AND('GA55 Entry'!#REF!,"AAAAAH9f628=")</f>
        <v>#REF!</v>
      </c>
      <c r="DI186" t="e">
        <f>AND('GA55 Entry'!C702,"AAAAAH9f63A=")</f>
        <v>#VALUE!</v>
      </c>
      <c r="DJ186" t="e">
        <f>AND('GA55 Entry'!#REF!,"AAAAAH9f63E=")</f>
        <v>#REF!</v>
      </c>
      <c r="DK186" t="e">
        <f>AND('GA55 Entry'!#REF!,"AAAAAH9f63I=")</f>
        <v>#REF!</v>
      </c>
      <c r="DL186" t="e">
        <f>AND('GA55 Entry'!#REF!,"AAAAAH9f63M=")</f>
        <v>#REF!</v>
      </c>
      <c r="DM186" t="e">
        <f>AND('GA55 Entry'!#REF!,"AAAAAH9f63Q=")</f>
        <v>#REF!</v>
      </c>
      <c r="DN186" t="e">
        <f>AND('GA55 Entry'!#REF!,"AAAAAH9f63U=")</f>
        <v>#REF!</v>
      </c>
      <c r="DO186" t="e">
        <f>AND('GA55 Entry'!D702,"AAAAAH9f63Y=")</f>
        <v>#VALUE!</v>
      </c>
      <c r="DP186" t="e">
        <f>AND('GA55 Entry'!#REF!,"AAAAAH9f63c=")</f>
        <v>#REF!</v>
      </c>
      <c r="DQ186" t="e">
        <f>AND('GA55 Entry'!E702,"AAAAAH9f63g=")</f>
        <v>#VALUE!</v>
      </c>
      <c r="DR186" t="e">
        <f>AND('GA55 Entry'!F702,"AAAAAH9f63k=")</f>
        <v>#VALUE!</v>
      </c>
      <c r="DS186" t="e">
        <f>AND('GA55 Entry'!G702,"AAAAAH9f63o=")</f>
        <v>#VALUE!</v>
      </c>
      <c r="DT186" t="e">
        <f>AND('GA55 Entry'!H702,"AAAAAH9f63s=")</f>
        <v>#VALUE!</v>
      </c>
      <c r="DU186" t="e">
        <f>AND('GA55 Entry'!I702,"AAAAAH9f63w=")</f>
        <v>#VALUE!</v>
      </c>
      <c r="DV186" t="e">
        <f>AND('GA55 Entry'!J702,"AAAAAH9f630=")</f>
        <v>#VALUE!</v>
      </c>
      <c r="DW186" t="e">
        <f>AND('GA55 Entry'!#REF!,"AAAAAH9f634=")</f>
        <v>#REF!</v>
      </c>
      <c r="DX186" t="e">
        <f>AND('GA55 Entry'!K702,"AAAAAH9f638=")</f>
        <v>#VALUE!</v>
      </c>
      <c r="DY186" t="e">
        <f>AND('GA55 Entry'!L702,"AAAAAH9f64A=")</f>
        <v>#VALUE!</v>
      </c>
      <c r="DZ186" t="e">
        <f>AND('GA55 Entry'!M702,"AAAAAH9f64E=")</f>
        <v>#VALUE!</v>
      </c>
      <c r="EA186" t="e">
        <f>AND('GA55 Entry'!N702,"AAAAAH9f64I=")</f>
        <v>#VALUE!</v>
      </c>
      <c r="EB186" t="e">
        <f>AND('GA55 Entry'!O702,"AAAAAH9f64M=")</f>
        <v>#VALUE!</v>
      </c>
      <c r="EC186" t="e">
        <f>AND('GA55 Entry'!P702,"AAAAAH9f64Q=")</f>
        <v>#VALUE!</v>
      </c>
      <c r="ED186" t="e">
        <f>AND('GA55 Entry'!Q702,"AAAAAH9f64U=")</f>
        <v>#VALUE!</v>
      </c>
      <c r="EE186" t="e">
        <f>AND('GA55 Entry'!S702,"AAAAAH9f64Y=")</f>
        <v>#VALUE!</v>
      </c>
      <c r="EF186" t="e">
        <f>AND('GA55 Entry'!#REF!,"AAAAAH9f64c=")</f>
        <v>#REF!</v>
      </c>
      <c r="EG186" t="e">
        <f>AND('GA55 Entry'!T702,"AAAAAH9f64g=")</f>
        <v>#VALUE!</v>
      </c>
      <c r="EH186" t="e">
        <f>AND('GA55 Entry'!U702,"AAAAAH9f64k=")</f>
        <v>#VALUE!</v>
      </c>
      <c r="EI186" t="e">
        <f>AND('GA55 Entry'!V702,"AAAAAH9f64o=")</f>
        <v>#VALUE!</v>
      </c>
      <c r="EJ186" t="e">
        <f>AND('GA55 Entry'!#REF!,"AAAAAH9f64s=")</f>
        <v>#REF!</v>
      </c>
      <c r="EK186" t="e">
        <f>AND('GA55 Entry'!#REF!,"AAAAAH9f64w=")</f>
        <v>#REF!</v>
      </c>
      <c r="EL186" t="e">
        <f>AND('GA55 Entry'!X702,"AAAAAH9f640=")</f>
        <v>#VALUE!</v>
      </c>
      <c r="EM186" t="e">
        <f>AND('GA55 Entry'!Y702,"AAAAAH9f644=")</f>
        <v>#VALUE!</v>
      </c>
      <c r="EN186" t="e">
        <f>AND('GA55 Entry'!#REF!,"AAAAAH9f648=")</f>
        <v>#REF!</v>
      </c>
      <c r="EO186" t="e">
        <f>AND('GA55 Entry'!#REF!,"AAAAAH9f65A=")</f>
        <v>#REF!</v>
      </c>
      <c r="EP186" t="e">
        <f>AND('GA55 Entry'!#REF!,"AAAAAH9f65E=")</f>
        <v>#REF!</v>
      </c>
      <c r="EQ186" t="e">
        <f>AND('GA55 Entry'!#REF!,"AAAAAH9f65I=")</f>
        <v>#REF!</v>
      </c>
      <c r="ER186" t="e">
        <f>AND('GA55 Entry'!#REF!,"AAAAAH9f65M=")</f>
        <v>#REF!</v>
      </c>
      <c r="ES186" t="e">
        <f>AND('GA55 Entry'!#REF!,"AAAAAH9f65Q=")</f>
        <v>#REF!</v>
      </c>
      <c r="ET186" t="e">
        <f>AND('GA55 Entry'!#REF!,"AAAAAH9f65U=")</f>
        <v>#REF!</v>
      </c>
      <c r="EU186" t="e">
        <f>AND('GA55 Entry'!#REF!,"AAAAAH9f65Y=")</f>
        <v>#REF!</v>
      </c>
      <c r="EV186" t="e">
        <f>AND('GA55 Entry'!#REF!,"AAAAAH9f65c=")</f>
        <v>#REF!</v>
      </c>
      <c r="EW186" t="e">
        <f>AND('GA55 Entry'!Z702,"AAAAAH9f65g=")</f>
        <v>#VALUE!</v>
      </c>
      <c r="EX186" t="e">
        <f>AND('GA55 Entry'!AA702,"AAAAAH9f65k=")</f>
        <v>#VALUE!</v>
      </c>
      <c r="EY186" t="e">
        <f>AND('GA55 Entry'!#REF!,"AAAAAH9f65o=")</f>
        <v>#REF!</v>
      </c>
      <c r="EZ186" t="e">
        <f>AND('GA55 Entry'!#REF!,"AAAAAH9f65s=")</f>
        <v>#REF!</v>
      </c>
      <c r="FA186" t="e">
        <f>AND('GA55 Entry'!#REF!,"AAAAAH9f65w=")</f>
        <v>#REF!</v>
      </c>
      <c r="FB186" t="e">
        <f>AND('GA55 Entry'!AB702,"AAAAAH9f650=")</f>
        <v>#VALUE!</v>
      </c>
      <c r="FC186" t="e">
        <f>AND('GA55 Entry'!AC702,"AAAAAH9f654=")</f>
        <v>#VALUE!</v>
      </c>
      <c r="FD186" t="e">
        <f>AND('GA55 Entry'!#REF!,"AAAAAH9f658=")</f>
        <v>#REF!</v>
      </c>
      <c r="FE186">
        <f>IF('GA55 Entry'!703:703,"AAAAAH9f66A=",0)</f>
        <v>0</v>
      </c>
      <c r="FF186" t="e">
        <f>AND('GA55 Entry'!B703,"AAAAAH9f66E=")</f>
        <v>#VALUE!</v>
      </c>
      <c r="FG186" t="e">
        <f>AND('GA55 Entry'!#REF!,"AAAAAH9f66I=")</f>
        <v>#REF!</v>
      </c>
      <c r="FH186" t="e">
        <f>AND('GA55 Entry'!C703,"AAAAAH9f66M=")</f>
        <v>#VALUE!</v>
      </c>
      <c r="FI186" t="e">
        <f>AND('GA55 Entry'!#REF!,"AAAAAH9f66Q=")</f>
        <v>#REF!</v>
      </c>
      <c r="FJ186" t="e">
        <f>AND('GA55 Entry'!#REF!,"AAAAAH9f66U=")</f>
        <v>#REF!</v>
      </c>
      <c r="FK186" t="e">
        <f>AND('GA55 Entry'!#REF!,"AAAAAH9f66Y=")</f>
        <v>#REF!</v>
      </c>
      <c r="FL186" t="e">
        <f>AND('GA55 Entry'!#REF!,"AAAAAH9f66c=")</f>
        <v>#REF!</v>
      </c>
      <c r="FM186" t="e">
        <f>AND('GA55 Entry'!#REF!,"AAAAAH9f66g=")</f>
        <v>#REF!</v>
      </c>
      <c r="FN186" t="e">
        <f>AND('GA55 Entry'!D703,"AAAAAH9f66k=")</f>
        <v>#VALUE!</v>
      </c>
      <c r="FO186" t="e">
        <f>AND('GA55 Entry'!#REF!,"AAAAAH9f66o=")</f>
        <v>#REF!</v>
      </c>
      <c r="FP186" t="e">
        <f>AND('GA55 Entry'!E703,"AAAAAH9f66s=")</f>
        <v>#VALUE!</v>
      </c>
      <c r="FQ186" t="e">
        <f>AND('GA55 Entry'!F703,"AAAAAH9f66w=")</f>
        <v>#VALUE!</v>
      </c>
      <c r="FR186" t="e">
        <f>AND('GA55 Entry'!G703,"AAAAAH9f660=")</f>
        <v>#VALUE!</v>
      </c>
      <c r="FS186" t="e">
        <f>AND('GA55 Entry'!H703,"AAAAAH9f664=")</f>
        <v>#VALUE!</v>
      </c>
      <c r="FT186" t="e">
        <f>AND('GA55 Entry'!I703,"AAAAAH9f668=")</f>
        <v>#VALUE!</v>
      </c>
      <c r="FU186" t="e">
        <f>AND('GA55 Entry'!J703,"AAAAAH9f67A=")</f>
        <v>#VALUE!</v>
      </c>
      <c r="FV186" t="e">
        <f>AND('GA55 Entry'!#REF!,"AAAAAH9f67E=")</f>
        <v>#REF!</v>
      </c>
      <c r="FW186" t="e">
        <f>AND('GA55 Entry'!K703,"AAAAAH9f67I=")</f>
        <v>#VALUE!</v>
      </c>
      <c r="FX186" t="e">
        <f>AND('GA55 Entry'!L703,"AAAAAH9f67M=")</f>
        <v>#VALUE!</v>
      </c>
      <c r="FY186" t="e">
        <f>AND('GA55 Entry'!M703,"AAAAAH9f67Q=")</f>
        <v>#VALUE!</v>
      </c>
      <c r="FZ186" t="e">
        <f>AND('GA55 Entry'!N703,"AAAAAH9f67U=")</f>
        <v>#VALUE!</v>
      </c>
      <c r="GA186" t="e">
        <f>AND('GA55 Entry'!O703,"AAAAAH9f67Y=")</f>
        <v>#VALUE!</v>
      </c>
      <c r="GB186" t="e">
        <f>AND('GA55 Entry'!P703,"AAAAAH9f67c=")</f>
        <v>#VALUE!</v>
      </c>
      <c r="GC186" t="e">
        <f>AND('GA55 Entry'!Q703,"AAAAAH9f67g=")</f>
        <v>#VALUE!</v>
      </c>
      <c r="GD186" t="e">
        <f>AND('GA55 Entry'!S703,"AAAAAH9f67k=")</f>
        <v>#VALUE!</v>
      </c>
      <c r="GE186" t="e">
        <f>AND('GA55 Entry'!#REF!,"AAAAAH9f67o=")</f>
        <v>#REF!</v>
      </c>
      <c r="GF186" t="e">
        <f>AND('GA55 Entry'!T703,"AAAAAH9f67s=")</f>
        <v>#VALUE!</v>
      </c>
      <c r="GG186" t="e">
        <f>AND('GA55 Entry'!U703,"AAAAAH9f67w=")</f>
        <v>#VALUE!</v>
      </c>
      <c r="GH186" t="e">
        <f>AND('GA55 Entry'!V703,"AAAAAH9f670=")</f>
        <v>#VALUE!</v>
      </c>
      <c r="GI186" t="e">
        <f>AND('GA55 Entry'!#REF!,"AAAAAH9f674=")</f>
        <v>#REF!</v>
      </c>
      <c r="GJ186" t="e">
        <f>AND('GA55 Entry'!#REF!,"AAAAAH9f678=")</f>
        <v>#REF!</v>
      </c>
      <c r="GK186" t="e">
        <f>AND('GA55 Entry'!X703,"AAAAAH9f68A=")</f>
        <v>#VALUE!</v>
      </c>
      <c r="GL186" t="e">
        <f>AND('GA55 Entry'!Y703,"AAAAAH9f68E=")</f>
        <v>#VALUE!</v>
      </c>
      <c r="GM186" t="e">
        <f>AND('GA55 Entry'!#REF!,"AAAAAH9f68I=")</f>
        <v>#REF!</v>
      </c>
      <c r="GN186" t="e">
        <f>AND('GA55 Entry'!#REF!,"AAAAAH9f68M=")</f>
        <v>#REF!</v>
      </c>
      <c r="GO186" t="e">
        <f>AND('GA55 Entry'!#REF!,"AAAAAH9f68Q=")</f>
        <v>#REF!</v>
      </c>
      <c r="GP186" t="e">
        <f>AND('GA55 Entry'!#REF!,"AAAAAH9f68U=")</f>
        <v>#REF!</v>
      </c>
      <c r="GQ186" t="e">
        <f>AND('GA55 Entry'!#REF!,"AAAAAH9f68Y=")</f>
        <v>#REF!</v>
      </c>
      <c r="GR186" t="e">
        <f>AND('GA55 Entry'!#REF!,"AAAAAH9f68c=")</f>
        <v>#REF!</v>
      </c>
      <c r="GS186" t="e">
        <f>AND('GA55 Entry'!#REF!,"AAAAAH9f68g=")</f>
        <v>#REF!</v>
      </c>
      <c r="GT186" t="e">
        <f>AND('GA55 Entry'!#REF!,"AAAAAH9f68k=")</f>
        <v>#REF!</v>
      </c>
      <c r="GU186" t="e">
        <f>AND('GA55 Entry'!#REF!,"AAAAAH9f68o=")</f>
        <v>#REF!</v>
      </c>
      <c r="GV186" t="e">
        <f>AND('GA55 Entry'!Z703,"AAAAAH9f68s=")</f>
        <v>#VALUE!</v>
      </c>
      <c r="GW186" t="e">
        <f>AND('GA55 Entry'!AA703,"AAAAAH9f68w=")</f>
        <v>#VALUE!</v>
      </c>
      <c r="GX186" t="e">
        <f>AND('GA55 Entry'!#REF!,"AAAAAH9f680=")</f>
        <v>#REF!</v>
      </c>
      <c r="GY186" t="e">
        <f>AND('GA55 Entry'!#REF!,"AAAAAH9f684=")</f>
        <v>#REF!</v>
      </c>
      <c r="GZ186" t="e">
        <f>AND('GA55 Entry'!#REF!,"AAAAAH9f688=")</f>
        <v>#REF!</v>
      </c>
      <c r="HA186" t="e">
        <f>AND('GA55 Entry'!AB703,"AAAAAH9f69A=")</f>
        <v>#VALUE!</v>
      </c>
      <c r="HB186" t="e">
        <f>AND('GA55 Entry'!AC703,"AAAAAH9f69E=")</f>
        <v>#VALUE!</v>
      </c>
      <c r="HC186" t="e">
        <f>AND('GA55 Entry'!#REF!,"AAAAAH9f69I=")</f>
        <v>#REF!</v>
      </c>
      <c r="HD186">
        <f>IF('GA55 Entry'!704:704,"AAAAAH9f69M=",0)</f>
        <v>0</v>
      </c>
      <c r="HE186" t="e">
        <f>AND('GA55 Entry'!B704,"AAAAAH9f69Q=")</f>
        <v>#VALUE!</v>
      </c>
      <c r="HF186" t="e">
        <f>AND('GA55 Entry'!#REF!,"AAAAAH9f69U=")</f>
        <v>#REF!</v>
      </c>
      <c r="HG186" t="e">
        <f>AND('GA55 Entry'!C704,"AAAAAH9f69Y=")</f>
        <v>#VALUE!</v>
      </c>
      <c r="HH186" t="e">
        <f>AND('GA55 Entry'!#REF!,"AAAAAH9f69c=")</f>
        <v>#REF!</v>
      </c>
      <c r="HI186" t="e">
        <f>AND('GA55 Entry'!#REF!,"AAAAAH9f69g=")</f>
        <v>#REF!</v>
      </c>
      <c r="HJ186" t="e">
        <f>AND('GA55 Entry'!#REF!,"AAAAAH9f69k=")</f>
        <v>#REF!</v>
      </c>
      <c r="HK186" t="e">
        <f>AND('GA55 Entry'!#REF!,"AAAAAH9f69o=")</f>
        <v>#REF!</v>
      </c>
      <c r="HL186" t="e">
        <f>AND('GA55 Entry'!#REF!,"AAAAAH9f69s=")</f>
        <v>#REF!</v>
      </c>
      <c r="HM186" t="e">
        <f>AND('GA55 Entry'!D704,"AAAAAH9f69w=")</f>
        <v>#VALUE!</v>
      </c>
      <c r="HN186" t="e">
        <f>AND('GA55 Entry'!#REF!,"AAAAAH9f690=")</f>
        <v>#REF!</v>
      </c>
      <c r="HO186" t="e">
        <f>AND('GA55 Entry'!E704,"AAAAAH9f694=")</f>
        <v>#VALUE!</v>
      </c>
      <c r="HP186" t="e">
        <f>AND('GA55 Entry'!F704,"AAAAAH9f698=")</f>
        <v>#VALUE!</v>
      </c>
      <c r="HQ186" t="e">
        <f>AND('GA55 Entry'!G704,"AAAAAH9f6+A=")</f>
        <v>#VALUE!</v>
      </c>
      <c r="HR186" t="e">
        <f>AND('GA55 Entry'!H704,"AAAAAH9f6+E=")</f>
        <v>#VALUE!</v>
      </c>
      <c r="HS186" t="e">
        <f>AND('GA55 Entry'!I704,"AAAAAH9f6+I=")</f>
        <v>#VALUE!</v>
      </c>
      <c r="HT186" t="e">
        <f>AND('GA55 Entry'!J704,"AAAAAH9f6+M=")</f>
        <v>#VALUE!</v>
      </c>
      <c r="HU186" t="e">
        <f>AND('GA55 Entry'!#REF!,"AAAAAH9f6+Q=")</f>
        <v>#REF!</v>
      </c>
      <c r="HV186" t="e">
        <f>AND('GA55 Entry'!K704,"AAAAAH9f6+U=")</f>
        <v>#VALUE!</v>
      </c>
      <c r="HW186" t="e">
        <f>AND('GA55 Entry'!L704,"AAAAAH9f6+Y=")</f>
        <v>#VALUE!</v>
      </c>
      <c r="HX186" t="e">
        <f>AND('GA55 Entry'!M704,"AAAAAH9f6+c=")</f>
        <v>#VALUE!</v>
      </c>
      <c r="HY186" t="e">
        <f>AND('GA55 Entry'!N704,"AAAAAH9f6+g=")</f>
        <v>#VALUE!</v>
      </c>
      <c r="HZ186" t="e">
        <f>AND('GA55 Entry'!O704,"AAAAAH9f6+k=")</f>
        <v>#VALUE!</v>
      </c>
      <c r="IA186" t="e">
        <f>AND('GA55 Entry'!P704,"AAAAAH9f6+o=")</f>
        <v>#VALUE!</v>
      </c>
      <c r="IB186" t="e">
        <f>AND('GA55 Entry'!Q704,"AAAAAH9f6+s=")</f>
        <v>#VALUE!</v>
      </c>
      <c r="IC186" t="e">
        <f>AND('GA55 Entry'!S704,"AAAAAH9f6+w=")</f>
        <v>#VALUE!</v>
      </c>
      <c r="ID186" t="e">
        <f>AND('GA55 Entry'!#REF!,"AAAAAH9f6+0=")</f>
        <v>#REF!</v>
      </c>
      <c r="IE186" t="e">
        <f>AND('GA55 Entry'!T704,"AAAAAH9f6+4=")</f>
        <v>#VALUE!</v>
      </c>
      <c r="IF186" t="e">
        <f>AND('GA55 Entry'!U704,"AAAAAH9f6+8=")</f>
        <v>#VALUE!</v>
      </c>
      <c r="IG186" t="e">
        <f>AND('GA55 Entry'!V704,"AAAAAH9f6/A=")</f>
        <v>#VALUE!</v>
      </c>
      <c r="IH186" t="e">
        <f>AND('GA55 Entry'!#REF!,"AAAAAH9f6/E=")</f>
        <v>#REF!</v>
      </c>
      <c r="II186" t="e">
        <f>AND('GA55 Entry'!#REF!,"AAAAAH9f6/I=")</f>
        <v>#REF!</v>
      </c>
      <c r="IJ186" t="e">
        <f>AND('GA55 Entry'!X704,"AAAAAH9f6/M=")</f>
        <v>#VALUE!</v>
      </c>
      <c r="IK186" t="e">
        <f>AND('GA55 Entry'!Y704,"AAAAAH9f6/Q=")</f>
        <v>#VALUE!</v>
      </c>
      <c r="IL186" t="e">
        <f>AND('GA55 Entry'!#REF!,"AAAAAH9f6/U=")</f>
        <v>#REF!</v>
      </c>
      <c r="IM186" t="e">
        <f>AND('GA55 Entry'!#REF!,"AAAAAH9f6/Y=")</f>
        <v>#REF!</v>
      </c>
      <c r="IN186" t="e">
        <f>AND('GA55 Entry'!#REF!,"AAAAAH9f6/c=")</f>
        <v>#REF!</v>
      </c>
      <c r="IO186" t="e">
        <f>AND('GA55 Entry'!#REF!,"AAAAAH9f6/g=")</f>
        <v>#REF!</v>
      </c>
      <c r="IP186" t="e">
        <f>AND('GA55 Entry'!#REF!,"AAAAAH9f6/k=")</f>
        <v>#REF!</v>
      </c>
      <c r="IQ186" t="e">
        <f>AND('GA55 Entry'!#REF!,"AAAAAH9f6/o=")</f>
        <v>#REF!</v>
      </c>
      <c r="IR186" t="e">
        <f>AND('GA55 Entry'!#REF!,"AAAAAH9f6/s=")</f>
        <v>#REF!</v>
      </c>
      <c r="IS186" t="e">
        <f>AND('GA55 Entry'!#REF!,"AAAAAH9f6/w=")</f>
        <v>#REF!</v>
      </c>
      <c r="IT186" t="e">
        <f>AND('GA55 Entry'!#REF!,"AAAAAH9f6/0=")</f>
        <v>#REF!</v>
      </c>
      <c r="IU186" t="e">
        <f>AND('GA55 Entry'!Z704,"AAAAAH9f6/4=")</f>
        <v>#VALUE!</v>
      </c>
      <c r="IV186" t="e">
        <f>AND('GA55 Entry'!AA704,"AAAAAH9f6/8=")</f>
        <v>#VALUE!</v>
      </c>
    </row>
    <row r="187" spans="1:256">
      <c r="A187" t="e">
        <f>AND('GA55 Entry'!#REF!,"AAAAAHt7HgA=")</f>
        <v>#REF!</v>
      </c>
      <c r="B187" t="e">
        <f>AND('GA55 Entry'!#REF!,"AAAAAHt7HgE=")</f>
        <v>#REF!</v>
      </c>
      <c r="C187" t="e">
        <f>AND('GA55 Entry'!#REF!,"AAAAAHt7HgI=")</f>
        <v>#REF!</v>
      </c>
      <c r="D187" t="e">
        <f>AND('GA55 Entry'!AB704,"AAAAAHt7HgM=")</f>
        <v>#VALUE!</v>
      </c>
      <c r="E187" t="e">
        <f>AND('GA55 Entry'!AC704,"AAAAAHt7HgQ=")</f>
        <v>#VALUE!</v>
      </c>
      <c r="F187" t="e">
        <f>AND('GA55 Entry'!#REF!,"AAAAAHt7HgU=")</f>
        <v>#REF!</v>
      </c>
      <c r="G187">
        <f>IF('GA55 Entry'!705:705,"AAAAAHt7HgY=",0)</f>
        <v>0</v>
      </c>
      <c r="H187" t="e">
        <f>AND('GA55 Entry'!B705,"AAAAAHt7Hgc=")</f>
        <v>#VALUE!</v>
      </c>
      <c r="I187" t="e">
        <f>AND('GA55 Entry'!#REF!,"AAAAAHt7Hgg=")</f>
        <v>#REF!</v>
      </c>
      <c r="J187" t="e">
        <f>AND('GA55 Entry'!C705,"AAAAAHt7Hgk=")</f>
        <v>#VALUE!</v>
      </c>
      <c r="K187" t="e">
        <f>AND('GA55 Entry'!#REF!,"AAAAAHt7Hgo=")</f>
        <v>#REF!</v>
      </c>
      <c r="L187" t="e">
        <f>AND('GA55 Entry'!#REF!,"AAAAAHt7Hgs=")</f>
        <v>#REF!</v>
      </c>
      <c r="M187" t="e">
        <f>AND('GA55 Entry'!#REF!,"AAAAAHt7Hgw=")</f>
        <v>#REF!</v>
      </c>
      <c r="N187" t="e">
        <f>AND('GA55 Entry'!#REF!,"AAAAAHt7Hg0=")</f>
        <v>#REF!</v>
      </c>
      <c r="O187" t="e">
        <f>AND('GA55 Entry'!#REF!,"AAAAAHt7Hg4=")</f>
        <v>#REF!</v>
      </c>
      <c r="P187" t="e">
        <f>AND('GA55 Entry'!D705,"AAAAAHt7Hg8=")</f>
        <v>#VALUE!</v>
      </c>
      <c r="Q187" t="e">
        <f>AND('GA55 Entry'!#REF!,"AAAAAHt7HhA=")</f>
        <v>#REF!</v>
      </c>
      <c r="R187" t="e">
        <f>AND('GA55 Entry'!E705,"AAAAAHt7HhE=")</f>
        <v>#VALUE!</v>
      </c>
      <c r="S187" t="e">
        <f>AND('GA55 Entry'!F705,"AAAAAHt7HhI=")</f>
        <v>#VALUE!</v>
      </c>
      <c r="T187" t="e">
        <f>AND('GA55 Entry'!G705,"AAAAAHt7HhM=")</f>
        <v>#VALUE!</v>
      </c>
      <c r="U187" t="e">
        <f>AND('GA55 Entry'!H705,"AAAAAHt7HhQ=")</f>
        <v>#VALUE!</v>
      </c>
      <c r="V187" t="e">
        <f>AND('GA55 Entry'!I705,"AAAAAHt7HhU=")</f>
        <v>#VALUE!</v>
      </c>
      <c r="W187" t="e">
        <f>AND('GA55 Entry'!J705,"AAAAAHt7HhY=")</f>
        <v>#VALUE!</v>
      </c>
      <c r="X187" t="e">
        <f>AND('GA55 Entry'!#REF!,"AAAAAHt7Hhc=")</f>
        <v>#REF!</v>
      </c>
      <c r="Y187" t="e">
        <f>AND('GA55 Entry'!K705,"AAAAAHt7Hhg=")</f>
        <v>#VALUE!</v>
      </c>
      <c r="Z187" t="e">
        <f>AND('GA55 Entry'!L705,"AAAAAHt7Hhk=")</f>
        <v>#VALUE!</v>
      </c>
      <c r="AA187" t="e">
        <f>AND('GA55 Entry'!M705,"AAAAAHt7Hho=")</f>
        <v>#VALUE!</v>
      </c>
      <c r="AB187" t="e">
        <f>AND('GA55 Entry'!N705,"AAAAAHt7Hhs=")</f>
        <v>#VALUE!</v>
      </c>
      <c r="AC187" t="e">
        <f>AND('GA55 Entry'!O705,"AAAAAHt7Hhw=")</f>
        <v>#VALUE!</v>
      </c>
      <c r="AD187" t="e">
        <f>AND('GA55 Entry'!P705,"AAAAAHt7Hh0=")</f>
        <v>#VALUE!</v>
      </c>
      <c r="AE187" t="e">
        <f>AND('GA55 Entry'!Q705,"AAAAAHt7Hh4=")</f>
        <v>#VALUE!</v>
      </c>
      <c r="AF187" t="e">
        <f>AND('GA55 Entry'!S705,"AAAAAHt7Hh8=")</f>
        <v>#VALUE!</v>
      </c>
      <c r="AG187" t="e">
        <f>AND('GA55 Entry'!#REF!,"AAAAAHt7HiA=")</f>
        <v>#REF!</v>
      </c>
      <c r="AH187" t="e">
        <f>AND('GA55 Entry'!T705,"AAAAAHt7HiE=")</f>
        <v>#VALUE!</v>
      </c>
      <c r="AI187" t="e">
        <f>AND('GA55 Entry'!U705,"AAAAAHt7HiI=")</f>
        <v>#VALUE!</v>
      </c>
      <c r="AJ187" t="e">
        <f>AND('GA55 Entry'!V705,"AAAAAHt7HiM=")</f>
        <v>#VALUE!</v>
      </c>
      <c r="AK187" t="e">
        <f>AND('GA55 Entry'!#REF!,"AAAAAHt7HiQ=")</f>
        <v>#REF!</v>
      </c>
      <c r="AL187" t="e">
        <f>AND('GA55 Entry'!#REF!,"AAAAAHt7HiU=")</f>
        <v>#REF!</v>
      </c>
      <c r="AM187" t="e">
        <f>AND('GA55 Entry'!X705,"AAAAAHt7HiY=")</f>
        <v>#VALUE!</v>
      </c>
      <c r="AN187" t="e">
        <f>AND('GA55 Entry'!Y705,"AAAAAHt7Hic=")</f>
        <v>#VALUE!</v>
      </c>
      <c r="AO187" t="e">
        <f>AND('GA55 Entry'!#REF!,"AAAAAHt7Hig=")</f>
        <v>#REF!</v>
      </c>
      <c r="AP187" t="e">
        <f>AND('GA55 Entry'!#REF!,"AAAAAHt7Hik=")</f>
        <v>#REF!</v>
      </c>
      <c r="AQ187" t="e">
        <f>AND('GA55 Entry'!#REF!,"AAAAAHt7Hio=")</f>
        <v>#REF!</v>
      </c>
      <c r="AR187" t="e">
        <f>AND('GA55 Entry'!#REF!,"AAAAAHt7His=")</f>
        <v>#REF!</v>
      </c>
      <c r="AS187" t="e">
        <f>AND('GA55 Entry'!#REF!,"AAAAAHt7Hiw=")</f>
        <v>#REF!</v>
      </c>
      <c r="AT187" t="e">
        <f>AND('GA55 Entry'!#REF!,"AAAAAHt7Hi0=")</f>
        <v>#REF!</v>
      </c>
      <c r="AU187" t="e">
        <f>AND('GA55 Entry'!#REF!,"AAAAAHt7Hi4=")</f>
        <v>#REF!</v>
      </c>
      <c r="AV187" t="e">
        <f>AND('GA55 Entry'!#REF!,"AAAAAHt7Hi8=")</f>
        <v>#REF!</v>
      </c>
      <c r="AW187" t="e">
        <f>AND('GA55 Entry'!#REF!,"AAAAAHt7HjA=")</f>
        <v>#REF!</v>
      </c>
      <c r="AX187" t="e">
        <f>AND('GA55 Entry'!Z705,"AAAAAHt7HjE=")</f>
        <v>#VALUE!</v>
      </c>
      <c r="AY187" t="e">
        <f>AND('GA55 Entry'!AA705,"AAAAAHt7HjI=")</f>
        <v>#VALUE!</v>
      </c>
      <c r="AZ187" t="e">
        <f>AND('GA55 Entry'!#REF!,"AAAAAHt7HjM=")</f>
        <v>#REF!</v>
      </c>
      <c r="BA187" t="e">
        <f>AND('GA55 Entry'!#REF!,"AAAAAHt7HjQ=")</f>
        <v>#REF!</v>
      </c>
      <c r="BB187" t="e">
        <f>AND('GA55 Entry'!#REF!,"AAAAAHt7HjU=")</f>
        <v>#REF!</v>
      </c>
      <c r="BC187" t="e">
        <f>AND('GA55 Entry'!AB705,"AAAAAHt7HjY=")</f>
        <v>#VALUE!</v>
      </c>
      <c r="BD187" t="e">
        <f>AND('GA55 Entry'!AC705,"AAAAAHt7Hjc=")</f>
        <v>#VALUE!</v>
      </c>
      <c r="BE187" t="e">
        <f>AND('GA55 Entry'!#REF!,"AAAAAHt7Hjg=")</f>
        <v>#REF!</v>
      </c>
      <c r="BF187">
        <f>IF('GA55 Entry'!706:706,"AAAAAHt7Hjk=",0)</f>
        <v>0</v>
      </c>
      <c r="BG187" t="e">
        <f>AND('GA55 Entry'!B706,"AAAAAHt7Hjo=")</f>
        <v>#VALUE!</v>
      </c>
      <c r="BH187" t="e">
        <f>AND('GA55 Entry'!#REF!,"AAAAAHt7Hjs=")</f>
        <v>#REF!</v>
      </c>
      <c r="BI187" t="e">
        <f>AND('GA55 Entry'!C706,"AAAAAHt7Hjw=")</f>
        <v>#VALUE!</v>
      </c>
      <c r="BJ187" t="e">
        <f>AND('GA55 Entry'!#REF!,"AAAAAHt7Hj0=")</f>
        <v>#REF!</v>
      </c>
      <c r="BK187" t="e">
        <f>AND('GA55 Entry'!#REF!,"AAAAAHt7Hj4=")</f>
        <v>#REF!</v>
      </c>
      <c r="BL187" t="e">
        <f>AND('GA55 Entry'!#REF!,"AAAAAHt7Hj8=")</f>
        <v>#REF!</v>
      </c>
      <c r="BM187" t="e">
        <f>AND('GA55 Entry'!#REF!,"AAAAAHt7HkA=")</f>
        <v>#REF!</v>
      </c>
      <c r="BN187" t="e">
        <f>AND('GA55 Entry'!#REF!,"AAAAAHt7HkE=")</f>
        <v>#REF!</v>
      </c>
      <c r="BO187" t="e">
        <f>AND('GA55 Entry'!D706,"AAAAAHt7HkI=")</f>
        <v>#VALUE!</v>
      </c>
      <c r="BP187" t="e">
        <f>AND('GA55 Entry'!#REF!,"AAAAAHt7HkM=")</f>
        <v>#REF!</v>
      </c>
      <c r="BQ187" t="e">
        <f>AND('GA55 Entry'!E706,"AAAAAHt7HkQ=")</f>
        <v>#VALUE!</v>
      </c>
      <c r="BR187" t="e">
        <f>AND('GA55 Entry'!F706,"AAAAAHt7HkU=")</f>
        <v>#VALUE!</v>
      </c>
      <c r="BS187" t="e">
        <f>AND('GA55 Entry'!G706,"AAAAAHt7HkY=")</f>
        <v>#VALUE!</v>
      </c>
      <c r="BT187" t="e">
        <f>AND('GA55 Entry'!H706,"AAAAAHt7Hkc=")</f>
        <v>#VALUE!</v>
      </c>
      <c r="BU187" t="e">
        <f>AND('GA55 Entry'!I706,"AAAAAHt7Hkg=")</f>
        <v>#VALUE!</v>
      </c>
      <c r="BV187" t="e">
        <f>AND('GA55 Entry'!J706,"AAAAAHt7Hkk=")</f>
        <v>#VALUE!</v>
      </c>
      <c r="BW187" t="e">
        <f>AND('GA55 Entry'!#REF!,"AAAAAHt7Hko=")</f>
        <v>#REF!</v>
      </c>
      <c r="BX187" t="e">
        <f>AND('GA55 Entry'!K706,"AAAAAHt7Hks=")</f>
        <v>#VALUE!</v>
      </c>
      <c r="BY187" t="e">
        <f>AND('GA55 Entry'!L706,"AAAAAHt7Hkw=")</f>
        <v>#VALUE!</v>
      </c>
      <c r="BZ187" t="e">
        <f>AND('GA55 Entry'!M706,"AAAAAHt7Hk0=")</f>
        <v>#VALUE!</v>
      </c>
      <c r="CA187" t="e">
        <f>AND('GA55 Entry'!N706,"AAAAAHt7Hk4=")</f>
        <v>#VALUE!</v>
      </c>
      <c r="CB187" t="e">
        <f>AND('GA55 Entry'!O706,"AAAAAHt7Hk8=")</f>
        <v>#VALUE!</v>
      </c>
      <c r="CC187" t="e">
        <f>AND('GA55 Entry'!P706,"AAAAAHt7HlA=")</f>
        <v>#VALUE!</v>
      </c>
      <c r="CD187" t="e">
        <f>AND('GA55 Entry'!Q706,"AAAAAHt7HlE=")</f>
        <v>#VALUE!</v>
      </c>
      <c r="CE187" t="e">
        <f>AND('GA55 Entry'!S706,"AAAAAHt7HlI=")</f>
        <v>#VALUE!</v>
      </c>
      <c r="CF187" t="e">
        <f>AND('GA55 Entry'!#REF!,"AAAAAHt7HlM=")</f>
        <v>#REF!</v>
      </c>
      <c r="CG187" t="e">
        <f>AND('GA55 Entry'!T706,"AAAAAHt7HlQ=")</f>
        <v>#VALUE!</v>
      </c>
      <c r="CH187" t="e">
        <f>AND('GA55 Entry'!U706,"AAAAAHt7HlU=")</f>
        <v>#VALUE!</v>
      </c>
      <c r="CI187" t="e">
        <f>AND('GA55 Entry'!V706,"AAAAAHt7HlY=")</f>
        <v>#VALUE!</v>
      </c>
      <c r="CJ187" t="e">
        <f>AND('GA55 Entry'!#REF!,"AAAAAHt7Hlc=")</f>
        <v>#REF!</v>
      </c>
      <c r="CK187" t="e">
        <f>AND('GA55 Entry'!#REF!,"AAAAAHt7Hlg=")</f>
        <v>#REF!</v>
      </c>
      <c r="CL187" t="e">
        <f>AND('GA55 Entry'!X706,"AAAAAHt7Hlk=")</f>
        <v>#VALUE!</v>
      </c>
      <c r="CM187" t="e">
        <f>AND('GA55 Entry'!Y706,"AAAAAHt7Hlo=")</f>
        <v>#VALUE!</v>
      </c>
      <c r="CN187" t="e">
        <f>AND('GA55 Entry'!#REF!,"AAAAAHt7Hls=")</f>
        <v>#REF!</v>
      </c>
      <c r="CO187" t="e">
        <f>AND('GA55 Entry'!#REF!,"AAAAAHt7Hlw=")</f>
        <v>#REF!</v>
      </c>
      <c r="CP187" t="e">
        <f>AND('GA55 Entry'!#REF!,"AAAAAHt7Hl0=")</f>
        <v>#REF!</v>
      </c>
      <c r="CQ187" t="e">
        <f>AND('GA55 Entry'!#REF!,"AAAAAHt7Hl4=")</f>
        <v>#REF!</v>
      </c>
      <c r="CR187" t="e">
        <f>AND('GA55 Entry'!#REF!,"AAAAAHt7Hl8=")</f>
        <v>#REF!</v>
      </c>
      <c r="CS187" t="e">
        <f>AND('GA55 Entry'!#REF!,"AAAAAHt7HmA=")</f>
        <v>#REF!</v>
      </c>
      <c r="CT187" t="e">
        <f>AND('GA55 Entry'!#REF!,"AAAAAHt7HmE=")</f>
        <v>#REF!</v>
      </c>
      <c r="CU187" t="e">
        <f>AND('GA55 Entry'!#REF!,"AAAAAHt7HmI=")</f>
        <v>#REF!</v>
      </c>
      <c r="CV187" t="e">
        <f>AND('GA55 Entry'!#REF!,"AAAAAHt7HmM=")</f>
        <v>#REF!</v>
      </c>
      <c r="CW187" t="e">
        <f>AND('GA55 Entry'!Z706,"AAAAAHt7HmQ=")</f>
        <v>#VALUE!</v>
      </c>
      <c r="CX187" t="e">
        <f>AND('GA55 Entry'!AA706,"AAAAAHt7HmU=")</f>
        <v>#VALUE!</v>
      </c>
      <c r="CY187" t="e">
        <f>AND('GA55 Entry'!#REF!,"AAAAAHt7HmY=")</f>
        <v>#REF!</v>
      </c>
      <c r="CZ187" t="e">
        <f>AND('GA55 Entry'!#REF!,"AAAAAHt7Hmc=")</f>
        <v>#REF!</v>
      </c>
      <c r="DA187" t="e">
        <f>AND('GA55 Entry'!#REF!,"AAAAAHt7Hmg=")</f>
        <v>#REF!</v>
      </c>
      <c r="DB187" t="e">
        <f>AND('GA55 Entry'!AB706,"AAAAAHt7Hmk=")</f>
        <v>#VALUE!</v>
      </c>
      <c r="DC187" t="e">
        <f>AND('GA55 Entry'!AC706,"AAAAAHt7Hmo=")</f>
        <v>#VALUE!</v>
      </c>
      <c r="DD187" t="e">
        <f>AND('GA55 Entry'!#REF!,"AAAAAHt7Hms=")</f>
        <v>#REF!</v>
      </c>
      <c r="DE187">
        <f>IF('GA55 Entry'!707:707,"AAAAAHt7Hmw=",0)</f>
        <v>0</v>
      </c>
      <c r="DF187" t="e">
        <f>AND('GA55 Entry'!B707,"AAAAAHt7Hm0=")</f>
        <v>#VALUE!</v>
      </c>
      <c r="DG187" t="e">
        <f>AND('GA55 Entry'!#REF!,"AAAAAHt7Hm4=")</f>
        <v>#REF!</v>
      </c>
      <c r="DH187" t="e">
        <f>AND('GA55 Entry'!C707,"AAAAAHt7Hm8=")</f>
        <v>#VALUE!</v>
      </c>
      <c r="DI187" t="e">
        <f>AND('GA55 Entry'!#REF!,"AAAAAHt7HnA=")</f>
        <v>#REF!</v>
      </c>
      <c r="DJ187" t="e">
        <f>AND('GA55 Entry'!#REF!,"AAAAAHt7HnE=")</f>
        <v>#REF!</v>
      </c>
      <c r="DK187" t="e">
        <f>AND('GA55 Entry'!#REF!,"AAAAAHt7HnI=")</f>
        <v>#REF!</v>
      </c>
      <c r="DL187" t="e">
        <f>AND('GA55 Entry'!#REF!,"AAAAAHt7HnM=")</f>
        <v>#REF!</v>
      </c>
      <c r="DM187" t="e">
        <f>AND('GA55 Entry'!#REF!,"AAAAAHt7HnQ=")</f>
        <v>#REF!</v>
      </c>
      <c r="DN187" t="e">
        <f>AND('GA55 Entry'!D707,"AAAAAHt7HnU=")</f>
        <v>#VALUE!</v>
      </c>
      <c r="DO187" t="e">
        <f>AND('GA55 Entry'!#REF!,"AAAAAHt7HnY=")</f>
        <v>#REF!</v>
      </c>
      <c r="DP187" t="e">
        <f>AND('GA55 Entry'!E707,"AAAAAHt7Hnc=")</f>
        <v>#VALUE!</v>
      </c>
      <c r="DQ187" t="e">
        <f>AND('GA55 Entry'!F707,"AAAAAHt7Hng=")</f>
        <v>#VALUE!</v>
      </c>
      <c r="DR187" t="e">
        <f>AND('GA55 Entry'!G707,"AAAAAHt7Hnk=")</f>
        <v>#VALUE!</v>
      </c>
      <c r="DS187" t="e">
        <f>AND('GA55 Entry'!H707,"AAAAAHt7Hno=")</f>
        <v>#VALUE!</v>
      </c>
      <c r="DT187" t="e">
        <f>AND('GA55 Entry'!I707,"AAAAAHt7Hns=")</f>
        <v>#VALUE!</v>
      </c>
      <c r="DU187" t="e">
        <f>AND('GA55 Entry'!J707,"AAAAAHt7Hnw=")</f>
        <v>#VALUE!</v>
      </c>
      <c r="DV187" t="e">
        <f>AND('GA55 Entry'!#REF!,"AAAAAHt7Hn0=")</f>
        <v>#REF!</v>
      </c>
      <c r="DW187" t="e">
        <f>AND('GA55 Entry'!K707,"AAAAAHt7Hn4=")</f>
        <v>#VALUE!</v>
      </c>
      <c r="DX187" t="e">
        <f>AND('GA55 Entry'!L707,"AAAAAHt7Hn8=")</f>
        <v>#VALUE!</v>
      </c>
      <c r="DY187" t="e">
        <f>AND('GA55 Entry'!M707,"AAAAAHt7HoA=")</f>
        <v>#VALUE!</v>
      </c>
      <c r="DZ187" t="e">
        <f>AND('GA55 Entry'!N707,"AAAAAHt7HoE=")</f>
        <v>#VALUE!</v>
      </c>
      <c r="EA187" t="e">
        <f>AND('GA55 Entry'!O707,"AAAAAHt7HoI=")</f>
        <v>#VALUE!</v>
      </c>
      <c r="EB187" t="e">
        <f>AND('GA55 Entry'!P707,"AAAAAHt7HoM=")</f>
        <v>#VALUE!</v>
      </c>
      <c r="EC187" t="e">
        <f>AND('GA55 Entry'!Q707,"AAAAAHt7HoQ=")</f>
        <v>#VALUE!</v>
      </c>
      <c r="ED187" t="e">
        <f>AND('GA55 Entry'!S707,"AAAAAHt7HoU=")</f>
        <v>#VALUE!</v>
      </c>
      <c r="EE187" t="e">
        <f>AND('GA55 Entry'!#REF!,"AAAAAHt7HoY=")</f>
        <v>#REF!</v>
      </c>
      <c r="EF187" t="e">
        <f>AND('GA55 Entry'!T707,"AAAAAHt7Hoc=")</f>
        <v>#VALUE!</v>
      </c>
      <c r="EG187" t="e">
        <f>AND('GA55 Entry'!U707,"AAAAAHt7Hog=")</f>
        <v>#VALUE!</v>
      </c>
      <c r="EH187" t="e">
        <f>AND('GA55 Entry'!V707,"AAAAAHt7Hok=")</f>
        <v>#VALUE!</v>
      </c>
      <c r="EI187" t="e">
        <f>AND('GA55 Entry'!#REF!,"AAAAAHt7Hoo=")</f>
        <v>#REF!</v>
      </c>
      <c r="EJ187" t="e">
        <f>AND('GA55 Entry'!#REF!,"AAAAAHt7Hos=")</f>
        <v>#REF!</v>
      </c>
      <c r="EK187" t="e">
        <f>AND('GA55 Entry'!X707,"AAAAAHt7How=")</f>
        <v>#VALUE!</v>
      </c>
      <c r="EL187" t="e">
        <f>AND('GA55 Entry'!Y707,"AAAAAHt7Ho0=")</f>
        <v>#VALUE!</v>
      </c>
      <c r="EM187" t="e">
        <f>AND('GA55 Entry'!#REF!,"AAAAAHt7Ho4=")</f>
        <v>#REF!</v>
      </c>
      <c r="EN187" t="e">
        <f>AND('GA55 Entry'!#REF!,"AAAAAHt7Ho8=")</f>
        <v>#REF!</v>
      </c>
      <c r="EO187" t="e">
        <f>AND('GA55 Entry'!#REF!,"AAAAAHt7HpA=")</f>
        <v>#REF!</v>
      </c>
      <c r="EP187" t="e">
        <f>AND('GA55 Entry'!#REF!,"AAAAAHt7HpE=")</f>
        <v>#REF!</v>
      </c>
      <c r="EQ187" t="e">
        <f>AND('GA55 Entry'!#REF!,"AAAAAHt7HpI=")</f>
        <v>#REF!</v>
      </c>
      <c r="ER187" t="e">
        <f>AND('GA55 Entry'!#REF!,"AAAAAHt7HpM=")</f>
        <v>#REF!</v>
      </c>
      <c r="ES187" t="e">
        <f>AND('GA55 Entry'!#REF!,"AAAAAHt7HpQ=")</f>
        <v>#REF!</v>
      </c>
      <c r="ET187" t="e">
        <f>AND('GA55 Entry'!#REF!,"AAAAAHt7HpU=")</f>
        <v>#REF!</v>
      </c>
      <c r="EU187" t="e">
        <f>AND('GA55 Entry'!#REF!,"AAAAAHt7HpY=")</f>
        <v>#REF!</v>
      </c>
      <c r="EV187" t="e">
        <f>AND('GA55 Entry'!Z707,"AAAAAHt7Hpc=")</f>
        <v>#VALUE!</v>
      </c>
      <c r="EW187" t="e">
        <f>AND('GA55 Entry'!AA707,"AAAAAHt7Hpg=")</f>
        <v>#VALUE!</v>
      </c>
      <c r="EX187" t="e">
        <f>AND('GA55 Entry'!#REF!,"AAAAAHt7Hpk=")</f>
        <v>#REF!</v>
      </c>
      <c r="EY187" t="e">
        <f>AND('GA55 Entry'!#REF!,"AAAAAHt7Hpo=")</f>
        <v>#REF!</v>
      </c>
      <c r="EZ187" t="e">
        <f>AND('GA55 Entry'!#REF!,"AAAAAHt7Hps=")</f>
        <v>#REF!</v>
      </c>
      <c r="FA187" t="e">
        <f>AND('GA55 Entry'!AB707,"AAAAAHt7Hpw=")</f>
        <v>#VALUE!</v>
      </c>
      <c r="FB187" t="e">
        <f>AND('GA55 Entry'!AC707,"AAAAAHt7Hp0=")</f>
        <v>#VALUE!</v>
      </c>
      <c r="FC187" t="e">
        <f>AND('GA55 Entry'!#REF!,"AAAAAHt7Hp4=")</f>
        <v>#REF!</v>
      </c>
      <c r="FD187">
        <f>IF('GA55 Entry'!708:708,"AAAAAHt7Hp8=",0)</f>
        <v>0</v>
      </c>
      <c r="FE187" t="e">
        <f>AND('GA55 Entry'!B708,"AAAAAHt7HqA=")</f>
        <v>#VALUE!</v>
      </c>
      <c r="FF187" t="e">
        <f>AND('GA55 Entry'!#REF!,"AAAAAHt7HqE=")</f>
        <v>#REF!</v>
      </c>
      <c r="FG187" t="e">
        <f>AND('GA55 Entry'!C708,"AAAAAHt7HqI=")</f>
        <v>#VALUE!</v>
      </c>
      <c r="FH187" t="e">
        <f>AND('GA55 Entry'!#REF!,"AAAAAHt7HqM=")</f>
        <v>#REF!</v>
      </c>
      <c r="FI187" t="e">
        <f>AND('GA55 Entry'!#REF!,"AAAAAHt7HqQ=")</f>
        <v>#REF!</v>
      </c>
      <c r="FJ187" t="e">
        <f>AND('GA55 Entry'!#REF!,"AAAAAHt7HqU=")</f>
        <v>#REF!</v>
      </c>
      <c r="FK187" t="e">
        <f>AND('GA55 Entry'!#REF!,"AAAAAHt7HqY=")</f>
        <v>#REF!</v>
      </c>
      <c r="FL187" t="e">
        <f>AND('GA55 Entry'!#REF!,"AAAAAHt7Hqc=")</f>
        <v>#REF!</v>
      </c>
      <c r="FM187" t="e">
        <f>AND('GA55 Entry'!D708,"AAAAAHt7Hqg=")</f>
        <v>#VALUE!</v>
      </c>
      <c r="FN187" t="e">
        <f>AND('GA55 Entry'!#REF!,"AAAAAHt7Hqk=")</f>
        <v>#REF!</v>
      </c>
      <c r="FO187" t="e">
        <f>AND('GA55 Entry'!E708,"AAAAAHt7Hqo=")</f>
        <v>#VALUE!</v>
      </c>
      <c r="FP187" t="e">
        <f>AND('GA55 Entry'!F708,"AAAAAHt7Hqs=")</f>
        <v>#VALUE!</v>
      </c>
      <c r="FQ187" t="e">
        <f>AND('GA55 Entry'!G708,"AAAAAHt7Hqw=")</f>
        <v>#VALUE!</v>
      </c>
      <c r="FR187" t="e">
        <f>AND('GA55 Entry'!H708,"AAAAAHt7Hq0=")</f>
        <v>#VALUE!</v>
      </c>
      <c r="FS187" t="e">
        <f>AND('GA55 Entry'!I708,"AAAAAHt7Hq4=")</f>
        <v>#VALUE!</v>
      </c>
      <c r="FT187" t="e">
        <f>AND('GA55 Entry'!J708,"AAAAAHt7Hq8=")</f>
        <v>#VALUE!</v>
      </c>
      <c r="FU187" t="e">
        <f>AND('GA55 Entry'!#REF!,"AAAAAHt7HrA=")</f>
        <v>#REF!</v>
      </c>
      <c r="FV187" t="e">
        <f>AND('GA55 Entry'!K708,"AAAAAHt7HrE=")</f>
        <v>#VALUE!</v>
      </c>
      <c r="FW187" t="e">
        <f>AND('GA55 Entry'!L708,"AAAAAHt7HrI=")</f>
        <v>#VALUE!</v>
      </c>
      <c r="FX187" t="e">
        <f>AND('GA55 Entry'!M708,"AAAAAHt7HrM=")</f>
        <v>#VALUE!</v>
      </c>
      <c r="FY187" t="e">
        <f>AND('GA55 Entry'!N708,"AAAAAHt7HrQ=")</f>
        <v>#VALUE!</v>
      </c>
      <c r="FZ187" t="e">
        <f>AND('GA55 Entry'!O708,"AAAAAHt7HrU=")</f>
        <v>#VALUE!</v>
      </c>
      <c r="GA187" t="e">
        <f>AND('GA55 Entry'!P708,"AAAAAHt7HrY=")</f>
        <v>#VALUE!</v>
      </c>
      <c r="GB187" t="e">
        <f>AND('GA55 Entry'!Q708,"AAAAAHt7Hrc=")</f>
        <v>#VALUE!</v>
      </c>
      <c r="GC187" t="e">
        <f>AND('GA55 Entry'!S708,"AAAAAHt7Hrg=")</f>
        <v>#VALUE!</v>
      </c>
      <c r="GD187" t="e">
        <f>AND('GA55 Entry'!#REF!,"AAAAAHt7Hrk=")</f>
        <v>#REF!</v>
      </c>
      <c r="GE187" t="e">
        <f>AND('GA55 Entry'!T708,"AAAAAHt7Hro=")</f>
        <v>#VALUE!</v>
      </c>
      <c r="GF187" t="e">
        <f>AND('GA55 Entry'!U708,"AAAAAHt7Hrs=")</f>
        <v>#VALUE!</v>
      </c>
      <c r="GG187" t="e">
        <f>AND('GA55 Entry'!V708,"AAAAAHt7Hrw=")</f>
        <v>#VALUE!</v>
      </c>
      <c r="GH187" t="e">
        <f>AND('GA55 Entry'!#REF!,"AAAAAHt7Hr0=")</f>
        <v>#REF!</v>
      </c>
      <c r="GI187" t="e">
        <f>AND('GA55 Entry'!#REF!,"AAAAAHt7Hr4=")</f>
        <v>#REF!</v>
      </c>
      <c r="GJ187" t="e">
        <f>AND('GA55 Entry'!X708,"AAAAAHt7Hr8=")</f>
        <v>#VALUE!</v>
      </c>
      <c r="GK187" t="e">
        <f>AND('GA55 Entry'!Y708,"AAAAAHt7HsA=")</f>
        <v>#VALUE!</v>
      </c>
      <c r="GL187" t="e">
        <f>AND('GA55 Entry'!#REF!,"AAAAAHt7HsE=")</f>
        <v>#REF!</v>
      </c>
      <c r="GM187" t="e">
        <f>AND('GA55 Entry'!#REF!,"AAAAAHt7HsI=")</f>
        <v>#REF!</v>
      </c>
      <c r="GN187" t="e">
        <f>AND('GA55 Entry'!#REF!,"AAAAAHt7HsM=")</f>
        <v>#REF!</v>
      </c>
      <c r="GO187" t="e">
        <f>AND('GA55 Entry'!#REF!,"AAAAAHt7HsQ=")</f>
        <v>#REF!</v>
      </c>
      <c r="GP187" t="e">
        <f>AND('GA55 Entry'!#REF!,"AAAAAHt7HsU=")</f>
        <v>#REF!</v>
      </c>
      <c r="GQ187" t="e">
        <f>AND('GA55 Entry'!#REF!,"AAAAAHt7HsY=")</f>
        <v>#REF!</v>
      </c>
      <c r="GR187" t="e">
        <f>AND('GA55 Entry'!#REF!,"AAAAAHt7Hsc=")</f>
        <v>#REF!</v>
      </c>
      <c r="GS187" t="e">
        <f>AND('GA55 Entry'!#REF!,"AAAAAHt7Hsg=")</f>
        <v>#REF!</v>
      </c>
      <c r="GT187" t="e">
        <f>AND('GA55 Entry'!#REF!,"AAAAAHt7Hsk=")</f>
        <v>#REF!</v>
      </c>
      <c r="GU187" t="e">
        <f>AND('GA55 Entry'!Z708,"AAAAAHt7Hso=")</f>
        <v>#VALUE!</v>
      </c>
      <c r="GV187" t="e">
        <f>AND('GA55 Entry'!AA708,"AAAAAHt7Hss=")</f>
        <v>#VALUE!</v>
      </c>
      <c r="GW187" t="e">
        <f>AND('GA55 Entry'!#REF!,"AAAAAHt7Hsw=")</f>
        <v>#REF!</v>
      </c>
      <c r="GX187" t="e">
        <f>AND('GA55 Entry'!#REF!,"AAAAAHt7Hs0=")</f>
        <v>#REF!</v>
      </c>
      <c r="GY187" t="e">
        <f>AND('GA55 Entry'!#REF!,"AAAAAHt7Hs4=")</f>
        <v>#REF!</v>
      </c>
      <c r="GZ187" t="e">
        <f>AND('GA55 Entry'!AB708,"AAAAAHt7Hs8=")</f>
        <v>#VALUE!</v>
      </c>
      <c r="HA187" t="e">
        <f>AND('GA55 Entry'!AC708,"AAAAAHt7HtA=")</f>
        <v>#VALUE!</v>
      </c>
      <c r="HB187" t="e">
        <f>AND('GA55 Entry'!#REF!,"AAAAAHt7HtE=")</f>
        <v>#REF!</v>
      </c>
      <c r="HC187">
        <f>IF('GA55 Entry'!709:709,"AAAAAHt7HtI=",0)</f>
        <v>0</v>
      </c>
      <c r="HD187" t="e">
        <f>AND('GA55 Entry'!B709,"AAAAAHt7HtM=")</f>
        <v>#VALUE!</v>
      </c>
      <c r="HE187" t="e">
        <f>AND('GA55 Entry'!#REF!,"AAAAAHt7HtQ=")</f>
        <v>#REF!</v>
      </c>
      <c r="HF187" t="e">
        <f>AND('GA55 Entry'!C709,"AAAAAHt7HtU=")</f>
        <v>#VALUE!</v>
      </c>
      <c r="HG187" t="e">
        <f>AND('GA55 Entry'!#REF!,"AAAAAHt7HtY=")</f>
        <v>#REF!</v>
      </c>
      <c r="HH187" t="e">
        <f>AND('GA55 Entry'!#REF!,"AAAAAHt7Htc=")</f>
        <v>#REF!</v>
      </c>
      <c r="HI187" t="e">
        <f>AND('GA55 Entry'!#REF!,"AAAAAHt7Htg=")</f>
        <v>#REF!</v>
      </c>
      <c r="HJ187" t="e">
        <f>AND('GA55 Entry'!#REF!,"AAAAAHt7Htk=")</f>
        <v>#REF!</v>
      </c>
      <c r="HK187" t="e">
        <f>AND('GA55 Entry'!#REF!,"AAAAAHt7Hto=")</f>
        <v>#REF!</v>
      </c>
      <c r="HL187" t="e">
        <f>AND('GA55 Entry'!D709,"AAAAAHt7Hts=")</f>
        <v>#VALUE!</v>
      </c>
      <c r="HM187" t="e">
        <f>AND('GA55 Entry'!#REF!,"AAAAAHt7Htw=")</f>
        <v>#REF!</v>
      </c>
      <c r="HN187" t="e">
        <f>AND('GA55 Entry'!E709,"AAAAAHt7Ht0=")</f>
        <v>#VALUE!</v>
      </c>
      <c r="HO187" t="e">
        <f>AND('GA55 Entry'!F709,"AAAAAHt7Ht4=")</f>
        <v>#VALUE!</v>
      </c>
      <c r="HP187" t="e">
        <f>AND('GA55 Entry'!G709,"AAAAAHt7Ht8=")</f>
        <v>#VALUE!</v>
      </c>
      <c r="HQ187" t="e">
        <f>AND('GA55 Entry'!H709,"AAAAAHt7HuA=")</f>
        <v>#VALUE!</v>
      </c>
      <c r="HR187" t="e">
        <f>AND('GA55 Entry'!I709,"AAAAAHt7HuE=")</f>
        <v>#VALUE!</v>
      </c>
      <c r="HS187" t="e">
        <f>AND('GA55 Entry'!J709,"AAAAAHt7HuI=")</f>
        <v>#VALUE!</v>
      </c>
      <c r="HT187" t="e">
        <f>AND('GA55 Entry'!#REF!,"AAAAAHt7HuM=")</f>
        <v>#REF!</v>
      </c>
      <c r="HU187" t="e">
        <f>AND('GA55 Entry'!K709,"AAAAAHt7HuQ=")</f>
        <v>#VALUE!</v>
      </c>
      <c r="HV187" t="e">
        <f>AND('GA55 Entry'!L709,"AAAAAHt7HuU=")</f>
        <v>#VALUE!</v>
      </c>
      <c r="HW187" t="e">
        <f>AND('GA55 Entry'!M709,"AAAAAHt7HuY=")</f>
        <v>#VALUE!</v>
      </c>
      <c r="HX187" t="e">
        <f>AND('GA55 Entry'!N709,"AAAAAHt7Huc=")</f>
        <v>#VALUE!</v>
      </c>
      <c r="HY187" t="e">
        <f>AND('GA55 Entry'!O709,"AAAAAHt7Hug=")</f>
        <v>#VALUE!</v>
      </c>
      <c r="HZ187" t="e">
        <f>AND('GA55 Entry'!P709,"AAAAAHt7Huk=")</f>
        <v>#VALUE!</v>
      </c>
      <c r="IA187" t="e">
        <f>AND('GA55 Entry'!Q709,"AAAAAHt7Huo=")</f>
        <v>#VALUE!</v>
      </c>
      <c r="IB187" t="e">
        <f>AND('GA55 Entry'!S709,"AAAAAHt7Hus=")</f>
        <v>#VALUE!</v>
      </c>
      <c r="IC187" t="e">
        <f>AND('GA55 Entry'!#REF!,"AAAAAHt7Huw=")</f>
        <v>#REF!</v>
      </c>
      <c r="ID187" t="e">
        <f>AND('GA55 Entry'!T709,"AAAAAHt7Hu0=")</f>
        <v>#VALUE!</v>
      </c>
      <c r="IE187" t="e">
        <f>AND('GA55 Entry'!U709,"AAAAAHt7Hu4=")</f>
        <v>#VALUE!</v>
      </c>
      <c r="IF187" t="e">
        <f>AND('GA55 Entry'!V709,"AAAAAHt7Hu8=")</f>
        <v>#VALUE!</v>
      </c>
      <c r="IG187" t="e">
        <f>AND('GA55 Entry'!#REF!,"AAAAAHt7HvA=")</f>
        <v>#REF!</v>
      </c>
      <c r="IH187" t="e">
        <f>AND('GA55 Entry'!#REF!,"AAAAAHt7HvE=")</f>
        <v>#REF!</v>
      </c>
      <c r="II187" t="e">
        <f>AND('GA55 Entry'!X709,"AAAAAHt7HvI=")</f>
        <v>#VALUE!</v>
      </c>
      <c r="IJ187" t="e">
        <f>AND('GA55 Entry'!Y709,"AAAAAHt7HvM=")</f>
        <v>#VALUE!</v>
      </c>
      <c r="IK187" t="e">
        <f>AND('GA55 Entry'!#REF!,"AAAAAHt7HvQ=")</f>
        <v>#REF!</v>
      </c>
      <c r="IL187" t="e">
        <f>AND('GA55 Entry'!#REF!,"AAAAAHt7HvU=")</f>
        <v>#REF!</v>
      </c>
      <c r="IM187" t="e">
        <f>AND('GA55 Entry'!#REF!,"AAAAAHt7HvY=")</f>
        <v>#REF!</v>
      </c>
      <c r="IN187" t="e">
        <f>AND('GA55 Entry'!#REF!,"AAAAAHt7Hvc=")</f>
        <v>#REF!</v>
      </c>
      <c r="IO187" t="e">
        <f>AND('GA55 Entry'!#REF!,"AAAAAHt7Hvg=")</f>
        <v>#REF!</v>
      </c>
      <c r="IP187" t="e">
        <f>AND('GA55 Entry'!#REF!,"AAAAAHt7Hvk=")</f>
        <v>#REF!</v>
      </c>
      <c r="IQ187" t="e">
        <f>AND('GA55 Entry'!#REF!,"AAAAAHt7Hvo=")</f>
        <v>#REF!</v>
      </c>
      <c r="IR187" t="e">
        <f>AND('GA55 Entry'!#REF!,"AAAAAHt7Hvs=")</f>
        <v>#REF!</v>
      </c>
      <c r="IS187" t="e">
        <f>AND('GA55 Entry'!#REF!,"AAAAAHt7Hvw=")</f>
        <v>#REF!</v>
      </c>
      <c r="IT187" t="e">
        <f>AND('GA55 Entry'!Z709,"AAAAAHt7Hv0=")</f>
        <v>#VALUE!</v>
      </c>
      <c r="IU187" t="e">
        <f>AND('GA55 Entry'!AA709,"AAAAAHt7Hv4=")</f>
        <v>#VALUE!</v>
      </c>
      <c r="IV187" t="e">
        <f>AND('GA55 Entry'!#REF!,"AAAAAHt7Hv8=")</f>
        <v>#REF!</v>
      </c>
    </row>
    <row r="188" spans="1:256">
      <c r="A188" t="e">
        <f>AND('GA55 Entry'!#REF!,"AAAAAF2JeQA=")</f>
        <v>#REF!</v>
      </c>
      <c r="B188" t="e">
        <f>AND('GA55 Entry'!#REF!,"AAAAAF2JeQE=")</f>
        <v>#REF!</v>
      </c>
      <c r="C188" t="e">
        <f>AND('GA55 Entry'!AB709,"AAAAAF2JeQI=")</f>
        <v>#VALUE!</v>
      </c>
      <c r="D188" t="e">
        <f>AND('GA55 Entry'!AC709,"AAAAAF2JeQM=")</f>
        <v>#VALUE!</v>
      </c>
      <c r="E188" t="e">
        <f>AND('GA55 Entry'!#REF!,"AAAAAF2JeQQ=")</f>
        <v>#REF!</v>
      </c>
      <c r="F188">
        <f>IF('GA55 Entry'!710:710,"AAAAAF2JeQU=",0)</f>
        <v>0</v>
      </c>
      <c r="G188" t="e">
        <f>AND('GA55 Entry'!B710,"AAAAAF2JeQY=")</f>
        <v>#VALUE!</v>
      </c>
      <c r="H188" t="e">
        <f>AND('GA55 Entry'!#REF!,"AAAAAF2JeQc=")</f>
        <v>#REF!</v>
      </c>
      <c r="I188" t="e">
        <f>AND('GA55 Entry'!C710,"AAAAAF2JeQg=")</f>
        <v>#VALUE!</v>
      </c>
      <c r="J188" t="e">
        <f>AND('GA55 Entry'!#REF!,"AAAAAF2JeQk=")</f>
        <v>#REF!</v>
      </c>
      <c r="K188" t="e">
        <f>AND('GA55 Entry'!#REF!,"AAAAAF2JeQo=")</f>
        <v>#REF!</v>
      </c>
      <c r="L188" t="e">
        <f>AND('GA55 Entry'!#REF!,"AAAAAF2JeQs=")</f>
        <v>#REF!</v>
      </c>
      <c r="M188" t="e">
        <f>AND('GA55 Entry'!#REF!,"AAAAAF2JeQw=")</f>
        <v>#REF!</v>
      </c>
      <c r="N188" t="e">
        <f>AND('GA55 Entry'!#REF!,"AAAAAF2JeQ0=")</f>
        <v>#REF!</v>
      </c>
      <c r="O188" t="e">
        <f>AND('GA55 Entry'!D710,"AAAAAF2JeQ4=")</f>
        <v>#VALUE!</v>
      </c>
      <c r="P188" t="e">
        <f>AND('GA55 Entry'!#REF!,"AAAAAF2JeQ8=")</f>
        <v>#REF!</v>
      </c>
      <c r="Q188" t="e">
        <f>AND('GA55 Entry'!E710,"AAAAAF2JeRA=")</f>
        <v>#VALUE!</v>
      </c>
      <c r="R188" t="e">
        <f>AND('GA55 Entry'!F710,"AAAAAF2JeRE=")</f>
        <v>#VALUE!</v>
      </c>
      <c r="S188" t="e">
        <f>AND('GA55 Entry'!G710,"AAAAAF2JeRI=")</f>
        <v>#VALUE!</v>
      </c>
      <c r="T188" t="e">
        <f>AND('GA55 Entry'!H710,"AAAAAF2JeRM=")</f>
        <v>#VALUE!</v>
      </c>
      <c r="U188" t="e">
        <f>AND('GA55 Entry'!I710,"AAAAAF2JeRQ=")</f>
        <v>#VALUE!</v>
      </c>
      <c r="V188" t="e">
        <f>AND('GA55 Entry'!J710,"AAAAAF2JeRU=")</f>
        <v>#VALUE!</v>
      </c>
      <c r="W188" t="e">
        <f>AND('GA55 Entry'!#REF!,"AAAAAF2JeRY=")</f>
        <v>#REF!</v>
      </c>
      <c r="X188" t="e">
        <f>AND('GA55 Entry'!K710,"AAAAAF2JeRc=")</f>
        <v>#VALUE!</v>
      </c>
      <c r="Y188" t="e">
        <f>AND('GA55 Entry'!L710,"AAAAAF2JeRg=")</f>
        <v>#VALUE!</v>
      </c>
      <c r="Z188" t="e">
        <f>AND('GA55 Entry'!M710,"AAAAAF2JeRk=")</f>
        <v>#VALUE!</v>
      </c>
      <c r="AA188" t="e">
        <f>AND('GA55 Entry'!N710,"AAAAAF2JeRo=")</f>
        <v>#VALUE!</v>
      </c>
      <c r="AB188" t="e">
        <f>AND('GA55 Entry'!O710,"AAAAAF2JeRs=")</f>
        <v>#VALUE!</v>
      </c>
      <c r="AC188" t="e">
        <f>AND('GA55 Entry'!P710,"AAAAAF2JeRw=")</f>
        <v>#VALUE!</v>
      </c>
      <c r="AD188" t="e">
        <f>AND('GA55 Entry'!Q710,"AAAAAF2JeR0=")</f>
        <v>#VALUE!</v>
      </c>
      <c r="AE188" t="e">
        <f>AND('GA55 Entry'!S710,"AAAAAF2JeR4=")</f>
        <v>#VALUE!</v>
      </c>
      <c r="AF188" t="e">
        <f>AND('GA55 Entry'!#REF!,"AAAAAF2JeR8=")</f>
        <v>#REF!</v>
      </c>
      <c r="AG188" t="e">
        <f>AND('GA55 Entry'!T710,"AAAAAF2JeSA=")</f>
        <v>#VALUE!</v>
      </c>
      <c r="AH188" t="e">
        <f>AND('GA55 Entry'!U710,"AAAAAF2JeSE=")</f>
        <v>#VALUE!</v>
      </c>
      <c r="AI188" t="e">
        <f>AND('GA55 Entry'!V710,"AAAAAF2JeSI=")</f>
        <v>#VALUE!</v>
      </c>
      <c r="AJ188" t="e">
        <f>AND('GA55 Entry'!#REF!,"AAAAAF2JeSM=")</f>
        <v>#REF!</v>
      </c>
      <c r="AK188" t="e">
        <f>AND('GA55 Entry'!#REF!,"AAAAAF2JeSQ=")</f>
        <v>#REF!</v>
      </c>
      <c r="AL188" t="e">
        <f>AND('GA55 Entry'!X710,"AAAAAF2JeSU=")</f>
        <v>#VALUE!</v>
      </c>
      <c r="AM188" t="e">
        <f>AND('GA55 Entry'!Y710,"AAAAAF2JeSY=")</f>
        <v>#VALUE!</v>
      </c>
      <c r="AN188" t="e">
        <f>AND('GA55 Entry'!#REF!,"AAAAAF2JeSc=")</f>
        <v>#REF!</v>
      </c>
      <c r="AO188" t="e">
        <f>AND('GA55 Entry'!#REF!,"AAAAAF2JeSg=")</f>
        <v>#REF!</v>
      </c>
      <c r="AP188" t="e">
        <f>AND('GA55 Entry'!#REF!,"AAAAAF2JeSk=")</f>
        <v>#REF!</v>
      </c>
      <c r="AQ188" t="e">
        <f>AND('GA55 Entry'!#REF!,"AAAAAF2JeSo=")</f>
        <v>#REF!</v>
      </c>
      <c r="AR188" t="e">
        <f>AND('GA55 Entry'!#REF!,"AAAAAF2JeSs=")</f>
        <v>#REF!</v>
      </c>
      <c r="AS188" t="e">
        <f>AND('GA55 Entry'!#REF!,"AAAAAF2JeSw=")</f>
        <v>#REF!</v>
      </c>
      <c r="AT188" t="e">
        <f>AND('GA55 Entry'!#REF!,"AAAAAF2JeS0=")</f>
        <v>#REF!</v>
      </c>
      <c r="AU188" t="e">
        <f>AND('GA55 Entry'!#REF!,"AAAAAF2JeS4=")</f>
        <v>#REF!</v>
      </c>
      <c r="AV188" t="e">
        <f>AND('GA55 Entry'!#REF!,"AAAAAF2JeS8=")</f>
        <v>#REF!</v>
      </c>
      <c r="AW188" t="e">
        <f>AND('GA55 Entry'!Z710,"AAAAAF2JeTA=")</f>
        <v>#VALUE!</v>
      </c>
      <c r="AX188" t="e">
        <f>AND('GA55 Entry'!AA710,"AAAAAF2JeTE=")</f>
        <v>#VALUE!</v>
      </c>
      <c r="AY188" t="e">
        <f>AND('GA55 Entry'!#REF!,"AAAAAF2JeTI=")</f>
        <v>#REF!</v>
      </c>
      <c r="AZ188" t="e">
        <f>AND('GA55 Entry'!#REF!,"AAAAAF2JeTM=")</f>
        <v>#REF!</v>
      </c>
      <c r="BA188" t="e">
        <f>AND('GA55 Entry'!#REF!,"AAAAAF2JeTQ=")</f>
        <v>#REF!</v>
      </c>
      <c r="BB188" t="e">
        <f>AND('GA55 Entry'!AB710,"AAAAAF2JeTU=")</f>
        <v>#VALUE!</v>
      </c>
      <c r="BC188" t="e">
        <f>AND('GA55 Entry'!AC710,"AAAAAF2JeTY=")</f>
        <v>#VALUE!</v>
      </c>
      <c r="BD188" t="e">
        <f>AND('GA55 Entry'!#REF!,"AAAAAF2JeTc=")</f>
        <v>#REF!</v>
      </c>
      <c r="BE188">
        <f>IF('GA55 Entry'!711:711,"AAAAAF2JeTg=",0)</f>
        <v>0</v>
      </c>
      <c r="BF188" t="e">
        <f>AND('GA55 Entry'!B711,"AAAAAF2JeTk=")</f>
        <v>#VALUE!</v>
      </c>
      <c r="BG188" t="e">
        <f>AND('GA55 Entry'!#REF!,"AAAAAF2JeTo=")</f>
        <v>#REF!</v>
      </c>
      <c r="BH188" t="e">
        <f>AND('GA55 Entry'!C711,"AAAAAF2JeTs=")</f>
        <v>#VALUE!</v>
      </c>
      <c r="BI188" t="e">
        <f>AND('GA55 Entry'!#REF!,"AAAAAF2JeTw=")</f>
        <v>#REF!</v>
      </c>
      <c r="BJ188" t="e">
        <f>AND('GA55 Entry'!#REF!,"AAAAAF2JeT0=")</f>
        <v>#REF!</v>
      </c>
      <c r="BK188" t="e">
        <f>AND('GA55 Entry'!#REF!,"AAAAAF2JeT4=")</f>
        <v>#REF!</v>
      </c>
      <c r="BL188" t="e">
        <f>AND('GA55 Entry'!#REF!,"AAAAAF2JeT8=")</f>
        <v>#REF!</v>
      </c>
      <c r="BM188" t="e">
        <f>AND('GA55 Entry'!#REF!,"AAAAAF2JeUA=")</f>
        <v>#REF!</v>
      </c>
      <c r="BN188" t="e">
        <f>AND('GA55 Entry'!D711,"AAAAAF2JeUE=")</f>
        <v>#VALUE!</v>
      </c>
      <c r="BO188" t="e">
        <f>AND('GA55 Entry'!#REF!,"AAAAAF2JeUI=")</f>
        <v>#REF!</v>
      </c>
      <c r="BP188" t="e">
        <f>AND('GA55 Entry'!E711,"AAAAAF2JeUM=")</f>
        <v>#VALUE!</v>
      </c>
      <c r="BQ188" t="e">
        <f>AND('GA55 Entry'!F711,"AAAAAF2JeUQ=")</f>
        <v>#VALUE!</v>
      </c>
      <c r="BR188" t="e">
        <f>AND('GA55 Entry'!G711,"AAAAAF2JeUU=")</f>
        <v>#VALUE!</v>
      </c>
      <c r="BS188" t="e">
        <f>AND('GA55 Entry'!H711,"AAAAAF2JeUY=")</f>
        <v>#VALUE!</v>
      </c>
      <c r="BT188" t="e">
        <f>AND('GA55 Entry'!I711,"AAAAAF2JeUc=")</f>
        <v>#VALUE!</v>
      </c>
      <c r="BU188" t="e">
        <f>AND('GA55 Entry'!J711,"AAAAAF2JeUg=")</f>
        <v>#VALUE!</v>
      </c>
      <c r="BV188" t="e">
        <f>AND('GA55 Entry'!#REF!,"AAAAAF2JeUk=")</f>
        <v>#REF!</v>
      </c>
      <c r="BW188" t="e">
        <f>AND('GA55 Entry'!K711,"AAAAAF2JeUo=")</f>
        <v>#VALUE!</v>
      </c>
      <c r="BX188" t="e">
        <f>AND('GA55 Entry'!L711,"AAAAAF2JeUs=")</f>
        <v>#VALUE!</v>
      </c>
      <c r="BY188" t="e">
        <f>AND('GA55 Entry'!M711,"AAAAAF2JeUw=")</f>
        <v>#VALUE!</v>
      </c>
      <c r="BZ188" t="e">
        <f>AND('GA55 Entry'!N711,"AAAAAF2JeU0=")</f>
        <v>#VALUE!</v>
      </c>
      <c r="CA188" t="e">
        <f>AND('GA55 Entry'!O711,"AAAAAF2JeU4=")</f>
        <v>#VALUE!</v>
      </c>
      <c r="CB188" t="e">
        <f>AND('GA55 Entry'!P711,"AAAAAF2JeU8=")</f>
        <v>#VALUE!</v>
      </c>
      <c r="CC188" t="e">
        <f>AND('GA55 Entry'!Q711,"AAAAAF2JeVA=")</f>
        <v>#VALUE!</v>
      </c>
      <c r="CD188" t="e">
        <f>AND('GA55 Entry'!S711,"AAAAAF2JeVE=")</f>
        <v>#VALUE!</v>
      </c>
      <c r="CE188" t="e">
        <f>AND('GA55 Entry'!#REF!,"AAAAAF2JeVI=")</f>
        <v>#REF!</v>
      </c>
      <c r="CF188" t="e">
        <f>AND('GA55 Entry'!T711,"AAAAAF2JeVM=")</f>
        <v>#VALUE!</v>
      </c>
      <c r="CG188" t="e">
        <f>AND('GA55 Entry'!U711,"AAAAAF2JeVQ=")</f>
        <v>#VALUE!</v>
      </c>
      <c r="CH188" t="e">
        <f>AND('GA55 Entry'!V711,"AAAAAF2JeVU=")</f>
        <v>#VALUE!</v>
      </c>
      <c r="CI188" t="e">
        <f>AND('GA55 Entry'!#REF!,"AAAAAF2JeVY=")</f>
        <v>#REF!</v>
      </c>
      <c r="CJ188" t="e">
        <f>AND('GA55 Entry'!#REF!,"AAAAAF2JeVc=")</f>
        <v>#REF!</v>
      </c>
      <c r="CK188" t="e">
        <f>AND('GA55 Entry'!X711,"AAAAAF2JeVg=")</f>
        <v>#VALUE!</v>
      </c>
      <c r="CL188" t="e">
        <f>AND('GA55 Entry'!Y711,"AAAAAF2JeVk=")</f>
        <v>#VALUE!</v>
      </c>
      <c r="CM188" t="e">
        <f>AND('GA55 Entry'!#REF!,"AAAAAF2JeVo=")</f>
        <v>#REF!</v>
      </c>
      <c r="CN188" t="e">
        <f>AND('GA55 Entry'!#REF!,"AAAAAF2JeVs=")</f>
        <v>#REF!</v>
      </c>
      <c r="CO188" t="e">
        <f>AND('GA55 Entry'!#REF!,"AAAAAF2JeVw=")</f>
        <v>#REF!</v>
      </c>
      <c r="CP188" t="e">
        <f>AND('GA55 Entry'!#REF!,"AAAAAF2JeV0=")</f>
        <v>#REF!</v>
      </c>
      <c r="CQ188" t="e">
        <f>AND('GA55 Entry'!#REF!,"AAAAAF2JeV4=")</f>
        <v>#REF!</v>
      </c>
      <c r="CR188" t="e">
        <f>AND('GA55 Entry'!#REF!,"AAAAAF2JeV8=")</f>
        <v>#REF!</v>
      </c>
      <c r="CS188" t="e">
        <f>AND('GA55 Entry'!#REF!,"AAAAAF2JeWA=")</f>
        <v>#REF!</v>
      </c>
      <c r="CT188" t="e">
        <f>AND('GA55 Entry'!#REF!,"AAAAAF2JeWE=")</f>
        <v>#REF!</v>
      </c>
      <c r="CU188" t="e">
        <f>AND('GA55 Entry'!#REF!,"AAAAAF2JeWI=")</f>
        <v>#REF!</v>
      </c>
      <c r="CV188" t="e">
        <f>AND('GA55 Entry'!Z711,"AAAAAF2JeWM=")</f>
        <v>#VALUE!</v>
      </c>
      <c r="CW188" t="e">
        <f>AND('GA55 Entry'!AA711,"AAAAAF2JeWQ=")</f>
        <v>#VALUE!</v>
      </c>
      <c r="CX188" t="e">
        <f>AND('GA55 Entry'!#REF!,"AAAAAF2JeWU=")</f>
        <v>#REF!</v>
      </c>
      <c r="CY188" t="e">
        <f>AND('GA55 Entry'!#REF!,"AAAAAF2JeWY=")</f>
        <v>#REF!</v>
      </c>
      <c r="CZ188" t="e">
        <f>AND('GA55 Entry'!#REF!,"AAAAAF2JeWc=")</f>
        <v>#REF!</v>
      </c>
      <c r="DA188" t="e">
        <f>AND('GA55 Entry'!AB711,"AAAAAF2JeWg=")</f>
        <v>#VALUE!</v>
      </c>
      <c r="DB188" t="e">
        <f>AND('GA55 Entry'!AC711,"AAAAAF2JeWk=")</f>
        <v>#VALUE!</v>
      </c>
      <c r="DC188" t="e">
        <f>AND('GA55 Entry'!#REF!,"AAAAAF2JeWo=")</f>
        <v>#REF!</v>
      </c>
      <c r="DD188">
        <f>IF('GA55 Entry'!712:712,"AAAAAF2JeWs=",0)</f>
        <v>0</v>
      </c>
      <c r="DE188" t="e">
        <f>AND('GA55 Entry'!B712,"AAAAAF2JeWw=")</f>
        <v>#VALUE!</v>
      </c>
      <c r="DF188" t="e">
        <f>AND('GA55 Entry'!#REF!,"AAAAAF2JeW0=")</f>
        <v>#REF!</v>
      </c>
      <c r="DG188" t="e">
        <f>AND('GA55 Entry'!C712,"AAAAAF2JeW4=")</f>
        <v>#VALUE!</v>
      </c>
      <c r="DH188" t="e">
        <f>AND('GA55 Entry'!#REF!,"AAAAAF2JeW8=")</f>
        <v>#REF!</v>
      </c>
      <c r="DI188" t="e">
        <f>AND('GA55 Entry'!#REF!,"AAAAAF2JeXA=")</f>
        <v>#REF!</v>
      </c>
      <c r="DJ188" t="e">
        <f>AND('GA55 Entry'!#REF!,"AAAAAF2JeXE=")</f>
        <v>#REF!</v>
      </c>
      <c r="DK188" t="e">
        <f>AND('GA55 Entry'!#REF!,"AAAAAF2JeXI=")</f>
        <v>#REF!</v>
      </c>
      <c r="DL188" t="e">
        <f>AND('GA55 Entry'!#REF!,"AAAAAF2JeXM=")</f>
        <v>#REF!</v>
      </c>
      <c r="DM188" t="e">
        <f>AND('GA55 Entry'!D712,"AAAAAF2JeXQ=")</f>
        <v>#VALUE!</v>
      </c>
      <c r="DN188" t="e">
        <f>AND('GA55 Entry'!#REF!,"AAAAAF2JeXU=")</f>
        <v>#REF!</v>
      </c>
      <c r="DO188" t="e">
        <f>AND('GA55 Entry'!E712,"AAAAAF2JeXY=")</f>
        <v>#VALUE!</v>
      </c>
      <c r="DP188" t="e">
        <f>AND('GA55 Entry'!F712,"AAAAAF2JeXc=")</f>
        <v>#VALUE!</v>
      </c>
      <c r="DQ188" t="e">
        <f>AND('GA55 Entry'!G712,"AAAAAF2JeXg=")</f>
        <v>#VALUE!</v>
      </c>
      <c r="DR188" t="e">
        <f>AND('GA55 Entry'!H712,"AAAAAF2JeXk=")</f>
        <v>#VALUE!</v>
      </c>
      <c r="DS188" t="e">
        <f>AND('GA55 Entry'!I712,"AAAAAF2JeXo=")</f>
        <v>#VALUE!</v>
      </c>
      <c r="DT188" t="e">
        <f>AND('GA55 Entry'!J712,"AAAAAF2JeXs=")</f>
        <v>#VALUE!</v>
      </c>
      <c r="DU188" t="e">
        <f>AND('GA55 Entry'!#REF!,"AAAAAF2JeXw=")</f>
        <v>#REF!</v>
      </c>
      <c r="DV188" t="e">
        <f>AND('GA55 Entry'!K712,"AAAAAF2JeX0=")</f>
        <v>#VALUE!</v>
      </c>
      <c r="DW188" t="e">
        <f>AND('GA55 Entry'!L712,"AAAAAF2JeX4=")</f>
        <v>#VALUE!</v>
      </c>
      <c r="DX188" t="e">
        <f>AND('GA55 Entry'!M712,"AAAAAF2JeX8=")</f>
        <v>#VALUE!</v>
      </c>
      <c r="DY188" t="e">
        <f>AND('GA55 Entry'!N712,"AAAAAF2JeYA=")</f>
        <v>#VALUE!</v>
      </c>
      <c r="DZ188" t="e">
        <f>AND('GA55 Entry'!O712,"AAAAAF2JeYE=")</f>
        <v>#VALUE!</v>
      </c>
      <c r="EA188" t="e">
        <f>AND('GA55 Entry'!P712,"AAAAAF2JeYI=")</f>
        <v>#VALUE!</v>
      </c>
      <c r="EB188" t="e">
        <f>AND('GA55 Entry'!Q712,"AAAAAF2JeYM=")</f>
        <v>#VALUE!</v>
      </c>
      <c r="EC188" t="e">
        <f>AND('GA55 Entry'!S712,"AAAAAF2JeYQ=")</f>
        <v>#VALUE!</v>
      </c>
      <c r="ED188" t="e">
        <f>AND('GA55 Entry'!#REF!,"AAAAAF2JeYU=")</f>
        <v>#REF!</v>
      </c>
      <c r="EE188" t="e">
        <f>AND('GA55 Entry'!T712,"AAAAAF2JeYY=")</f>
        <v>#VALUE!</v>
      </c>
      <c r="EF188" t="e">
        <f>AND('GA55 Entry'!U712,"AAAAAF2JeYc=")</f>
        <v>#VALUE!</v>
      </c>
      <c r="EG188" t="e">
        <f>AND('GA55 Entry'!V712,"AAAAAF2JeYg=")</f>
        <v>#VALUE!</v>
      </c>
      <c r="EH188" t="e">
        <f>AND('GA55 Entry'!#REF!,"AAAAAF2JeYk=")</f>
        <v>#REF!</v>
      </c>
      <c r="EI188" t="e">
        <f>AND('GA55 Entry'!#REF!,"AAAAAF2JeYo=")</f>
        <v>#REF!</v>
      </c>
      <c r="EJ188" t="e">
        <f>AND('GA55 Entry'!X712,"AAAAAF2JeYs=")</f>
        <v>#VALUE!</v>
      </c>
      <c r="EK188" t="e">
        <f>AND('GA55 Entry'!Y712,"AAAAAF2JeYw=")</f>
        <v>#VALUE!</v>
      </c>
      <c r="EL188" t="e">
        <f>AND('GA55 Entry'!#REF!,"AAAAAF2JeY0=")</f>
        <v>#REF!</v>
      </c>
      <c r="EM188" t="e">
        <f>AND('GA55 Entry'!#REF!,"AAAAAF2JeY4=")</f>
        <v>#REF!</v>
      </c>
      <c r="EN188" t="e">
        <f>AND('GA55 Entry'!#REF!,"AAAAAF2JeY8=")</f>
        <v>#REF!</v>
      </c>
      <c r="EO188" t="e">
        <f>AND('GA55 Entry'!#REF!,"AAAAAF2JeZA=")</f>
        <v>#REF!</v>
      </c>
      <c r="EP188" t="e">
        <f>AND('GA55 Entry'!#REF!,"AAAAAF2JeZE=")</f>
        <v>#REF!</v>
      </c>
      <c r="EQ188" t="e">
        <f>AND('GA55 Entry'!#REF!,"AAAAAF2JeZI=")</f>
        <v>#REF!</v>
      </c>
      <c r="ER188" t="e">
        <f>AND('GA55 Entry'!#REF!,"AAAAAF2JeZM=")</f>
        <v>#REF!</v>
      </c>
      <c r="ES188" t="e">
        <f>AND('GA55 Entry'!#REF!,"AAAAAF2JeZQ=")</f>
        <v>#REF!</v>
      </c>
      <c r="ET188" t="e">
        <f>AND('GA55 Entry'!#REF!,"AAAAAF2JeZU=")</f>
        <v>#REF!</v>
      </c>
      <c r="EU188" t="e">
        <f>AND('GA55 Entry'!Z712,"AAAAAF2JeZY=")</f>
        <v>#VALUE!</v>
      </c>
      <c r="EV188" t="e">
        <f>AND('GA55 Entry'!AA712,"AAAAAF2JeZc=")</f>
        <v>#VALUE!</v>
      </c>
      <c r="EW188" t="e">
        <f>AND('GA55 Entry'!#REF!,"AAAAAF2JeZg=")</f>
        <v>#REF!</v>
      </c>
      <c r="EX188" t="e">
        <f>AND('GA55 Entry'!#REF!,"AAAAAF2JeZk=")</f>
        <v>#REF!</v>
      </c>
      <c r="EY188" t="e">
        <f>AND('GA55 Entry'!#REF!,"AAAAAF2JeZo=")</f>
        <v>#REF!</v>
      </c>
      <c r="EZ188" t="e">
        <f>AND('GA55 Entry'!AB712,"AAAAAF2JeZs=")</f>
        <v>#VALUE!</v>
      </c>
      <c r="FA188" t="e">
        <f>AND('GA55 Entry'!AC712,"AAAAAF2JeZw=")</f>
        <v>#VALUE!</v>
      </c>
      <c r="FB188" t="e">
        <f>AND('GA55 Entry'!#REF!,"AAAAAF2JeZ0=")</f>
        <v>#REF!</v>
      </c>
      <c r="FC188">
        <f>IF('GA55 Entry'!713:713,"AAAAAF2JeZ4=",0)</f>
        <v>0</v>
      </c>
      <c r="FD188" t="e">
        <f>AND('GA55 Entry'!B713,"AAAAAF2JeZ8=")</f>
        <v>#VALUE!</v>
      </c>
      <c r="FE188" t="e">
        <f>AND('GA55 Entry'!#REF!,"AAAAAF2JeaA=")</f>
        <v>#REF!</v>
      </c>
      <c r="FF188" t="e">
        <f>AND('GA55 Entry'!C713,"AAAAAF2JeaE=")</f>
        <v>#VALUE!</v>
      </c>
      <c r="FG188" t="e">
        <f>AND('GA55 Entry'!#REF!,"AAAAAF2JeaI=")</f>
        <v>#REF!</v>
      </c>
      <c r="FH188" t="e">
        <f>AND('GA55 Entry'!#REF!,"AAAAAF2JeaM=")</f>
        <v>#REF!</v>
      </c>
      <c r="FI188" t="e">
        <f>AND('GA55 Entry'!#REF!,"AAAAAF2JeaQ=")</f>
        <v>#REF!</v>
      </c>
      <c r="FJ188" t="e">
        <f>AND('GA55 Entry'!#REF!,"AAAAAF2JeaU=")</f>
        <v>#REF!</v>
      </c>
      <c r="FK188" t="e">
        <f>AND('GA55 Entry'!#REF!,"AAAAAF2JeaY=")</f>
        <v>#REF!</v>
      </c>
      <c r="FL188" t="e">
        <f>AND('GA55 Entry'!D713,"AAAAAF2Jeac=")</f>
        <v>#VALUE!</v>
      </c>
      <c r="FM188" t="e">
        <f>AND('GA55 Entry'!#REF!,"AAAAAF2Jeag=")</f>
        <v>#REF!</v>
      </c>
      <c r="FN188" t="e">
        <f>AND('GA55 Entry'!E713,"AAAAAF2Jeak=")</f>
        <v>#VALUE!</v>
      </c>
      <c r="FO188" t="e">
        <f>AND('GA55 Entry'!F713,"AAAAAF2Jeao=")</f>
        <v>#VALUE!</v>
      </c>
      <c r="FP188" t="e">
        <f>AND('GA55 Entry'!G713,"AAAAAF2Jeas=")</f>
        <v>#VALUE!</v>
      </c>
      <c r="FQ188" t="e">
        <f>AND('GA55 Entry'!H713,"AAAAAF2Jeaw=")</f>
        <v>#VALUE!</v>
      </c>
      <c r="FR188" t="e">
        <f>AND('GA55 Entry'!I713,"AAAAAF2Jea0=")</f>
        <v>#VALUE!</v>
      </c>
      <c r="FS188" t="e">
        <f>AND('GA55 Entry'!J713,"AAAAAF2Jea4=")</f>
        <v>#VALUE!</v>
      </c>
      <c r="FT188" t="e">
        <f>AND('GA55 Entry'!#REF!,"AAAAAF2Jea8=")</f>
        <v>#REF!</v>
      </c>
      <c r="FU188" t="e">
        <f>AND('GA55 Entry'!K713,"AAAAAF2JebA=")</f>
        <v>#VALUE!</v>
      </c>
      <c r="FV188" t="e">
        <f>AND('GA55 Entry'!L713,"AAAAAF2JebE=")</f>
        <v>#VALUE!</v>
      </c>
      <c r="FW188" t="e">
        <f>AND('GA55 Entry'!M713,"AAAAAF2JebI=")</f>
        <v>#VALUE!</v>
      </c>
      <c r="FX188" t="e">
        <f>AND('GA55 Entry'!N713,"AAAAAF2JebM=")</f>
        <v>#VALUE!</v>
      </c>
      <c r="FY188" t="e">
        <f>AND('GA55 Entry'!O713,"AAAAAF2JebQ=")</f>
        <v>#VALUE!</v>
      </c>
      <c r="FZ188" t="e">
        <f>AND('GA55 Entry'!P713,"AAAAAF2JebU=")</f>
        <v>#VALUE!</v>
      </c>
      <c r="GA188" t="e">
        <f>AND('GA55 Entry'!Q713,"AAAAAF2JebY=")</f>
        <v>#VALUE!</v>
      </c>
      <c r="GB188" t="e">
        <f>AND('GA55 Entry'!S713,"AAAAAF2Jebc=")</f>
        <v>#VALUE!</v>
      </c>
      <c r="GC188" t="e">
        <f>AND('GA55 Entry'!#REF!,"AAAAAF2Jebg=")</f>
        <v>#REF!</v>
      </c>
      <c r="GD188" t="e">
        <f>AND('GA55 Entry'!T713,"AAAAAF2Jebk=")</f>
        <v>#VALUE!</v>
      </c>
      <c r="GE188" t="e">
        <f>AND('GA55 Entry'!U713,"AAAAAF2Jebo=")</f>
        <v>#VALUE!</v>
      </c>
      <c r="GF188" t="e">
        <f>AND('GA55 Entry'!V713,"AAAAAF2Jebs=")</f>
        <v>#VALUE!</v>
      </c>
      <c r="GG188" t="e">
        <f>AND('GA55 Entry'!#REF!,"AAAAAF2Jebw=")</f>
        <v>#REF!</v>
      </c>
      <c r="GH188" t="e">
        <f>AND('GA55 Entry'!#REF!,"AAAAAF2Jeb0=")</f>
        <v>#REF!</v>
      </c>
      <c r="GI188" t="e">
        <f>AND('GA55 Entry'!X713,"AAAAAF2Jeb4=")</f>
        <v>#VALUE!</v>
      </c>
      <c r="GJ188" t="e">
        <f>AND('GA55 Entry'!Y713,"AAAAAF2Jeb8=")</f>
        <v>#VALUE!</v>
      </c>
      <c r="GK188" t="e">
        <f>AND('GA55 Entry'!#REF!,"AAAAAF2JecA=")</f>
        <v>#REF!</v>
      </c>
      <c r="GL188" t="e">
        <f>AND('GA55 Entry'!#REF!,"AAAAAF2JecE=")</f>
        <v>#REF!</v>
      </c>
      <c r="GM188" t="e">
        <f>AND('GA55 Entry'!#REF!,"AAAAAF2JecI=")</f>
        <v>#REF!</v>
      </c>
      <c r="GN188" t="e">
        <f>AND('GA55 Entry'!#REF!,"AAAAAF2JecM=")</f>
        <v>#REF!</v>
      </c>
      <c r="GO188" t="e">
        <f>AND('GA55 Entry'!#REF!,"AAAAAF2JecQ=")</f>
        <v>#REF!</v>
      </c>
      <c r="GP188" t="e">
        <f>AND('GA55 Entry'!#REF!,"AAAAAF2JecU=")</f>
        <v>#REF!</v>
      </c>
      <c r="GQ188" t="e">
        <f>AND('GA55 Entry'!#REF!,"AAAAAF2JecY=")</f>
        <v>#REF!</v>
      </c>
      <c r="GR188" t="e">
        <f>AND('GA55 Entry'!#REF!,"AAAAAF2Jecc=")</f>
        <v>#REF!</v>
      </c>
      <c r="GS188" t="e">
        <f>AND('GA55 Entry'!#REF!,"AAAAAF2Jecg=")</f>
        <v>#REF!</v>
      </c>
      <c r="GT188" t="e">
        <f>AND('GA55 Entry'!Z713,"AAAAAF2Jeck=")</f>
        <v>#VALUE!</v>
      </c>
      <c r="GU188" t="e">
        <f>AND('GA55 Entry'!AA713,"AAAAAF2Jeco=")</f>
        <v>#VALUE!</v>
      </c>
      <c r="GV188" t="e">
        <f>AND('GA55 Entry'!#REF!,"AAAAAF2Jecs=")</f>
        <v>#REF!</v>
      </c>
      <c r="GW188" t="e">
        <f>AND('GA55 Entry'!#REF!,"AAAAAF2Jecw=")</f>
        <v>#REF!</v>
      </c>
      <c r="GX188" t="e">
        <f>AND('GA55 Entry'!#REF!,"AAAAAF2Jec0=")</f>
        <v>#REF!</v>
      </c>
      <c r="GY188" t="e">
        <f>AND('GA55 Entry'!AB713,"AAAAAF2Jec4=")</f>
        <v>#VALUE!</v>
      </c>
      <c r="GZ188" t="e">
        <f>AND('GA55 Entry'!AC713,"AAAAAF2Jec8=")</f>
        <v>#VALUE!</v>
      </c>
      <c r="HA188" t="e">
        <f>AND('GA55 Entry'!#REF!,"AAAAAF2JedA=")</f>
        <v>#REF!</v>
      </c>
      <c r="HB188">
        <f>IF('GA55 Entry'!714:714,"AAAAAF2JedE=",0)</f>
        <v>0</v>
      </c>
      <c r="HC188" t="e">
        <f>AND('GA55 Entry'!B714,"AAAAAF2JedI=")</f>
        <v>#VALUE!</v>
      </c>
      <c r="HD188" t="e">
        <f>AND('GA55 Entry'!#REF!,"AAAAAF2JedM=")</f>
        <v>#REF!</v>
      </c>
      <c r="HE188" t="e">
        <f>AND('GA55 Entry'!C714,"AAAAAF2JedQ=")</f>
        <v>#VALUE!</v>
      </c>
      <c r="HF188" t="e">
        <f>AND('GA55 Entry'!#REF!,"AAAAAF2JedU=")</f>
        <v>#REF!</v>
      </c>
      <c r="HG188" t="e">
        <f>AND('GA55 Entry'!#REF!,"AAAAAF2JedY=")</f>
        <v>#REF!</v>
      </c>
      <c r="HH188" t="e">
        <f>AND('GA55 Entry'!#REF!,"AAAAAF2Jedc=")</f>
        <v>#REF!</v>
      </c>
      <c r="HI188" t="e">
        <f>AND('GA55 Entry'!#REF!,"AAAAAF2Jedg=")</f>
        <v>#REF!</v>
      </c>
      <c r="HJ188" t="e">
        <f>AND('GA55 Entry'!#REF!,"AAAAAF2Jedk=")</f>
        <v>#REF!</v>
      </c>
      <c r="HK188" t="e">
        <f>AND('GA55 Entry'!D714,"AAAAAF2Jedo=")</f>
        <v>#VALUE!</v>
      </c>
      <c r="HL188" t="e">
        <f>AND('GA55 Entry'!#REF!,"AAAAAF2Jeds=")</f>
        <v>#REF!</v>
      </c>
      <c r="HM188" t="e">
        <f>AND('GA55 Entry'!E714,"AAAAAF2Jedw=")</f>
        <v>#VALUE!</v>
      </c>
      <c r="HN188" t="e">
        <f>AND('GA55 Entry'!F714,"AAAAAF2Jed0=")</f>
        <v>#VALUE!</v>
      </c>
      <c r="HO188" t="e">
        <f>AND('GA55 Entry'!G714,"AAAAAF2Jed4=")</f>
        <v>#VALUE!</v>
      </c>
      <c r="HP188" t="e">
        <f>AND('GA55 Entry'!H714,"AAAAAF2Jed8=")</f>
        <v>#VALUE!</v>
      </c>
      <c r="HQ188" t="e">
        <f>AND('GA55 Entry'!I714,"AAAAAF2JeeA=")</f>
        <v>#VALUE!</v>
      </c>
      <c r="HR188" t="e">
        <f>AND('GA55 Entry'!J714,"AAAAAF2JeeE=")</f>
        <v>#VALUE!</v>
      </c>
      <c r="HS188" t="e">
        <f>AND('GA55 Entry'!#REF!,"AAAAAF2JeeI=")</f>
        <v>#REF!</v>
      </c>
      <c r="HT188" t="e">
        <f>AND('GA55 Entry'!K714,"AAAAAF2JeeM=")</f>
        <v>#VALUE!</v>
      </c>
      <c r="HU188" t="e">
        <f>AND('GA55 Entry'!L714,"AAAAAF2JeeQ=")</f>
        <v>#VALUE!</v>
      </c>
      <c r="HV188" t="e">
        <f>AND('GA55 Entry'!M714,"AAAAAF2JeeU=")</f>
        <v>#VALUE!</v>
      </c>
      <c r="HW188" t="e">
        <f>AND('GA55 Entry'!N714,"AAAAAF2JeeY=")</f>
        <v>#VALUE!</v>
      </c>
      <c r="HX188" t="e">
        <f>AND('GA55 Entry'!O714,"AAAAAF2Jeec=")</f>
        <v>#VALUE!</v>
      </c>
      <c r="HY188" t="e">
        <f>AND('GA55 Entry'!P714,"AAAAAF2Jeeg=")</f>
        <v>#VALUE!</v>
      </c>
      <c r="HZ188" t="e">
        <f>AND('GA55 Entry'!Q714,"AAAAAF2Jeek=")</f>
        <v>#VALUE!</v>
      </c>
      <c r="IA188" t="e">
        <f>AND('GA55 Entry'!S714,"AAAAAF2Jeeo=")</f>
        <v>#VALUE!</v>
      </c>
      <c r="IB188" t="e">
        <f>AND('GA55 Entry'!#REF!,"AAAAAF2Jees=")</f>
        <v>#REF!</v>
      </c>
      <c r="IC188" t="e">
        <f>AND('GA55 Entry'!T714,"AAAAAF2Jeew=")</f>
        <v>#VALUE!</v>
      </c>
      <c r="ID188" t="e">
        <f>AND('GA55 Entry'!U714,"AAAAAF2Jee0=")</f>
        <v>#VALUE!</v>
      </c>
      <c r="IE188" t="e">
        <f>AND('GA55 Entry'!V714,"AAAAAF2Jee4=")</f>
        <v>#VALUE!</v>
      </c>
      <c r="IF188" t="e">
        <f>AND('GA55 Entry'!#REF!,"AAAAAF2Jee8=")</f>
        <v>#REF!</v>
      </c>
      <c r="IG188" t="e">
        <f>AND('GA55 Entry'!#REF!,"AAAAAF2JefA=")</f>
        <v>#REF!</v>
      </c>
      <c r="IH188" t="e">
        <f>AND('GA55 Entry'!X714,"AAAAAF2JefE=")</f>
        <v>#VALUE!</v>
      </c>
      <c r="II188" t="e">
        <f>AND('GA55 Entry'!Y714,"AAAAAF2JefI=")</f>
        <v>#VALUE!</v>
      </c>
      <c r="IJ188" t="e">
        <f>AND('GA55 Entry'!#REF!,"AAAAAF2JefM=")</f>
        <v>#REF!</v>
      </c>
      <c r="IK188" t="e">
        <f>AND('GA55 Entry'!#REF!,"AAAAAF2JefQ=")</f>
        <v>#REF!</v>
      </c>
      <c r="IL188" t="e">
        <f>AND('GA55 Entry'!#REF!,"AAAAAF2JefU=")</f>
        <v>#REF!</v>
      </c>
      <c r="IM188" t="e">
        <f>AND('GA55 Entry'!#REF!,"AAAAAF2JefY=")</f>
        <v>#REF!</v>
      </c>
      <c r="IN188" t="e">
        <f>AND('GA55 Entry'!#REF!,"AAAAAF2Jefc=")</f>
        <v>#REF!</v>
      </c>
      <c r="IO188" t="e">
        <f>AND('GA55 Entry'!#REF!,"AAAAAF2Jefg=")</f>
        <v>#REF!</v>
      </c>
      <c r="IP188" t="e">
        <f>AND('GA55 Entry'!#REF!,"AAAAAF2Jefk=")</f>
        <v>#REF!</v>
      </c>
      <c r="IQ188" t="e">
        <f>AND('GA55 Entry'!#REF!,"AAAAAF2Jefo=")</f>
        <v>#REF!</v>
      </c>
      <c r="IR188" t="e">
        <f>AND('GA55 Entry'!#REF!,"AAAAAF2Jefs=")</f>
        <v>#REF!</v>
      </c>
      <c r="IS188" t="e">
        <f>AND('GA55 Entry'!Z714,"AAAAAF2Jefw=")</f>
        <v>#VALUE!</v>
      </c>
      <c r="IT188" t="e">
        <f>AND('GA55 Entry'!AA714,"AAAAAF2Jef0=")</f>
        <v>#VALUE!</v>
      </c>
      <c r="IU188" t="e">
        <f>AND('GA55 Entry'!#REF!,"AAAAAF2Jef4=")</f>
        <v>#REF!</v>
      </c>
      <c r="IV188" t="e">
        <f>AND('GA55 Entry'!#REF!,"AAAAAF2Jef8=")</f>
        <v>#REF!</v>
      </c>
    </row>
    <row r="189" spans="1:256">
      <c r="A189" t="e">
        <f>AND('GA55 Entry'!#REF!,"AAAAABv+TwA=")</f>
        <v>#REF!</v>
      </c>
      <c r="B189" t="e">
        <f>AND('GA55 Entry'!AB714,"AAAAABv+TwE=")</f>
        <v>#VALUE!</v>
      </c>
      <c r="C189" t="e">
        <f>AND('GA55 Entry'!AC714,"AAAAABv+TwI=")</f>
        <v>#VALUE!</v>
      </c>
      <c r="D189" t="e">
        <f>AND('GA55 Entry'!#REF!,"AAAAABv+TwM=")</f>
        <v>#REF!</v>
      </c>
      <c r="E189">
        <f>IF('GA55 Entry'!715:715,"AAAAABv+TwQ=",0)</f>
        <v>0</v>
      </c>
      <c r="F189" t="e">
        <f>AND('GA55 Entry'!B715,"AAAAABv+TwU=")</f>
        <v>#VALUE!</v>
      </c>
      <c r="G189" t="e">
        <f>AND('GA55 Entry'!#REF!,"AAAAABv+TwY=")</f>
        <v>#REF!</v>
      </c>
      <c r="H189" t="e">
        <f>AND('GA55 Entry'!C715,"AAAAABv+Twc=")</f>
        <v>#VALUE!</v>
      </c>
      <c r="I189" t="e">
        <f>AND('GA55 Entry'!#REF!,"AAAAABv+Twg=")</f>
        <v>#REF!</v>
      </c>
      <c r="J189" t="e">
        <f>AND('GA55 Entry'!#REF!,"AAAAABv+Twk=")</f>
        <v>#REF!</v>
      </c>
      <c r="K189" t="e">
        <f>AND('GA55 Entry'!#REF!,"AAAAABv+Two=")</f>
        <v>#REF!</v>
      </c>
      <c r="L189" t="e">
        <f>AND('GA55 Entry'!#REF!,"AAAAABv+Tws=")</f>
        <v>#REF!</v>
      </c>
      <c r="M189" t="e">
        <f>AND('GA55 Entry'!#REF!,"AAAAABv+Tww=")</f>
        <v>#REF!</v>
      </c>
      <c r="N189" t="e">
        <f>AND('GA55 Entry'!D715,"AAAAABv+Tw0=")</f>
        <v>#VALUE!</v>
      </c>
      <c r="O189" t="e">
        <f>AND('GA55 Entry'!#REF!,"AAAAABv+Tw4=")</f>
        <v>#REF!</v>
      </c>
      <c r="P189" t="e">
        <f>AND('GA55 Entry'!E715,"AAAAABv+Tw8=")</f>
        <v>#VALUE!</v>
      </c>
      <c r="Q189" t="e">
        <f>AND('GA55 Entry'!F715,"AAAAABv+TxA=")</f>
        <v>#VALUE!</v>
      </c>
      <c r="R189" t="e">
        <f>AND('GA55 Entry'!G715,"AAAAABv+TxE=")</f>
        <v>#VALUE!</v>
      </c>
      <c r="S189" t="e">
        <f>AND('GA55 Entry'!H715,"AAAAABv+TxI=")</f>
        <v>#VALUE!</v>
      </c>
      <c r="T189" t="e">
        <f>AND('GA55 Entry'!I715,"AAAAABv+TxM=")</f>
        <v>#VALUE!</v>
      </c>
      <c r="U189" t="e">
        <f>AND('GA55 Entry'!J715,"AAAAABv+TxQ=")</f>
        <v>#VALUE!</v>
      </c>
      <c r="V189" t="e">
        <f>AND('GA55 Entry'!#REF!,"AAAAABv+TxU=")</f>
        <v>#REF!</v>
      </c>
      <c r="W189" t="e">
        <f>AND('GA55 Entry'!K715,"AAAAABv+TxY=")</f>
        <v>#VALUE!</v>
      </c>
      <c r="X189" t="e">
        <f>AND('GA55 Entry'!L715,"AAAAABv+Txc=")</f>
        <v>#VALUE!</v>
      </c>
      <c r="Y189" t="e">
        <f>AND('GA55 Entry'!M715,"AAAAABv+Txg=")</f>
        <v>#VALUE!</v>
      </c>
      <c r="Z189" t="e">
        <f>AND('GA55 Entry'!N715,"AAAAABv+Txk=")</f>
        <v>#VALUE!</v>
      </c>
      <c r="AA189" t="e">
        <f>AND('GA55 Entry'!O715,"AAAAABv+Txo=")</f>
        <v>#VALUE!</v>
      </c>
      <c r="AB189" t="e">
        <f>AND('GA55 Entry'!P715,"AAAAABv+Txs=")</f>
        <v>#VALUE!</v>
      </c>
      <c r="AC189" t="e">
        <f>AND('GA55 Entry'!Q715,"AAAAABv+Txw=")</f>
        <v>#VALUE!</v>
      </c>
      <c r="AD189" t="e">
        <f>AND('GA55 Entry'!S715,"AAAAABv+Tx0=")</f>
        <v>#VALUE!</v>
      </c>
      <c r="AE189" t="e">
        <f>AND('GA55 Entry'!#REF!,"AAAAABv+Tx4=")</f>
        <v>#REF!</v>
      </c>
      <c r="AF189" t="e">
        <f>AND('GA55 Entry'!T715,"AAAAABv+Tx8=")</f>
        <v>#VALUE!</v>
      </c>
      <c r="AG189" t="e">
        <f>AND('GA55 Entry'!U715,"AAAAABv+TyA=")</f>
        <v>#VALUE!</v>
      </c>
      <c r="AH189" t="e">
        <f>AND('GA55 Entry'!V715,"AAAAABv+TyE=")</f>
        <v>#VALUE!</v>
      </c>
      <c r="AI189" t="e">
        <f>AND('GA55 Entry'!#REF!,"AAAAABv+TyI=")</f>
        <v>#REF!</v>
      </c>
      <c r="AJ189" t="e">
        <f>AND('GA55 Entry'!#REF!,"AAAAABv+TyM=")</f>
        <v>#REF!</v>
      </c>
      <c r="AK189" t="e">
        <f>AND('GA55 Entry'!X715,"AAAAABv+TyQ=")</f>
        <v>#VALUE!</v>
      </c>
      <c r="AL189" t="e">
        <f>AND('GA55 Entry'!Y715,"AAAAABv+TyU=")</f>
        <v>#VALUE!</v>
      </c>
      <c r="AM189" t="e">
        <f>AND('GA55 Entry'!#REF!,"AAAAABv+TyY=")</f>
        <v>#REF!</v>
      </c>
      <c r="AN189" t="e">
        <f>AND('GA55 Entry'!#REF!,"AAAAABv+Tyc=")</f>
        <v>#REF!</v>
      </c>
      <c r="AO189" t="e">
        <f>AND('GA55 Entry'!#REF!,"AAAAABv+Tyg=")</f>
        <v>#REF!</v>
      </c>
      <c r="AP189" t="e">
        <f>AND('GA55 Entry'!#REF!,"AAAAABv+Tyk=")</f>
        <v>#REF!</v>
      </c>
      <c r="AQ189" t="e">
        <f>AND('GA55 Entry'!#REF!,"AAAAABv+Tyo=")</f>
        <v>#REF!</v>
      </c>
      <c r="AR189" t="e">
        <f>AND('GA55 Entry'!#REF!,"AAAAABv+Tys=")</f>
        <v>#REF!</v>
      </c>
      <c r="AS189" t="e">
        <f>AND('GA55 Entry'!#REF!,"AAAAABv+Tyw=")</f>
        <v>#REF!</v>
      </c>
      <c r="AT189" t="e">
        <f>AND('GA55 Entry'!#REF!,"AAAAABv+Ty0=")</f>
        <v>#REF!</v>
      </c>
      <c r="AU189" t="e">
        <f>AND('GA55 Entry'!#REF!,"AAAAABv+Ty4=")</f>
        <v>#REF!</v>
      </c>
      <c r="AV189" t="e">
        <f>AND('GA55 Entry'!Z715,"AAAAABv+Ty8=")</f>
        <v>#VALUE!</v>
      </c>
      <c r="AW189" t="e">
        <f>AND('GA55 Entry'!AA715,"AAAAABv+TzA=")</f>
        <v>#VALUE!</v>
      </c>
      <c r="AX189" t="e">
        <f>AND('GA55 Entry'!#REF!,"AAAAABv+TzE=")</f>
        <v>#REF!</v>
      </c>
      <c r="AY189" t="e">
        <f>AND('GA55 Entry'!#REF!,"AAAAABv+TzI=")</f>
        <v>#REF!</v>
      </c>
      <c r="AZ189" t="e">
        <f>AND('GA55 Entry'!#REF!,"AAAAABv+TzM=")</f>
        <v>#REF!</v>
      </c>
      <c r="BA189" t="e">
        <f>AND('GA55 Entry'!AB715,"AAAAABv+TzQ=")</f>
        <v>#VALUE!</v>
      </c>
      <c r="BB189" t="e">
        <f>AND('GA55 Entry'!AC715,"AAAAABv+TzU=")</f>
        <v>#VALUE!</v>
      </c>
      <c r="BC189" t="e">
        <f>AND('GA55 Entry'!#REF!,"AAAAABv+TzY=")</f>
        <v>#REF!</v>
      </c>
      <c r="BD189">
        <f>IF('GA55 Entry'!716:716,"AAAAABv+Tzc=",0)</f>
        <v>0</v>
      </c>
      <c r="BE189" t="e">
        <f>AND('GA55 Entry'!B716,"AAAAABv+Tzg=")</f>
        <v>#VALUE!</v>
      </c>
      <c r="BF189" t="e">
        <f>AND('GA55 Entry'!#REF!,"AAAAABv+Tzk=")</f>
        <v>#REF!</v>
      </c>
      <c r="BG189" t="e">
        <f>AND('GA55 Entry'!C716,"AAAAABv+Tzo=")</f>
        <v>#VALUE!</v>
      </c>
      <c r="BH189" t="e">
        <f>AND('GA55 Entry'!#REF!,"AAAAABv+Tzs=")</f>
        <v>#REF!</v>
      </c>
      <c r="BI189" t="e">
        <f>AND('GA55 Entry'!#REF!,"AAAAABv+Tzw=")</f>
        <v>#REF!</v>
      </c>
      <c r="BJ189" t="e">
        <f>AND('GA55 Entry'!#REF!,"AAAAABv+Tz0=")</f>
        <v>#REF!</v>
      </c>
      <c r="BK189" t="e">
        <f>AND('GA55 Entry'!#REF!,"AAAAABv+Tz4=")</f>
        <v>#REF!</v>
      </c>
      <c r="BL189" t="e">
        <f>AND('GA55 Entry'!#REF!,"AAAAABv+Tz8=")</f>
        <v>#REF!</v>
      </c>
      <c r="BM189" t="e">
        <f>AND('GA55 Entry'!D716,"AAAAABv+T0A=")</f>
        <v>#VALUE!</v>
      </c>
      <c r="BN189" t="e">
        <f>AND('GA55 Entry'!#REF!,"AAAAABv+T0E=")</f>
        <v>#REF!</v>
      </c>
      <c r="BO189" t="e">
        <f>AND('GA55 Entry'!E716,"AAAAABv+T0I=")</f>
        <v>#VALUE!</v>
      </c>
      <c r="BP189" t="e">
        <f>AND('GA55 Entry'!F716,"AAAAABv+T0M=")</f>
        <v>#VALUE!</v>
      </c>
      <c r="BQ189" t="e">
        <f>AND('GA55 Entry'!G716,"AAAAABv+T0Q=")</f>
        <v>#VALUE!</v>
      </c>
      <c r="BR189" t="e">
        <f>AND('GA55 Entry'!H716,"AAAAABv+T0U=")</f>
        <v>#VALUE!</v>
      </c>
      <c r="BS189" t="e">
        <f>AND('GA55 Entry'!I716,"AAAAABv+T0Y=")</f>
        <v>#VALUE!</v>
      </c>
      <c r="BT189" t="e">
        <f>AND('GA55 Entry'!J716,"AAAAABv+T0c=")</f>
        <v>#VALUE!</v>
      </c>
      <c r="BU189" t="e">
        <f>AND('GA55 Entry'!#REF!,"AAAAABv+T0g=")</f>
        <v>#REF!</v>
      </c>
      <c r="BV189" t="e">
        <f>AND('GA55 Entry'!K716,"AAAAABv+T0k=")</f>
        <v>#VALUE!</v>
      </c>
      <c r="BW189" t="e">
        <f>AND('GA55 Entry'!L716,"AAAAABv+T0o=")</f>
        <v>#VALUE!</v>
      </c>
      <c r="BX189" t="e">
        <f>AND('GA55 Entry'!M716,"AAAAABv+T0s=")</f>
        <v>#VALUE!</v>
      </c>
      <c r="BY189" t="e">
        <f>AND('GA55 Entry'!N716,"AAAAABv+T0w=")</f>
        <v>#VALUE!</v>
      </c>
      <c r="BZ189" t="e">
        <f>AND('GA55 Entry'!O716,"AAAAABv+T00=")</f>
        <v>#VALUE!</v>
      </c>
      <c r="CA189" t="e">
        <f>AND('GA55 Entry'!P716,"AAAAABv+T04=")</f>
        <v>#VALUE!</v>
      </c>
      <c r="CB189" t="e">
        <f>AND('GA55 Entry'!Q716,"AAAAABv+T08=")</f>
        <v>#VALUE!</v>
      </c>
      <c r="CC189" t="e">
        <f>AND('GA55 Entry'!S716,"AAAAABv+T1A=")</f>
        <v>#VALUE!</v>
      </c>
      <c r="CD189" t="e">
        <f>AND('GA55 Entry'!#REF!,"AAAAABv+T1E=")</f>
        <v>#REF!</v>
      </c>
      <c r="CE189" t="e">
        <f>AND('GA55 Entry'!T716,"AAAAABv+T1I=")</f>
        <v>#VALUE!</v>
      </c>
      <c r="CF189" t="e">
        <f>AND('GA55 Entry'!U716,"AAAAABv+T1M=")</f>
        <v>#VALUE!</v>
      </c>
      <c r="CG189" t="e">
        <f>AND('GA55 Entry'!V716,"AAAAABv+T1Q=")</f>
        <v>#VALUE!</v>
      </c>
      <c r="CH189" t="e">
        <f>AND('GA55 Entry'!#REF!,"AAAAABv+T1U=")</f>
        <v>#REF!</v>
      </c>
      <c r="CI189" t="e">
        <f>AND('GA55 Entry'!#REF!,"AAAAABv+T1Y=")</f>
        <v>#REF!</v>
      </c>
      <c r="CJ189" t="e">
        <f>AND('GA55 Entry'!X716,"AAAAABv+T1c=")</f>
        <v>#VALUE!</v>
      </c>
      <c r="CK189" t="e">
        <f>AND('GA55 Entry'!Y716,"AAAAABv+T1g=")</f>
        <v>#VALUE!</v>
      </c>
      <c r="CL189" t="e">
        <f>AND('GA55 Entry'!#REF!,"AAAAABv+T1k=")</f>
        <v>#REF!</v>
      </c>
      <c r="CM189" t="e">
        <f>AND('GA55 Entry'!#REF!,"AAAAABv+T1o=")</f>
        <v>#REF!</v>
      </c>
      <c r="CN189" t="e">
        <f>AND('GA55 Entry'!#REF!,"AAAAABv+T1s=")</f>
        <v>#REF!</v>
      </c>
      <c r="CO189" t="e">
        <f>AND('GA55 Entry'!#REF!,"AAAAABv+T1w=")</f>
        <v>#REF!</v>
      </c>
      <c r="CP189" t="e">
        <f>AND('GA55 Entry'!#REF!,"AAAAABv+T10=")</f>
        <v>#REF!</v>
      </c>
      <c r="CQ189" t="e">
        <f>AND('GA55 Entry'!#REF!,"AAAAABv+T14=")</f>
        <v>#REF!</v>
      </c>
      <c r="CR189" t="e">
        <f>AND('GA55 Entry'!#REF!,"AAAAABv+T18=")</f>
        <v>#REF!</v>
      </c>
      <c r="CS189" t="e">
        <f>AND('GA55 Entry'!#REF!,"AAAAABv+T2A=")</f>
        <v>#REF!</v>
      </c>
      <c r="CT189" t="e">
        <f>AND('GA55 Entry'!#REF!,"AAAAABv+T2E=")</f>
        <v>#REF!</v>
      </c>
      <c r="CU189" t="e">
        <f>AND('GA55 Entry'!Z716,"AAAAABv+T2I=")</f>
        <v>#VALUE!</v>
      </c>
      <c r="CV189" t="e">
        <f>AND('GA55 Entry'!AA716,"AAAAABv+T2M=")</f>
        <v>#VALUE!</v>
      </c>
      <c r="CW189" t="e">
        <f>AND('GA55 Entry'!#REF!,"AAAAABv+T2Q=")</f>
        <v>#REF!</v>
      </c>
      <c r="CX189" t="e">
        <f>AND('GA55 Entry'!#REF!,"AAAAABv+T2U=")</f>
        <v>#REF!</v>
      </c>
      <c r="CY189" t="e">
        <f>AND('GA55 Entry'!#REF!,"AAAAABv+T2Y=")</f>
        <v>#REF!</v>
      </c>
      <c r="CZ189" t="e">
        <f>AND('GA55 Entry'!AB716,"AAAAABv+T2c=")</f>
        <v>#VALUE!</v>
      </c>
      <c r="DA189" t="e">
        <f>AND('GA55 Entry'!AC716,"AAAAABv+T2g=")</f>
        <v>#VALUE!</v>
      </c>
      <c r="DB189" t="e">
        <f>AND('GA55 Entry'!#REF!,"AAAAABv+T2k=")</f>
        <v>#REF!</v>
      </c>
      <c r="DC189">
        <f>IF('GA55 Entry'!717:717,"AAAAABv+T2o=",0)</f>
        <v>0</v>
      </c>
      <c r="DD189" t="e">
        <f>AND('GA55 Entry'!B717,"AAAAABv+T2s=")</f>
        <v>#VALUE!</v>
      </c>
      <c r="DE189" t="e">
        <f>AND('GA55 Entry'!#REF!,"AAAAABv+T2w=")</f>
        <v>#REF!</v>
      </c>
      <c r="DF189" t="e">
        <f>AND('GA55 Entry'!C717,"AAAAABv+T20=")</f>
        <v>#VALUE!</v>
      </c>
      <c r="DG189" t="e">
        <f>AND('GA55 Entry'!#REF!,"AAAAABv+T24=")</f>
        <v>#REF!</v>
      </c>
      <c r="DH189" t="e">
        <f>AND('GA55 Entry'!#REF!,"AAAAABv+T28=")</f>
        <v>#REF!</v>
      </c>
      <c r="DI189" t="e">
        <f>AND('GA55 Entry'!#REF!,"AAAAABv+T3A=")</f>
        <v>#REF!</v>
      </c>
      <c r="DJ189" t="e">
        <f>AND('GA55 Entry'!#REF!,"AAAAABv+T3E=")</f>
        <v>#REF!</v>
      </c>
      <c r="DK189" t="e">
        <f>AND('GA55 Entry'!#REF!,"AAAAABv+T3I=")</f>
        <v>#REF!</v>
      </c>
      <c r="DL189" t="e">
        <f>AND('GA55 Entry'!D717,"AAAAABv+T3M=")</f>
        <v>#VALUE!</v>
      </c>
      <c r="DM189" t="e">
        <f>AND('GA55 Entry'!#REF!,"AAAAABv+T3Q=")</f>
        <v>#REF!</v>
      </c>
      <c r="DN189" t="e">
        <f>AND('GA55 Entry'!E717,"AAAAABv+T3U=")</f>
        <v>#VALUE!</v>
      </c>
      <c r="DO189" t="e">
        <f>AND('GA55 Entry'!F717,"AAAAABv+T3Y=")</f>
        <v>#VALUE!</v>
      </c>
      <c r="DP189" t="e">
        <f>AND('GA55 Entry'!G717,"AAAAABv+T3c=")</f>
        <v>#VALUE!</v>
      </c>
      <c r="DQ189" t="e">
        <f>AND('GA55 Entry'!H717,"AAAAABv+T3g=")</f>
        <v>#VALUE!</v>
      </c>
      <c r="DR189" t="e">
        <f>AND('GA55 Entry'!I717,"AAAAABv+T3k=")</f>
        <v>#VALUE!</v>
      </c>
      <c r="DS189" t="e">
        <f>AND('GA55 Entry'!J717,"AAAAABv+T3o=")</f>
        <v>#VALUE!</v>
      </c>
      <c r="DT189" t="e">
        <f>AND('GA55 Entry'!#REF!,"AAAAABv+T3s=")</f>
        <v>#REF!</v>
      </c>
      <c r="DU189" t="e">
        <f>AND('GA55 Entry'!K717,"AAAAABv+T3w=")</f>
        <v>#VALUE!</v>
      </c>
      <c r="DV189" t="e">
        <f>AND('GA55 Entry'!L717,"AAAAABv+T30=")</f>
        <v>#VALUE!</v>
      </c>
      <c r="DW189" t="e">
        <f>AND('GA55 Entry'!M717,"AAAAABv+T34=")</f>
        <v>#VALUE!</v>
      </c>
      <c r="DX189" t="e">
        <f>AND('GA55 Entry'!N717,"AAAAABv+T38=")</f>
        <v>#VALUE!</v>
      </c>
      <c r="DY189" t="e">
        <f>AND('GA55 Entry'!O717,"AAAAABv+T4A=")</f>
        <v>#VALUE!</v>
      </c>
      <c r="DZ189" t="e">
        <f>AND('GA55 Entry'!P717,"AAAAABv+T4E=")</f>
        <v>#VALUE!</v>
      </c>
      <c r="EA189" t="e">
        <f>AND('GA55 Entry'!Q717,"AAAAABv+T4I=")</f>
        <v>#VALUE!</v>
      </c>
      <c r="EB189" t="e">
        <f>AND('GA55 Entry'!S717,"AAAAABv+T4M=")</f>
        <v>#VALUE!</v>
      </c>
      <c r="EC189" t="e">
        <f>AND('GA55 Entry'!#REF!,"AAAAABv+T4Q=")</f>
        <v>#REF!</v>
      </c>
      <c r="ED189" t="e">
        <f>AND('GA55 Entry'!T717,"AAAAABv+T4U=")</f>
        <v>#VALUE!</v>
      </c>
      <c r="EE189" t="e">
        <f>AND('GA55 Entry'!U717,"AAAAABv+T4Y=")</f>
        <v>#VALUE!</v>
      </c>
      <c r="EF189" t="e">
        <f>AND('GA55 Entry'!V717,"AAAAABv+T4c=")</f>
        <v>#VALUE!</v>
      </c>
      <c r="EG189" t="e">
        <f>AND('GA55 Entry'!#REF!,"AAAAABv+T4g=")</f>
        <v>#REF!</v>
      </c>
      <c r="EH189" t="e">
        <f>AND('GA55 Entry'!#REF!,"AAAAABv+T4k=")</f>
        <v>#REF!</v>
      </c>
      <c r="EI189" t="e">
        <f>AND('GA55 Entry'!X717,"AAAAABv+T4o=")</f>
        <v>#VALUE!</v>
      </c>
      <c r="EJ189" t="e">
        <f>AND('GA55 Entry'!Y717,"AAAAABv+T4s=")</f>
        <v>#VALUE!</v>
      </c>
      <c r="EK189" t="e">
        <f>AND('GA55 Entry'!#REF!,"AAAAABv+T4w=")</f>
        <v>#REF!</v>
      </c>
      <c r="EL189" t="e">
        <f>AND('GA55 Entry'!#REF!,"AAAAABv+T40=")</f>
        <v>#REF!</v>
      </c>
      <c r="EM189" t="e">
        <f>AND('GA55 Entry'!#REF!,"AAAAABv+T44=")</f>
        <v>#REF!</v>
      </c>
      <c r="EN189" t="e">
        <f>AND('GA55 Entry'!#REF!,"AAAAABv+T48=")</f>
        <v>#REF!</v>
      </c>
      <c r="EO189" t="e">
        <f>AND('GA55 Entry'!#REF!,"AAAAABv+T5A=")</f>
        <v>#REF!</v>
      </c>
      <c r="EP189" t="e">
        <f>AND('GA55 Entry'!#REF!,"AAAAABv+T5E=")</f>
        <v>#REF!</v>
      </c>
      <c r="EQ189" t="e">
        <f>AND('GA55 Entry'!#REF!,"AAAAABv+T5I=")</f>
        <v>#REF!</v>
      </c>
      <c r="ER189" t="e">
        <f>AND('GA55 Entry'!#REF!,"AAAAABv+T5M=")</f>
        <v>#REF!</v>
      </c>
      <c r="ES189" t="e">
        <f>AND('GA55 Entry'!#REF!,"AAAAABv+T5Q=")</f>
        <v>#REF!</v>
      </c>
      <c r="ET189" t="e">
        <f>AND('GA55 Entry'!Z717,"AAAAABv+T5U=")</f>
        <v>#VALUE!</v>
      </c>
      <c r="EU189" t="e">
        <f>AND('GA55 Entry'!AA717,"AAAAABv+T5Y=")</f>
        <v>#VALUE!</v>
      </c>
      <c r="EV189" t="e">
        <f>AND('GA55 Entry'!#REF!,"AAAAABv+T5c=")</f>
        <v>#REF!</v>
      </c>
      <c r="EW189" t="e">
        <f>AND('GA55 Entry'!#REF!,"AAAAABv+T5g=")</f>
        <v>#REF!</v>
      </c>
      <c r="EX189" t="e">
        <f>AND('GA55 Entry'!#REF!,"AAAAABv+T5k=")</f>
        <v>#REF!</v>
      </c>
      <c r="EY189" t="e">
        <f>AND('GA55 Entry'!AB717,"AAAAABv+T5o=")</f>
        <v>#VALUE!</v>
      </c>
      <c r="EZ189" t="e">
        <f>AND('GA55 Entry'!AC717,"AAAAABv+T5s=")</f>
        <v>#VALUE!</v>
      </c>
      <c r="FA189" t="e">
        <f>AND('GA55 Entry'!#REF!,"AAAAABv+T5w=")</f>
        <v>#REF!</v>
      </c>
      <c r="FB189">
        <f>IF('GA55 Entry'!718:718,"AAAAABv+T50=",0)</f>
        <v>0</v>
      </c>
      <c r="FC189" t="e">
        <f>AND('GA55 Entry'!B718,"AAAAABv+T54=")</f>
        <v>#VALUE!</v>
      </c>
      <c r="FD189" t="e">
        <f>AND('GA55 Entry'!#REF!,"AAAAABv+T58=")</f>
        <v>#REF!</v>
      </c>
      <c r="FE189" t="e">
        <f>AND('GA55 Entry'!C718,"AAAAABv+T6A=")</f>
        <v>#VALUE!</v>
      </c>
      <c r="FF189" t="e">
        <f>AND('GA55 Entry'!#REF!,"AAAAABv+T6E=")</f>
        <v>#REF!</v>
      </c>
      <c r="FG189" t="e">
        <f>AND('GA55 Entry'!#REF!,"AAAAABv+T6I=")</f>
        <v>#REF!</v>
      </c>
      <c r="FH189" t="e">
        <f>AND('GA55 Entry'!#REF!,"AAAAABv+T6M=")</f>
        <v>#REF!</v>
      </c>
      <c r="FI189" t="e">
        <f>AND('GA55 Entry'!#REF!,"AAAAABv+T6Q=")</f>
        <v>#REF!</v>
      </c>
      <c r="FJ189" t="e">
        <f>AND('GA55 Entry'!#REF!,"AAAAABv+T6U=")</f>
        <v>#REF!</v>
      </c>
      <c r="FK189" t="e">
        <f>AND('GA55 Entry'!D718,"AAAAABv+T6Y=")</f>
        <v>#VALUE!</v>
      </c>
      <c r="FL189" t="e">
        <f>AND('GA55 Entry'!#REF!,"AAAAABv+T6c=")</f>
        <v>#REF!</v>
      </c>
      <c r="FM189" t="e">
        <f>AND('GA55 Entry'!E718,"AAAAABv+T6g=")</f>
        <v>#VALUE!</v>
      </c>
      <c r="FN189" t="e">
        <f>AND('GA55 Entry'!F718,"AAAAABv+T6k=")</f>
        <v>#VALUE!</v>
      </c>
      <c r="FO189" t="e">
        <f>AND('GA55 Entry'!G718,"AAAAABv+T6o=")</f>
        <v>#VALUE!</v>
      </c>
      <c r="FP189" t="e">
        <f>AND('GA55 Entry'!H718,"AAAAABv+T6s=")</f>
        <v>#VALUE!</v>
      </c>
      <c r="FQ189" t="e">
        <f>AND('GA55 Entry'!I718,"AAAAABv+T6w=")</f>
        <v>#VALUE!</v>
      </c>
      <c r="FR189" t="e">
        <f>AND('GA55 Entry'!J718,"AAAAABv+T60=")</f>
        <v>#VALUE!</v>
      </c>
      <c r="FS189" t="e">
        <f>AND('GA55 Entry'!#REF!,"AAAAABv+T64=")</f>
        <v>#REF!</v>
      </c>
      <c r="FT189" t="e">
        <f>AND('GA55 Entry'!K718,"AAAAABv+T68=")</f>
        <v>#VALUE!</v>
      </c>
      <c r="FU189" t="e">
        <f>AND('GA55 Entry'!L718,"AAAAABv+T7A=")</f>
        <v>#VALUE!</v>
      </c>
      <c r="FV189" t="e">
        <f>AND('GA55 Entry'!M718,"AAAAABv+T7E=")</f>
        <v>#VALUE!</v>
      </c>
      <c r="FW189" t="e">
        <f>AND('GA55 Entry'!N718,"AAAAABv+T7I=")</f>
        <v>#VALUE!</v>
      </c>
      <c r="FX189" t="e">
        <f>AND('GA55 Entry'!O718,"AAAAABv+T7M=")</f>
        <v>#VALUE!</v>
      </c>
      <c r="FY189" t="e">
        <f>AND('GA55 Entry'!P718,"AAAAABv+T7Q=")</f>
        <v>#VALUE!</v>
      </c>
      <c r="FZ189" t="e">
        <f>AND('GA55 Entry'!Q718,"AAAAABv+T7U=")</f>
        <v>#VALUE!</v>
      </c>
      <c r="GA189" t="e">
        <f>AND('GA55 Entry'!S718,"AAAAABv+T7Y=")</f>
        <v>#VALUE!</v>
      </c>
      <c r="GB189" t="e">
        <f>AND('GA55 Entry'!#REF!,"AAAAABv+T7c=")</f>
        <v>#REF!</v>
      </c>
      <c r="GC189" t="e">
        <f>AND('GA55 Entry'!T718,"AAAAABv+T7g=")</f>
        <v>#VALUE!</v>
      </c>
      <c r="GD189" t="e">
        <f>AND('GA55 Entry'!U718,"AAAAABv+T7k=")</f>
        <v>#VALUE!</v>
      </c>
      <c r="GE189" t="e">
        <f>AND('GA55 Entry'!V718,"AAAAABv+T7o=")</f>
        <v>#VALUE!</v>
      </c>
      <c r="GF189" t="e">
        <f>AND('GA55 Entry'!#REF!,"AAAAABv+T7s=")</f>
        <v>#REF!</v>
      </c>
      <c r="GG189" t="e">
        <f>AND('GA55 Entry'!#REF!,"AAAAABv+T7w=")</f>
        <v>#REF!</v>
      </c>
      <c r="GH189" t="e">
        <f>AND('GA55 Entry'!X718,"AAAAABv+T70=")</f>
        <v>#VALUE!</v>
      </c>
      <c r="GI189" t="e">
        <f>AND('GA55 Entry'!Y718,"AAAAABv+T74=")</f>
        <v>#VALUE!</v>
      </c>
      <c r="GJ189" t="e">
        <f>AND('GA55 Entry'!#REF!,"AAAAABv+T78=")</f>
        <v>#REF!</v>
      </c>
      <c r="GK189" t="e">
        <f>AND('GA55 Entry'!#REF!,"AAAAABv+T8A=")</f>
        <v>#REF!</v>
      </c>
      <c r="GL189" t="e">
        <f>AND('GA55 Entry'!#REF!,"AAAAABv+T8E=")</f>
        <v>#REF!</v>
      </c>
      <c r="GM189" t="e">
        <f>AND('GA55 Entry'!#REF!,"AAAAABv+T8I=")</f>
        <v>#REF!</v>
      </c>
      <c r="GN189" t="e">
        <f>AND('GA55 Entry'!#REF!,"AAAAABv+T8M=")</f>
        <v>#REF!</v>
      </c>
      <c r="GO189" t="e">
        <f>AND('GA55 Entry'!#REF!,"AAAAABv+T8Q=")</f>
        <v>#REF!</v>
      </c>
      <c r="GP189" t="e">
        <f>AND('GA55 Entry'!#REF!,"AAAAABv+T8U=")</f>
        <v>#REF!</v>
      </c>
      <c r="GQ189" t="e">
        <f>AND('GA55 Entry'!#REF!,"AAAAABv+T8Y=")</f>
        <v>#REF!</v>
      </c>
      <c r="GR189" t="e">
        <f>AND('GA55 Entry'!#REF!,"AAAAABv+T8c=")</f>
        <v>#REF!</v>
      </c>
      <c r="GS189" t="e">
        <f>AND('GA55 Entry'!Z718,"AAAAABv+T8g=")</f>
        <v>#VALUE!</v>
      </c>
      <c r="GT189" t="e">
        <f>AND('GA55 Entry'!AA718,"AAAAABv+T8k=")</f>
        <v>#VALUE!</v>
      </c>
      <c r="GU189" t="e">
        <f>AND('GA55 Entry'!#REF!,"AAAAABv+T8o=")</f>
        <v>#REF!</v>
      </c>
      <c r="GV189" t="e">
        <f>AND('GA55 Entry'!#REF!,"AAAAABv+T8s=")</f>
        <v>#REF!</v>
      </c>
      <c r="GW189" t="e">
        <f>AND('GA55 Entry'!#REF!,"AAAAABv+T8w=")</f>
        <v>#REF!</v>
      </c>
      <c r="GX189" t="e">
        <f>AND('GA55 Entry'!AB718,"AAAAABv+T80=")</f>
        <v>#VALUE!</v>
      </c>
      <c r="GY189" t="e">
        <f>AND('GA55 Entry'!AC718,"AAAAABv+T84=")</f>
        <v>#VALUE!</v>
      </c>
      <c r="GZ189" t="e">
        <f>AND('GA55 Entry'!#REF!,"AAAAABv+T88=")</f>
        <v>#REF!</v>
      </c>
      <c r="HA189">
        <f>IF('GA55 Entry'!719:719,"AAAAABv+T9A=",0)</f>
        <v>0</v>
      </c>
      <c r="HB189" t="e">
        <f>AND('GA55 Entry'!B719,"AAAAABv+T9E=")</f>
        <v>#VALUE!</v>
      </c>
      <c r="HC189" t="e">
        <f>AND('GA55 Entry'!#REF!,"AAAAABv+T9I=")</f>
        <v>#REF!</v>
      </c>
      <c r="HD189" t="e">
        <f>AND('GA55 Entry'!C719,"AAAAABv+T9M=")</f>
        <v>#VALUE!</v>
      </c>
      <c r="HE189" t="e">
        <f>AND('GA55 Entry'!#REF!,"AAAAABv+T9Q=")</f>
        <v>#REF!</v>
      </c>
      <c r="HF189" t="e">
        <f>AND('GA55 Entry'!#REF!,"AAAAABv+T9U=")</f>
        <v>#REF!</v>
      </c>
      <c r="HG189" t="e">
        <f>AND('GA55 Entry'!#REF!,"AAAAABv+T9Y=")</f>
        <v>#REF!</v>
      </c>
      <c r="HH189" t="e">
        <f>AND('GA55 Entry'!#REF!,"AAAAABv+T9c=")</f>
        <v>#REF!</v>
      </c>
      <c r="HI189" t="e">
        <f>AND('GA55 Entry'!#REF!,"AAAAABv+T9g=")</f>
        <v>#REF!</v>
      </c>
      <c r="HJ189" t="e">
        <f>AND('GA55 Entry'!D719,"AAAAABv+T9k=")</f>
        <v>#VALUE!</v>
      </c>
      <c r="HK189" t="e">
        <f>AND('GA55 Entry'!#REF!,"AAAAABv+T9o=")</f>
        <v>#REF!</v>
      </c>
      <c r="HL189" t="e">
        <f>AND('GA55 Entry'!E719,"AAAAABv+T9s=")</f>
        <v>#VALUE!</v>
      </c>
      <c r="HM189" t="e">
        <f>AND('GA55 Entry'!F719,"AAAAABv+T9w=")</f>
        <v>#VALUE!</v>
      </c>
      <c r="HN189" t="e">
        <f>AND('GA55 Entry'!G719,"AAAAABv+T90=")</f>
        <v>#VALUE!</v>
      </c>
      <c r="HO189" t="e">
        <f>AND('GA55 Entry'!H719,"AAAAABv+T94=")</f>
        <v>#VALUE!</v>
      </c>
      <c r="HP189" t="e">
        <f>AND('GA55 Entry'!I719,"AAAAABv+T98=")</f>
        <v>#VALUE!</v>
      </c>
      <c r="HQ189" t="e">
        <f>AND('GA55 Entry'!J719,"AAAAABv+T+A=")</f>
        <v>#VALUE!</v>
      </c>
      <c r="HR189" t="e">
        <f>AND('GA55 Entry'!#REF!,"AAAAABv+T+E=")</f>
        <v>#REF!</v>
      </c>
      <c r="HS189" t="e">
        <f>AND('GA55 Entry'!K719,"AAAAABv+T+I=")</f>
        <v>#VALUE!</v>
      </c>
      <c r="HT189" t="e">
        <f>AND('GA55 Entry'!L719,"AAAAABv+T+M=")</f>
        <v>#VALUE!</v>
      </c>
      <c r="HU189" t="e">
        <f>AND('GA55 Entry'!M719,"AAAAABv+T+Q=")</f>
        <v>#VALUE!</v>
      </c>
      <c r="HV189" t="e">
        <f>AND('GA55 Entry'!N719,"AAAAABv+T+U=")</f>
        <v>#VALUE!</v>
      </c>
      <c r="HW189" t="e">
        <f>AND('GA55 Entry'!O719,"AAAAABv+T+Y=")</f>
        <v>#VALUE!</v>
      </c>
      <c r="HX189" t="e">
        <f>AND('GA55 Entry'!P719,"AAAAABv+T+c=")</f>
        <v>#VALUE!</v>
      </c>
      <c r="HY189" t="e">
        <f>AND('GA55 Entry'!Q719,"AAAAABv+T+g=")</f>
        <v>#VALUE!</v>
      </c>
      <c r="HZ189" t="e">
        <f>AND('GA55 Entry'!S719,"AAAAABv+T+k=")</f>
        <v>#VALUE!</v>
      </c>
      <c r="IA189" t="e">
        <f>AND('GA55 Entry'!#REF!,"AAAAABv+T+o=")</f>
        <v>#REF!</v>
      </c>
      <c r="IB189" t="e">
        <f>AND('GA55 Entry'!T719,"AAAAABv+T+s=")</f>
        <v>#VALUE!</v>
      </c>
      <c r="IC189" t="e">
        <f>AND('GA55 Entry'!U719,"AAAAABv+T+w=")</f>
        <v>#VALUE!</v>
      </c>
      <c r="ID189" t="e">
        <f>AND('GA55 Entry'!V719,"AAAAABv+T+0=")</f>
        <v>#VALUE!</v>
      </c>
      <c r="IE189" t="e">
        <f>AND('GA55 Entry'!#REF!,"AAAAABv+T+4=")</f>
        <v>#REF!</v>
      </c>
      <c r="IF189" t="e">
        <f>AND('GA55 Entry'!#REF!,"AAAAABv+T+8=")</f>
        <v>#REF!</v>
      </c>
      <c r="IG189" t="e">
        <f>AND('GA55 Entry'!X719,"AAAAABv+T/A=")</f>
        <v>#VALUE!</v>
      </c>
      <c r="IH189" t="e">
        <f>AND('GA55 Entry'!Y719,"AAAAABv+T/E=")</f>
        <v>#VALUE!</v>
      </c>
      <c r="II189" t="e">
        <f>AND('GA55 Entry'!#REF!,"AAAAABv+T/I=")</f>
        <v>#REF!</v>
      </c>
      <c r="IJ189" t="e">
        <f>AND('GA55 Entry'!#REF!,"AAAAABv+T/M=")</f>
        <v>#REF!</v>
      </c>
      <c r="IK189" t="e">
        <f>AND('GA55 Entry'!#REF!,"AAAAABv+T/Q=")</f>
        <v>#REF!</v>
      </c>
      <c r="IL189" t="e">
        <f>AND('GA55 Entry'!#REF!,"AAAAABv+T/U=")</f>
        <v>#REF!</v>
      </c>
      <c r="IM189" t="e">
        <f>AND('GA55 Entry'!#REF!,"AAAAABv+T/Y=")</f>
        <v>#REF!</v>
      </c>
      <c r="IN189" t="e">
        <f>AND('GA55 Entry'!#REF!,"AAAAABv+T/c=")</f>
        <v>#REF!</v>
      </c>
      <c r="IO189" t="e">
        <f>AND('GA55 Entry'!#REF!,"AAAAABv+T/g=")</f>
        <v>#REF!</v>
      </c>
      <c r="IP189" t="e">
        <f>AND('GA55 Entry'!#REF!,"AAAAABv+T/k=")</f>
        <v>#REF!</v>
      </c>
      <c r="IQ189" t="e">
        <f>AND('GA55 Entry'!#REF!,"AAAAABv+T/o=")</f>
        <v>#REF!</v>
      </c>
      <c r="IR189" t="e">
        <f>AND('GA55 Entry'!Z719,"AAAAABv+T/s=")</f>
        <v>#VALUE!</v>
      </c>
      <c r="IS189" t="e">
        <f>AND('GA55 Entry'!AA719,"AAAAABv+T/w=")</f>
        <v>#VALUE!</v>
      </c>
      <c r="IT189" t="e">
        <f>AND('GA55 Entry'!#REF!,"AAAAABv+T/0=")</f>
        <v>#REF!</v>
      </c>
      <c r="IU189" t="e">
        <f>AND('GA55 Entry'!#REF!,"AAAAABv+T/4=")</f>
        <v>#REF!</v>
      </c>
      <c r="IV189" t="e">
        <f>AND('GA55 Entry'!#REF!,"AAAAABv+T/8=")</f>
        <v>#REF!</v>
      </c>
    </row>
    <row r="190" spans="1:256">
      <c r="A190" t="e">
        <f>AND('GA55 Entry'!AB719,"AAAAAH9/mwA=")</f>
        <v>#VALUE!</v>
      </c>
      <c r="B190" t="e">
        <f>AND('GA55 Entry'!AC719,"AAAAAH9/mwE=")</f>
        <v>#VALUE!</v>
      </c>
      <c r="C190" t="e">
        <f>AND('GA55 Entry'!#REF!,"AAAAAH9/mwI=")</f>
        <v>#REF!</v>
      </c>
      <c r="D190">
        <f>IF('GA55 Entry'!720:720,"AAAAAH9/mwM=",0)</f>
        <v>0</v>
      </c>
      <c r="E190" t="e">
        <f>AND('GA55 Entry'!B720,"AAAAAH9/mwQ=")</f>
        <v>#VALUE!</v>
      </c>
      <c r="F190" t="e">
        <f>AND('GA55 Entry'!#REF!,"AAAAAH9/mwU=")</f>
        <v>#REF!</v>
      </c>
      <c r="G190" t="e">
        <f>AND('GA55 Entry'!C720,"AAAAAH9/mwY=")</f>
        <v>#VALUE!</v>
      </c>
      <c r="H190" t="e">
        <f>AND('GA55 Entry'!#REF!,"AAAAAH9/mwc=")</f>
        <v>#REF!</v>
      </c>
      <c r="I190" t="e">
        <f>AND('GA55 Entry'!#REF!,"AAAAAH9/mwg=")</f>
        <v>#REF!</v>
      </c>
      <c r="J190" t="e">
        <f>AND('GA55 Entry'!#REF!,"AAAAAH9/mwk=")</f>
        <v>#REF!</v>
      </c>
      <c r="K190" t="e">
        <f>AND('GA55 Entry'!#REF!,"AAAAAH9/mwo=")</f>
        <v>#REF!</v>
      </c>
      <c r="L190" t="e">
        <f>AND('GA55 Entry'!#REF!,"AAAAAH9/mws=")</f>
        <v>#REF!</v>
      </c>
      <c r="M190" t="e">
        <f>AND('GA55 Entry'!D720,"AAAAAH9/mww=")</f>
        <v>#VALUE!</v>
      </c>
      <c r="N190" t="e">
        <f>AND('GA55 Entry'!#REF!,"AAAAAH9/mw0=")</f>
        <v>#REF!</v>
      </c>
      <c r="O190" t="e">
        <f>AND('GA55 Entry'!E720,"AAAAAH9/mw4=")</f>
        <v>#VALUE!</v>
      </c>
      <c r="P190" t="e">
        <f>AND('GA55 Entry'!F720,"AAAAAH9/mw8=")</f>
        <v>#VALUE!</v>
      </c>
      <c r="Q190" t="e">
        <f>AND('GA55 Entry'!G720,"AAAAAH9/mxA=")</f>
        <v>#VALUE!</v>
      </c>
      <c r="R190" t="e">
        <f>AND('GA55 Entry'!H720,"AAAAAH9/mxE=")</f>
        <v>#VALUE!</v>
      </c>
      <c r="S190" t="e">
        <f>AND('GA55 Entry'!I720,"AAAAAH9/mxI=")</f>
        <v>#VALUE!</v>
      </c>
      <c r="T190" t="e">
        <f>AND('GA55 Entry'!J720,"AAAAAH9/mxM=")</f>
        <v>#VALUE!</v>
      </c>
      <c r="U190" t="e">
        <f>AND('GA55 Entry'!#REF!,"AAAAAH9/mxQ=")</f>
        <v>#REF!</v>
      </c>
      <c r="V190" t="e">
        <f>AND('GA55 Entry'!K720,"AAAAAH9/mxU=")</f>
        <v>#VALUE!</v>
      </c>
      <c r="W190" t="e">
        <f>AND('GA55 Entry'!L720,"AAAAAH9/mxY=")</f>
        <v>#VALUE!</v>
      </c>
      <c r="X190" t="e">
        <f>AND('GA55 Entry'!M720,"AAAAAH9/mxc=")</f>
        <v>#VALUE!</v>
      </c>
      <c r="Y190" t="e">
        <f>AND('GA55 Entry'!N720,"AAAAAH9/mxg=")</f>
        <v>#VALUE!</v>
      </c>
      <c r="Z190" t="e">
        <f>AND('GA55 Entry'!O720,"AAAAAH9/mxk=")</f>
        <v>#VALUE!</v>
      </c>
      <c r="AA190" t="e">
        <f>AND('GA55 Entry'!P720,"AAAAAH9/mxo=")</f>
        <v>#VALUE!</v>
      </c>
      <c r="AB190" t="e">
        <f>AND('GA55 Entry'!Q720,"AAAAAH9/mxs=")</f>
        <v>#VALUE!</v>
      </c>
      <c r="AC190" t="e">
        <f>AND('GA55 Entry'!S720,"AAAAAH9/mxw=")</f>
        <v>#VALUE!</v>
      </c>
      <c r="AD190" t="e">
        <f>AND('GA55 Entry'!#REF!,"AAAAAH9/mx0=")</f>
        <v>#REF!</v>
      </c>
      <c r="AE190" t="e">
        <f>AND('GA55 Entry'!T720,"AAAAAH9/mx4=")</f>
        <v>#VALUE!</v>
      </c>
      <c r="AF190" t="e">
        <f>AND('GA55 Entry'!U720,"AAAAAH9/mx8=")</f>
        <v>#VALUE!</v>
      </c>
      <c r="AG190" t="e">
        <f>AND('GA55 Entry'!V720,"AAAAAH9/myA=")</f>
        <v>#VALUE!</v>
      </c>
      <c r="AH190" t="e">
        <f>AND('GA55 Entry'!#REF!,"AAAAAH9/myE=")</f>
        <v>#REF!</v>
      </c>
      <c r="AI190" t="e">
        <f>AND('GA55 Entry'!#REF!,"AAAAAH9/myI=")</f>
        <v>#REF!</v>
      </c>
      <c r="AJ190" t="e">
        <f>AND('GA55 Entry'!X720,"AAAAAH9/myM=")</f>
        <v>#VALUE!</v>
      </c>
      <c r="AK190" t="e">
        <f>AND('GA55 Entry'!Y720,"AAAAAH9/myQ=")</f>
        <v>#VALUE!</v>
      </c>
      <c r="AL190" t="e">
        <f>AND('GA55 Entry'!#REF!,"AAAAAH9/myU=")</f>
        <v>#REF!</v>
      </c>
      <c r="AM190" t="e">
        <f>AND('GA55 Entry'!#REF!,"AAAAAH9/myY=")</f>
        <v>#REF!</v>
      </c>
      <c r="AN190" t="e">
        <f>AND('GA55 Entry'!#REF!,"AAAAAH9/myc=")</f>
        <v>#REF!</v>
      </c>
      <c r="AO190" t="e">
        <f>AND('GA55 Entry'!#REF!,"AAAAAH9/myg=")</f>
        <v>#REF!</v>
      </c>
      <c r="AP190" t="e">
        <f>AND('GA55 Entry'!#REF!,"AAAAAH9/myk=")</f>
        <v>#REF!</v>
      </c>
      <c r="AQ190" t="e">
        <f>AND('GA55 Entry'!#REF!,"AAAAAH9/myo=")</f>
        <v>#REF!</v>
      </c>
      <c r="AR190" t="e">
        <f>AND('GA55 Entry'!#REF!,"AAAAAH9/mys=")</f>
        <v>#REF!</v>
      </c>
      <c r="AS190" t="e">
        <f>AND('GA55 Entry'!#REF!,"AAAAAH9/myw=")</f>
        <v>#REF!</v>
      </c>
      <c r="AT190" t="e">
        <f>AND('GA55 Entry'!#REF!,"AAAAAH9/my0=")</f>
        <v>#REF!</v>
      </c>
      <c r="AU190" t="e">
        <f>AND('GA55 Entry'!Z720,"AAAAAH9/my4=")</f>
        <v>#VALUE!</v>
      </c>
      <c r="AV190" t="e">
        <f>AND('GA55 Entry'!AA720,"AAAAAH9/my8=")</f>
        <v>#VALUE!</v>
      </c>
      <c r="AW190" t="e">
        <f>AND('GA55 Entry'!#REF!,"AAAAAH9/mzA=")</f>
        <v>#REF!</v>
      </c>
      <c r="AX190" t="e">
        <f>AND('GA55 Entry'!#REF!,"AAAAAH9/mzE=")</f>
        <v>#REF!</v>
      </c>
      <c r="AY190" t="e">
        <f>AND('GA55 Entry'!#REF!,"AAAAAH9/mzI=")</f>
        <v>#REF!</v>
      </c>
      <c r="AZ190" t="e">
        <f>AND('GA55 Entry'!AB720,"AAAAAH9/mzM=")</f>
        <v>#VALUE!</v>
      </c>
      <c r="BA190" t="e">
        <f>AND('GA55 Entry'!AC720,"AAAAAH9/mzQ=")</f>
        <v>#VALUE!</v>
      </c>
      <c r="BB190" t="e">
        <f>AND('GA55 Entry'!#REF!,"AAAAAH9/mzU=")</f>
        <v>#REF!</v>
      </c>
      <c r="BC190">
        <f>IF('GA55 Entry'!721:721,"AAAAAH9/mzY=",0)</f>
        <v>0</v>
      </c>
      <c r="BD190" t="e">
        <f>AND('GA55 Entry'!B721,"AAAAAH9/mzc=")</f>
        <v>#VALUE!</v>
      </c>
      <c r="BE190" t="e">
        <f>AND('GA55 Entry'!#REF!,"AAAAAH9/mzg=")</f>
        <v>#REF!</v>
      </c>
      <c r="BF190" t="e">
        <f>AND('GA55 Entry'!C721,"AAAAAH9/mzk=")</f>
        <v>#VALUE!</v>
      </c>
      <c r="BG190" t="e">
        <f>AND('GA55 Entry'!#REF!,"AAAAAH9/mzo=")</f>
        <v>#REF!</v>
      </c>
      <c r="BH190" t="e">
        <f>AND('GA55 Entry'!#REF!,"AAAAAH9/mzs=")</f>
        <v>#REF!</v>
      </c>
      <c r="BI190" t="e">
        <f>AND('GA55 Entry'!#REF!,"AAAAAH9/mzw=")</f>
        <v>#REF!</v>
      </c>
      <c r="BJ190" t="e">
        <f>AND('GA55 Entry'!#REF!,"AAAAAH9/mz0=")</f>
        <v>#REF!</v>
      </c>
      <c r="BK190" t="e">
        <f>AND('GA55 Entry'!#REF!,"AAAAAH9/mz4=")</f>
        <v>#REF!</v>
      </c>
      <c r="BL190" t="e">
        <f>AND('GA55 Entry'!D721,"AAAAAH9/mz8=")</f>
        <v>#VALUE!</v>
      </c>
      <c r="BM190" t="e">
        <f>AND('GA55 Entry'!#REF!,"AAAAAH9/m0A=")</f>
        <v>#REF!</v>
      </c>
      <c r="BN190" t="e">
        <f>AND('GA55 Entry'!E721,"AAAAAH9/m0E=")</f>
        <v>#VALUE!</v>
      </c>
      <c r="BO190" t="e">
        <f>AND('GA55 Entry'!F721,"AAAAAH9/m0I=")</f>
        <v>#VALUE!</v>
      </c>
      <c r="BP190" t="e">
        <f>AND('GA55 Entry'!G721,"AAAAAH9/m0M=")</f>
        <v>#VALUE!</v>
      </c>
      <c r="BQ190" t="e">
        <f>AND('GA55 Entry'!H721,"AAAAAH9/m0Q=")</f>
        <v>#VALUE!</v>
      </c>
      <c r="BR190" t="e">
        <f>AND('GA55 Entry'!I721,"AAAAAH9/m0U=")</f>
        <v>#VALUE!</v>
      </c>
      <c r="BS190" t="e">
        <f>AND('GA55 Entry'!J721,"AAAAAH9/m0Y=")</f>
        <v>#VALUE!</v>
      </c>
      <c r="BT190" t="e">
        <f>AND('GA55 Entry'!#REF!,"AAAAAH9/m0c=")</f>
        <v>#REF!</v>
      </c>
      <c r="BU190" t="e">
        <f>AND('GA55 Entry'!K721,"AAAAAH9/m0g=")</f>
        <v>#VALUE!</v>
      </c>
      <c r="BV190" t="e">
        <f>AND('GA55 Entry'!L721,"AAAAAH9/m0k=")</f>
        <v>#VALUE!</v>
      </c>
      <c r="BW190" t="e">
        <f>AND('GA55 Entry'!M721,"AAAAAH9/m0o=")</f>
        <v>#VALUE!</v>
      </c>
      <c r="BX190" t="e">
        <f>AND('GA55 Entry'!N721,"AAAAAH9/m0s=")</f>
        <v>#VALUE!</v>
      </c>
      <c r="BY190" t="e">
        <f>AND('GA55 Entry'!O721,"AAAAAH9/m0w=")</f>
        <v>#VALUE!</v>
      </c>
      <c r="BZ190" t="e">
        <f>AND('GA55 Entry'!P721,"AAAAAH9/m00=")</f>
        <v>#VALUE!</v>
      </c>
      <c r="CA190" t="e">
        <f>AND('GA55 Entry'!Q721,"AAAAAH9/m04=")</f>
        <v>#VALUE!</v>
      </c>
      <c r="CB190" t="e">
        <f>AND('GA55 Entry'!S721,"AAAAAH9/m08=")</f>
        <v>#VALUE!</v>
      </c>
      <c r="CC190" t="e">
        <f>AND('GA55 Entry'!#REF!,"AAAAAH9/m1A=")</f>
        <v>#REF!</v>
      </c>
      <c r="CD190" t="e">
        <f>AND('GA55 Entry'!T721,"AAAAAH9/m1E=")</f>
        <v>#VALUE!</v>
      </c>
      <c r="CE190" t="e">
        <f>AND('GA55 Entry'!U721,"AAAAAH9/m1I=")</f>
        <v>#VALUE!</v>
      </c>
      <c r="CF190" t="e">
        <f>AND('GA55 Entry'!V721,"AAAAAH9/m1M=")</f>
        <v>#VALUE!</v>
      </c>
      <c r="CG190" t="e">
        <f>AND('GA55 Entry'!#REF!,"AAAAAH9/m1Q=")</f>
        <v>#REF!</v>
      </c>
      <c r="CH190" t="e">
        <f>AND('GA55 Entry'!#REF!,"AAAAAH9/m1U=")</f>
        <v>#REF!</v>
      </c>
      <c r="CI190" t="e">
        <f>AND('GA55 Entry'!X721,"AAAAAH9/m1Y=")</f>
        <v>#VALUE!</v>
      </c>
      <c r="CJ190" t="e">
        <f>AND('GA55 Entry'!Y721,"AAAAAH9/m1c=")</f>
        <v>#VALUE!</v>
      </c>
      <c r="CK190" t="e">
        <f>AND('GA55 Entry'!#REF!,"AAAAAH9/m1g=")</f>
        <v>#REF!</v>
      </c>
      <c r="CL190" t="e">
        <f>AND('GA55 Entry'!#REF!,"AAAAAH9/m1k=")</f>
        <v>#REF!</v>
      </c>
      <c r="CM190" t="e">
        <f>AND('GA55 Entry'!#REF!,"AAAAAH9/m1o=")</f>
        <v>#REF!</v>
      </c>
      <c r="CN190" t="e">
        <f>AND('GA55 Entry'!#REF!,"AAAAAH9/m1s=")</f>
        <v>#REF!</v>
      </c>
      <c r="CO190" t="e">
        <f>AND('GA55 Entry'!#REF!,"AAAAAH9/m1w=")</f>
        <v>#REF!</v>
      </c>
      <c r="CP190" t="e">
        <f>AND('GA55 Entry'!#REF!,"AAAAAH9/m10=")</f>
        <v>#REF!</v>
      </c>
      <c r="CQ190" t="e">
        <f>AND('GA55 Entry'!#REF!,"AAAAAH9/m14=")</f>
        <v>#REF!</v>
      </c>
      <c r="CR190" t="e">
        <f>AND('GA55 Entry'!#REF!,"AAAAAH9/m18=")</f>
        <v>#REF!</v>
      </c>
      <c r="CS190" t="e">
        <f>AND('GA55 Entry'!#REF!,"AAAAAH9/m2A=")</f>
        <v>#REF!</v>
      </c>
      <c r="CT190" t="e">
        <f>AND('GA55 Entry'!Z721,"AAAAAH9/m2E=")</f>
        <v>#VALUE!</v>
      </c>
      <c r="CU190" t="e">
        <f>AND('GA55 Entry'!AA721,"AAAAAH9/m2I=")</f>
        <v>#VALUE!</v>
      </c>
      <c r="CV190" t="e">
        <f>AND('GA55 Entry'!#REF!,"AAAAAH9/m2M=")</f>
        <v>#REF!</v>
      </c>
      <c r="CW190" t="e">
        <f>AND('GA55 Entry'!#REF!,"AAAAAH9/m2Q=")</f>
        <v>#REF!</v>
      </c>
      <c r="CX190" t="e">
        <f>AND('GA55 Entry'!#REF!,"AAAAAH9/m2U=")</f>
        <v>#REF!</v>
      </c>
      <c r="CY190" t="e">
        <f>AND('GA55 Entry'!AB721,"AAAAAH9/m2Y=")</f>
        <v>#VALUE!</v>
      </c>
      <c r="CZ190" t="e">
        <f>AND('GA55 Entry'!AC721,"AAAAAH9/m2c=")</f>
        <v>#VALUE!</v>
      </c>
      <c r="DA190" t="e">
        <f>AND('GA55 Entry'!#REF!,"AAAAAH9/m2g=")</f>
        <v>#REF!</v>
      </c>
      <c r="DB190">
        <f>IF('GA55 Entry'!722:722,"AAAAAH9/m2k=",0)</f>
        <v>0</v>
      </c>
      <c r="DC190" t="e">
        <f>AND('GA55 Entry'!B722,"AAAAAH9/m2o=")</f>
        <v>#VALUE!</v>
      </c>
      <c r="DD190" t="e">
        <f>AND('GA55 Entry'!#REF!,"AAAAAH9/m2s=")</f>
        <v>#REF!</v>
      </c>
      <c r="DE190" t="e">
        <f>AND('GA55 Entry'!C722,"AAAAAH9/m2w=")</f>
        <v>#VALUE!</v>
      </c>
      <c r="DF190" t="e">
        <f>AND('GA55 Entry'!#REF!,"AAAAAH9/m20=")</f>
        <v>#REF!</v>
      </c>
      <c r="DG190" t="e">
        <f>AND('GA55 Entry'!#REF!,"AAAAAH9/m24=")</f>
        <v>#REF!</v>
      </c>
      <c r="DH190" t="e">
        <f>AND('GA55 Entry'!#REF!,"AAAAAH9/m28=")</f>
        <v>#REF!</v>
      </c>
      <c r="DI190" t="e">
        <f>AND('GA55 Entry'!#REF!,"AAAAAH9/m3A=")</f>
        <v>#REF!</v>
      </c>
      <c r="DJ190" t="e">
        <f>AND('GA55 Entry'!#REF!,"AAAAAH9/m3E=")</f>
        <v>#REF!</v>
      </c>
      <c r="DK190" t="e">
        <f>AND('GA55 Entry'!D722,"AAAAAH9/m3I=")</f>
        <v>#VALUE!</v>
      </c>
      <c r="DL190" t="e">
        <f>AND('GA55 Entry'!#REF!,"AAAAAH9/m3M=")</f>
        <v>#REF!</v>
      </c>
      <c r="DM190" t="e">
        <f>AND('GA55 Entry'!E722,"AAAAAH9/m3Q=")</f>
        <v>#VALUE!</v>
      </c>
      <c r="DN190" t="e">
        <f>AND('GA55 Entry'!F722,"AAAAAH9/m3U=")</f>
        <v>#VALUE!</v>
      </c>
      <c r="DO190" t="e">
        <f>AND('GA55 Entry'!G722,"AAAAAH9/m3Y=")</f>
        <v>#VALUE!</v>
      </c>
      <c r="DP190" t="e">
        <f>AND('GA55 Entry'!H722,"AAAAAH9/m3c=")</f>
        <v>#VALUE!</v>
      </c>
      <c r="DQ190" t="e">
        <f>AND('GA55 Entry'!I722,"AAAAAH9/m3g=")</f>
        <v>#VALUE!</v>
      </c>
      <c r="DR190" t="e">
        <f>AND('GA55 Entry'!J722,"AAAAAH9/m3k=")</f>
        <v>#VALUE!</v>
      </c>
      <c r="DS190" t="e">
        <f>AND('GA55 Entry'!#REF!,"AAAAAH9/m3o=")</f>
        <v>#REF!</v>
      </c>
      <c r="DT190" t="e">
        <f>AND('GA55 Entry'!K722,"AAAAAH9/m3s=")</f>
        <v>#VALUE!</v>
      </c>
      <c r="DU190" t="e">
        <f>AND('GA55 Entry'!L722,"AAAAAH9/m3w=")</f>
        <v>#VALUE!</v>
      </c>
      <c r="DV190" t="e">
        <f>AND('GA55 Entry'!M722,"AAAAAH9/m30=")</f>
        <v>#VALUE!</v>
      </c>
      <c r="DW190" t="e">
        <f>AND('GA55 Entry'!N722,"AAAAAH9/m34=")</f>
        <v>#VALUE!</v>
      </c>
      <c r="DX190" t="e">
        <f>AND('GA55 Entry'!O722,"AAAAAH9/m38=")</f>
        <v>#VALUE!</v>
      </c>
      <c r="DY190" t="e">
        <f>AND('GA55 Entry'!P722,"AAAAAH9/m4A=")</f>
        <v>#VALUE!</v>
      </c>
      <c r="DZ190" t="e">
        <f>AND('GA55 Entry'!Q722,"AAAAAH9/m4E=")</f>
        <v>#VALUE!</v>
      </c>
      <c r="EA190" t="e">
        <f>AND('GA55 Entry'!S722,"AAAAAH9/m4I=")</f>
        <v>#VALUE!</v>
      </c>
      <c r="EB190" t="e">
        <f>AND('GA55 Entry'!#REF!,"AAAAAH9/m4M=")</f>
        <v>#REF!</v>
      </c>
      <c r="EC190" t="e">
        <f>AND('GA55 Entry'!T722,"AAAAAH9/m4Q=")</f>
        <v>#VALUE!</v>
      </c>
      <c r="ED190" t="e">
        <f>AND('GA55 Entry'!U722,"AAAAAH9/m4U=")</f>
        <v>#VALUE!</v>
      </c>
      <c r="EE190" t="e">
        <f>AND('GA55 Entry'!V722,"AAAAAH9/m4Y=")</f>
        <v>#VALUE!</v>
      </c>
      <c r="EF190" t="e">
        <f>AND('GA55 Entry'!#REF!,"AAAAAH9/m4c=")</f>
        <v>#REF!</v>
      </c>
      <c r="EG190" t="e">
        <f>AND('GA55 Entry'!#REF!,"AAAAAH9/m4g=")</f>
        <v>#REF!</v>
      </c>
      <c r="EH190" t="e">
        <f>AND('GA55 Entry'!X722,"AAAAAH9/m4k=")</f>
        <v>#VALUE!</v>
      </c>
      <c r="EI190" t="e">
        <f>AND('GA55 Entry'!Y722,"AAAAAH9/m4o=")</f>
        <v>#VALUE!</v>
      </c>
      <c r="EJ190" t="e">
        <f>AND('GA55 Entry'!#REF!,"AAAAAH9/m4s=")</f>
        <v>#REF!</v>
      </c>
      <c r="EK190" t="e">
        <f>AND('GA55 Entry'!#REF!,"AAAAAH9/m4w=")</f>
        <v>#REF!</v>
      </c>
      <c r="EL190" t="e">
        <f>AND('GA55 Entry'!#REF!,"AAAAAH9/m40=")</f>
        <v>#REF!</v>
      </c>
      <c r="EM190" t="e">
        <f>AND('GA55 Entry'!#REF!,"AAAAAH9/m44=")</f>
        <v>#REF!</v>
      </c>
      <c r="EN190" t="e">
        <f>AND('GA55 Entry'!#REF!,"AAAAAH9/m48=")</f>
        <v>#REF!</v>
      </c>
      <c r="EO190" t="e">
        <f>AND('GA55 Entry'!#REF!,"AAAAAH9/m5A=")</f>
        <v>#REF!</v>
      </c>
      <c r="EP190" t="e">
        <f>AND('GA55 Entry'!#REF!,"AAAAAH9/m5E=")</f>
        <v>#REF!</v>
      </c>
      <c r="EQ190" t="e">
        <f>AND('GA55 Entry'!#REF!,"AAAAAH9/m5I=")</f>
        <v>#REF!</v>
      </c>
      <c r="ER190" t="e">
        <f>AND('GA55 Entry'!#REF!,"AAAAAH9/m5M=")</f>
        <v>#REF!</v>
      </c>
      <c r="ES190" t="e">
        <f>AND('GA55 Entry'!Z722,"AAAAAH9/m5Q=")</f>
        <v>#VALUE!</v>
      </c>
      <c r="ET190" t="e">
        <f>AND('GA55 Entry'!AA722,"AAAAAH9/m5U=")</f>
        <v>#VALUE!</v>
      </c>
      <c r="EU190" t="e">
        <f>AND('GA55 Entry'!#REF!,"AAAAAH9/m5Y=")</f>
        <v>#REF!</v>
      </c>
      <c r="EV190" t="e">
        <f>AND('GA55 Entry'!#REF!,"AAAAAH9/m5c=")</f>
        <v>#REF!</v>
      </c>
      <c r="EW190" t="e">
        <f>AND('GA55 Entry'!#REF!,"AAAAAH9/m5g=")</f>
        <v>#REF!</v>
      </c>
      <c r="EX190" t="e">
        <f>AND('GA55 Entry'!AB722,"AAAAAH9/m5k=")</f>
        <v>#VALUE!</v>
      </c>
      <c r="EY190" t="e">
        <f>AND('GA55 Entry'!AC722,"AAAAAH9/m5o=")</f>
        <v>#VALUE!</v>
      </c>
      <c r="EZ190" t="e">
        <f>AND('GA55 Entry'!#REF!,"AAAAAH9/m5s=")</f>
        <v>#REF!</v>
      </c>
      <c r="FA190">
        <f>IF('GA55 Entry'!723:723,"AAAAAH9/m5w=",0)</f>
        <v>0</v>
      </c>
      <c r="FB190" t="e">
        <f>AND('GA55 Entry'!B723,"AAAAAH9/m50=")</f>
        <v>#VALUE!</v>
      </c>
      <c r="FC190" t="e">
        <f>AND('GA55 Entry'!#REF!,"AAAAAH9/m54=")</f>
        <v>#REF!</v>
      </c>
      <c r="FD190" t="e">
        <f>AND('GA55 Entry'!C723,"AAAAAH9/m58=")</f>
        <v>#VALUE!</v>
      </c>
      <c r="FE190" t="e">
        <f>AND('GA55 Entry'!#REF!,"AAAAAH9/m6A=")</f>
        <v>#REF!</v>
      </c>
      <c r="FF190" t="e">
        <f>AND('GA55 Entry'!#REF!,"AAAAAH9/m6E=")</f>
        <v>#REF!</v>
      </c>
      <c r="FG190" t="e">
        <f>AND('GA55 Entry'!#REF!,"AAAAAH9/m6I=")</f>
        <v>#REF!</v>
      </c>
      <c r="FH190" t="e">
        <f>AND('GA55 Entry'!#REF!,"AAAAAH9/m6M=")</f>
        <v>#REF!</v>
      </c>
      <c r="FI190" t="e">
        <f>AND('GA55 Entry'!#REF!,"AAAAAH9/m6Q=")</f>
        <v>#REF!</v>
      </c>
      <c r="FJ190" t="e">
        <f>AND('GA55 Entry'!D723,"AAAAAH9/m6U=")</f>
        <v>#VALUE!</v>
      </c>
      <c r="FK190" t="e">
        <f>AND('GA55 Entry'!#REF!,"AAAAAH9/m6Y=")</f>
        <v>#REF!</v>
      </c>
      <c r="FL190" t="e">
        <f>AND('GA55 Entry'!E723,"AAAAAH9/m6c=")</f>
        <v>#VALUE!</v>
      </c>
      <c r="FM190" t="e">
        <f>AND('GA55 Entry'!F723,"AAAAAH9/m6g=")</f>
        <v>#VALUE!</v>
      </c>
      <c r="FN190" t="e">
        <f>AND('GA55 Entry'!G723,"AAAAAH9/m6k=")</f>
        <v>#VALUE!</v>
      </c>
      <c r="FO190" t="e">
        <f>AND('GA55 Entry'!H723,"AAAAAH9/m6o=")</f>
        <v>#VALUE!</v>
      </c>
      <c r="FP190" t="e">
        <f>AND('GA55 Entry'!I723,"AAAAAH9/m6s=")</f>
        <v>#VALUE!</v>
      </c>
      <c r="FQ190" t="e">
        <f>AND('GA55 Entry'!J723,"AAAAAH9/m6w=")</f>
        <v>#VALUE!</v>
      </c>
      <c r="FR190" t="e">
        <f>AND('GA55 Entry'!#REF!,"AAAAAH9/m60=")</f>
        <v>#REF!</v>
      </c>
      <c r="FS190" t="e">
        <f>AND('GA55 Entry'!K723,"AAAAAH9/m64=")</f>
        <v>#VALUE!</v>
      </c>
      <c r="FT190" t="e">
        <f>AND('GA55 Entry'!L723,"AAAAAH9/m68=")</f>
        <v>#VALUE!</v>
      </c>
      <c r="FU190" t="e">
        <f>AND('GA55 Entry'!M723,"AAAAAH9/m7A=")</f>
        <v>#VALUE!</v>
      </c>
      <c r="FV190" t="e">
        <f>AND('GA55 Entry'!N723,"AAAAAH9/m7E=")</f>
        <v>#VALUE!</v>
      </c>
      <c r="FW190" t="e">
        <f>AND('GA55 Entry'!O723,"AAAAAH9/m7I=")</f>
        <v>#VALUE!</v>
      </c>
      <c r="FX190" t="e">
        <f>AND('GA55 Entry'!P723,"AAAAAH9/m7M=")</f>
        <v>#VALUE!</v>
      </c>
      <c r="FY190" t="e">
        <f>AND('GA55 Entry'!Q723,"AAAAAH9/m7Q=")</f>
        <v>#VALUE!</v>
      </c>
      <c r="FZ190" t="e">
        <f>AND('GA55 Entry'!S723,"AAAAAH9/m7U=")</f>
        <v>#VALUE!</v>
      </c>
      <c r="GA190" t="e">
        <f>AND('GA55 Entry'!#REF!,"AAAAAH9/m7Y=")</f>
        <v>#REF!</v>
      </c>
      <c r="GB190" t="e">
        <f>AND('GA55 Entry'!T723,"AAAAAH9/m7c=")</f>
        <v>#VALUE!</v>
      </c>
      <c r="GC190" t="e">
        <f>AND('GA55 Entry'!U723,"AAAAAH9/m7g=")</f>
        <v>#VALUE!</v>
      </c>
      <c r="GD190" t="e">
        <f>AND('GA55 Entry'!V723,"AAAAAH9/m7k=")</f>
        <v>#VALUE!</v>
      </c>
      <c r="GE190" t="e">
        <f>AND('GA55 Entry'!#REF!,"AAAAAH9/m7o=")</f>
        <v>#REF!</v>
      </c>
      <c r="GF190" t="e">
        <f>AND('GA55 Entry'!#REF!,"AAAAAH9/m7s=")</f>
        <v>#REF!</v>
      </c>
      <c r="GG190" t="e">
        <f>AND('GA55 Entry'!X723,"AAAAAH9/m7w=")</f>
        <v>#VALUE!</v>
      </c>
      <c r="GH190" t="e">
        <f>AND('GA55 Entry'!Y723,"AAAAAH9/m70=")</f>
        <v>#VALUE!</v>
      </c>
      <c r="GI190" t="e">
        <f>AND('GA55 Entry'!#REF!,"AAAAAH9/m74=")</f>
        <v>#REF!</v>
      </c>
      <c r="GJ190" t="e">
        <f>AND('GA55 Entry'!#REF!,"AAAAAH9/m78=")</f>
        <v>#REF!</v>
      </c>
      <c r="GK190" t="e">
        <f>AND('GA55 Entry'!#REF!,"AAAAAH9/m8A=")</f>
        <v>#REF!</v>
      </c>
      <c r="GL190" t="e">
        <f>AND('GA55 Entry'!#REF!,"AAAAAH9/m8E=")</f>
        <v>#REF!</v>
      </c>
      <c r="GM190" t="e">
        <f>AND('GA55 Entry'!#REF!,"AAAAAH9/m8I=")</f>
        <v>#REF!</v>
      </c>
      <c r="GN190" t="e">
        <f>AND('GA55 Entry'!#REF!,"AAAAAH9/m8M=")</f>
        <v>#REF!</v>
      </c>
      <c r="GO190" t="e">
        <f>AND('GA55 Entry'!#REF!,"AAAAAH9/m8Q=")</f>
        <v>#REF!</v>
      </c>
      <c r="GP190" t="e">
        <f>AND('GA55 Entry'!#REF!,"AAAAAH9/m8U=")</f>
        <v>#REF!</v>
      </c>
      <c r="GQ190" t="e">
        <f>AND('GA55 Entry'!#REF!,"AAAAAH9/m8Y=")</f>
        <v>#REF!</v>
      </c>
      <c r="GR190" t="e">
        <f>AND('GA55 Entry'!Z723,"AAAAAH9/m8c=")</f>
        <v>#VALUE!</v>
      </c>
      <c r="GS190" t="e">
        <f>AND('GA55 Entry'!AA723,"AAAAAH9/m8g=")</f>
        <v>#VALUE!</v>
      </c>
      <c r="GT190" t="e">
        <f>AND('GA55 Entry'!#REF!,"AAAAAH9/m8k=")</f>
        <v>#REF!</v>
      </c>
      <c r="GU190" t="e">
        <f>AND('GA55 Entry'!#REF!,"AAAAAH9/m8o=")</f>
        <v>#REF!</v>
      </c>
      <c r="GV190" t="e">
        <f>AND('GA55 Entry'!#REF!,"AAAAAH9/m8s=")</f>
        <v>#REF!</v>
      </c>
      <c r="GW190" t="e">
        <f>AND('GA55 Entry'!AB723,"AAAAAH9/m8w=")</f>
        <v>#VALUE!</v>
      </c>
      <c r="GX190" t="e">
        <f>AND('GA55 Entry'!AC723,"AAAAAH9/m80=")</f>
        <v>#VALUE!</v>
      </c>
      <c r="GY190" t="e">
        <f>AND('GA55 Entry'!#REF!,"AAAAAH9/m84=")</f>
        <v>#REF!</v>
      </c>
      <c r="GZ190">
        <f>IF('GA55 Entry'!724:724,"AAAAAH9/m88=",0)</f>
        <v>0</v>
      </c>
      <c r="HA190" t="e">
        <f>AND('GA55 Entry'!B724,"AAAAAH9/m9A=")</f>
        <v>#VALUE!</v>
      </c>
      <c r="HB190" t="e">
        <f>AND('GA55 Entry'!#REF!,"AAAAAH9/m9E=")</f>
        <v>#REF!</v>
      </c>
      <c r="HC190" t="e">
        <f>AND('GA55 Entry'!C724,"AAAAAH9/m9I=")</f>
        <v>#VALUE!</v>
      </c>
      <c r="HD190" t="e">
        <f>AND('GA55 Entry'!#REF!,"AAAAAH9/m9M=")</f>
        <v>#REF!</v>
      </c>
      <c r="HE190" t="e">
        <f>AND('GA55 Entry'!#REF!,"AAAAAH9/m9Q=")</f>
        <v>#REF!</v>
      </c>
      <c r="HF190" t="e">
        <f>AND('GA55 Entry'!#REF!,"AAAAAH9/m9U=")</f>
        <v>#REF!</v>
      </c>
      <c r="HG190" t="e">
        <f>AND('GA55 Entry'!#REF!,"AAAAAH9/m9Y=")</f>
        <v>#REF!</v>
      </c>
      <c r="HH190" t="e">
        <f>AND('GA55 Entry'!#REF!,"AAAAAH9/m9c=")</f>
        <v>#REF!</v>
      </c>
      <c r="HI190" t="e">
        <f>AND('GA55 Entry'!D724,"AAAAAH9/m9g=")</f>
        <v>#VALUE!</v>
      </c>
      <c r="HJ190" t="e">
        <f>AND('GA55 Entry'!#REF!,"AAAAAH9/m9k=")</f>
        <v>#REF!</v>
      </c>
      <c r="HK190" t="e">
        <f>AND('GA55 Entry'!E724,"AAAAAH9/m9o=")</f>
        <v>#VALUE!</v>
      </c>
      <c r="HL190" t="e">
        <f>AND('GA55 Entry'!F724,"AAAAAH9/m9s=")</f>
        <v>#VALUE!</v>
      </c>
      <c r="HM190" t="e">
        <f>AND('GA55 Entry'!G724,"AAAAAH9/m9w=")</f>
        <v>#VALUE!</v>
      </c>
      <c r="HN190" t="e">
        <f>AND('GA55 Entry'!H724,"AAAAAH9/m90=")</f>
        <v>#VALUE!</v>
      </c>
      <c r="HO190" t="e">
        <f>AND('GA55 Entry'!I724,"AAAAAH9/m94=")</f>
        <v>#VALUE!</v>
      </c>
      <c r="HP190" t="e">
        <f>AND('GA55 Entry'!J724,"AAAAAH9/m98=")</f>
        <v>#VALUE!</v>
      </c>
      <c r="HQ190" t="e">
        <f>AND('GA55 Entry'!#REF!,"AAAAAH9/m+A=")</f>
        <v>#REF!</v>
      </c>
      <c r="HR190" t="e">
        <f>AND('GA55 Entry'!K724,"AAAAAH9/m+E=")</f>
        <v>#VALUE!</v>
      </c>
      <c r="HS190" t="e">
        <f>AND('GA55 Entry'!L724,"AAAAAH9/m+I=")</f>
        <v>#VALUE!</v>
      </c>
      <c r="HT190" t="e">
        <f>AND('GA55 Entry'!M724,"AAAAAH9/m+M=")</f>
        <v>#VALUE!</v>
      </c>
      <c r="HU190" t="e">
        <f>AND('GA55 Entry'!N724,"AAAAAH9/m+Q=")</f>
        <v>#VALUE!</v>
      </c>
      <c r="HV190" t="e">
        <f>AND('GA55 Entry'!O724,"AAAAAH9/m+U=")</f>
        <v>#VALUE!</v>
      </c>
      <c r="HW190" t="e">
        <f>AND('GA55 Entry'!P724,"AAAAAH9/m+Y=")</f>
        <v>#VALUE!</v>
      </c>
      <c r="HX190" t="e">
        <f>AND('GA55 Entry'!Q724,"AAAAAH9/m+c=")</f>
        <v>#VALUE!</v>
      </c>
      <c r="HY190" t="e">
        <f>AND('GA55 Entry'!S724,"AAAAAH9/m+g=")</f>
        <v>#VALUE!</v>
      </c>
      <c r="HZ190" t="e">
        <f>AND('GA55 Entry'!#REF!,"AAAAAH9/m+k=")</f>
        <v>#REF!</v>
      </c>
      <c r="IA190" t="e">
        <f>AND('GA55 Entry'!T724,"AAAAAH9/m+o=")</f>
        <v>#VALUE!</v>
      </c>
      <c r="IB190" t="e">
        <f>AND('GA55 Entry'!U724,"AAAAAH9/m+s=")</f>
        <v>#VALUE!</v>
      </c>
      <c r="IC190" t="e">
        <f>AND('GA55 Entry'!V724,"AAAAAH9/m+w=")</f>
        <v>#VALUE!</v>
      </c>
      <c r="ID190" t="e">
        <f>AND('GA55 Entry'!#REF!,"AAAAAH9/m+0=")</f>
        <v>#REF!</v>
      </c>
      <c r="IE190" t="e">
        <f>AND('GA55 Entry'!#REF!,"AAAAAH9/m+4=")</f>
        <v>#REF!</v>
      </c>
      <c r="IF190" t="e">
        <f>AND('GA55 Entry'!X724,"AAAAAH9/m+8=")</f>
        <v>#VALUE!</v>
      </c>
      <c r="IG190" t="e">
        <f>AND('GA55 Entry'!Y724,"AAAAAH9/m/A=")</f>
        <v>#VALUE!</v>
      </c>
      <c r="IH190" t="e">
        <f>AND('GA55 Entry'!#REF!,"AAAAAH9/m/E=")</f>
        <v>#REF!</v>
      </c>
      <c r="II190" t="e">
        <f>AND('GA55 Entry'!#REF!,"AAAAAH9/m/I=")</f>
        <v>#REF!</v>
      </c>
      <c r="IJ190" t="e">
        <f>AND('GA55 Entry'!#REF!,"AAAAAH9/m/M=")</f>
        <v>#REF!</v>
      </c>
      <c r="IK190" t="e">
        <f>AND('GA55 Entry'!#REF!,"AAAAAH9/m/Q=")</f>
        <v>#REF!</v>
      </c>
      <c r="IL190" t="e">
        <f>AND('GA55 Entry'!#REF!,"AAAAAH9/m/U=")</f>
        <v>#REF!</v>
      </c>
      <c r="IM190" t="e">
        <f>AND('GA55 Entry'!#REF!,"AAAAAH9/m/Y=")</f>
        <v>#REF!</v>
      </c>
      <c r="IN190" t="e">
        <f>AND('GA55 Entry'!#REF!,"AAAAAH9/m/c=")</f>
        <v>#REF!</v>
      </c>
      <c r="IO190" t="e">
        <f>AND('GA55 Entry'!#REF!,"AAAAAH9/m/g=")</f>
        <v>#REF!</v>
      </c>
      <c r="IP190" t="e">
        <f>AND('GA55 Entry'!#REF!,"AAAAAH9/m/k=")</f>
        <v>#REF!</v>
      </c>
      <c r="IQ190" t="e">
        <f>AND('GA55 Entry'!Z724,"AAAAAH9/m/o=")</f>
        <v>#VALUE!</v>
      </c>
      <c r="IR190" t="e">
        <f>AND('GA55 Entry'!AA724,"AAAAAH9/m/s=")</f>
        <v>#VALUE!</v>
      </c>
      <c r="IS190" t="e">
        <f>AND('GA55 Entry'!#REF!,"AAAAAH9/m/w=")</f>
        <v>#REF!</v>
      </c>
      <c r="IT190" t="e">
        <f>AND('GA55 Entry'!#REF!,"AAAAAH9/m/0=")</f>
        <v>#REF!</v>
      </c>
      <c r="IU190" t="e">
        <f>AND('GA55 Entry'!#REF!,"AAAAAH9/m/4=")</f>
        <v>#REF!</v>
      </c>
      <c r="IV190" t="e">
        <f>AND('GA55 Entry'!AB724,"AAAAAH9/m/8=")</f>
        <v>#VALUE!</v>
      </c>
    </row>
    <row r="191" spans="1:256">
      <c r="A191" t="e">
        <f>AND('GA55 Entry'!AC724,"AAAAAHO2LwA=")</f>
        <v>#VALUE!</v>
      </c>
      <c r="B191" t="e">
        <f>AND('GA55 Entry'!#REF!,"AAAAAHO2LwE=")</f>
        <v>#REF!</v>
      </c>
      <c r="C191">
        <f>IF('GA55 Entry'!725:725,"AAAAAHO2LwI=",0)</f>
        <v>0</v>
      </c>
      <c r="D191" t="e">
        <f>AND('GA55 Entry'!B725,"AAAAAHO2LwM=")</f>
        <v>#VALUE!</v>
      </c>
      <c r="E191" t="e">
        <f>AND('GA55 Entry'!#REF!,"AAAAAHO2LwQ=")</f>
        <v>#REF!</v>
      </c>
      <c r="F191" t="e">
        <f>AND('GA55 Entry'!C725,"AAAAAHO2LwU=")</f>
        <v>#VALUE!</v>
      </c>
      <c r="G191" t="e">
        <f>AND('GA55 Entry'!#REF!,"AAAAAHO2LwY=")</f>
        <v>#REF!</v>
      </c>
      <c r="H191" t="e">
        <f>AND('GA55 Entry'!#REF!,"AAAAAHO2Lwc=")</f>
        <v>#REF!</v>
      </c>
      <c r="I191" t="e">
        <f>AND('GA55 Entry'!#REF!,"AAAAAHO2Lwg=")</f>
        <v>#REF!</v>
      </c>
      <c r="J191" t="e">
        <f>AND('GA55 Entry'!#REF!,"AAAAAHO2Lwk=")</f>
        <v>#REF!</v>
      </c>
      <c r="K191" t="e">
        <f>AND('GA55 Entry'!#REF!,"AAAAAHO2Lwo=")</f>
        <v>#REF!</v>
      </c>
      <c r="L191" t="e">
        <f>AND('GA55 Entry'!D725,"AAAAAHO2Lws=")</f>
        <v>#VALUE!</v>
      </c>
      <c r="M191" t="e">
        <f>AND('GA55 Entry'!#REF!,"AAAAAHO2Lww=")</f>
        <v>#REF!</v>
      </c>
      <c r="N191" t="e">
        <f>AND('GA55 Entry'!E725,"AAAAAHO2Lw0=")</f>
        <v>#VALUE!</v>
      </c>
      <c r="O191" t="e">
        <f>AND('GA55 Entry'!F725,"AAAAAHO2Lw4=")</f>
        <v>#VALUE!</v>
      </c>
      <c r="P191" t="e">
        <f>AND('GA55 Entry'!G725,"AAAAAHO2Lw8=")</f>
        <v>#VALUE!</v>
      </c>
      <c r="Q191" t="e">
        <f>AND('GA55 Entry'!H725,"AAAAAHO2LxA=")</f>
        <v>#VALUE!</v>
      </c>
      <c r="R191" t="e">
        <f>AND('GA55 Entry'!I725,"AAAAAHO2LxE=")</f>
        <v>#VALUE!</v>
      </c>
      <c r="S191" t="e">
        <f>AND('GA55 Entry'!J725,"AAAAAHO2LxI=")</f>
        <v>#VALUE!</v>
      </c>
      <c r="T191" t="e">
        <f>AND('GA55 Entry'!#REF!,"AAAAAHO2LxM=")</f>
        <v>#REF!</v>
      </c>
      <c r="U191" t="e">
        <f>AND('GA55 Entry'!K725,"AAAAAHO2LxQ=")</f>
        <v>#VALUE!</v>
      </c>
      <c r="V191" t="e">
        <f>AND('GA55 Entry'!L725,"AAAAAHO2LxU=")</f>
        <v>#VALUE!</v>
      </c>
      <c r="W191" t="e">
        <f>AND('GA55 Entry'!M725,"AAAAAHO2LxY=")</f>
        <v>#VALUE!</v>
      </c>
      <c r="X191" t="e">
        <f>AND('GA55 Entry'!N725,"AAAAAHO2Lxc=")</f>
        <v>#VALUE!</v>
      </c>
      <c r="Y191" t="e">
        <f>AND('GA55 Entry'!O725,"AAAAAHO2Lxg=")</f>
        <v>#VALUE!</v>
      </c>
      <c r="Z191" t="e">
        <f>AND('GA55 Entry'!P725,"AAAAAHO2Lxk=")</f>
        <v>#VALUE!</v>
      </c>
      <c r="AA191" t="e">
        <f>AND('GA55 Entry'!Q725,"AAAAAHO2Lxo=")</f>
        <v>#VALUE!</v>
      </c>
      <c r="AB191" t="e">
        <f>AND('GA55 Entry'!S725,"AAAAAHO2Lxs=")</f>
        <v>#VALUE!</v>
      </c>
      <c r="AC191" t="e">
        <f>AND('GA55 Entry'!#REF!,"AAAAAHO2Lxw=")</f>
        <v>#REF!</v>
      </c>
      <c r="AD191" t="e">
        <f>AND('GA55 Entry'!T725,"AAAAAHO2Lx0=")</f>
        <v>#VALUE!</v>
      </c>
      <c r="AE191" t="e">
        <f>AND('GA55 Entry'!U725,"AAAAAHO2Lx4=")</f>
        <v>#VALUE!</v>
      </c>
      <c r="AF191" t="e">
        <f>AND('GA55 Entry'!V725,"AAAAAHO2Lx8=")</f>
        <v>#VALUE!</v>
      </c>
      <c r="AG191" t="e">
        <f>AND('GA55 Entry'!#REF!,"AAAAAHO2LyA=")</f>
        <v>#REF!</v>
      </c>
      <c r="AH191" t="e">
        <f>AND('GA55 Entry'!#REF!,"AAAAAHO2LyE=")</f>
        <v>#REF!</v>
      </c>
      <c r="AI191" t="e">
        <f>AND('GA55 Entry'!X725,"AAAAAHO2LyI=")</f>
        <v>#VALUE!</v>
      </c>
      <c r="AJ191" t="e">
        <f>AND('GA55 Entry'!Y725,"AAAAAHO2LyM=")</f>
        <v>#VALUE!</v>
      </c>
      <c r="AK191" t="e">
        <f>AND('GA55 Entry'!#REF!,"AAAAAHO2LyQ=")</f>
        <v>#REF!</v>
      </c>
      <c r="AL191" t="e">
        <f>AND('GA55 Entry'!#REF!,"AAAAAHO2LyU=")</f>
        <v>#REF!</v>
      </c>
      <c r="AM191" t="e">
        <f>AND('GA55 Entry'!#REF!,"AAAAAHO2LyY=")</f>
        <v>#REF!</v>
      </c>
      <c r="AN191" t="e">
        <f>AND('GA55 Entry'!#REF!,"AAAAAHO2Lyc=")</f>
        <v>#REF!</v>
      </c>
      <c r="AO191" t="e">
        <f>AND('GA55 Entry'!#REF!,"AAAAAHO2Lyg=")</f>
        <v>#REF!</v>
      </c>
      <c r="AP191" t="e">
        <f>AND('GA55 Entry'!#REF!,"AAAAAHO2Lyk=")</f>
        <v>#REF!</v>
      </c>
      <c r="AQ191" t="e">
        <f>AND('GA55 Entry'!#REF!,"AAAAAHO2Lyo=")</f>
        <v>#REF!</v>
      </c>
      <c r="AR191" t="e">
        <f>AND('GA55 Entry'!#REF!,"AAAAAHO2Lys=")</f>
        <v>#REF!</v>
      </c>
      <c r="AS191" t="e">
        <f>AND('GA55 Entry'!#REF!,"AAAAAHO2Lyw=")</f>
        <v>#REF!</v>
      </c>
      <c r="AT191" t="e">
        <f>AND('GA55 Entry'!Z725,"AAAAAHO2Ly0=")</f>
        <v>#VALUE!</v>
      </c>
      <c r="AU191" t="e">
        <f>AND('GA55 Entry'!AA725,"AAAAAHO2Ly4=")</f>
        <v>#VALUE!</v>
      </c>
      <c r="AV191" t="e">
        <f>AND('GA55 Entry'!#REF!,"AAAAAHO2Ly8=")</f>
        <v>#REF!</v>
      </c>
      <c r="AW191" t="e">
        <f>AND('GA55 Entry'!#REF!,"AAAAAHO2LzA=")</f>
        <v>#REF!</v>
      </c>
      <c r="AX191" t="e">
        <f>AND('GA55 Entry'!#REF!,"AAAAAHO2LzE=")</f>
        <v>#REF!</v>
      </c>
      <c r="AY191" t="e">
        <f>AND('GA55 Entry'!AB725,"AAAAAHO2LzI=")</f>
        <v>#VALUE!</v>
      </c>
      <c r="AZ191" t="e">
        <f>AND('GA55 Entry'!AC725,"AAAAAHO2LzM=")</f>
        <v>#VALUE!</v>
      </c>
      <c r="BA191" t="e">
        <f>AND('GA55 Entry'!#REF!,"AAAAAHO2LzQ=")</f>
        <v>#REF!</v>
      </c>
      <c r="BB191">
        <f>IF('GA55 Entry'!726:726,"AAAAAHO2LzU=",0)</f>
        <v>0</v>
      </c>
      <c r="BC191" t="e">
        <f>AND('GA55 Entry'!B726,"AAAAAHO2LzY=")</f>
        <v>#VALUE!</v>
      </c>
      <c r="BD191" t="e">
        <f>AND('GA55 Entry'!#REF!,"AAAAAHO2Lzc=")</f>
        <v>#REF!</v>
      </c>
      <c r="BE191" t="e">
        <f>AND('GA55 Entry'!C726,"AAAAAHO2Lzg=")</f>
        <v>#VALUE!</v>
      </c>
      <c r="BF191" t="e">
        <f>AND('GA55 Entry'!#REF!,"AAAAAHO2Lzk=")</f>
        <v>#REF!</v>
      </c>
      <c r="BG191" t="e">
        <f>AND('GA55 Entry'!#REF!,"AAAAAHO2Lzo=")</f>
        <v>#REF!</v>
      </c>
      <c r="BH191" t="e">
        <f>AND('GA55 Entry'!#REF!,"AAAAAHO2Lzs=")</f>
        <v>#REF!</v>
      </c>
      <c r="BI191" t="e">
        <f>AND('GA55 Entry'!#REF!,"AAAAAHO2Lzw=")</f>
        <v>#REF!</v>
      </c>
      <c r="BJ191" t="e">
        <f>AND('GA55 Entry'!#REF!,"AAAAAHO2Lz0=")</f>
        <v>#REF!</v>
      </c>
      <c r="BK191" t="e">
        <f>AND('GA55 Entry'!D726,"AAAAAHO2Lz4=")</f>
        <v>#VALUE!</v>
      </c>
      <c r="BL191" t="e">
        <f>AND('GA55 Entry'!#REF!,"AAAAAHO2Lz8=")</f>
        <v>#REF!</v>
      </c>
      <c r="BM191" t="e">
        <f>AND('GA55 Entry'!E726,"AAAAAHO2L0A=")</f>
        <v>#VALUE!</v>
      </c>
      <c r="BN191" t="e">
        <f>AND('GA55 Entry'!F726,"AAAAAHO2L0E=")</f>
        <v>#VALUE!</v>
      </c>
      <c r="BO191" t="e">
        <f>AND('GA55 Entry'!G726,"AAAAAHO2L0I=")</f>
        <v>#VALUE!</v>
      </c>
      <c r="BP191" t="e">
        <f>AND('GA55 Entry'!H726,"AAAAAHO2L0M=")</f>
        <v>#VALUE!</v>
      </c>
      <c r="BQ191" t="e">
        <f>AND('GA55 Entry'!I726,"AAAAAHO2L0Q=")</f>
        <v>#VALUE!</v>
      </c>
      <c r="BR191" t="e">
        <f>AND('GA55 Entry'!J726,"AAAAAHO2L0U=")</f>
        <v>#VALUE!</v>
      </c>
      <c r="BS191" t="e">
        <f>AND('GA55 Entry'!#REF!,"AAAAAHO2L0Y=")</f>
        <v>#REF!</v>
      </c>
      <c r="BT191" t="e">
        <f>AND('GA55 Entry'!K726,"AAAAAHO2L0c=")</f>
        <v>#VALUE!</v>
      </c>
      <c r="BU191" t="e">
        <f>AND('GA55 Entry'!L726,"AAAAAHO2L0g=")</f>
        <v>#VALUE!</v>
      </c>
      <c r="BV191" t="e">
        <f>AND('GA55 Entry'!M726,"AAAAAHO2L0k=")</f>
        <v>#VALUE!</v>
      </c>
      <c r="BW191" t="e">
        <f>AND('GA55 Entry'!N726,"AAAAAHO2L0o=")</f>
        <v>#VALUE!</v>
      </c>
      <c r="BX191" t="e">
        <f>AND('GA55 Entry'!O726,"AAAAAHO2L0s=")</f>
        <v>#VALUE!</v>
      </c>
      <c r="BY191" t="e">
        <f>AND('GA55 Entry'!P726,"AAAAAHO2L0w=")</f>
        <v>#VALUE!</v>
      </c>
      <c r="BZ191" t="e">
        <f>AND('GA55 Entry'!Q726,"AAAAAHO2L00=")</f>
        <v>#VALUE!</v>
      </c>
      <c r="CA191" t="e">
        <f>AND('GA55 Entry'!S726,"AAAAAHO2L04=")</f>
        <v>#VALUE!</v>
      </c>
      <c r="CB191" t="e">
        <f>AND('GA55 Entry'!#REF!,"AAAAAHO2L08=")</f>
        <v>#REF!</v>
      </c>
      <c r="CC191" t="e">
        <f>AND('GA55 Entry'!T726,"AAAAAHO2L1A=")</f>
        <v>#VALUE!</v>
      </c>
      <c r="CD191" t="e">
        <f>AND('GA55 Entry'!U726,"AAAAAHO2L1E=")</f>
        <v>#VALUE!</v>
      </c>
      <c r="CE191" t="e">
        <f>AND('GA55 Entry'!V726,"AAAAAHO2L1I=")</f>
        <v>#VALUE!</v>
      </c>
      <c r="CF191" t="e">
        <f>AND('GA55 Entry'!#REF!,"AAAAAHO2L1M=")</f>
        <v>#REF!</v>
      </c>
      <c r="CG191" t="e">
        <f>AND('GA55 Entry'!#REF!,"AAAAAHO2L1Q=")</f>
        <v>#REF!</v>
      </c>
      <c r="CH191" t="e">
        <f>AND('GA55 Entry'!X726,"AAAAAHO2L1U=")</f>
        <v>#VALUE!</v>
      </c>
      <c r="CI191" t="e">
        <f>AND('GA55 Entry'!Y726,"AAAAAHO2L1Y=")</f>
        <v>#VALUE!</v>
      </c>
      <c r="CJ191" t="e">
        <f>AND('GA55 Entry'!#REF!,"AAAAAHO2L1c=")</f>
        <v>#REF!</v>
      </c>
      <c r="CK191" t="e">
        <f>AND('GA55 Entry'!#REF!,"AAAAAHO2L1g=")</f>
        <v>#REF!</v>
      </c>
      <c r="CL191" t="e">
        <f>AND('GA55 Entry'!#REF!,"AAAAAHO2L1k=")</f>
        <v>#REF!</v>
      </c>
      <c r="CM191" t="e">
        <f>AND('GA55 Entry'!#REF!,"AAAAAHO2L1o=")</f>
        <v>#REF!</v>
      </c>
      <c r="CN191" t="e">
        <f>AND('GA55 Entry'!#REF!,"AAAAAHO2L1s=")</f>
        <v>#REF!</v>
      </c>
      <c r="CO191" t="e">
        <f>AND('GA55 Entry'!#REF!,"AAAAAHO2L1w=")</f>
        <v>#REF!</v>
      </c>
      <c r="CP191" t="e">
        <f>AND('GA55 Entry'!#REF!,"AAAAAHO2L10=")</f>
        <v>#REF!</v>
      </c>
      <c r="CQ191" t="e">
        <f>AND('GA55 Entry'!#REF!,"AAAAAHO2L14=")</f>
        <v>#REF!</v>
      </c>
      <c r="CR191" t="e">
        <f>AND('GA55 Entry'!#REF!,"AAAAAHO2L18=")</f>
        <v>#REF!</v>
      </c>
      <c r="CS191" t="e">
        <f>AND('GA55 Entry'!Z726,"AAAAAHO2L2A=")</f>
        <v>#VALUE!</v>
      </c>
      <c r="CT191" t="e">
        <f>AND('GA55 Entry'!AA726,"AAAAAHO2L2E=")</f>
        <v>#VALUE!</v>
      </c>
      <c r="CU191" t="e">
        <f>AND('GA55 Entry'!#REF!,"AAAAAHO2L2I=")</f>
        <v>#REF!</v>
      </c>
      <c r="CV191" t="e">
        <f>AND('GA55 Entry'!#REF!,"AAAAAHO2L2M=")</f>
        <v>#REF!</v>
      </c>
      <c r="CW191" t="e">
        <f>AND('GA55 Entry'!#REF!,"AAAAAHO2L2Q=")</f>
        <v>#REF!</v>
      </c>
      <c r="CX191" t="e">
        <f>AND('GA55 Entry'!AB726,"AAAAAHO2L2U=")</f>
        <v>#VALUE!</v>
      </c>
      <c r="CY191" t="e">
        <f>AND('GA55 Entry'!AC726,"AAAAAHO2L2Y=")</f>
        <v>#VALUE!</v>
      </c>
      <c r="CZ191" t="e">
        <f>AND('GA55 Entry'!#REF!,"AAAAAHO2L2c=")</f>
        <v>#REF!</v>
      </c>
      <c r="DA191">
        <f>IF('GA55 Entry'!727:727,"AAAAAHO2L2g=",0)</f>
        <v>0</v>
      </c>
      <c r="DB191" t="e">
        <f>AND('GA55 Entry'!B727,"AAAAAHO2L2k=")</f>
        <v>#VALUE!</v>
      </c>
      <c r="DC191" t="e">
        <f>AND('GA55 Entry'!#REF!,"AAAAAHO2L2o=")</f>
        <v>#REF!</v>
      </c>
      <c r="DD191" t="e">
        <f>AND('GA55 Entry'!C727,"AAAAAHO2L2s=")</f>
        <v>#VALUE!</v>
      </c>
      <c r="DE191" t="e">
        <f>AND('GA55 Entry'!#REF!,"AAAAAHO2L2w=")</f>
        <v>#REF!</v>
      </c>
      <c r="DF191" t="e">
        <f>AND('GA55 Entry'!#REF!,"AAAAAHO2L20=")</f>
        <v>#REF!</v>
      </c>
      <c r="DG191" t="e">
        <f>AND('GA55 Entry'!#REF!,"AAAAAHO2L24=")</f>
        <v>#REF!</v>
      </c>
      <c r="DH191" t="e">
        <f>AND('GA55 Entry'!#REF!,"AAAAAHO2L28=")</f>
        <v>#REF!</v>
      </c>
      <c r="DI191" t="e">
        <f>AND('GA55 Entry'!#REF!,"AAAAAHO2L3A=")</f>
        <v>#REF!</v>
      </c>
      <c r="DJ191" t="e">
        <f>AND('GA55 Entry'!D727,"AAAAAHO2L3E=")</f>
        <v>#VALUE!</v>
      </c>
      <c r="DK191" t="e">
        <f>AND('GA55 Entry'!#REF!,"AAAAAHO2L3I=")</f>
        <v>#REF!</v>
      </c>
      <c r="DL191" t="e">
        <f>AND('GA55 Entry'!E727,"AAAAAHO2L3M=")</f>
        <v>#VALUE!</v>
      </c>
      <c r="DM191" t="e">
        <f>AND('GA55 Entry'!F727,"AAAAAHO2L3Q=")</f>
        <v>#VALUE!</v>
      </c>
      <c r="DN191" t="e">
        <f>AND('GA55 Entry'!G727,"AAAAAHO2L3U=")</f>
        <v>#VALUE!</v>
      </c>
      <c r="DO191" t="e">
        <f>AND('GA55 Entry'!H727,"AAAAAHO2L3Y=")</f>
        <v>#VALUE!</v>
      </c>
      <c r="DP191" t="e">
        <f>AND('GA55 Entry'!I727,"AAAAAHO2L3c=")</f>
        <v>#VALUE!</v>
      </c>
      <c r="DQ191" t="e">
        <f>AND('GA55 Entry'!J727,"AAAAAHO2L3g=")</f>
        <v>#VALUE!</v>
      </c>
      <c r="DR191" t="e">
        <f>AND('GA55 Entry'!#REF!,"AAAAAHO2L3k=")</f>
        <v>#REF!</v>
      </c>
      <c r="DS191" t="e">
        <f>AND('GA55 Entry'!K727,"AAAAAHO2L3o=")</f>
        <v>#VALUE!</v>
      </c>
      <c r="DT191" t="e">
        <f>AND('GA55 Entry'!L727,"AAAAAHO2L3s=")</f>
        <v>#VALUE!</v>
      </c>
      <c r="DU191" t="e">
        <f>AND('GA55 Entry'!M727,"AAAAAHO2L3w=")</f>
        <v>#VALUE!</v>
      </c>
      <c r="DV191" t="e">
        <f>AND('GA55 Entry'!N727,"AAAAAHO2L30=")</f>
        <v>#VALUE!</v>
      </c>
      <c r="DW191" t="e">
        <f>AND('GA55 Entry'!O727,"AAAAAHO2L34=")</f>
        <v>#VALUE!</v>
      </c>
      <c r="DX191" t="e">
        <f>AND('GA55 Entry'!P727,"AAAAAHO2L38=")</f>
        <v>#VALUE!</v>
      </c>
      <c r="DY191" t="e">
        <f>AND('GA55 Entry'!Q727,"AAAAAHO2L4A=")</f>
        <v>#VALUE!</v>
      </c>
      <c r="DZ191" t="e">
        <f>AND('GA55 Entry'!S727,"AAAAAHO2L4E=")</f>
        <v>#VALUE!</v>
      </c>
      <c r="EA191" t="e">
        <f>AND('GA55 Entry'!#REF!,"AAAAAHO2L4I=")</f>
        <v>#REF!</v>
      </c>
      <c r="EB191" t="e">
        <f>AND('GA55 Entry'!T727,"AAAAAHO2L4M=")</f>
        <v>#VALUE!</v>
      </c>
      <c r="EC191" t="e">
        <f>AND('GA55 Entry'!U727,"AAAAAHO2L4Q=")</f>
        <v>#VALUE!</v>
      </c>
      <c r="ED191" t="e">
        <f>AND('GA55 Entry'!V727,"AAAAAHO2L4U=")</f>
        <v>#VALUE!</v>
      </c>
      <c r="EE191" t="e">
        <f>AND('GA55 Entry'!#REF!,"AAAAAHO2L4Y=")</f>
        <v>#REF!</v>
      </c>
      <c r="EF191" t="e">
        <f>AND('GA55 Entry'!#REF!,"AAAAAHO2L4c=")</f>
        <v>#REF!</v>
      </c>
      <c r="EG191" t="e">
        <f>AND('GA55 Entry'!X727,"AAAAAHO2L4g=")</f>
        <v>#VALUE!</v>
      </c>
      <c r="EH191" t="e">
        <f>AND('GA55 Entry'!Y727,"AAAAAHO2L4k=")</f>
        <v>#VALUE!</v>
      </c>
      <c r="EI191" t="e">
        <f>AND('GA55 Entry'!#REF!,"AAAAAHO2L4o=")</f>
        <v>#REF!</v>
      </c>
      <c r="EJ191" t="e">
        <f>AND('GA55 Entry'!#REF!,"AAAAAHO2L4s=")</f>
        <v>#REF!</v>
      </c>
      <c r="EK191" t="e">
        <f>AND('GA55 Entry'!#REF!,"AAAAAHO2L4w=")</f>
        <v>#REF!</v>
      </c>
      <c r="EL191" t="e">
        <f>AND('GA55 Entry'!#REF!,"AAAAAHO2L40=")</f>
        <v>#REF!</v>
      </c>
      <c r="EM191" t="e">
        <f>AND('GA55 Entry'!#REF!,"AAAAAHO2L44=")</f>
        <v>#REF!</v>
      </c>
      <c r="EN191" t="e">
        <f>AND('GA55 Entry'!#REF!,"AAAAAHO2L48=")</f>
        <v>#REF!</v>
      </c>
      <c r="EO191" t="e">
        <f>AND('GA55 Entry'!#REF!,"AAAAAHO2L5A=")</f>
        <v>#REF!</v>
      </c>
      <c r="EP191" t="e">
        <f>AND('GA55 Entry'!#REF!,"AAAAAHO2L5E=")</f>
        <v>#REF!</v>
      </c>
      <c r="EQ191" t="e">
        <f>AND('GA55 Entry'!#REF!,"AAAAAHO2L5I=")</f>
        <v>#REF!</v>
      </c>
      <c r="ER191" t="e">
        <f>AND('GA55 Entry'!Z727,"AAAAAHO2L5M=")</f>
        <v>#VALUE!</v>
      </c>
      <c r="ES191" t="e">
        <f>AND('GA55 Entry'!AA727,"AAAAAHO2L5Q=")</f>
        <v>#VALUE!</v>
      </c>
      <c r="ET191" t="e">
        <f>AND('GA55 Entry'!#REF!,"AAAAAHO2L5U=")</f>
        <v>#REF!</v>
      </c>
      <c r="EU191" t="e">
        <f>AND('GA55 Entry'!#REF!,"AAAAAHO2L5Y=")</f>
        <v>#REF!</v>
      </c>
      <c r="EV191" t="e">
        <f>AND('GA55 Entry'!#REF!,"AAAAAHO2L5c=")</f>
        <v>#REF!</v>
      </c>
      <c r="EW191" t="e">
        <f>AND('GA55 Entry'!AB727,"AAAAAHO2L5g=")</f>
        <v>#VALUE!</v>
      </c>
      <c r="EX191" t="e">
        <f>AND('GA55 Entry'!AC727,"AAAAAHO2L5k=")</f>
        <v>#VALUE!</v>
      </c>
      <c r="EY191" t="e">
        <f>AND('GA55 Entry'!#REF!,"AAAAAHO2L5o=")</f>
        <v>#REF!</v>
      </c>
      <c r="EZ191">
        <f>IF('GA55 Entry'!728:728,"AAAAAHO2L5s=",0)</f>
        <v>0</v>
      </c>
      <c r="FA191" t="e">
        <f>AND('GA55 Entry'!B728,"AAAAAHO2L5w=")</f>
        <v>#VALUE!</v>
      </c>
      <c r="FB191" t="e">
        <f>AND('GA55 Entry'!#REF!,"AAAAAHO2L50=")</f>
        <v>#REF!</v>
      </c>
      <c r="FC191" t="e">
        <f>AND('GA55 Entry'!C728,"AAAAAHO2L54=")</f>
        <v>#VALUE!</v>
      </c>
      <c r="FD191" t="e">
        <f>AND('GA55 Entry'!#REF!,"AAAAAHO2L58=")</f>
        <v>#REF!</v>
      </c>
      <c r="FE191" t="e">
        <f>AND('GA55 Entry'!#REF!,"AAAAAHO2L6A=")</f>
        <v>#REF!</v>
      </c>
      <c r="FF191" t="e">
        <f>AND('GA55 Entry'!#REF!,"AAAAAHO2L6E=")</f>
        <v>#REF!</v>
      </c>
      <c r="FG191" t="e">
        <f>AND('GA55 Entry'!#REF!,"AAAAAHO2L6I=")</f>
        <v>#REF!</v>
      </c>
      <c r="FH191" t="e">
        <f>AND('GA55 Entry'!#REF!,"AAAAAHO2L6M=")</f>
        <v>#REF!</v>
      </c>
      <c r="FI191" t="e">
        <f>AND('GA55 Entry'!D728,"AAAAAHO2L6Q=")</f>
        <v>#VALUE!</v>
      </c>
      <c r="FJ191" t="e">
        <f>AND('GA55 Entry'!#REF!,"AAAAAHO2L6U=")</f>
        <v>#REF!</v>
      </c>
      <c r="FK191" t="e">
        <f>AND('GA55 Entry'!E728,"AAAAAHO2L6Y=")</f>
        <v>#VALUE!</v>
      </c>
      <c r="FL191" t="e">
        <f>AND('GA55 Entry'!F728,"AAAAAHO2L6c=")</f>
        <v>#VALUE!</v>
      </c>
      <c r="FM191" t="e">
        <f>AND('GA55 Entry'!G728,"AAAAAHO2L6g=")</f>
        <v>#VALUE!</v>
      </c>
      <c r="FN191" t="e">
        <f>AND('GA55 Entry'!H728,"AAAAAHO2L6k=")</f>
        <v>#VALUE!</v>
      </c>
      <c r="FO191" t="e">
        <f>AND('GA55 Entry'!I728,"AAAAAHO2L6o=")</f>
        <v>#VALUE!</v>
      </c>
      <c r="FP191" t="e">
        <f>AND('GA55 Entry'!J728,"AAAAAHO2L6s=")</f>
        <v>#VALUE!</v>
      </c>
      <c r="FQ191" t="e">
        <f>AND('GA55 Entry'!#REF!,"AAAAAHO2L6w=")</f>
        <v>#REF!</v>
      </c>
      <c r="FR191" t="e">
        <f>AND('GA55 Entry'!K728,"AAAAAHO2L60=")</f>
        <v>#VALUE!</v>
      </c>
      <c r="FS191" t="e">
        <f>AND('GA55 Entry'!L728,"AAAAAHO2L64=")</f>
        <v>#VALUE!</v>
      </c>
      <c r="FT191" t="e">
        <f>AND('GA55 Entry'!M728,"AAAAAHO2L68=")</f>
        <v>#VALUE!</v>
      </c>
      <c r="FU191" t="e">
        <f>AND('GA55 Entry'!N728,"AAAAAHO2L7A=")</f>
        <v>#VALUE!</v>
      </c>
      <c r="FV191" t="e">
        <f>AND('GA55 Entry'!O728,"AAAAAHO2L7E=")</f>
        <v>#VALUE!</v>
      </c>
      <c r="FW191" t="e">
        <f>AND('GA55 Entry'!P728,"AAAAAHO2L7I=")</f>
        <v>#VALUE!</v>
      </c>
      <c r="FX191" t="e">
        <f>AND('GA55 Entry'!Q728,"AAAAAHO2L7M=")</f>
        <v>#VALUE!</v>
      </c>
      <c r="FY191" t="e">
        <f>AND('GA55 Entry'!S728,"AAAAAHO2L7Q=")</f>
        <v>#VALUE!</v>
      </c>
      <c r="FZ191" t="e">
        <f>AND('GA55 Entry'!#REF!,"AAAAAHO2L7U=")</f>
        <v>#REF!</v>
      </c>
      <c r="GA191" t="e">
        <f>AND('GA55 Entry'!T728,"AAAAAHO2L7Y=")</f>
        <v>#VALUE!</v>
      </c>
      <c r="GB191" t="e">
        <f>AND('GA55 Entry'!U728,"AAAAAHO2L7c=")</f>
        <v>#VALUE!</v>
      </c>
      <c r="GC191" t="e">
        <f>AND('GA55 Entry'!V728,"AAAAAHO2L7g=")</f>
        <v>#VALUE!</v>
      </c>
      <c r="GD191" t="e">
        <f>AND('GA55 Entry'!#REF!,"AAAAAHO2L7k=")</f>
        <v>#REF!</v>
      </c>
      <c r="GE191" t="e">
        <f>AND('GA55 Entry'!#REF!,"AAAAAHO2L7o=")</f>
        <v>#REF!</v>
      </c>
      <c r="GF191" t="e">
        <f>AND('GA55 Entry'!X728,"AAAAAHO2L7s=")</f>
        <v>#VALUE!</v>
      </c>
      <c r="GG191" t="e">
        <f>AND('GA55 Entry'!Y728,"AAAAAHO2L7w=")</f>
        <v>#VALUE!</v>
      </c>
      <c r="GH191" t="e">
        <f>AND('GA55 Entry'!#REF!,"AAAAAHO2L70=")</f>
        <v>#REF!</v>
      </c>
      <c r="GI191" t="e">
        <f>AND('GA55 Entry'!#REF!,"AAAAAHO2L74=")</f>
        <v>#REF!</v>
      </c>
      <c r="GJ191" t="e">
        <f>AND('GA55 Entry'!#REF!,"AAAAAHO2L78=")</f>
        <v>#REF!</v>
      </c>
      <c r="GK191" t="e">
        <f>AND('GA55 Entry'!#REF!,"AAAAAHO2L8A=")</f>
        <v>#REF!</v>
      </c>
      <c r="GL191" t="e">
        <f>AND('GA55 Entry'!#REF!,"AAAAAHO2L8E=")</f>
        <v>#REF!</v>
      </c>
      <c r="GM191" t="e">
        <f>AND('GA55 Entry'!#REF!,"AAAAAHO2L8I=")</f>
        <v>#REF!</v>
      </c>
      <c r="GN191" t="e">
        <f>AND('GA55 Entry'!#REF!,"AAAAAHO2L8M=")</f>
        <v>#REF!</v>
      </c>
      <c r="GO191" t="e">
        <f>AND('GA55 Entry'!#REF!,"AAAAAHO2L8Q=")</f>
        <v>#REF!</v>
      </c>
      <c r="GP191" t="e">
        <f>AND('GA55 Entry'!#REF!,"AAAAAHO2L8U=")</f>
        <v>#REF!</v>
      </c>
      <c r="GQ191" t="e">
        <f>AND('GA55 Entry'!Z728,"AAAAAHO2L8Y=")</f>
        <v>#VALUE!</v>
      </c>
      <c r="GR191" t="e">
        <f>AND('GA55 Entry'!AA728,"AAAAAHO2L8c=")</f>
        <v>#VALUE!</v>
      </c>
      <c r="GS191" t="e">
        <f>AND('GA55 Entry'!#REF!,"AAAAAHO2L8g=")</f>
        <v>#REF!</v>
      </c>
      <c r="GT191" t="e">
        <f>AND('GA55 Entry'!#REF!,"AAAAAHO2L8k=")</f>
        <v>#REF!</v>
      </c>
      <c r="GU191" t="e">
        <f>AND('GA55 Entry'!#REF!,"AAAAAHO2L8o=")</f>
        <v>#REF!</v>
      </c>
      <c r="GV191" t="e">
        <f>AND('GA55 Entry'!AB728,"AAAAAHO2L8s=")</f>
        <v>#VALUE!</v>
      </c>
      <c r="GW191" t="e">
        <f>AND('GA55 Entry'!AC728,"AAAAAHO2L8w=")</f>
        <v>#VALUE!</v>
      </c>
      <c r="GX191" t="e">
        <f>AND('GA55 Entry'!#REF!,"AAAAAHO2L80=")</f>
        <v>#REF!</v>
      </c>
      <c r="GY191">
        <f>IF('GA55 Entry'!729:729,"AAAAAHO2L84=",0)</f>
        <v>0</v>
      </c>
      <c r="GZ191" t="e">
        <f>AND('GA55 Entry'!B729,"AAAAAHO2L88=")</f>
        <v>#VALUE!</v>
      </c>
      <c r="HA191" t="e">
        <f>AND('GA55 Entry'!#REF!,"AAAAAHO2L9A=")</f>
        <v>#REF!</v>
      </c>
      <c r="HB191" t="e">
        <f>AND('GA55 Entry'!C729,"AAAAAHO2L9E=")</f>
        <v>#VALUE!</v>
      </c>
      <c r="HC191" t="e">
        <f>AND('GA55 Entry'!#REF!,"AAAAAHO2L9I=")</f>
        <v>#REF!</v>
      </c>
      <c r="HD191" t="e">
        <f>AND('GA55 Entry'!#REF!,"AAAAAHO2L9M=")</f>
        <v>#REF!</v>
      </c>
      <c r="HE191" t="e">
        <f>AND('GA55 Entry'!#REF!,"AAAAAHO2L9Q=")</f>
        <v>#REF!</v>
      </c>
      <c r="HF191" t="e">
        <f>AND('GA55 Entry'!#REF!,"AAAAAHO2L9U=")</f>
        <v>#REF!</v>
      </c>
      <c r="HG191" t="e">
        <f>AND('GA55 Entry'!#REF!,"AAAAAHO2L9Y=")</f>
        <v>#REF!</v>
      </c>
      <c r="HH191" t="e">
        <f>AND('GA55 Entry'!D729,"AAAAAHO2L9c=")</f>
        <v>#VALUE!</v>
      </c>
      <c r="HI191" t="e">
        <f>AND('GA55 Entry'!#REF!,"AAAAAHO2L9g=")</f>
        <v>#REF!</v>
      </c>
      <c r="HJ191" t="e">
        <f>AND('GA55 Entry'!E729,"AAAAAHO2L9k=")</f>
        <v>#VALUE!</v>
      </c>
      <c r="HK191" t="e">
        <f>AND('GA55 Entry'!F729,"AAAAAHO2L9o=")</f>
        <v>#VALUE!</v>
      </c>
      <c r="HL191" t="e">
        <f>AND('GA55 Entry'!G729,"AAAAAHO2L9s=")</f>
        <v>#VALUE!</v>
      </c>
      <c r="HM191" t="e">
        <f>AND('GA55 Entry'!H729,"AAAAAHO2L9w=")</f>
        <v>#VALUE!</v>
      </c>
      <c r="HN191" t="e">
        <f>AND('GA55 Entry'!I729,"AAAAAHO2L90=")</f>
        <v>#VALUE!</v>
      </c>
      <c r="HO191" t="e">
        <f>AND('GA55 Entry'!J729,"AAAAAHO2L94=")</f>
        <v>#VALUE!</v>
      </c>
      <c r="HP191" t="e">
        <f>AND('GA55 Entry'!#REF!,"AAAAAHO2L98=")</f>
        <v>#REF!</v>
      </c>
      <c r="HQ191" t="e">
        <f>AND('GA55 Entry'!K729,"AAAAAHO2L+A=")</f>
        <v>#VALUE!</v>
      </c>
      <c r="HR191" t="e">
        <f>AND('GA55 Entry'!L729,"AAAAAHO2L+E=")</f>
        <v>#VALUE!</v>
      </c>
      <c r="HS191" t="e">
        <f>AND('GA55 Entry'!M729,"AAAAAHO2L+I=")</f>
        <v>#VALUE!</v>
      </c>
      <c r="HT191" t="e">
        <f>AND('GA55 Entry'!N729,"AAAAAHO2L+M=")</f>
        <v>#VALUE!</v>
      </c>
      <c r="HU191" t="e">
        <f>AND('GA55 Entry'!O729,"AAAAAHO2L+Q=")</f>
        <v>#VALUE!</v>
      </c>
      <c r="HV191" t="e">
        <f>AND('GA55 Entry'!P729,"AAAAAHO2L+U=")</f>
        <v>#VALUE!</v>
      </c>
      <c r="HW191" t="e">
        <f>AND('GA55 Entry'!Q729,"AAAAAHO2L+Y=")</f>
        <v>#VALUE!</v>
      </c>
      <c r="HX191" t="e">
        <f>AND('GA55 Entry'!S729,"AAAAAHO2L+c=")</f>
        <v>#VALUE!</v>
      </c>
      <c r="HY191" t="e">
        <f>AND('GA55 Entry'!#REF!,"AAAAAHO2L+g=")</f>
        <v>#REF!</v>
      </c>
      <c r="HZ191" t="e">
        <f>AND('GA55 Entry'!T729,"AAAAAHO2L+k=")</f>
        <v>#VALUE!</v>
      </c>
      <c r="IA191" t="e">
        <f>AND('GA55 Entry'!U729,"AAAAAHO2L+o=")</f>
        <v>#VALUE!</v>
      </c>
      <c r="IB191" t="e">
        <f>AND('GA55 Entry'!V729,"AAAAAHO2L+s=")</f>
        <v>#VALUE!</v>
      </c>
      <c r="IC191" t="e">
        <f>AND('GA55 Entry'!#REF!,"AAAAAHO2L+w=")</f>
        <v>#REF!</v>
      </c>
      <c r="ID191" t="e">
        <f>AND('GA55 Entry'!#REF!,"AAAAAHO2L+0=")</f>
        <v>#REF!</v>
      </c>
      <c r="IE191" t="e">
        <f>AND('GA55 Entry'!X729,"AAAAAHO2L+4=")</f>
        <v>#VALUE!</v>
      </c>
      <c r="IF191" t="e">
        <f>AND('GA55 Entry'!Y729,"AAAAAHO2L+8=")</f>
        <v>#VALUE!</v>
      </c>
      <c r="IG191" t="e">
        <f>AND('GA55 Entry'!#REF!,"AAAAAHO2L/A=")</f>
        <v>#REF!</v>
      </c>
      <c r="IH191" t="e">
        <f>AND('GA55 Entry'!#REF!,"AAAAAHO2L/E=")</f>
        <v>#REF!</v>
      </c>
      <c r="II191" t="e">
        <f>AND('GA55 Entry'!#REF!,"AAAAAHO2L/I=")</f>
        <v>#REF!</v>
      </c>
      <c r="IJ191" t="e">
        <f>AND('GA55 Entry'!#REF!,"AAAAAHO2L/M=")</f>
        <v>#REF!</v>
      </c>
      <c r="IK191" t="e">
        <f>AND('GA55 Entry'!#REF!,"AAAAAHO2L/Q=")</f>
        <v>#REF!</v>
      </c>
      <c r="IL191" t="e">
        <f>AND('GA55 Entry'!#REF!,"AAAAAHO2L/U=")</f>
        <v>#REF!</v>
      </c>
      <c r="IM191" t="e">
        <f>AND('GA55 Entry'!#REF!,"AAAAAHO2L/Y=")</f>
        <v>#REF!</v>
      </c>
      <c r="IN191" t="e">
        <f>AND('GA55 Entry'!#REF!,"AAAAAHO2L/c=")</f>
        <v>#REF!</v>
      </c>
      <c r="IO191" t="e">
        <f>AND('GA55 Entry'!#REF!,"AAAAAHO2L/g=")</f>
        <v>#REF!</v>
      </c>
      <c r="IP191" t="e">
        <f>AND('GA55 Entry'!Z729,"AAAAAHO2L/k=")</f>
        <v>#VALUE!</v>
      </c>
      <c r="IQ191" t="e">
        <f>AND('GA55 Entry'!AA729,"AAAAAHO2L/o=")</f>
        <v>#VALUE!</v>
      </c>
      <c r="IR191" t="e">
        <f>AND('GA55 Entry'!#REF!,"AAAAAHO2L/s=")</f>
        <v>#REF!</v>
      </c>
      <c r="IS191" t="e">
        <f>AND('GA55 Entry'!#REF!,"AAAAAHO2L/w=")</f>
        <v>#REF!</v>
      </c>
      <c r="IT191" t="e">
        <f>AND('GA55 Entry'!#REF!,"AAAAAHO2L/0=")</f>
        <v>#REF!</v>
      </c>
      <c r="IU191" t="e">
        <f>AND('GA55 Entry'!AB729,"AAAAAHO2L/4=")</f>
        <v>#VALUE!</v>
      </c>
      <c r="IV191" t="e">
        <f>AND('GA55 Entry'!AC729,"AAAAAHO2L/8=")</f>
        <v>#VALUE!</v>
      </c>
    </row>
    <row r="192" spans="1:256">
      <c r="A192" t="e">
        <f>AND('GA55 Entry'!#REF!,"AAAAADtK9gA=")</f>
        <v>#REF!</v>
      </c>
      <c r="B192">
        <f>IF('GA55 Entry'!730:730,"AAAAADtK9gE=",0)</f>
        <v>0</v>
      </c>
      <c r="C192" t="e">
        <f>AND('GA55 Entry'!B730,"AAAAADtK9gI=")</f>
        <v>#VALUE!</v>
      </c>
      <c r="D192" t="e">
        <f>AND('GA55 Entry'!#REF!,"AAAAADtK9gM=")</f>
        <v>#REF!</v>
      </c>
      <c r="E192" t="e">
        <f>AND('GA55 Entry'!C730,"AAAAADtK9gQ=")</f>
        <v>#VALUE!</v>
      </c>
      <c r="F192" t="e">
        <f>AND('GA55 Entry'!#REF!,"AAAAADtK9gU=")</f>
        <v>#REF!</v>
      </c>
      <c r="G192" t="e">
        <f>AND('GA55 Entry'!#REF!,"AAAAADtK9gY=")</f>
        <v>#REF!</v>
      </c>
      <c r="H192" t="e">
        <f>AND('GA55 Entry'!#REF!,"AAAAADtK9gc=")</f>
        <v>#REF!</v>
      </c>
      <c r="I192" t="e">
        <f>AND('GA55 Entry'!#REF!,"AAAAADtK9gg=")</f>
        <v>#REF!</v>
      </c>
      <c r="J192" t="e">
        <f>AND('GA55 Entry'!#REF!,"AAAAADtK9gk=")</f>
        <v>#REF!</v>
      </c>
      <c r="K192" t="e">
        <f>AND('GA55 Entry'!D730,"AAAAADtK9go=")</f>
        <v>#VALUE!</v>
      </c>
      <c r="L192" t="e">
        <f>AND('GA55 Entry'!#REF!,"AAAAADtK9gs=")</f>
        <v>#REF!</v>
      </c>
      <c r="M192" t="e">
        <f>AND('GA55 Entry'!E730,"AAAAADtK9gw=")</f>
        <v>#VALUE!</v>
      </c>
      <c r="N192" t="e">
        <f>AND('GA55 Entry'!F730,"AAAAADtK9g0=")</f>
        <v>#VALUE!</v>
      </c>
      <c r="O192" t="e">
        <f>AND('GA55 Entry'!G730,"AAAAADtK9g4=")</f>
        <v>#VALUE!</v>
      </c>
      <c r="P192" t="e">
        <f>AND('GA55 Entry'!H730,"AAAAADtK9g8=")</f>
        <v>#VALUE!</v>
      </c>
      <c r="Q192" t="e">
        <f>AND('GA55 Entry'!I730,"AAAAADtK9hA=")</f>
        <v>#VALUE!</v>
      </c>
      <c r="R192" t="e">
        <f>AND('GA55 Entry'!J730,"AAAAADtK9hE=")</f>
        <v>#VALUE!</v>
      </c>
      <c r="S192" t="e">
        <f>AND('GA55 Entry'!#REF!,"AAAAADtK9hI=")</f>
        <v>#REF!</v>
      </c>
      <c r="T192" t="e">
        <f>AND('GA55 Entry'!K730,"AAAAADtK9hM=")</f>
        <v>#VALUE!</v>
      </c>
      <c r="U192" t="e">
        <f>AND('GA55 Entry'!L730,"AAAAADtK9hQ=")</f>
        <v>#VALUE!</v>
      </c>
      <c r="V192" t="e">
        <f>AND('GA55 Entry'!M730,"AAAAADtK9hU=")</f>
        <v>#VALUE!</v>
      </c>
      <c r="W192" t="e">
        <f>AND('GA55 Entry'!N730,"AAAAADtK9hY=")</f>
        <v>#VALUE!</v>
      </c>
      <c r="X192" t="e">
        <f>AND('GA55 Entry'!O730,"AAAAADtK9hc=")</f>
        <v>#VALUE!</v>
      </c>
      <c r="Y192" t="e">
        <f>AND('GA55 Entry'!P730,"AAAAADtK9hg=")</f>
        <v>#VALUE!</v>
      </c>
      <c r="Z192" t="e">
        <f>AND('GA55 Entry'!Q730,"AAAAADtK9hk=")</f>
        <v>#VALUE!</v>
      </c>
      <c r="AA192" t="e">
        <f>AND('GA55 Entry'!S730,"AAAAADtK9ho=")</f>
        <v>#VALUE!</v>
      </c>
      <c r="AB192" t="e">
        <f>AND('GA55 Entry'!#REF!,"AAAAADtK9hs=")</f>
        <v>#REF!</v>
      </c>
      <c r="AC192" t="e">
        <f>AND('GA55 Entry'!T730,"AAAAADtK9hw=")</f>
        <v>#VALUE!</v>
      </c>
      <c r="AD192" t="e">
        <f>AND('GA55 Entry'!U730,"AAAAADtK9h0=")</f>
        <v>#VALUE!</v>
      </c>
      <c r="AE192" t="e">
        <f>AND('GA55 Entry'!V730,"AAAAADtK9h4=")</f>
        <v>#VALUE!</v>
      </c>
      <c r="AF192" t="e">
        <f>AND('GA55 Entry'!#REF!,"AAAAADtK9h8=")</f>
        <v>#REF!</v>
      </c>
      <c r="AG192" t="e">
        <f>AND('GA55 Entry'!#REF!,"AAAAADtK9iA=")</f>
        <v>#REF!</v>
      </c>
      <c r="AH192" t="e">
        <f>AND('GA55 Entry'!X730,"AAAAADtK9iE=")</f>
        <v>#VALUE!</v>
      </c>
      <c r="AI192" t="e">
        <f>AND('GA55 Entry'!Y730,"AAAAADtK9iI=")</f>
        <v>#VALUE!</v>
      </c>
      <c r="AJ192" t="e">
        <f>AND('GA55 Entry'!#REF!,"AAAAADtK9iM=")</f>
        <v>#REF!</v>
      </c>
      <c r="AK192" t="e">
        <f>AND('GA55 Entry'!#REF!,"AAAAADtK9iQ=")</f>
        <v>#REF!</v>
      </c>
      <c r="AL192" t="e">
        <f>AND('GA55 Entry'!#REF!,"AAAAADtK9iU=")</f>
        <v>#REF!</v>
      </c>
      <c r="AM192" t="e">
        <f>AND('GA55 Entry'!#REF!,"AAAAADtK9iY=")</f>
        <v>#REF!</v>
      </c>
      <c r="AN192" t="e">
        <f>AND('GA55 Entry'!#REF!,"AAAAADtK9ic=")</f>
        <v>#REF!</v>
      </c>
      <c r="AO192" t="e">
        <f>AND('GA55 Entry'!#REF!,"AAAAADtK9ig=")</f>
        <v>#REF!</v>
      </c>
      <c r="AP192" t="e">
        <f>AND('GA55 Entry'!#REF!,"AAAAADtK9ik=")</f>
        <v>#REF!</v>
      </c>
      <c r="AQ192" t="e">
        <f>AND('GA55 Entry'!#REF!,"AAAAADtK9io=")</f>
        <v>#REF!</v>
      </c>
      <c r="AR192" t="e">
        <f>AND('GA55 Entry'!#REF!,"AAAAADtK9is=")</f>
        <v>#REF!</v>
      </c>
      <c r="AS192" t="e">
        <f>AND('GA55 Entry'!Z730,"AAAAADtK9iw=")</f>
        <v>#VALUE!</v>
      </c>
      <c r="AT192" t="e">
        <f>AND('GA55 Entry'!AA730,"AAAAADtK9i0=")</f>
        <v>#VALUE!</v>
      </c>
      <c r="AU192" t="e">
        <f>AND('GA55 Entry'!#REF!,"AAAAADtK9i4=")</f>
        <v>#REF!</v>
      </c>
      <c r="AV192" t="e">
        <f>AND('GA55 Entry'!#REF!,"AAAAADtK9i8=")</f>
        <v>#REF!</v>
      </c>
      <c r="AW192" t="e">
        <f>AND('GA55 Entry'!#REF!,"AAAAADtK9jA=")</f>
        <v>#REF!</v>
      </c>
      <c r="AX192" t="e">
        <f>AND('GA55 Entry'!AB730,"AAAAADtK9jE=")</f>
        <v>#VALUE!</v>
      </c>
      <c r="AY192" t="e">
        <f>AND('GA55 Entry'!AC730,"AAAAADtK9jI=")</f>
        <v>#VALUE!</v>
      </c>
      <c r="AZ192" t="e">
        <f>AND('GA55 Entry'!#REF!,"AAAAADtK9jM=")</f>
        <v>#REF!</v>
      </c>
      <c r="BA192">
        <f>IF('GA55 Entry'!731:731,"AAAAADtK9jQ=",0)</f>
        <v>0</v>
      </c>
      <c r="BB192" t="e">
        <f>AND('GA55 Entry'!B731,"AAAAADtK9jU=")</f>
        <v>#VALUE!</v>
      </c>
      <c r="BC192" t="e">
        <f>AND('GA55 Entry'!#REF!,"AAAAADtK9jY=")</f>
        <v>#REF!</v>
      </c>
      <c r="BD192" t="e">
        <f>AND('GA55 Entry'!C731,"AAAAADtK9jc=")</f>
        <v>#VALUE!</v>
      </c>
      <c r="BE192" t="e">
        <f>AND('GA55 Entry'!#REF!,"AAAAADtK9jg=")</f>
        <v>#REF!</v>
      </c>
      <c r="BF192" t="e">
        <f>AND('GA55 Entry'!#REF!,"AAAAADtK9jk=")</f>
        <v>#REF!</v>
      </c>
      <c r="BG192" t="e">
        <f>AND('GA55 Entry'!#REF!,"AAAAADtK9jo=")</f>
        <v>#REF!</v>
      </c>
      <c r="BH192" t="e">
        <f>AND('GA55 Entry'!#REF!,"AAAAADtK9js=")</f>
        <v>#REF!</v>
      </c>
      <c r="BI192" t="e">
        <f>AND('GA55 Entry'!#REF!,"AAAAADtK9jw=")</f>
        <v>#REF!</v>
      </c>
      <c r="BJ192" t="e">
        <f>AND('GA55 Entry'!D731,"AAAAADtK9j0=")</f>
        <v>#VALUE!</v>
      </c>
      <c r="BK192" t="e">
        <f>AND('GA55 Entry'!#REF!,"AAAAADtK9j4=")</f>
        <v>#REF!</v>
      </c>
      <c r="BL192" t="e">
        <f>AND('GA55 Entry'!E731,"AAAAADtK9j8=")</f>
        <v>#VALUE!</v>
      </c>
      <c r="BM192" t="e">
        <f>AND('GA55 Entry'!F731,"AAAAADtK9kA=")</f>
        <v>#VALUE!</v>
      </c>
      <c r="BN192" t="e">
        <f>AND('GA55 Entry'!G731,"AAAAADtK9kE=")</f>
        <v>#VALUE!</v>
      </c>
      <c r="BO192" t="e">
        <f>AND('GA55 Entry'!H731,"AAAAADtK9kI=")</f>
        <v>#VALUE!</v>
      </c>
      <c r="BP192" t="e">
        <f>AND('GA55 Entry'!I731,"AAAAADtK9kM=")</f>
        <v>#VALUE!</v>
      </c>
      <c r="BQ192" t="e">
        <f>AND('GA55 Entry'!J731,"AAAAADtK9kQ=")</f>
        <v>#VALUE!</v>
      </c>
      <c r="BR192" t="e">
        <f>AND('GA55 Entry'!#REF!,"AAAAADtK9kU=")</f>
        <v>#REF!</v>
      </c>
      <c r="BS192" t="e">
        <f>AND('GA55 Entry'!K731,"AAAAADtK9kY=")</f>
        <v>#VALUE!</v>
      </c>
      <c r="BT192" t="e">
        <f>AND('GA55 Entry'!L731,"AAAAADtK9kc=")</f>
        <v>#VALUE!</v>
      </c>
      <c r="BU192" t="e">
        <f>AND('GA55 Entry'!M731,"AAAAADtK9kg=")</f>
        <v>#VALUE!</v>
      </c>
      <c r="BV192" t="e">
        <f>AND('GA55 Entry'!N731,"AAAAADtK9kk=")</f>
        <v>#VALUE!</v>
      </c>
      <c r="BW192" t="e">
        <f>AND('GA55 Entry'!O731,"AAAAADtK9ko=")</f>
        <v>#VALUE!</v>
      </c>
      <c r="BX192" t="e">
        <f>AND('GA55 Entry'!P731,"AAAAADtK9ks=")</f>
        <v>#VALUE!</v>
      </c>
      <c r="BY192" t="e">
        <f>AND('GA55 Entry'!Q731,"AAAAADtK9kw=")</f>
        <v>#VALUE!</v>
      </c>
      <c r="BZ192" t="e">
        <f>AND('GA55 Entry'!S731,"AAAAADtK9k0=")</f>
        <v>#VALUE!</v>
      </c>
      <c r="CA192" t="e">
        <f>AND('GA55 Entry'!#REF!,"AAAAADtK9k4=")</f>
        <v>#REF!</v>
      </c>
      <c r="CB192" t="e">
        <f>AND('GA55 Entry'!T731,"AAAAADtK9k8=")</f>
        <v>#VALUE!</v>
      </c>
      <c r="CC192" t="e">
        <f>AND('GA55 Entry'!U731,"AAAAADtK9lA=")</f>
        <v>#VALUE!</v>
      </c>
      <c r="CD192" t="e">
        <f>AND('GA55 Entry'!V731,"AAAAADtK9lE=")</f>
        <v>#VALUE!</v>
      </c>
      <c r="CE192" t="e">
        <f>AND('GA55 Entry'!#REF!,"AAAAADtK9lI=")</f>
        <v>#REF!</v>
      </c>
      <c r="CF192" t="e">
        <f>AND('GA55 Entry'!#REF!,"AAAAADtK9lM=")</f>
        <v>#REF!</v>
      </c>
      <c r="CG192" t="e">
        <f>AND('GA55 Entry'!X731,"AAAAADtK9lQ=")</f>
        <v>#VALUE!</v>
      </c>
      <c r="CH192" t="e">
        <f>AND('GA55 Entry'!Y731,"AAAAADtK9lU=")</f>
        <v>#VALUE!</v>
      </c>
      <c r="CI192" t="e">
        <f>AND('GA55 Entry'!#REF!,"AAAAADtK9lY=")</f>
        <v>#REF!</v>
      </c>
      <c r="CJ192" t="e">
        <f>AND('GA55 Entry'!#REF!,"AAAAADtK9lc=")</f>
        <v>#REF!</v>
      </c>
      <c r="CK192" t="e">
        <f>AND('GA55 Entry'!#REF!,"AAAAADtK9lg=")</f>
        <v>#REF!</v>
      </c>
      <c r="CL192" t="e">
        <f>AND('GA55 Entry'!#REF!,"AAAAADtK9lk=")</f>
        <v>#REF!</v>
      </c>
      <c r="CM192" t="e">
        <f>AND('GA55 Entry'!#REF!,"AAAAADtK9lo=")</f>
        <v>#REF!</v>
      </c>
      <c r="CN192" t="e">
        <f>AND('GA55 Entry'!#REF!,"AAAAADtK9ls=")</f>
        <v>#REF!</v>
      </c>
      <c r="CO192" t="e">
        <f>AND('GA55 Entry'!#REF!,"AAAAADtK9lw=")</f>
        <v>#REF!</v>
      </c>
      <c r="CP192" t="e">
        <f>AND('GA55 Entry'!#REF!,"AAAAADtK9l0=")</f>
        <v>#REF!</v>
      </c>
      <c r="CQ192" t="e">
        <f>AND('GA55 Entry'!#REF!,"AAAAADtK9l4=")</f>
        <v>#REF!</v>
      </c>
      <c r="CR192" t="e">
        <f>AND('GA55 Entry'!Z731,"AAAAADtK9l8=")</f>
        <v>#VALUE!</v>
      </c>
      <c r="CS192" t="e">
        <f>AND('GA55 Entry'!AA731,"AAAAADtK9mA=")</f>
        <v>#VALUE!</v>
      </c>
      <c r="CT192" t="e">
        <f>AND('GA55 Entry'!#REF!,"AAAAADtK9mE=")</f>
        <v>#REF!</v>
      </c>
      <c r="CU192" t="e">
        <f>AND('GA55 Entry'!#REF!,"AAAAADtK9mI=")</f>
        <v>#REF!</v>
      </c>
      <c r="CV192" t="e">
        <f>AND('GA55 Entry'!#REF!,"AAAAADtK9mM=")</f>
        <v>#REF!</v>
      </c>
      <c r="CW192" t="e">
        <f>AND('GA55 Entry'!AB731,"AAAAADtK9mQ=")</f>
        <v>#VALUE!</v>
      </c>
      <c r="CX192" t="e">
        <f>AND('GA55 Entry'!AC731,"AAAAADtK9mU=")</f>
        <v>#VALUE!</v>
      </c>
      <c r="CY192" t="e">
        <f>AND('GA55 Entry'!#REF!,"AAAAADtK9mY=")</f>
        <v>#REF!</v>
      </c>
      <c r="CZ192">
        <f>IF('GA55 Entry'!732:732,"AAAAADtK9mc=",0)</f>
        <v>0</v>
      </c>
      <c r="DA192" t="e">
        <f>AND('GA55 Entry'!B732,"AAAAADtK9mg=")</f>
        <v>#VALUE!</v>
      </c>
      <c r="DB192" t="e">
        <f>AND('GA55 Entry'!#REF!,"AAAAADtK9mk=")</f>
        <v>#REF!</v>
      </c>
      <c r="DC192" t="e">
        <f>AND('GA55 Entry'!C732,"AAAAADtK9mo=")</f>
        <v>#VALUE!</v>
      </c>
      <c r="DD192" t="e">
        <f>AND('GA55 Entry'!#REF!,"AAAAADtK9ms=")</f>
        <v>#REF!</v>
      </c>
      <c r="DE192" t="e">
        <f>AND('GA55 Entry'!#REF!,"AAAAADtK9mw=")</f>
        <v>#REF!</v>
      </c>
      <c r="DF192" t="e">
        <f>AND('GA55 Entry'!#REF!,"AAAAADtK9m0=")</f>
        <v>#REF!</v>
      </c>
      <c r="DG192" t="e">
        <f>AND('GA55 Entry'!#REF!,"AAAAADtK9m4=")</f>
        <v>#REF!</v>
      </c>
      <c r="DH192" t="e">
        <f>AND('GA55 Entry'!#REF!,"AAAAADtK9m8=")</f>
        <v>#REF!</v>
      </c>
      <c r="DI192" t="e">
        <f>AND('GA55 Entry'!D732,"AAAAADtK9nA=")</f>
        <v>#VALUE!</v>
      </c>
      <c r="DJ192" t="e">
        <f>AND('GA55 Entry'!#REF!,"AAAAADtK9nE=")</f>
        <v>#REF!</v>
      </c>
      <c r="DK192" t="e">
        <f>AND('GA55 Entry'!E732,"AAAAADtK9nI=")</f>
        <v>#VALUE!</v>
      </c>
      <c r="DL192" t="e">
        <f>AND('GA55 Entry'!F732,"AAAAADtK9nM=")</f>
        <v>#VALUE!</v>
      </c>
      <c r="DM192" t="e">
        <f>AND('GA55 Entry'!G732,"AAAAADtK9nQ=")</f>
        <v>#VALUE!</v>
      </c>
      <c r="DN192" t="e">
        <f>AND('GA55 Entry'!H732,"AAAAADtK9nU=")</f>
        <v>#VALUE!</v>
      </c>
      <c r="DO192" t="e">
        <f>AND('GA55 Entry'!I732,"AAAAADtK9nY=")</f>
        <v>#VALUE!</v>
      </c>
      <c r="DP192" t="e">
        <f>AND('GA55 Entry'!J732,"AAAAADtK9nc=")</f>
        <v>#VALUE!</v>
      </c>
      <c r="DQ192" t="e">
        <f>AND('GA55 Entry'!#REF!,"AAAAADtK9ng=")</f>
        <v>#REF!</v>
      </c>
      <c r="DR192" t="e">
        <f>AND('GA55 Entry'!K732,"AAAAADtK9nk=")</f>
        <v>#VALUE!</v>
      </c>
      <c r="DS192" t="e">
        <f>AND('GA55 Entry'!L732,"AAAAADtK9no=")</f>
        <v>#VALUE!</v>
      </c>
      <c r="DT192" t="e">
        <f>AND('GA55 Entry'!M732,"AAAAADtK9ns=")</f>
        <v>#VALUE!</v>
      </c>
      <c r="DU192" t="e">
        <f>AND('GA55 Entry'!N732,"AAAAADtK9nw=")</f>
        <v>#VALUE!</v>
      </c>
      <c r="DV192" t="e">
        <f>AND('GA55 Entry'!O732,"AAAAADtK9n0=")</f>
        <v>#VALUE!</v>
      </c>
      <c r="DW192" t="e">
        <f>AND('GA55 Entry'!P732,"AAAAADtK9n4=")</f>
        <v>#VALUE!</v>
      </c>
      <c r="DX192" t="e">
        <f>AND('GA55 Entry'!Q732,"AAAAADtK9n8=")</f>
        <v>#VALUE!</v>
      </c>
      <c r="DY192" t="e">
        <f>AND('GA55 Entry'!S732,"AAAAADtK9oA=")</f>
        <v>#VALUE!</v>
      </c>
      <c r="DZ192" t="e">
        <f>AND('GA55 Entry'!#REF!,"AAAAADtK9oE=")</f>
        <v>#REF!</v>
      </c>
      <c r="EA192" t="e">
        <f>AND('GA55 Entry'!T732,"AAAAADtK9oI=")</f>
        <v>#VALUE!</v>
      </c>
      <c r="EB192" t="e">
        <f>AND('GA55 Entry'!U732,"AAAAADtK9oM=")</f>
        <v>#VALUE!</v>
      </c>
      <c r="EC192" t="e">
        <f>AND('GA55 Entry'!V732,"AAAAADtK9oQ=")</f>
        <v>#VALUE!</v>
      </c>
      <c r="ED192" t="e">
        <f>AND('GA55 Entry'!#REF!,"AAAAADtK9oU=")</f>
        <v>#REF!</v>
      </c>
      <c r="EE192" t="e">
        <f>AND('GA55 Entry'!#REF!,"AAAAADtK9oY=")</f>
        <v>#REF!</v>
      </c>
      <c r="EF192" t="e">
        <f>AND('GA55 Entry'!X732,"AAAAADtK9oc=")</f>
        <v>#VALUE!</v>
      </c>
      <c r="EG192" t="e">
        <f>AND('GA55 Entry'!Y732,"AAAAADtK9og=")</f>
        <v>#VALUE!</v>
      </c>
      <c r="EH192" t="e">
        <f>AND('GA55 Entry'!#REF!,"AAAAADtK9ok=")</f>
        <v>#REF!</v>
      </c>
      <c r="EI192" t="e">
        <f>AND('GA55 Entry'!#REF!,"AAAAADtK9oo=")</f>
        <v>#REF!</v>
      </c>
      <c r="EJ192" t="e">
        <f>AND('GA55 Entry'!#REF!,"AAAAADtK9os=")</f>
        <v>#REF!</v>
      </c>
      <c r="EK192" t="e">
        <f>AND('GA55 Entry'!#REF!,"AAAAADtK9ow=")</f>
        <v>#REF!</v>
      </c>
      <c r="EL192" t="e">
        <f>AND('GA55 Entry'!#REF!,"AAAAADtK9o0=")</f>
        <v>#REF!</v>
      </c>
      <c r="EM192" t="e">
        <f>AND('GA55 Entry'!#REF!,"AAAAADtK9o4=")</f>
        <v>#REF!</v>
      </c>
      <c r="EN192" t="e">
        <f>AND('GA55 Entry'!#REF!,"AAAAADtK9o8=")</f>
        <v>#REF!</v>
      </c>
      <c r="EO192" t="e">
        <f>AND('GA55 Entry'!#REF!,"AAAAADtK9pA=")</f>
        <v>#REF!</v>
      </c>
      <c r="EP192" t="e">
        <f>AND('GA55 Entry'!#REF!,"AAAAADtK9pE=")</f>
        <v>#REF!</v>
      </c>
      <c r="EQ192" t="e">
        <f>AND('GA55 Entry'!Z732,"AAAAADtK9pI=")</f>
        <v>#VALUE!</v>
      </c>
      <c r="ER192" t="e">
        <f>AND('GA55 Entry'!AA732,"AAAAADtK9pM=")</f>
        <v>#VALUE!</v>
      </c>
      <c r="ES192" t="e">
        <f>AND('GA55 Entry'!#REF!,"AAAAADtK9pQ=")</f>
        <v>#REF!</v>
      </c>
      <c r="ET192" t="e">
        <f>AND('GA55 Entry'!#REF!,"AAAAADtK9pU=")</f>
        <v>#REF!</v>
      </c>
      <c r="EU192" t="e">
        <f>AND('GA55 Entry'!#REF!,"AAAAADtK9pY=")</f>
        <v>#REF!</v>
      </c>
      <c r="EV192" t="e">
        <f>AND('GA55 Entry'!AB732,"AAAAADtK9pc=")</f>
        <v>#VALUE!</v>
      </c>
      <c r="EW192" t="e">
        <f>AND('GA55 Entry'!AC732,"AAAAADtK9pg=")</f>
        <v>#VALUE!</v>
      </c>
      <c r="EX192" t="e">
        <f>AND('GA55 Entry'!#REF!,"AAAAADtK9pk=")</f>
        <v>#REF!</v>
      </c>
      <c r="EY192">
        <f>IF('GA55 Entry'!733:733,"AAAAADtK9po=",0)</f>
        <v>0</v>
      </c>
      <c r="EZ192" t="e">
        <f>AND('GA55 Entry'!B733,"AAAAADtK9ps=")</f>
        <v>#VALUE!</v>
      </c>
      <c r="FA192" t="e">
        <f>AND('GA55 Entry'!#REF!,"AAAAADtK9pw=")</f>
        <v>#REF!</v>
      </c>
      <c r="FB192" t="e">
        <f>AND('GA55 Entry'!C733,"AAAAADtK9p0=")</f>
        <v>#VALUE!</v>
      </c>
      <c r="FC192" t="e">
        <f>AND('GA55 Entry'!#REF!,"AAAAADtK9p4=")</f>
        <v>#REF!</v>
      </c>
      <c r="FD192" t="e">
        <f>AND('GA55 Entry'!#REF!,"AAAAADtK9p8=")</f>
        <v>#REF!</v>
      </c>
      <c r="FE192" t="e">
        <f>AND('GA55 Entry'!#REF!,"AAAAADtK9qA=")</f>
        <v>#REF!</v>
      </c>
      <c r="FF192" t="e">
        <f>AND('GA55 Entry'!#REF!,"AAAAADtK9qE=")</f>
        <v>#REF!</v>
      </c>
      <c r="FG192" t="e">
        <f>AND('GA55 Entry'!#REF!,"AAAAADtK9qI=")</f>
        <v>#REF!</v>
      </c>
      <c r="FH192" t="e">
        <f>AND('GA55 Entry'!D733,"AAAAADtK9qM=")</f>
        <v>#VALUE!</v>
      </c>
      <c r="FI192" t="e">
        <f>AND('GA55 Entry'!#REF!,"AAAAADtK9qQ=")</f>
        <v>#REF!</v>
      </c>
      <c r="FJ192" t="e">
        <f>AND('GA55 Entry'!E733,"AAAAADtK9qU=")</f>
        <v>#VALUE!</v>
      </c>
      <c r="FK192" t="e">
        <f>AND('GA55 Entry'!F733,"AAAAADtK9qY=")</f>
        <v>#VALUE!</v>
      </c>
      <c r="FL192" t="e">
        <f>AND('GA55 Entry'!G733,"AAAAADtK9qc=")</f>
        <v>#VALUE!</v>
      </c>
      <c r="FM192" t="e">
        <f>AND('GA55 Entry'!H733,"AAAAADtK9qg=")</f>
        <v>#VALUE!</v>
      </c>
      <c r="FN192" t="e">
        <f>AND('GA55 Entry'!I733,"AAAAADtK9qk=")</f>
        <v>#VALUE!</v>
      </c>
      <c r="FO192" t="e">
        <f>AND('GA55 Entry'!J733,"AAAAADtK9qo=")</f>
        <v>#VALUE!</v>
      </c>
      <c r="FP192" t="e">
        <f>AND('GA55 Entry'!#REF!,"AAAAADtK9qs=")</f>
        <v>#REF!</v>
      </c>
      <c r="FQ192" t="e">
        <f>AND('GA55 Entry'!K733,"AAAAADtK9qw=")</f>
        <v>#VALUE!</v>
      </c>
      <c r="FR192" t="e">
        <f>AND('GA55 Entry'!L733,"AAAAADtK9q0=")</f>
        <v>#VALUE!</v>
      </c>
      <c r="FS192" t="e">
        <f>AND('GA55 Entry'!M733,"AAAAADtK9q4=")</f>
        <v>#VALUE!</v>
      </c>
      <c r="FT192" t="e">
        <f>AND('GA55 Entry'!N733,"AAAAADtK9q8=")</f>
        <v>#VALUE!</v>
      </c>
      <c r="FU192" t="e">
        <f>AND('GA55 Entry'!O733,"AAAAADtK9rA=")</f>
        <v>#VALUE!</v>
      </c>
      <c r="FV192" t="e">
        <f>AND('GA55 Entry'!P733,"AAAAADtK9rE=")</f>
        <v>#VALUE!</v>
      </c>
      <c r="FW192" t="e">
        <f>AND('GA55 Entry'!Q733,"AAAAADtK9rI=")</f>
        <v>#VALUE!</v>
      </c>
      <c r="FX192" t="e">
        <f>AND('GA55 Entry'!S733,"AAAAADtK9rM=")</f>
        <v>#VALUE!</v>
      </c>
      <c r="FY192" t="e">
        <f>AND('GA55 Entry'!#REF!,"AAAAADtK9rQ=")</f>
        <v>#REF!</v>
      </c>
      <c r="FZ192" t="e">
        <f>AND('GA55 Entry'!T733,"AAAAADtK9rU=")</f>
        <v>#VALUE!</v>
      </c>
      <c r="GA192" t="e">
        <f>AND('GA55 Entry'!U733,"AAAAADtK9rY=")</f>
        <v>#VALUE!</v>
      </c>
      <c r="GB192" t="e">
        <f>AND('GA55 Entry'!V733,"AAAAADtK9rc=")</f>
        <v>#VALUE!</v>
      </c>
      <c r="GC192" t="e">
        <f>AND('GA55 Entry'!#REF!,"AAAAADtK9rg=")</f>
        <v>#REF!</v>
      </c>
      <c r="GD192" t="e">
        <f>AND('GA55 Entry'!#REF!,"AAAAADtK9rk=")</f>
        <v>#REF!</v>
      </c>
      <c r="GE192" t="e">
        <f>AND('GA55 Entry'!X733,"AAAAADtK9ro=")</f>
        <v>#VALUE!</v>
      </c>
      <c r="GF192" t="e">
        <f>AND('GA55 Entry'!Y733,"AAAAADtK9rs=")</f>
        <v>#VALUE!</v>
      </c>
      <c r="GG192" t="e">
        <f>AND('GA55 Entry'!#REF!,"AAAAADtK9rw=")</f>
        <v>#REF!</v>
      </c>
      <c r="GH192" t="e">
        <f>AND('GA55 Entry'!#REF!,"AAAAADtK9r0=")</f>
        <v>#REF!</v>
      </c>
      <c r="GI192" t="e">
        <f>AND('GA55 Entry'!#REF!,"AAAAADtK9r4=")</f>
        <v>#REF!</v>
      </c>
      <c r="GJ192" t="e">
        <f>AND('GA55 Entry'!#REF!,"AAAAADtK9r8=")</f>
        <v>#REF!</v>
      </c>
      <c r="GK192" t="e">
        <f>AND('GA55 Entry'!#REF!,"AAAAADtK9sA=")</f>
        <v>#REF!</v>
      </c>
      <c r="GL192" t="e">
        <f>AND('GA55 Entry'!#REF!,"AAAAADtK9sE=")</f>
        <v>#REF!</v>
      </c>
      <c r="GM192" t="e">
        <f>AND('GA55 Entry'!#REF!,"AAAAADtK9sI=")</f>
        <v>#REF!</v>
      </c>
      <c r="GN192" t="e">
        <f>AND('GA55 Entry'!#REF!,"AAAAADtK9sM=")</f>
        <v>#REF!</v>
      </c>
      <c r="GO192" t="e">
        <f>AND('GA55 Entry'!#REF!,"AAAAADtK9sQ=")</f>
        <v>#REF!</v>
      </c>
      <c r="GP192" t="e">
        <f>AND('GA55 Entry'!Z733,"AAAAADtK9sU=")</f>
        <v>#VALUE!</v>
      </c>
      <c r="GQ192" t="e">
        <f>AND('GA55 Entry'!AA733,"AAAAADtK9sY=")</f>
        <v>#VALUE!</v>
      </c>
      <c r="GR192" t="e">
        <f>AND('GA55 Entry'!#REF!,"AAAAADtK9sc=")</f>
        <v>#REF!</v>
      </c>
      <c r="GS192" t="e">
        <f>AND('GA55 Entry'!#REF!,"AAAAADtK9sg=")</f>
        <v>#REF!</v>
      </c>
      <c r="GT192" t="e">
        <f>AND('GA55 Entry'!#REF!,"AAAAADtK9sk=")</f>
        <v>#REF!</v>
      </c>
      <c r="GU192" t="e">
        <f>AND('GA55 Entry'!AB733,"AAAAADtK9so=")</f>
        <v>#VALUE!</v>
      </c>
      <c r="GV192" t="e">
        <f>AND('GA55 Entry'!AC733,"AAAAADtK9ss=")</f>
        <v>#VALUE!</v>
      </c>
      <c r="GW192" t="e">
        <f>AND('GA55 Entry'!#REF!,"AAAAADtK9sw=")</f>
        <v>#REF!</v>
      </c>
      <c r="GX192">
        <f>IF('GA55 Entry'!734:734,"AAAAADtK9s0=",0)</f>
        <v>0</v>
      </c>
      <c r="GY192" t="e">
        <f>AND('GA55 Entry'!B734,"AAAAADtK9s4=")</f>
        <v>#VALUE!</v>
      </c>
      <c r="GZ192" t="e">
        <f>AND('GA55 Entry'!#REF!,"AAAAADtK9s8=")</f>
        <v>#REF!</v>
      </c>
      <c r="HA192" t="e">
        <f>AND('GA55 Entry'!C734,"AAAAADtK9tA=")</f>
        <v>#VALUE!</v>
      </c>
      <c r="HB192" t="e">
        <f>AND('GA55 Entry'!#REF!,"AAAAADtK9tE=")</f>
        <v>#REF!</v>
      </c>
      <c r="HC192" t="e">
        <f>AND('GA55 Entry'!#REF!,"AAAAADtK9tI=")</f>
        <v>#REF!</v>
      </c>
      <c r="HD192" t="e">
        <f>AND('GA55 Entry'!#REF!,"AAAAADtK9tM=")</f>
        <v>#REF!</v>
      </c>
      <c r="HE192" t="e">
        <f>AND('GA55 Entry'!#REF!,"AAAAADtK9tQ=")</f>
        <v>#REF!</v>
      </c>
      <c r="HF192" t="e">
        <f>AND('GA55 Entry'!#REF!,"AAAAADtK9tU=")</f>
        <v>#REF!</v>
      </c>
      <c r="HG192" t="e">
        <f>AND('GA55 Entry'!D734,"AAAAADtK9tY=")</f>
        <v>#VALUE!</v>
      </c>
      <c r="HH192" t="e">
        <f>AND('GA55 Entry'!#REF!,"AAAAADtK9tc=")</f>
        <v>#REF!</v>
      </c>
      <c r="HI192" t="e">
        <f>AND('GA55 Entry'!E734,"AAAAADtK9tg=")</f>
        <v>#VALUE!</v>
      </c>
      <c r="HJ192" t="e">
        <f>AND('GA55 Entry'!F734,"AAAAADtK9tk=")</f>
        <v>#VALUE!</v>
      </c>
      <c r="HK192" t="e">
        <f>AND('GA55 Entry'!G734,"AAAAADtK9to=")</f>
        <v>#VALUE!</v>
      </c>
      <c r="HL192" t="e">
        <f>AND('GA55 Entry'!H734,"AAAAADtK9ts=")</f>
        <v>#VALUE!</v>
      </c>
      <c r="HM192" t="e">
        <f>AND('GA55 Entry'!I734,"AAAAADtK9tw=")</f>
        <v>#VALUE!</v>
      </c>
      <c r="HN192" t="e">
        <f>AND('GA55 Entry'!J734,"AAAAADtK9t0=")</f>
        <v>#VALUE!</v>
      </c>
      <c r="HO192" t="e">
        <f>AND('GA55 Entry'!#REF!,"AAAAADtK9t4=")</f>
        <v>#REF!</v>
      </c>
      <c r="HP192" t="e">
        <f>AND('GA55 Entry'!K734,"AAAAADtK9t8=")</f>
        <v>#VALUE!</v>
      </c>
      <c r="HQ192" t="e">
        <f>AND('GA55 Entry'!L734,"AAAAADtK9uA=")</f>
        <v>#VALUE!</v>
      </c>
      <c r="HR192" t="e">
        <f>AND('GA55 Entry'!M734,"AAAAADtK9uE=")</f>
        <v>#VALUE!</v>
      </c>
      <c r="HS192" t="e">
        <f>AND('GA55 Entry'!N734,"AAAAADtK9uI=")</f>
        <v>#VALUE!</v>
      </c>
      <c r="HT192" t="e">
        <f>AND('GA55 Entry'!O734,"AAAAADtK9uM=")</f>
        <v>#VALUE!</v>
      </c>
      <c r="HU192" t="e">
        <f>AND('GA55 Entry'!P734,"AAAAADtK9uQ=")</f>
        <v>#VALUE!</v>
      </c>
      <c r="HV192" t="e">
        <f>AND('GA55 Entry'!Q734,"AAAAADtK9uU=")</f>
        <v>#VALUE!</v>
      </c>
      <c r="HW192" t="e">
        <f>AND('GA55 Entry'!S734,"AAAAADtK9uY=")</f>
        <v>#VALUE!</v>
      </c>
      <c r="HX192" t="e">
        <f>AND('GA55 Entry'!#REF!,"AAAAADtK9uc=")</f>
        <v>#REF!</v>
      </c>
      <c r="HY192" t="e">
        <f>AND('GA55 Entry'!T734,"AAAAADtK9ug=")</f>
        <v>#VALUE!</v>
      </c>
      <c r="HZ192" t="e">
        <f>AND('GA55 Entry'!U734,"AAAAADtK9uk=")</f>
        <v>#VALUE!</v>
      </c>
      <c r="IA192" t="e">
        <f>AND('GA55 Entry'!V734,"AAAAADtK9uo=")</f>
        <v>#VALUE!</v>
      </c>
      <c r="IB192" t="e">
        <f>AND('GA55 Entry'!#REF!,"AAAAADtK9us=")</f>
        <v>#REF!</v>
      </c>
      <c r="IC192" t="e">
        <f>AND('GA55 Entry'!#REF!,"AAAAADtK9uw=")</f>
        <v>#REF!</v>
      </c>
      <c r="ID192" t="e">
        <f>AND('GA55 Entry'!X734,"AAAAADtK9u0=")</f>
        <v>#VALUE!</v>
      </c>
      <c r="IE192" t="e">
        <f>AND('GA55 Entry'!Y734,"AAAAADtK9u4=")</f>
        <v>#VALUE!</v>
      </c>
      <c r="IF192" t="e">
        <f>AND('GA55 Entry'!#REF!,"AAAAADtK9u8=")</f>
        <v>#REF!</v>
      </c>
      <c r="IG192" t="e">
        <f>AND('GA55 Entry'!#REF!,"AAAAADtK9vA=")</f>
        <v>#REF!</v>
      </c>
      <c r="IH192" t="e">
        <f>AND('GA55 Entry'!#REF!,"AAAAADtK9vE=")</f>
        <v>#REF!</v>
      </c>
      <c r="II192" t="e">
        <f>AND('GA55 Entry'!#REF!,"AAAAADtK9vI=")</f>
        <v>#REF!</v>
      </c>
      <c r="IJ192" t="e">
        <f>AND('GA55 Entry'!#REF!,"AAAAADtK9vM=")</f>
        <v>#REF!</v>
      </c>
      <c r="IK192" t="e">
        <f>AND('GA55 Entry'!#REF!,"AAAAADtK9vQ=")</f>
        <v>#REF!</v>
      </c>
      <c r="IL192" t="e">
        <f>AND('GA55 Entry'!#REF!,"AAAAADtK9vU=")</f>
        <v>#REF!</v>
      </c>
      <c r="IM192" t="e">
        <f>AND('GA55 Entry'!#REF!,"AAAAADtK9vY=")</f>
        <v>#REF!</v>
      </c>
      <c r="IN192" t="e">
        <f>AND('GA55 Entry'!#REF!,"AAAAADtK9vc=")</f>
        <v>#REF!</v>
      </c>
      <c r="IO192" t="e">
        <f>AND('GA55 Entry'!Z734,"AAAAADtK9vg=")</f>
        <v>#VALUE!</v>
      </c>
      <c r="IP192" t="e">
        <f>AND('GA55 Entry'!AA734,"AAAAADtK9vk=")</f>
        <v>#VALUE!</v>
      </c>
      <c r="IQ192" t="e">
        <f>AND('GA55 Entry'!#REF!,"AAAAADtK9vo=")</f>
        <v>#REF!</v>
      </c>
      <c r="IR192" t="e">
        <f>AND('GA55 Entry'!#REF!,"AAAAADtK9vs=")</f>
        <v>#REF!</v>
      </c>
      <c r="IS192" t="e">
        <f>AND('GA55 Entry'!#REF!,"AAAAADtK9vw=")</f>
        <v>#REF!</v>
      </c>
      <c r="IT192" t="e">
        <f>AND('GA55 Entry'!AB734,"AAAAADtK9v0=")</f>
        <v>#VALUE!</v>
      </c>
      <c r="IU192" t="e">
        <f>AND('GA55 Entry'!AC734,"AAAAADtK9v4=")</f>
        <v>#VALUE!</v>
      </c>
      <c r="IV192" t="e">
        <f>AND('GA55 Entry'!#REF!,"AAAAADtK9v8=")</f>
        <v>#REF!</v>
      </c>
    </row>
    <row r="193" spans="1:256">
      <c r="A193">
        <f>IF('GA55 Entry'!735:735,"AAAAAHl+fQA=",0)</f>
        <v>0</v>
      </c>
      <c r="B193" t="e">
        <f>AND('GA55 Entry'!B735,"AAAAAHl+fQE=")</f>
        <v>#VALUE!</v>
      </c>
      <c r="C193" t="e">
        <f>AND('GA55 Entry'!#REF!,"AAAAAHl+fQI=")</f>
        <v>#REF!</v>
      </c>
      <c r="D193" t="e">
        <f>AND('GA55 Entry'!C735,"AAAAAHl+fQM=")</f>
        <v>#VALUE!</v>
      </c>
      <c r="E193" t="e">
        <f>AND('GA55 Entry'!#REF!,"AAAAAHl+fQQ=")</f>
        <v>#REF!</v>
      </c>
      <c r="F193" t="e">
        <f>AND('GA55 Entry'!#REF!,"AAAAAHl+fQU=")</f>
        <v>#REF!</v>
      </c>
      <c r="G193" t="e">
        <f>AND('GA55 Entry'!#REF!,"AAAAAHl+fQY=")</f>
        <v>#REF!</v>
      </c>
      <c r="H193" t="e">
        <f>AND('GA55 Entry'!#REF!,"AAAAAHl+fQc=")</f>
        <v>#REF!</v>
      </c>
      <c r="I193" t="e">
        <f>AND('GA55 Entry'!#REF!,"AAAAAHl+fQg=")</f>
        <v>#REF!</v>
      </c>
      <c r="J193" t="e">
        <f>AND('GA55 Entry'!D735,"AAAAAHl+fQk=")</f>
        <v>#VALUE!</v>
      </c>
      <c r="K193" t="e">
        <f>AND('GA55 Entry'!#REF!,"AAAAAHl+fQo=")</f>
        <v>#REF!</v>
      </c>
      <c r="L193" t="e">
        <f>AND('GA55 Entry'!E735,"AAAAAHl+fQs=")</f>
        <v>#VALUE!</v>
      </c>
      <c r="M193" t="e">
        <f>AND('GA55 Entry'!F735,"AAAAAHl+fQw=")</f>
        <v>#VALUE!</v>
      </c>
      <c r="N193" t="e">
        <f>AND('GA55 Entry'!G735,"AAAAAHl+fQ0=")</f>
        <v>#VALUE!</v>
      </c>
      <c r="O193" t="e">
        <f>AND('GA55 Entry'!H735,"AAAAAHl+fQ4=")</f>
        <v>#VALUE!</v>
      </c>
      <c r="P193" t="e">
        <f>AND('GA55 Entry'!I735,"AAAAAHl+fQ8=")</f>
        <v>#VALUE!</v>
      </c>
      <c r="Q193" t="e">
        <f>AND('GA55 Entry'!J735,"AAAAAHl+fRA=")</f>
        <v>#VALUE!</v>
      </c>
      <c r="R193" t="e">
        <f>AND('GA55 Entry'!#REF!,"AAAAAHl+fRE=")</f>
        <v>#REF!</v>
      </c>
      <c r="S193" t="e">
        <f>AND('GA55 Entry'!K735,"AAAAAHl+fRI=")</f>
        <v>#VALUE!</v>
      </c>
      <c r="T193" t="e">
        <f>AND('GA55 Entry'!L735,"AAAAAHl+fRM=")</f>
        <v>#VALUE!</v>
      </c>
      <c r="U193" t="e">
        <f>AND('GA55 Entry'!M735,"AAAAAHl+fRQ=")</f>
        <v>#VALUE!</v>
      </c>
      <c r="V193" t="e">
        <f>AND('GA55 Entry'!N735,"AAAAAHl+fRU=")</f>
        <v>#VALUE!</v>
      </c>
      <c r="W193" t="e">
        <f>AND('GA55 Entry'!O735,"AAAAAHl+fRY=")</f>
        <v>#VALUE!</v>
      </c>
      <c r="X193" t="e">
        <f>AND('GA55 Entry'!P735,"AAAAAHl+fRc=")</f>
        <v>#VALUE!</v>
      </c>
      <c r="Y193" t="e">
        <f>AND('GA55 Entry'!Q735,"AAAAAHl+fRg=")</f>
        <v>#VALUE!</v>
      </c>
      <c r="Z193" t="e">
        <f>AND('GA55 Entry'!S735,"AAAAAHl+fRk=")</f>
        <v>#VALUE!</v>
      </c>
      <c r="AA193" t="e">
        <f>AND('GA55 Entry'!#REF!,"AAAAAHl+fRo=")</f>
        <v>#REF!</v>
      </c>
      <c r="AB193" t="e">
        <f>AND('GA55 Entry'!T735,"AAAAAHl+fRs=")</f>
        <v>#VALUE!</v>
      </c>
      <c r="AC193" t="e">
        <f>AND('GA55 Entry'!U735,"AAAAAHl+fRw=")</f>
        <v>#VALUE!</v>
      </c>
      <c r="AD193" t="e">
        <f>AND('GA55 Entry'!V735,"AAAAAHl+fR0=")</f>
        <v>#VALUE!</v>
      </c>
      <c r="AE193" t="e">
        <f>AND('GA55 Entry'!#REF!,"AAAAAHl+fR4=")</f>
        <v>#REF!</v>
      </c>
      <c r="AF193" t="e">
        <f>AND('GA55 Entry'!#REF!,"AAAAAHl+fR8=")</f>
        <v>#REF!</v>
      </c>
      <c r="AG193" t="e">
        <f>AND('GA55 Entry'!X735,"AAAAAHl+fSA=")</f>
        <v>#VALUE!</v>
      </c>
      <c r="AH193" t="e">
        <f>AND('GA55 Entry'!Y735,"AAAAAHl+fSE=")</f>
        <v>#VALUE!</v>
      </c>
      <c r="AI193" t="e">
        <f>AND('GA55 Entry'!#REF!,"AAAAAHl+fSI=")</f>
        <v>#REF!</v>
      </c>
      <c r="AJ193" t="e">
        <f>AND('GA55 Entry'!#REF!,"AAAAAHl+fSM=")</f>
        <v>#REF!</v>
      </c>
      <c r="AK193" t="e">
        <f>AND('GA55 Entry'!#REF!,"AAAAAHl+fSQ=")</f>
        <v>#REF!</v>
      </c>
      <c r="AL193" t="e">
        <f>AND('GA55 Entry'!#REF!,"AAAAAHl+fSU=")</f>
        <v>#REF!</v>
      </c>
      <c r="AM193" t="e">
        <f>AND('GA55 Entry'!#REF!,"AAAAAHl+fSY=")</f>
        <v>#REF!</v>
      </c>
      <c r="AN193" t="e">
        <f>AND('GA55 Entry'!#REF!,"AAAAAHl+fSc=")</f>
        <v>#REF!</v>
      </c>
      <c r="AO193" t="e">
        <f>AND('GA55 Entry'!#REF!,"AAAAAHl+fSg=")</f>
        <v>#REF!</v>
      </c>
      <c r="AP193" t="e">
        <f>AND('GA55 Entry'!#REF!,"AAAAAHl+fSk=")</f>
        <v>#REF!</v>
      </c>
      <c r="AQ193" t="e">
        <f>AND('GA55 Entry'!#REF!,"AAAAAHl+fSo=")</f>
        <v>#REF!</v>
      </c>
      <c r="AR193" t="e">
        <f>AND('GA55 Entry'!Z735,"AAAAAHl+fSs=")</f>
        <v>#VALUE!</v>
      </c>
      <c r="AS193" t="e">
        <f>AND('GA55 Entry'!AA735,"AAAAAHl+fSw=")</f>
        <v>#VALUE!</v>
      </c>
      <c r="AT193" t="e">
        <f>AND('GA55 Entry'!#REF!,"AAAAAHl+fS0=")</f>
        <v>#REF!</v>
      </c>
      <c r="AU193" t="e">
        <f>AND('GA55 Entry'!#REF!,"AAAAAHl+fS4=")</f>
        <v>#REF!</v>
      </c>
      <c r="AV193" t="e">
        <f>AND('GA55 Entry'!#REF!,"AAAAAHl+fS8=")</f>
        <v>#REF!</v>
      </c>
      <c r="AW193" t="e">
        <f>AND('GA55 Entry'!AB735,"AAAAAHl+fTA=")</f>
        <v>#VALUE!</v>
      </c>
      <c r="AX193" t="e">
        <f>AND('GA55 Entry'!AC735,"AAAAAHl+fTE=")</f>
        <v>#VALUE!</v>
      </c>
      <c r="AY193" t="e">
        <f>AND('GA55 Entry'!#REF!,"AAAAAHl+fTI=")</f>
        <v>#REF!</v>
      </c>
      <c r="AZ193">
        <f>IF('GA55 Entry'!736:736,"AAAAAHl+fTM=",0)</f>
        <v>0</v>
      </c>
      <c r="BA193" t="e">
        <f>AND('GA55 Entry'!B736,"AAAAAHl+fTQ=")</f>
        <v>#VALUE!</v>
      </c>
      <c r="BB193" t="e">
        <f>AND('GA55 Entry'!#REF!,"AAAAAHl+fTU=")</f>
        <v>#REF!</v>
      </c>
      <c r="BC193" t="e">
        <f>AND('GA55 Entry'!C736,"AAAAAHl+fTY=")</f>
        <v>#VALUE!</v>
      </c>
      <c r="BD193" t="e">
        <f>AND('GA55 Entry'!#REF!,"AAAAAHl+fTc=")</f>
        <v>#REF!</v>
      </c>
      <c r="BE193" t="e">
        <f>AND('GA55 Entry'!#REF!,"AAAAAHl+fTg=")</f>
        <v>#REF!</v>
      </c>
      <c r="BF193" t="e">
        <f>AND('GA55 Entry'!#REF!,"AAAAAHl+fTk=")</f>
        <v>#REF!</v>
      </c>
      <c r="BG193" t="e">
        <f>AND('GA55 Entry'!#REF!,"AAAAAHl+fTo=")</f>
        <v>#REF!</v>
      </c>
      <c r="BH193" t="e">
        <f>AND('GA55 Entry'!#REF!,"AAAAAHl+fTs=")</f>
        <v>#REF!</v>
      </c>
      <c r="BI193" t="e">
        <f>AND('GA55 Entry'!D736,"AAAAAHl+fTw=")</f>
        <v>#VALUE!</v>
      </c>
      <c r="BJ193" t="e">
        <f>AND('GA55 Entry'!#REF!,"AAAAAHl+fT0=")</f>
        <v>#REF!</v>
      </c>
      <c r="BK193" t="e">
        <f>AND('GA55 Entry'!E736,"AAAAAHl+fT4=")</f>
        <v>#VALUE!</v>
      </c>
      <c r="BL193" t="e">
        <f>AND('GA55 Entry'!F736,"AAAAAHl+fT8=")</f>
        <v>#VALUE!</v>
      </c>
      <c r="BM193" t="e">
        <f>AND('GA55 Entry'!G736,"AAAAAHl+fUA=")</f>
        <v>#VALUE!</v>
      </c>
      <c r="BN193" t="e">
        <f>AND('GA55 Entry'!H736,"AAAAAHl+fUE=")</f>
        <v>#VALUE!</v>
      </c>
      <c r="BO193" t="e">
        <f>AND('GA55 Entry'!I736,"AAAAAHl+fUI=")</f>
        <v>#VALUE!</v>
      </c>
      <c r="BP193" t="e">
        <f>AND('GA55 Entry'!J736,"AAAAAHl+fUM=")</f>
        <v>#VALUE!</v>
      </c>
      <c r="BQ193" t="e">
        <f>AND('GA55 Entry'!#REF!,"AAAAAHl+fUQ=")</f>
        <v>#REF!</v>
      </c>
      <c r="BR193" t="e">
        <f>AND('GA55 Entry'!K736,"AAAAAHl+fUU=")</f>
        <v>#VALUE!</v>
      </c>
      <c r="BS193" t="e">
        <f>AND('GA55 Entry'!L736,"AAAAAHl+fUY=")</f>
        <v>#VALUE!</v>
      </c>
      <c r="BT193" t="e">
        <f>AND('GA55 Entry'!M736,"AAAAAHl+fUc=")</f>
        <v>#VALUE!</v>
      </c>
      <c r="BU193" t="e">
        <f>AND('GA55 Entry'!N736,"AAAAAHl+fUg=")</f>
        <v>#VALUE!</v>
      </c>
      <c r="BV193" t="e">
        <f>AND('GA55 Entry'!O736,"AAAAAHl+fUk=")</f>
        <v>#VALUE!</v>
      </c>
      <c r="BW193" t="e">
        <f>AND('GA55 Entry'!P736,"AAAAAHl+fUo=")</f>
        <v>#VALUE!</v>
      </c>
      <c r="BX193" t="e">
        <f>AND('GA55 Entry'!Q736,"AAAAAHl+fUs=")</f>
        <v>#VALUE!</v>
      </c>
      <c r="BY193" t="e">
        <f>AND('GA55 Entry'!S736,"AAAAAHl+fUw=")</f>
        <v>#VALUE!</v>
      </c>
      <c r="BZ193" t="e">
        <f>AND('GA55 Entry'!#REF!,"AAAAAHl+fU0=")</f>
        <v>#REF!</v>
      </c>
      <c r="CA193" t="e">
        <f>AND('GA55 Entry'!T736,"AAAAAHl+fU4=")</f>
        <v>#VALUE!</v>
      </c>
      <c r="CB193" t="e">
        <f>AND('GA55 Entry'!U736,"AAAAAHl+fU8=")</f>
        <v>#VALUE!</v>
      </c>
      <c r="CC193" t="e">
        <f>AND('GA55 Entry'!V736,"AAAAAHl+fVA=")</f>
        <v>#VALUE!</v>
      </c>
      <c r="CD193" t="e">
        <f>AND('GA55 Entry'!#REF!,"AAAAAHl+fVE=")</f>
        <v>#REF!</v>
      </c>
      <c r="CE193" t="e">
        <f>AND('GA55 Entry'!#REF!,"AAAAAHl+fVI=")</f>
        <v>#REF!</v>
      </c>
      <c r="CF193" t="e">
        <f>AND('GA55 Entry'!X736,"AAAAAHl+fVM=")</f>
        <v>#VALUE!</v>
      </c>
      <c r="CG193" t="e">
        <f>AND('GA55 Entry'!Y736,"AAAAAHl+fVQ=")</f>
        <v>#VALUE!</v>
      </c>
      <c r="CH193" t="e">
        <f>AND('GA55 Entry'!#REF!,"AAAAAHl+fVU=")</f>
        <v>#REF!</v>
      </c>
      <c r="CI193" t="e">
        <f>AND('GA55 Entry'!#REF!,"AAAAAHl+fVY=")</f>
        <v>#REF!</v>
      </c>
      <c r="CJ193" t="e">
        <f>AND('GA55 Entry'!#REF!,"AAAAAHl+fVc=")</f>
        <v>#REF!</v>
      </c>
      <c r="CK193" t="e">
        <f>AND('GA55 Entry'!#REF!,"AAAAAHl+fVg=")</f>
        <v>#REF!</v>
      </c>
      <c r="CL193" t="e">
        <f>AND('GA55 Entry'!#REF!,"AAAAAHl+fVk=")</f>
        <v>#REF!</v>
      </c>
      <c r="CM193" t="e">
        <f>AND('GA55 Entry'!#REF!,"AAAAAHl+fVo=")</f>
        <v>#REF!</v>
      </c>
      <c r="CN193" t="e">
        <f>AND('GA55 Entry'!#REF!,"AAAAAHl+fVs=")</f>
        <v>#REF!</v>
      </c>
      <c r="CO193" t="e">
        <f>AND('GA55 Entry'!#REF!,"AAAAAHl+fVw=")</f>
        <v>#REF!</v>
      </c>
      <c r="CP193" t="e">
        <f>AND('GA55 Entry'!#REF!,"AAAAAHl+fV0=")</f>
        <v>#REF!</v>
      </c>
      <c r="CQ193" t="e">
        <f>AND('GA55 Entry'!Z736,"AAAAAHl+fV4=")</f>
        <v>#VALUE!</v>
      </c>
      <c r="CR193" t="e">
        <f>AND('GA55 Entry'!AA736,"AAAAAHl+fV8=")</f>
        <v>#VALUE!</v>
      </c>
      <c r="CS193" t="e">
        <f>AND('GA55 Entry'!#REF!,"AAAAAHl+fWA=")</f>
        <v>#REF!</v>
      </c>
      <c r="CT193" t="e">
        <f>AND('GA55 Entry'!#REF!,"AAAAAHl+fWE=")</f>
        <v>#REF!</v>
      </c>
      <c r="CU193" t="e">
        <f>AND('GA55 Entry'!#REF!,"AAAAAHl+fWI=")</f>
        <v>#REF!</v>
      </c>
      <c r="CV193" t="e">
        <f>AND('GA55 Entry'!AB736,"AAAAAHl+fWM=")</f>
        <v>#VALUE!</v>
      </c>
      <c r="CW193" t="e">
        <f>AND('GA55 Entry'!AC736,"AAAAAHl+fWQ=")</f>
        <v>#VALUE!</v>
      </c>
      <c r="CX193" t="e">
        <f>AND('GA55 Entry'!#REF!,"AAAAAHl+fWU=")</f>
        <v>#REF!</v>
      </c>
      <c r="CY193">
        <f>IF('GA55 Entry'!737:737,"AAAAAHl+fWY=",0)</f>
        <v>0</v>
      </c>
      <c r="CZ193" t="e">
        <f>AND('GA55 Entry'!B737,"AAAAAHl+fWc=")</f>
        <v>#VALUE!</v>
      </c>
      <c r="DA193" t="e">
        <f>AND('GA55 Entry'!#REF!,"AAAAAHl+fWg=")</f>
        <v>#REF!</v>
      </c>
      <c r="DB193" t="e">
        <f>AND('GA55 Entry'!C737,"AAAAAHl+fWk=")</f>
        <v>#VALUE!</v>
      </c>
      <c r="DC193" t="e">
        <f>AND('GA55 Entry'!#REF!,"AAAAAHl+fWo=")</f>
        <v>#REF!</v>
      </c>
      <c r="DD193" t="e">
        <f>AND('GA55 Entry'!#REF!,"AAAAAHl+fWs=")</f>
        <v>#REF!</v>
      </c>
      <c r="DE193" t="e">
        <f>AND('GA55 Entry'!#REF!,"AAAAAHl+fWw=")</f>
        <v>#REF!</v>
      </c>
      <c r="DF193" t="e">
        <f>AND('GA55 Entry'!#REF!,"AAAAAHl+fW0=")</f>
        <v>#REF!</v>
      </c>
      <c r="DG193" t="e">
        <f>AND('GA55 Entry'!#REF!,"AAAAAHl+fW4=")</f>
        <v>#REF!</v>
      </c>
      <c r="DH193" t="e">
        <f>AND('GA55 Entry'!D737,"AAAAAHl+fW8=")</f>
        <v>#VALUE!</v>
      </c>
      <c r="DI193" t="e">
        <f>AND('GA55 Entry'!#REF!,"AAAAAHl+fXA=")</f>
        <v>#REF!</v>
      </c>
      <c r="DJ193" t="e">
        <f>AND('GA55 Entry'!E737,"AAAAAHl+fXE=")</f>
        <v>#VALUE!</v>
      </c>
      <c r="DK193" t="e">
        <f>AND('GA55 Entry'!F737,"AAAAAHl+fXI=")</f>
        <v>#VALUE!</v>
      </c>
      <c r="DL193" t="e">
        <f>AND('GA55 Entry'!G737,"AAAAAHl+fXM=")</f>
        <v>#VALUE!</v>
      </c>
      <c r="DM193" t="e">
        <f>AND('GA55 Entry'!H737,"AAAAAHl+fXQ=")</f>
        <v>#VALUE!</v>
      </c>
      <c r="DN193" t="e">
        <f>AND('GA55 Entry'!I737,"AAAAAHl+fXU=")</f>
        <v>#VALUE!</v>
      </c>
      <c r="DO193" t="e">
        <f>AND('GA55 Entry'!J737,"AAAAAHl+fXY=")</f>
        <v>#VALUE!</v>
      </c>
      <c r="DP193" t="e">
        <f>AND('GA55 Entry'!#REF!,"AAAAAHl+fXc=")</f>
        <v>#REF!</v>
      </c>
      <c r="DQ193" t="e">
        <f>AND('GA55 Entry'!K737,"AAAAAHl+fXg=")</f>
        <v>#VALUE!</v>
      </c>
      <c r="DR193" t="e">
        <f>AND('GA55 Entry'!L737,"AAAAAHl+fXk=")</f>
        <v>#VALUE!</v>
      </c>
      <c r="DS193" t="e">
        <f>AND('GA55 Entry'!M737,"AAAAAHl+fXo=")</f>
        <v>#VALUE!</v>
      </c>
      <c r="DT193" t="e">
        <f>AND('GA55 Entry'!N737,"AAAAAHl+fXs=")</f>
        <v>#VALUE!</v>
      </c>
      <c r="DU193" t="e">
        <f>AND('GA55 Entry'!O737,"AAAAAHl+fXw=")</f>
        <v>#VALUE!</v>
      </c>
      <c r="DV193" t="e">
        <f>AND('GA55 Entry'!P737,"AAAAAHl+fX0=")</f>
        <v>#VALUE!</v>
      </c>
      <c r="DW193" t="e">
        <f>AND('GA55 Entry'!Q737,"AAAAAHl+fX4=")</f>
        <v>#VALUE!</v>
      </c>
      <c r="DX193" t="e">
        <f>AND('GA55 Entry'!S737,"AAAAAHl+fX8=")</f>
        <v>#VALUE!</v>
      </c>
      <c r="DY193" t="e">
        <f>AND('GA55 Entry'!#REF!,"AAAAAHl+fYA=")</f>
        <v>#REF!</v>
      </c>
      <c r="DZ193" t="e">
        <f>AND('GA55 Entry'!T737,"AAAAAHl+fYE=")</f>
        <v>#VALUE!</v>
      </c>
      <c r="EA193" t="e">
        <f>AND('GA55 Entry'!U737,"AAAAAHl+fYI=")</f>
        <v>#VALUE!</v>
      </c>
      <c r="EB193" t="e">
        <f>AND('GA55 Entry'!V737,"AAAAAHl+fYM=")</f>
        <v>#VALUE!</v>
      </c>
      <c r="EC193" t="e">
        <f>AND('GA55 Entry'!#REF!,"AAAAAHl+fYQ=")</f>
        <v>#REF!</v>
      </c>
      <c r="ED193" t="e">
        <f>AND('GA55 Entry'!#REF!,"AAAAAHl+fYU=")</f>
        <v>#REF!</v>
      </c>
      <c r="EE193" t="e">
        <f>AND('GA55 Entry'!X737,"AAAAAHl+fYY=")</f>
        <v>#VALUE!</v>
      </c>
      <c r="EF193" t="e">
        <f>AND('GA55 Entry'!Y737,"AAAAAHl+fYc=")</f>
        <v>#VALUE!</v>
      </c>
      <c r="EG193" t="e">
        <f>AND('GA55 Entry'!#REF!,"AAAAAHl+fYg=")</f>
        <v>#REF!</v>
      </c>
      <c r="EH193" t="e">
        <f>AND('GA55 Entry'!#REF!,"AAAAAHl+fYk=")</f>
        <v>#REF!</v>
      </c>
      <c r="EI193" t="e">
        <f>AND('GA55 Entry'!#REF!,"AAAAAHl+fYo=")</f>
        <v>#REF!</v>
      </c>
      <c r="EJ193" t="e">
        <f>AND('GA55 Entry'!#REF!,"AAAAAHl+fYs=")</f>
        <v>#REF!</v>
      </c>
      <c r="EK193" t="e">
        <f>AND('GA55 Entry'!#REF!,"AAAAAHl+fYw=")</f>
        <v>#REF!</v>
      </c>
      <c r="EL193" t="e">
        <f>AND('GA55 Entry'!#REF!,"AAAAAHl+fY0=")</f>
        <v>#REF!</v>
      </c>
      <c r="EM193" t="e">
        <f>AND('GA55 Entry'!#REF!,"AAAAAHl+fY4=")</f>
        <v>#REF!</v>
      </c>
      <c r="EN193" t="e">
        <f>AND('GA55 Entry'!#REF!,"AAAAAHl+fY8=")</f>
        <v>#REF!</v>
      </c>
      <c r="EO193" t="e">
        <f>AND('GA55 Entry'!#REF!,"AAAAAHl+fZA=")</f>
        <v>#REF!</v>
      </c>
      <c r="EP193" t="e">
        <f>AND('GA55 Entry'!Z737,"AAAAAHl+fZE=")</f>
        <v>#VALUE!</v>
      </c>
      <c r="EQ193" t="e">
        <f>AND('GA55 Entry'!AA737,"AAAAAHl+fZI=")</f>
        <v>#VALUE!</v>
      </c>
      <c r="ER193" t="e">
        <f>AND('GA55 Entry'!#REF!,"AAAAAHl+fZM=")</f>
        <v>#REF!</v>
      </c>
      <c r="ES193" t="e">
        <f>AND('GA55 Entry'!#REF!,"AAAAAHl+fZQ=")</f>
        <v>#REF!</v>
      </c>
      <c r="ET193" t="e">
        <f>AND('GA55 Entry'!#REF!,"AAAAAHl+fZU=")</f>
        <v>#REF!</v>
      </c>
      <c r="EU193" t="e">
        <f>AND('GA55 Entry'!AB737,"AAAAAHl+fZY=")</f>
        <v>#VALUE!</v>
      </c>
      <c r="EV193" t="e">
        <f>AND('GA55 Entry'!AC737,"AAAAAHl+fZc=")</f>
        <v>#VALUE!</v>
      </c>
      <c r="EW193" t="e">
        <f>AND('GA55 Entry'!#REF!,"AAAAAHl+fZg=")</f>
        <v>#REF!</v>
      </c>
      <c r="EX193">
        <f>IF('GA55 Entry'!738:738,"AAAAAHl+fZk=",0)</f>
        <v>0</v>
      </c>
      <c r="EY193" t="e">
        <f>AND('GA55 Entry'!B738,"AAAAAHl+fZo=")</f>
        <v>#VALUE!</v>
      </c>
      <c r="EZ193" t="e">
        <f>AND('GA55 Entry'!#REF!,"AAAAAHl+fZs=")</f>
        <v>#REF!</v>
      </c>
      <c r="FA193" t="e">
        <f>AND('GA55 Entry'!C738,"AAAAAHl+fZw=")</f>
        <v>#VALUE!</v>
      </c>
      <c r="FB193" t="e">
        <f>AND('GA55 Entry'!#REF!,"AAAAAHl+fZ0=")</f>
        <v>#REF!</v>
      </c>
      <c r="FC193" t="e">
        <f>AND('GA55 Entry'!#REF!,"AAAAAHl+fZ4=")</f>
        <v>#REF!</v>
      </c>
      <c r="FD193" t="e">
        <f>AND('GA55 Entry'!#REF!,"AAAAAHl+fZ8=")</f>
        <v>#REF!</v>
      </c>
      <c r="FE193" t="e">
        <f>AND('GA55 Entry'!#REF!,"AAAAAHl+faA=")</f>
        <v>#REF!</v>
      </c>
      <c r="FF193" t="e">
        <f>AND('GA55 Entry'!#REF!,"AAAAAHl+faE=")</f>
        <v>#REF!</v>
      </c>
      <c r="FG193" t="e">
        <f>AND('GA55 Entry'!D738,"AAAAAHl+faI=")</f>
        <v>#VALUE!</v>
      </c>
      <c r="FH193" t="e">
        <f>AND('GA55 Entry'!#REF!,"AAAAAHl+faM=")</f>
        <v>#REF!</v>
      </c>
      <c r="FI193" t="e">
        <f>AND('GA55 Entry'!E738,"AAAAAHl+faQ=")</f>
        <v>#VALUE!</v>
      </c>
      <c r="FJ193" t="e">
        <f>AND('GA55 Entry'!F738,"AAAAAHl+faU=")</f>
        <v>#VALUE!</v>
      </c>
      <c r="FK193" t="e">
        <f>AND('GA55 Entry'!G738,"AAAAAHl+faY=")</f>
        <v>#VALUE!</v>
      </c>
      <c r="FL193" t="e">
        <f>AND('GA55 Entry'!H738,"AAAAAHl+fac=")</f>
        <v>#VALUE!</v>
      </c>
      <c r="FM193" t="e">
        <f>AND('GA55 Entry'!I738,"AAAAAHl+fag=")</f>
        <v>#VALUE!</v>
      </c>
      <c r="FN193" t="e">
        <f>AND('GA55 Entry'!J738,"AAAAAHl+fak=")</f>
        <v>#VALUE!</v>
      </c>
      <c r="FO193" t="e">
        <f>AND('GA55 Entry'!#REF!,"AAAAAHl+fao=")</f>
        <v>#REF!</v>
      </c>
      <c r="FP193" t="e">
        <f>AND('GA55 Entry'!K738,"AAAAAHl+fas=")</f>
        <v>#VALUE!</v>
      </c>
      <c r="FQ193" t="e">
        <f>AND('GA55 Entry'!L738,"AAAAAHl+faw=")</f>
        <v>#VALUE!</v>
      </c>
      <c r="FR193" t="e">
        <f>AND('GA55 Entry'!M738,"AAAAAHl+fa0=")</f>
        <v>#VALUE!</v>
      </c>
      <c r="FS193" t="e">
        <f>AND('GA55 Entry'!N738,"AAAAAHl+fa4=")</f>
        <v>#VALUE!</v>
      </c>
      <c r="FT193" t="e">
        <f>AND('GA55 Entry'!O738,"AAAAAHl+fa8=")</f>
        <v>#VALUE!</v>
      </c>
      <c r="FU193" t="e">
        <f>AND('GA55 Entry'!P738,"AAAAAHl+fbA=")</f>
        <v>#VALUE!</v>
      </c>
      <c r="FV193" t="e">
        <f>AND('GA55 Entry'!Q738,"AAAAAHl+fbE=")</f>
        <v>#VALUE!</v>
      </c>
      <c r="FW193" t="e">
        <f>AND('GA55 Entry'!S738,"AAAAAHl+fbI=")</f>
        <v>#VALUE!</v>
      </c>
      <c r="FX193" t="e">
        <f>AND('GA55 Entry'!#REF!,"AAAAAHl+fbM=")</f>
        <v>#REF!</v>
      </c>
      <c r="FY193" t="e">
        <f>AND('GA55 Entry'!T738,"AAAAAHl+fbQ=")</f>
        <v>#VALUE!</v>
      </c>
      <c r="FZ193" t="e">
        <f>AND('GA55 Entry'!U738,"AAAAAHl+fbU=")</f>
        <v>#VALUE!</v>
      </c>
      <c r="GA193" t="e">
        <f>AND('GA55 Entry'!V738,"AAAAAHl+fbY=")</f>
        <v>#VALUE!</v>
      </c>
      <c r="GB193" t="e">
        <f>AND('GA55 Entry'!#REF!,"AAAAAHl+fbc=")</f>
        <v>#REF!</v>
      </c>
      <c r="GC193" t="e">
        <f>AND('GA55 Entry'!#REF!,"AAAAAHl+fbg=")</f>
        <v>#REF!</v>
      </c>
      <c r="GD193" t="e">
        <f>AND('GA55 Entry'!X738,"AAAAAHl+fbk=")</f>
        <v>#VALUE!</v>
      </c>
      <c r="GE193" t="e">
        <f>AND('GA55 Entry'!Y738,"AAAAAHl+fbo=")</f>
        <v>#VALUE!</v>
      </c>
      <c r="GF193" t="e">
        <f>AND('GA55 Entry'!#REF!,"AAAAAHl+fbs=")</f>
        <v>#REF!</v>
      </c>
      <c r="GG193" t="e">
        <f>AND('GA55 Entry'!#REF!,"AAAAAHl+fbw=")</f>
        <v>#REF!</v>
      </c>
      <c r="GH193" t="e">
        <f>AND('GA55 Entry'!#REF!,"AAAAAHl+fb0=")</f>
        <v>#REF!</v>
      </c>
      <c r="GI193" t="e">
        <f>AND('GA55 Entry'!#REF!,"AAAAAHl+fb4=")</f>
        <v>#REF!</v>
      </c>
      <c r="GJ193" t="e">
        <f>AND('GA55 Entry'!#REF!,"AAAAAHl+fb8=")</f>
        <v>#REF!</v>
      </c>
      <c r="GK193" t="e">
        <f>AND('GA55 Entry'!#REF!,"AAAAAHl+fcA=")</f>
        <v>#REF!</v>
      </c>
      <c r="GL193" t="e">
        <f>AND('GA55 Entry'!#REF!,"AAAAAHl+fcE=")</f>
        <v>#REF!</v>
      </c>
      <c r="GM193" t="e">
        <f>AND('GA55 Entry'!#REF!,"AAAAAHl+fcI=")</f>
        <v>#REF!</v>
      </c>
      <c r="GN193" t="e">
        <f>AND('GA55 Entry'!#REF!,"AAAAAHl+fcM=")</f>
        <v>#REF!</v>
      </c>
      <c r="GO193" t="e">
        <f>AND('GA55 Entry'!Z738,"AAAAAHl+fcQ=")</f>
        <v>#VALUE!</v>
      </c>
      <c r="GP193" t="e">
        <f>AND('GA55 Entry'!AA738,"AAAAAHl+fcU=")</f>
        <v>#VALUE!</v>
      </c>
      <c r="GQ193" t="e">
        <f>AND('GA55 Entry'!#REF!,"AAAAAHl+fcY=")</f>
        <v>#REF!</v>
      </c>
      <c r="GR193" t="e">
        <f>AND('GA55 Entry'!#REF!,"AAAAAHl+fcc=")</f>
        <v>#REF!</v>
      </c>
      <c r="GS193" t="e">
        <f>AND('GA55 Entry'!#REF!,"AAAAAHl+fcg=")</f>
        <v>#REF!</v>
      </c>
      <c r="GT193" t="e">
        <f>AND('GA55 Entry'!AB738,"AAAAAHl+fck=")</f>
        <v>#VALUE!</v>
      </c>
      <c r="GU193" t="e">
        <f>AND('GA55 Entry'!AC738,"AAAAAHl+fco=")</f>
        <v>#VALUE!</v>
      </c>
      <c r="GV193" t="e">
        <f>AND('GA55 Entry'!#REF!,"AAAAAHl+fcs=")</f>
        <v>#REF!</v>
      </c>
      <c r="GW193">
        <f>IF('GA55 Entry'!739:739,"AAAAAHl+fcw=",0)</f>
        <v>0</v>
      </c>
      <c r="GX193" t="e">
        <f>AND('GA55 Entry'!B739,"AAAAAHl+fc0=")</f>
        <v>#VALUE!</v>
      </c>
      <c r="GY193" t="e">
        <f>AND('GA55 Entry'!#REF!,"AAAAAHl+fc4=")</f>
        <v>#REF!</v>
      </c>
      <c r="GZ193" t="e">
        <f>AND('GA55 Entry'!C739,"AAAAAHl+fc8=")</f>
        <v>#VALUE!</v>
      </c>
      <c r="HA193" t="e">
        <f>AND('GA55 Entry'!#REF!,"AAAAAHl+fdA=")</f>
        <v>#REF!</v>
      </c>
      <c r="HB193" t="e">
        <f>AND('GA55 Entry'!#REF!,"AAAAAHl+fdE=")</f>
        <v>#REF!</v>
      </c>
      <c r="HC193" t="e">
        <f>AND('GA55 Entry'!#REF!,"AAAAAHl+fdI=")</f>
        <v>#REF!</v>
      </c>
      <c r="HD193" t="e">
        <f>AND('GA55 Entry'!#REF!,"AAAAAHl+fdM=")</f>
        <v>#REF!</v>
      </c>
      <c r="HE193" t="e">
        <f>AND('GA55 Entry'!#REF!,"AAAAAHl+fdQ=")</f>
        <v>#REF!</v>
      </c>
      <c r="HF193" t="e">
        <f>AND('GA55 Entry'!D739,"AAAAAHl+fdU=")</f>
        <v>#VALUE!</v>
      </c>
      <c r="HG193" t="e">
        <f>AND('GA55 Entry'!#REF!,"AAAAAHl+fdY=")</f>
        <v>#REF!</v>
      </c>
      <c r="HH193" t="e">
        <f>AND('GA55 Entry'!E739,"AAAAAHl+fdc=")</f>
        <v>#VALUE!</v>
      </c>
      <c r="HI193" t="e">
        <f>AND('GA55 Entry'!F739,"AAAAAHl+fdg=")</f>
        <v>#VALUE!</v>
      </c>
      <c r="HJ193" t="e">
        <f>AND('GA55 Entry'!G739,"AAAAAHl+fdk=")</f>
        <v>#VALUE!</v>
      </c>
      <c r="HK193" t="e">
        <f>AND('GA55 Entry'!H739,"AAAAAHl+fdo=")</f>
        <v>#VALUE!</v>
      </c>
      <c r="HL193" t="e">
        <f>AND('GA55 Entry'!I739,"AAAAAHl+fds=")</f>
        <v>#VALUE!</v>
      </c>
      <c r="HM193" t="e">
        <f>AND('GA55 Entry'!J739,"AAAAAHl+fdw=")</f>
        <v>#VALUE!</v>
      </c>
      <c r="HN193" t="e">
        <f>AND('GA55 Entry'!#REF!,"AAAAAHl+fd0=")</f>
        <v>#REF!</v>
      </c>
      <c r="HO193" t="e">
        <f>AND('GA55 Entry'!K739,"AAAAAHl+fd4=")</f>
        <v>#VALUE!</v>
      </c>
      <c r="HP193" t="e">
        <f>AND('GA55 Entry'!L739,"AAAAAHl+fd8=")</f>
        <v>#VALUE!</v>
      </c>
      <c r="HQ193" t="e">
        <f>AND('GA55 Entry'!M739,"AAAAAHl+feA=")</f>
        <v>#VALUE!</v>
      </c>
      <c r="HR193" t="e">
        <f>AND('GA55 Entry'!N739,"AAAAAHl+feE=")</f>
        <v>#VALUE!</v>
      </c>
      <c r="HS193" t="e">
        <f>AND('GA55 Entry'!O739,"AAAAAHl+feI=")</f>
        <v>#VALUE!</v>
      </c>
      <c r="HT193" t="e">
        <f>AND('GA55 Entry'!P739,"AAAAAHl+feM=")</f>
        <v>#VALUE!</v>
      </c>
      <c r="HU193" t="e">
        <f>AND('GA55 Entry'!Q739,"AAAAAHl+feQ=")</f>
        <v>#VALUE!</v>
      </c>
      <c r="HV193" t="e">
        <f>AND('GA55 Entry'!S739,"AAAAAHl+feU=")</f>
        <v>#VALUE!</v>
      </c>
      <c r="HW193" t="e">
        <f>AND('GA55 Entry'!#REF!,"AAAAAHl+feY=")</f>
        <v>#REF!</v>
      </c>
      <c r="HX193" t="e">
        <f>AND('GA55 Entry'!T739,"AAAAAHl+fec=")</f>
        <v>#VALUE!</v>
      </c>
      <c r="HY193" t="e">
        <f>AND('GA55 Entry'!U739,"AAAAAHl+feg=")</f>
        <v>#VALUE!</v>
      </c>
      <c r="HZ193" t="e">
        <f>AND('GA55 Entry'!V739,"AAAAAHl+fek=")</f>
        <v>#VALUE!</v>
      </c>
      <c r="IA193" t="e">
        <f>AND('GA55 Entry'!#REF!,"AAAAAHl+feo=")</f>
        <v>#REF!</v>
      </c>
      <c r="IB193" t="e">
        <f>AND('GA55 Entry'!#REF!,"AAAAAHl+fes=")</f>
        <v>#REF!</v>
      </c>
      <c r="IC193" t="e">
        <f>AND('GA55 Entry'!X739,"AAAAAHl+few=")</f>
        <v>#VALUE!</v>
      </c>
      <c r="ID193" t="e">
        <f>AND('GA55 Entry'!Y739,"AAAAAHl+fe0=")</f>
        <v>#VALUE!</v>
      </c>
      <c r="IE193" t="e">
        <f>AND('GA55 Entry'!#REF!,"AAAAAHl+fe4=")</f>
        <v>#REF!</v>
      </c>
      <c r="IF193" t="e">
        <f>AND('GA55 Entry'!#REF!,"AAAAAHl+fe8=")</f>
        <v>#REF!</v>
      </c>
      <c r="IG193" t="e">
        <f>AND('GA55 Entry'!#REF!,"AAAAAHl+ffA=")</f>
        <v>#REF!</v>
      </c>
      <c r="IH193" t="e">
        <f>AND('GA55 Entry'!#REF!,"AAAAAHl+ffE=")</f>
        <v>#REF!</v>
      </c>
      <c r="II193" t="e">
        <f>AND('GA55 Entry'!#REF!,"AAAAAHl+ffI=")</f>
        <v>#REF!</v>
      </c>
      <c r="IJ193" t="e">
        <f>AND('GA55 Entry'!#REF!,"AAAAAHl+ffM=")</f>
        <v>#REF!</v>
      </c>
      <c r="IK193" t="e">
        <f>AND('GA55 Entry'!#REF!,"AAAAAHl+ffQ=")</f>
        <v>#REF!</v>
      </c>
      <c r="IL193" t="e">
        <f>AND('GA55 Entry'!#REF!,"AAAAAHl+ffU=")</f>
        <v>#REF!</v>
      </c>
      <c r="IM193" t="e">
        <f>AND('GA55 Entry'!#REF!,"AAAAAHl+ffY=")</f>
        <v>#REF!</v>
      </c>
      <c r="IN193" t="e">
        <f>AND('GA55 Entry'!Z739,"AAAAAHl+ffc=")</f>
        <v>#VALUE!</v>
      </c>
      <c r="IO193" t="e">
        <f>AND('GA55 Entry'!AA739,"AAAAAHl+ffg=")</f>
        <v>#VALUE!</v>
      </c>
      <c r="IP193" t="e">
        <f>AND('GA55 Entry'!#REF!,"AAAAAHl+ffk=")</f>
        <v>#REF!</v>
      </c>
      <c r="IQ193" t="e">
        <f>AND('GA55 Entry'!#REF!,"AAAAAHl+ffo=")</f>
        <v>#REF!</v>
      </c>
      <c r="IR193" t="e">
        <f>AND('GA55 Entry'!#REF!,"AAAAAHl+ffs=")</f>
        <v>#REF!</v>
      </c>
      <c r="IS193" t="e">
        <f>AND('GA55 Entry'!AB739,"AAAAAHl+ffw=")</f>
        <v>#VALUE!</v>
      </c>
      <c r="IT193" t="e">
        <f>AND('GA55 Entry'!AC739,"AAAAAHl+ff0=")</f>
        <v>#VALUE!</v>
      </c>
      <c r="IU193" t="e">
        <f>AND('GA55 Entry'!#REF!,"AAAAAHl+ff4=")</f>
        <v>#REF!</v>
      </c>
      <c r="IV193">
        <f>IF('GA55 Entry'!740:740,"AAAAAHl+ff8=",0)</f>
        <v>0</v>
      </c>
    </row>
    <row r="194" spans="1:256">
      <c r="A194" t="e">
        <f>AND('GA55 Entry'!B740,"AAAAAD/wzgA=")</f>
        <v>#VALUE!</v>
      </c>
      <c r="B194" t="e">
        <f>AND('GA55 Entry'!#REF!,"AAAAAD/wzgE=")</f>
        <v>#REF!</v>
      </c>
      <c r="C194" t="e">
        <f>AND('GA55 Entry'!C740,"AAAAAD/wzgI=")</f>
        <v>#VALUE!</v>
      </c>
      <c r="D194" t="e">
        <f>AND('GA55 Entry'!#REF!,"AAAAAD/wzgM=")</f>
        <v>#REF!</v>
      </c>
      <c r="E194" t="e">
        <f>AND('GA55 Entry'!#REF!,"AAAAAD/wzgQ=")</f>
        <v>#REF!</v>
      </c>
      <c r="F194" t="e">
        <f>AND('GA55 Entry'!#REF!,"AAAAAD/wzgU=")</f>
        <v>#REF!</v>
      </c>
      <c r="G194" t="e">
        <f>AND('GA55 Entry'!#REF!,"AAAAAD/wzgY=")</f>
        <v>#REF!</v>
      </c>
      <c r="H194" t="e">
        <f>AND('GA55 Entry'!#REF!,"AAAAAD/wzgc=")</f>
        <v>#REF!</v>
      </c>
      <c r="I194" t="e">
        <f>AND('GA55 Entry'!D740,"AAAAAD/wzgg=")</f>
        <v>#VALUE!</v>
      </c>
      <c r="J194" t="e">
        <f>AND('GA55 Entry'!#REF!,"AAAAAD/wzgk=")</f>
        <v>#REF!</v>
      </c>
      <c r="K194" t="e">
        <f>AND('GA55 Entry'!E740,"AAAAAD/wzgo=")</f>
        <v>#VALUE!</v>
      </c>
      <c r="L194" t="e">
        <f>AND('GA55 Entry'!F740,"AAAAAD/wzgs=")</f>
        <v>#VALUE!</v>
      </c>
      <c r="M194" t="e">
        <f>AND('GA55 Entry'!G740,"AAAAAD/wzgw=")</f>
        <v>#VALUE!</v>
      </c>
      <c r="N194" t="e">
        <f>AND('GA55 Entry'!H740,"AAAAAD/wzg0=")</f>
        <v>#VALUE!</v>
      </c>
      <c r="O194" t="e">
        <f>AND('GA55 Entry'!I740,"AAAAAD/wzg4=")</f>
        <v>#VALUE!</v>
      </c>
      <c r="P194" t="e">
        <f>AND('GA55 Entry'!J740,"AAAAAD/wzg8=")</f>
        <v>#VALUE!</v>
      </c>
      <c r="Q194" t="e">
        <f>AND('GA55 Entry'!#REF!,"AAAAAD/wzhA=")</f>
        <v>#REF!</v>
      </c>
      <c r="R194" t="e">
        <f>AND('GA55 Entry'!K740,"AAAAAD/wzhE=")</f>
        <v>#VALUE!</v>
      </c>
      <c r="S194" t="e">
        <f>AND('GA55 Entry'!L740,"AAAAAD/wzhI=")</f>
        <v>#VALUE!</v>
      </c>
      <c r="T194" t="e">
        <f>AND('GA55 Entry'!M740,"AAAAAD/wzhM=")</f>
        <v>#VALUE!</v>
      </c>
      <c r="U194" t="e">
        <f>AND('GA55 Entry'!N740,"AAAAAD/wzhQ=")</f>
        <v>#VALUE!</v>
      </c>
      <c r="V194" t="e">
        <f>AND('GA55 Entry'!O740,"AAAAAD/wzhU=")</f>
        <v>#VALUE!</v>
      </c>
      <c r="W194" t="e">
        <f>AND('GA55 Entry'!P740,"AAAAAD/wzhY=")</f>
        <v>#VALUE!</v>
      </c>
      <c r="X194" t="e">
        <f>AND('GA55 Entry'!Q740,"AAAAAD/wzhc=")</f>
        <v>#VALUE!</v>
      </c>
      <c r="Y194" t="e">
        <f>AND('GA55 Entry'!S740,"AAAAAD/wzhg=")</f>
        <v>#VALUE!</v>
      </c>
      <c r="Z194" t="e">
        <f>AND('GA55 Entry'!#REF!,"AAAAAD/wzhk=")</f>
        <v>#REF!</v>
      </c>
      <c r="AA194" t="e">
        <f>AND('GA55 Entry'!T740,"AAAAAD/wzho=")</f>
        <v>#VALUE!</v>
      </c>
      <c r="AB194" t="e">
        <f>AND('GA55 Entry'!U740,"AAAAAD/wzhs=")</f>
        <v>#VALUE!</v>
      </c>
      <c r="AC194" t="e">
        <f>AND('GA55 Entry'!V740,"AAAAAD/wzhw=")</f>
        <v>#VALUE!</v>
      </c>
      <c r="AD194" t="e">
        <f>AND('GA55 Entry'!#REF!,"AAAAAD/wzh0=")</f>
        <v>#REF!</v>
      </c>
      <c r="AE194" t="e">
        <f>AND('GA55 Entry'!#REF!,"AAAAAD/wzh4=")</f>
        <v>#REF!</v>
      </c>
      <c r="AF194" t="e">
        <f>AND('GA55 Entry'!X740,"AAAAAD/wzh8=")</f>
        <v>#VALUE!</v>
      </c>
      <c r="AG194" t="e">
        <f>AND('GA55 Entry'!Y740,"AAAAAD/wziA=")</f>
        <v>#VALUE!</v>
      </c>
      <c r="AH194" t="e">
        <f>AND('GA55 Entry'!#REF!,"AAAAAD/wziE=")</f>
        <v>#REF!</v>
      </c>
      <c r="AI194" t="e">
        <f>AND('GA55 Entry'!#REF!,"AAAAAD/wziI=")</f>
        <v>#REF!</v>
      </c>
      <c r="AJ194" t="e">
        <f>AND('GA55 Entry'!#REF!,"AAAAAD/wziM=")</f>
        <v>#REF!</v>
      </c>
      <c r="AK194" t="e">
        <f>AND('GA55 Entry'!#REF!,"AAAAAD/wziQ=")</f>
        <v>#REF!</v>
      </c>
      <c r="AL194" t="e">
        <f>AND('GA55 Entry'!#REF!,"AAAAAD/wziU=")</f>
        <v>#REF!</v>
      </c>
      <c r="AM194" t="e">
        <f>AND('GA55 Entry'!#REF!,"AAAAAD/wziY=")</f>
        <v>#REF!</v>
      </c>
      <c r="AN194" t="e">
        <f>AND('GA55 Entry'!#REF!,"AAAAAD/wzic=")</f>
        <v>#REF!</v>
      </c>
      <c r="AO194" t="e">
        <f>AND('GA55 Entry'!#REF!,"AAAAAD/wzig=")</f>
        <v>#REF!</v>
      </c>
      <c r="AP194" t="e">
        <f>AND('GA55 Entry'!#REF!,"AAAAAD/wzik=")</f>
        <v>#REF!</v>
      </c>
      <c r="AQ194" t="e">
        <f>AND('GA55 Entry'!Z740,"AAAAAD/wzio=")</f>
        <v>#VALUE!</v>
      </c>
      <c r="AR194" t="e">
        <f>AND('GA55 Entry'!AA740,"AAAAAD/wzis=")</f>
        <v>#VALUE!</v>
      </c>
      <c r="AS194" t="e">
        <f>AND('GA55 Entry'!#REF!,"AAAAAD/wziw=")</f>
        <v>#REF!</v>
      </c>
      <c r="AT194" t="e">
        <f>AND('GA55 Entry'!#REF!,"AAAAAD/wzi0=")</f>
        <v>#REF!</v>
      </c>
      <c r="AU194" t="e">
        <f>AND('GA55 Entry'!#REF!,"AAAAAD/wzi4=")</f>
        <v>#REF!</v>
      </c>
      <c r="AV194" t="e">
        <f>AND('GA55 Entry'!AB740,"AAAAAD/wzi8=")</f>
        <v>#VALUE!</v>
      </c>
      <c r="AW194" t="e">
        <f>AND('GA55 Entry'!AC740,"AAAAAD/wzjA=")</f>
        <v>#VALUE!</v>
      </c>
      <c r="AX194" t="e">
        <f>AND('GA55 Entry'!#REF!,"AAAAAD/wzjE=")</f>
        <v>#REF!</v>
      </c>
      <c r="AY194">
        <f>IF('GA55 Entry'!741:741,"AAAAAD/wzjI=",0)</f>
        <v>0</v>
      </c>
      <c r="AZ194" t="e">
        <f>AND('GA55 Entry'!B741,"AAAAAD/wzjM=")</f>
        <v>#VALUE!</v>
      </c>
      <c r="BA194" t="e">
        <f>AND('GA55 Entry'!#REF!,"AAAAAD/wzjQ=")</f>
        <v>#REF!</v>
      </c>
      <c r="BB194" t="e">
        <f>AND('GA55 Entry'!C741,"AAAAAD/wzjU=")</f>
        <v>#VALUE!</v>
      </c>
      <c r="BC194" t="e">
        <f>AND('GA55 Entry'!#REF!,"AAAAAD/wzjY=")</f>
        <v>#REF!</v>
      </c>
      <c r="BD194" t="e">
        <f>AND('GA55 Entry'!#REF!,"AAAAAD/wzjc=")</f>
        <v>#REF!</v>
      </c>
      <c r="BE194" t="e">
        <f>AND('GA55 Entry'!#REF!,"AAAAAD/wzjg=")</f>
        <v>#REF!</v>
      </c>
      <c r="BF194" t="e">
        <f>AND('GA55 Entry'!#REF!,"AAAAAD/wzjk=")</f>
        <v>#REF!</v>
      </c>
      <c r="BG194" t="e">
        <f>AND('GA55 Entry'!#REF!,"AAAAAD/wzjo=")</f>
        <v>#REF!</v>
      </c>
      <c r="BH194" t="e">
        <f>AND('GA55 Entry'!D741,"AAAAAD/wzjs=")</f>
        <v>#VALUE!</v>
      </c>
      <c r="BI194" t="e">
        <f>AND('GA55 Entry'!#REF!,"AAAAAD/wzjw=")</f>
        <v>#REF!</v>
      </c>
      <c r="BJ194" t="e">
        <f>AND('GA55 Entry'!E741,"AAAAAD/wzj0=")</f>
        <v>#VALUE!</v>
      </c>
      <c r="BK194" t="e">
        <f>AND('GA55 Entry'!F741,"AAAAAD/wzj4=")</f>
        <v>#VALUE!</v>
      </c>
      <c r="BL194" t="e">
        <f>AND('GA55 Entry'!G741,"AAAAAD/wzj8=")</f>
        <v>#VALUE!</v>
      </c>
      <c r="BM194" t="e">
        <f>AND('GA55 Entry'!H741,"AAAAAD/wzkA=")</f>
        <v>#VALUE!</v>
      </c>
      <c r="BN194" t="e">
        <f>AND('GA55 Entry'!I741,"AAAAAD/wzkE=")</f>
        <v>#VALUE!</v>
      </c>
      <c r="BO194" t="e">
        <f>AND('GA55 Entry'!J741,"AAAAAD/wzkI=")</f>
        <v>#VALUE!</v>
      </c>
      <c r="BP194" t="e">
        <f>AND('GA55 Entry'!#REF!,"AAAAAD/wzkM=")</f>
        <v>#REF!</v>
      </c>
      <c r="BQ194" t="e">
        <f>AND('GA55 Entry'!K741,"AAAAAD/wzkQ=")</f>
        <v>#VALUE!</v>
      </c>
      <c r="BR194" t="e">
        <f>AND('GA55 Entry'!L741,"AAAAAD/wzkU=")</f>
        <v>#VALUE!</v>
      </c>
      <c r="BS194" t="e">
        <f>AND('GA55 Entry'!M741,"AAAAAD/wzkY=")</f>
        <v>#VALUE!</v>
      </c>
      <c r="BT194" t="e">
        <f>AND('GA55 Entry'!N741,"AAAAAD/wzkc=")</f>
        <v>#VALUE!</v>
      </c>
      <c r="BU194" t="e">
        <f>AND('GA55 Entry'!O741,"AAAAAD/wzkg=")</f>
        <v>#VALUE!</v>
      </c>
      <c r="BV194" t="e">
        <f>AND('GA55 Entry'!P741,"AAAAAD/wzkk=")</f>
        <v>#VALUE!</v>
      </c>
      <c r="BW194" t="e">
        <f>AND('GA55 Entry'!Q741,"AAAAAD/wzko=")</f>
        <v>#VALUE!</v>
      </c>
      <c r="BX194" t="e">
        <f>AND('GA55 Entry'!S741,"AAAAAD/wzks=")</f>
        <v>#VALUE!</v>
      </c>
      <c r="BY194" t="e">
        <f>AND('GA55 Entry'!#REF!,"AAAAAD/wzkw=")</f>
        <v>#REF!</v>
      </c>
      <c r="BZ194" t="e">
        <f>AND('GA55 Entry'!T741,"AAAAAD/wzk0=")</f>
        <v>#VALUE!</v>
      </c>
      <c r="CA194" t="e">
        <f>AND('GA55 Entry'!U741,"AAAAAD/wzk4=")</f>
        <v>#VALUE!</v>
      </c>
      <c r="CB194" t="e">
        <f>AND('GA55 Entry'!V741,"AAAAAD/wzk8=")</f>
        <v>#VALUE!</v>
      </c>
      <c r="CC194" t="e">
        <f>AND('GA55 Entry'!#REF!,"AAAAAD/wzlA=")</f>
        <v>#REF!</v>
      </c>
      <c r="CD194" t="e">
        <f>AND('GA55 Entry'!#REF!,"AAAAAD/wzlE=")</f>
        <v>#REF!</v>
      </c>
      <c r="CE194" t="e">
        <f>AND('GA55 Entry'!X741,"AAAAAD/wzlI=")</f>
        <v>#VALUE!</v>
      </c>
      <c r="CF194" t="e">
        <f>AND('GA55 Entry'!Y741,"AAAAAD/wzlM=")</f>
        <v>#VALUE!</v>
      </c>
      <c r="CG194" t="e">
        <f>AND('GA55 Entry'!#REF!,"AAAAAD/wzlQ=")</f>
        <v>#REF!</v>
      </c>
      <c r="CH194" t="e">
        <f>AND('GA55 Entry'!#REF!,"AAAAAD/wzlU=")</f>
        <v>#REF!</v>
      </c>
      <c r="CI194" t="e">
        <f>AND('GA55 Entry'!#REF!,"AAAAAD/wzlY=")</f>
        <v>#REF!</v>
      </c>
      <c r="CJ194" t="e">
        <f>AND('GA55 Entry'!#REF!,"AAAAAD/wzlc=")</f>
        <v>#REF!</v>
      </c>
      <c r="CK194" t="e">
        <f>AND('GA55 Entry'!#REF!,"AAAAAD/wzlg=")</f>
        <v>#REF!</v>
      </c>
      <c r="CL194" t="e">
        <f>AND('GA55 Entry'!#REF!,"AAAAAD/wzlk=")</f>
        <v>#REF!</v>
      </c>
      <c r="CM194" t="e">
        <f>AND('GA55 Entry'!#REF!,"AAAAAD/wzlo=")</f>
        <v>#REF!</v>
      </c>
      <c r="CN194" t="e">
        <f>AND('GA55 Entry'!#REF!,"AAAAAD/wzls=")</f>
        <v>#REF!</v>
      </c>
      <c r="CO194" t="e">
        <f>AND('GA55 Entry'!#REF!,"AAAAAD/wzlw=")</f>
        <v>#REF!</v>
      </c>
      <c r="CP194" t="e">
        <f>AND('GA55 Entry'!Z741,"AAAAAD/wzl0=")</f>
        <v>#VALUE!</v>
      </c>
      <c r="CQ194" t="e">
        <f>AND('GA55 Entry'!AA741,"AAAAAD/wzl4=")</f>
        <v>#VALUE!</v>
      </c>
      <c r="CR194" t="e">
        <f>AND('GA55 Entry'!#REF!,"AAAAAD/wzl8=")</f>
        <v>#REF!</v>
      </c>
      <c r="CS194" t="e">
        <f>AND('GA55 Entry'!#REF!,"AAAAAD/wzmA=")</f>
        <v>#REF!</v>
      </c>
      <c r="CT194" t="e">
        <f>AND('GA55 Entry'!#REF!,"AAAAAD/wzmE=")</f>
        <v>#REF!</v>
      </c>
      <c r="CU194" t="e">
        <f>AND('GA55 Entry'!AB741,"AAAAAD/wzmI=")</f>
        <v>#VALUE!</v>
      </c>
      <c r="CV194" t="e">
        <f>AND('GA55 Entry'!AC741,"AAAAAD/wzmM=")</f>
        <v>#VALUE!</v>
      </c>
      <c r="CW194" t="e">
        <f>AND('GA55 Entry'!#REF!,"AAAAAD/wzmQ=")</f>
        <v>#REF!</v>
      </c>
      <c r="CX194">
        <f>IF('GA55 Entry'!742:742,"AAAAAD/wzmU=",0)</f>
        <v>0</v>
      </c>
      <c r="CY194" t="e">
        <f>AND('GA55 Entry'!B742,"AAAAAD/wzmY=")</f>
        <v>#VALUE!</v>
      </c>
      <c r="CZ194" t="e">
        <f>AND('GA55 Entry'!#REF!,"AAAAAD/wzmc=")</f>
        <v>#REF!</v>
      </c>
      <c r="DA194" t="e">
        <f>AND('GA55 Entry'!C742,"AAAAAD/wzmg=")</f>
        <v>#VALUE!</v>
      </c>
      <c r="DB194" t="e">
        <f>AND('GA55 Entry'!#REF!,"AAAAAD/wzmk=")</f>
        <v>#REF!</v>
      </c>
      <c r="DC194" t="e">
        <f>AND('GA55 Entry'!#REF!,"AAAAAD/wzmo=")</f>
        <v>#REF!</v>
      </c>
      <c r="DD194" t="e">
        <f>AND('GA55 Entry'!#REF!,"AAAAAD/wzms=")</f>
        <v>#REF!</v>
      </c>
      <c r="DE194" t="e">
        <f>AND('GA55 Entry'!#REF!,"AAAAAD/wzmw=")</f>
        <v>#REF!</v>
      </c>
      <c r="DF194" t="e">
        <f>AND('GA55 Entry'!#REF!,"AAAAAD/wzm0=")</f>
        <v>#REF!</v>
      </c>
      <c r="DG194" t="e">
        <f>AND('GA55 Entry'!D742,"AAAAAD/wzm4=")</f>
        <v>#VALUE!</v>
      </c>
      <c r="DH194" t="e">
        <f>AND('GA55 Entry'!#REF!,"AAAAAD/wzm8=")</f>
        <v>#REF!</v>
      </c>
      <c r="DI194" t="e">
        <f>AND('GA55 Entry'!E742,"AAAAAD/wznA=")</f>
        <v>#VALUE!</v>
      </c>
      <c r="DJ194" t="e">
        <f>AND('GA55 Entry'!F742,"AAAAAD/wznE=")</f>
        <v>#VALUE!</v>
      </c>
      <c r="DK194" t="e">
        <f>AND('GA55 Entry'!G742,"AAAAAD/wznI=")</f>
        <v>#VALUE!</v>
      </c>
      <c r="DL194" t="e">
        <f>AND('GA55 Entry'!H742,"AAAAAD/wznM=")</f>
        <v>#VALUE!</v>
      </c>
      <c r="DM194" t="e">
        <f>AND('GA55 Entry'!I742,"AAAAAD/wznQ=")</f>
        <v>#VALUE!</v>
      </c>
      <c r="DN194" t="e">
        <f>AND('GA55 Entry'!J742,"AAAAAD/wznU=")</f>
        <v>#VALUE!</v>
      </c>
      <c r="DO194" t="e">
        <f>AND('GA55 Entry'!#REF!,"AAAAAD/wznY=")</f>
        <v>#REF!</v>
      </c>
      <c r="DP194" t="e">
        <f>AND('GA55 Entry'!K742,"AAAAAD/wznc=")</f>
        <v>#VALUE!</v>
      </c>
      <c r="DQ194" t="e">
        <f>AND('GA55 Entry'!L742,"AAAAAD/wzng=")</f>
        <v>#VALUE!</v>
      </c>
      <c r="DR194" t="e">
        <f>AND('GA55 Entry'!M742,"AAAAAD/wznk=")</f>
        <v>#VALUE!</v>
      </c>
      <c r="DS194" t="e">
        <f>AND('GA55 Entry'!N742,"AAAAAD/wzno=")</f>
        <v>#VALUE!</v>
      </c>
      <c r="DT194" t="e">
        <f>AND('GA55 Entry'!O742,"AAAAAD/wzns=")</f>
        <v>#VALUE!</v>
      </c>
      <c r="DU194" t="e">
        <f>AND('GA55 Entry'!P742,"AAAAAD/wznw=")</f>
        <v>#VALUE!</v>
      </c>
      <c r="DV194" t="e">
        <f>AND('GA55 Entry'!Q742,"AAAAAD/wzn0=")</f>
        <v>#VALUE!</v>
      </c>
      <c r="DW194" t="e">
        <f>AND('GA55 Entry'!S742,"AAAAAD/wzn4=")</f>
        <v>#VALUE!</v>
      </c>
      <c r="DX194" t="e">
        <f>AND('GA55 Entry'!#REF!,"AAAAAD/wzn8=")</f>
        <v>#REF!</v>
      </c>
      <c r="DY194" t="e">
        <f>AND('GA55 Entry'!T742,"AAAAAD/wzoA=")</f>
        <v>#VALUE!</v>
      </c>
      <c r="DZ194" t="e">
        <f>AND('GA55 Entry'!U742,"AAAAAD/wzoE=")</f>
        <v>#VALUE!</v>
      </c>
      <c r="EA194" t="e">
        <f>AND('GA55 Entry'!V742,"AAAAAD/wzoI=")</f>
        <v>#VALUE!</v>
      </c>
      <c r="EB194" t="e">
        <f>AND('GA55 Entry'!#REF!,"AAAAAD/wzoM=")</f>
        <v>#REF!</v>
      </c>
      <c r="EC194" t="e">
        <f>AND('GA55 Entry'!#REF!,"AAAAAD/wzoQ=")</f>
        <v>#REF!</v>
      </c>
      <c r="ED194" t="e">
        <f>AND('GA55 Entry'!X742,"AAAAAD/wzoU=")</f>
        <v>#VALUE!</v>
      </c>
      <c r="EE194" t="e">
        <f>AND('GA55 Entry'!Y742,"AAAAAD/wzoY=")</f>
        <v>#VALUE!</v>
      </c>
      <c r="EF194" t="e">
        <f>AND('GA55 Entry'!#REF!,"AAAAAD/wzoc=")</f>
        <v>#REF!</v>
      </c>
      <c r="EG194" t="e">
        <f>AND('GA55 Entry'!#REF!,"AAAAAD/wzog=")</f>
        <v>#REF!</v>
      </c>
      <c r="EH194" t="e">
        <f>AND('GA55 Entry'!#REF!,"AAAAAD/wzok=")</f>
        <v>#REF!</v>
      </c>
      <c r="EI194" t="e">
        <f>AND('GA55 Entry'!#REF!,"AAAAAD/wzoo=")</f>
        <v>#REF!</v>
      </c>
      <c r="EJ194" t="e">
        <f>AND('GA55 Entry'!#REF!,"AAAAAD/wzos=")</f>
        <v>#REF!</v>
      </c>
      <c r="EK194" t="e">
        <f>AND('GA55 Entry'!#REF!,"AAAAAD/wzow=")</f>
        <v>#REF!</v>
      </c>
      <c r="EL194" t="e">
        <f>AND('GA55 Entry'!#REF!,"AAAAAD/wzo0=")</f>
        <v>#REF!</v>
      </c>
      <c r="EM194" t="e">
        <f>AND('GA55 Entry'!#REF!,"AAAAAD/wzo4=")</f>
        <v>#REF!</v>
      </c>
      <c r="EN194" t="e">
        <f>AND('GA55 Entry'!#REF!,"AAAAAD/wzo8=")</f>
        <v>#REF!</v>
      </c>
      <c r="EO194" t="e">
        <f>AND('GA55 Entry'!Z742,"AAAAAD/wzpA=")</f>
        <v>#VALUE!</v>
      </c>
      <c r="EP194" t="e">
        <f>AND('GA55 Entry'!AA742,"AAAAAD/wzpE=")</f>
        <v>#VALUE!</v>
      </c>
      <c r="EQ194" t="e">
        <f>AND('GA55 Entry'!#REF!,"AAAAAD/wzpI=")</f>
        <v>#REF!</v>
      </c>
      <c r="ER194" t="e">
        <f>AND('GA55 Entry'!#REF!,"AAAAAD/wzpM=")</f>
        <v>#REF!</v>
      </c>
      <c r="ES194" t="e">
        <f>AND('GA55 Entry'!#REF!,"AAAAAD/wzpQ=")</f>
        <v>#REF!</v>
      </c>
      <c r="ET194" t="e">
        <f>AND('GA55 Entry'!AB742,"AAAAAD/wzpU=")</f>
        <v>#VALUE!</v>
      </c>
      <c r="EU194" t="e">
        <f>AND('GA55 Entry'!AC742,"AAAAAD/wzpY=")</f>
        <v>#VALUE!</v>
      </c>
      <c r="EV194" t="e">
        <f>AND('GA55 Entry'!#REF!,"AAAAAD/wzpc=")</f>
        <v>#REF!</v>
      </c>
      <c r="EW194">
        <f>IF('GA55 Entry'!743:743,"AAAAAD/wzpg=",0)</f>
        <v>0</v>
      </c>
      <c r="EX194" t="e">
        <f>AND('GA55 Entry'!B743,"AAAAAD/wzpk=")</f>
        <v>#VALUE!</v>
      </c>
      <c r="EY194" t="e">
        <f>AND('GA55 Entry'!#REF!,"AAAAAD/wzpo=")</f>
        <v>#REF!</v>
      </c>
      <c r="EZ194" t="e">
        <f>AND('GA55 Entry'!C743,"AAAAAD/wzps=")</f>
        <v>#VALUE!</v>
      </c>
      <c r="FA194" t="e">
        <f>AND('GA55 Entry'!#REF!,"AAAAAD/wzpw=")</f>
        <v>#REF!</v>
      </c>
      <c r="FB194" t="e">
        <f>AND('GA55 Entry'!#REF!,"AAAAAD/wzp0=")</f>
        <v>#REF!</v>
      </c>
      <c r="FC194" t="e">
        <f>AND('GA55 Entry'!#REF!,"AAAAAD/wzp4=")</f>
        <v>#REF!</v>
      </c>
      <c r="FD194" t="e">
        <f>AND('GA55 Entry'!#REF!,"AAAAAD/wzp8=")</f>
        <v>#REF!</v>
      </c>
      <c r="FE194" t="e">
        <f>AND('GA55 Entry'!#REF!,"AAAAAD/wzqA=")</f>
        <v>#REF!</v>
      </c>
      <c r="FF194" t="e">
        <f>AND('GA55 Entry'!D743,"AAAAAD/wzqE=")</f>
        <v>#VALUE!</v>
      </c>
      <c r="FG194" t="e">
        <f>AND('GA55 Entry'!#REF!,"AAAAAD/wzqI=")</f>
        <v>#REF!</v>
      </c>
      <c r="FH194" t="e">
        <f>AND('GA55 Entry'!E743,"AAAAAD/wzqM=")</f>
        <v>#VALUE!</v>
      </c>
      <c r="FI194" t="e">
        <f>AND('GA55 Entry'!F743,"AAAAAD/wzqQ=")</f>
        <v>#VALUE!</v>
      </c>
      <c r="FJ194" t="e">
        <f>AND('GA55 Entry'!G743,"AAAAAD/wzqU=")</f>
        <v>#VALUE!</v>
      </c>
      <c r="FK194" t="e">
        <f>AND('GA55 Entry'!H743,"AAAAAD/wzqY=")</f>
        <v>#VALUE!</v>
      </c>
      <c r="FL194" t="e">
        <f>AND('GA55 Entry'!I743,"AAAAAD/wzqc=")</f>
        <v>#VALUE!</v>
      </c>
      <c r="FM194" t="e">
        <f>AND('GA55 Entry'!J743,"AAAAAD/wzqg=")</f>
        <v>#VALUE!</v>
      </c>
      <c r="FN194" t="e">
        <f>AND('GA55 Entry'!#REF!,"AAAAAD/wzqk=")</f>
        <v>#REF!</v>
      </c>
      <c r="FO194" t="e">
        <f>AND('GA55 Entry'!K743,"AAAAAD/wzqo=")</f>
        <v>#VALUE!</v>
      </c>
      <c r="FP194" t="e">
        <f>AND('GA55 Entry'!L743,"AAAAAD/wzqs=")</f>
        <v>#VALUE!</v>
      </c>
      <c r="FQ194" t="e">
        <f>AND('GA55 Entry'!M743,"AAAAAD/wzqw=")</f>
        <v>#VALUE!</v>
      </c>
      <c r="FR194" t="e">
        <f>AND('GA55 Entry'!N743,"AAAAAD/wzq0=")</f>
        <v>#VALUE!</v>
      </c>
      <c r="FS194" t="e">
        <f>AND('GA55 Entry'!O743,"AAAAAD/wzq4=")</f>
        <v>#VALUE!</v>
      </c>
      <c r="FT194" t="e">
        <f>AND('GA55 Entry'!P743,"AAAAAD/wzq8=")</f>
        <v>#VALUE!</v>
      </c>
      <c r="FU194" t="e">
        <f>AND('GA55 Entry'!Q743,"AAAAAD/wzrA=")</f>
        <v>#VALUE!</v>
      </c>
      <c r="FV194" t="e">
        <f>AND('GA55 Entry'!S743,"AAAAAD/wzrE=")</f>
        <v>#VALUE!</v>
      </c>
      <c r="FW194" t="e">
        <f>AND('GA55 Entry'!#REF!,"AAAAAD/wzrI=")</f>
        <v>#REF!</v>
      </c>
      <c r="FX194" t="e">
        <f>AND('GA55 Entry'!T743,"AAAAAD/wzrM=")</f>
        <v>#VALUE!</v>
      </c>
      <c r="FY194" t="e">
        <f>AND('GA55 Entry'!U743,"AAAAAD/wzrQ=")</f>
        <v>#VALUE!</v>
      </c>
      <c r="FZ194" t="e">
        <f>AND('GA55 Entry'!V743,"AAAAAD/wzrU=")</f>
        <v>#VALUE!</v>
      </c>
      <c r="GA194" t="e">
        <f>AND('GA55 Entry'!#REF!,"AAAAAD/wzrY=")</f>
        <v>#REF!</v>
      </c>
      <c r="GB194" t="e">
        <f>AND('GA55 Entry'!#REF!,"AAAAAD/wzrc=")</f>
        <v>#REF!</v>
      </c>
      <c r="GC194" t="e">
        <f>AND('GA55 Entry'!X743,"AAAAAD/wzrg=")</f>
        <v>#VALUE!</v>
      </c>
      <c r="GD194" t="e">
        <f>AND('GA55 Entry'!Y743,"AAAAAD/wzrk=")</f>
        <v>#VALUE!</v>
      </c>
      <c r="GE194" t="e">
        <f>AND('GA55 Entry'!#REF!,"AAAAAD/wzro=")</f>
        <v>#REF!</v>
      </c>
      <c r="GF194" t="e">
        <f>AND('GA55 Entry'!#REF!,"AAAAAD/wzrs=")</f>
        <v>#REF!</v>
      </c>
      <c r="GG194" t="e">
        <f>AND('GA55 Entry'!#REF!,"AAAAAD/wzrw=")</f>
        <v>#REF!</v>
      </c>
      <c r="GH194" t="e">
        <f>AND('GA55 Entry'!#REF!,"AAAAAD/wzr0=")</f>
        <v>#REF!</v>
      </c>
      <c r="GI194" t="e">
        <f>AND('GA55 Entry'!#REF!,"AAAAAD/wzr4=")</f>
        <v>#REF!</v>
      </c>
      <c r="GJ194" t="e">
        <f>AND('GA55 Entry'!#REF!,"AAAAAD/wzr8=")</f>
        <v>#REF!</v>
      </c>
      <c r="GK194" t="e">
        <f>AND('GA55 Entry'!#REF!,"AAAAAD/wzsA=")</f>
        <v>#REF!</v>
      </c>
      <c r="GL194" t="e">
        <f>AND('GA55 Entry'!#REF!,"AAAAAD/wzsE=")</f>
        <v>#REF!</v>
      </c>
      <c r="GM194" t="e">
        <f>AND('GA55 Entry'!#REF!,"AAAAAD/wzsI=")</f>
        <v>#REF!</v>
      </c>
      <c r="GN194" t="e">
        <f>AND('GA55 Entry'!Z743,"AAAAAD/wzsM=")</f>
        <v>#VALUE!</v>
      </c>
      <c r="GO194" t="e">
        <f>AND('GA55 Entry'!AA743,"AAAAAD/wzsQ=")</f>
        <v>#VALUE!</v>
      </c>
      <c r="GP194" t="e">
        <f>AND('GA55 Entry'!#REF!,"AAAAAD/wzsU=")</f>
        <v>#REF!</v>
      </c>
      <c r="GQ194" t="e">
        <f>AND('GA55 Entry'!#REF!,"AAAAAD/wzsY=")</f>
        <v>#REF!</v>
      </c>
      <c r="GR194" t="e">
        <f>AND('GA55 Entry'!#REF!,"AAAAAD/wzsc=")</f>
        <v>#REF!</v>
      </c>
      <c r="GS194" t="e">
        <f>AND('GA55 Entry'!AB743,"AAAAAD/wzsg=")</f>
        <v>#VALUE!</v>
      </c>
      <c r="GT194" t="e">
        <f>AND('GA55 Entry'!AC743,"AAAAAD/wzsk=")</f>
        <v>#VALUE!</v>
      </c>
      <c r="GU194" t="e">
        <f>AND('GA55 Entry'!#REF!,"AAAAAD/wzso=")</f>
        <v>#REF!</v>
      </c>
      <c r="GV194">
        <f>IF('GA55 Entry'!744:744,"AAAAAD/wzss=",0)</f>
        <v>0</v>
      </c>
      <c r="GW194" t="e">
        <f>AND('GA55 Entry'!B744,"AAAAAD/wzsw=")</f>
        <v>#VALUE!</v>
      </c>
      <c r="GX194" t="e">
        <f>AND('GA55 Entry'!#REF!,"AAAAAD/wzs0=")</f>
        <v>#REF!</v>
      </c>
      <c r="GY194" t="e">
        <f>AND('GA55 Entry'!C744,"AAAAAD/wzs4=")</f>
        <v>#VALUE!</v>
      </c>
      <c r="GZ194" t="e">
        <f>AND('GA55 Entry'!#REF!,"AAAAAD/wzs8=")</f>
        <v>#REF!</v>
      </c>
      <c r="HA194" t="e">
        <f>AND('GA55 Entry'!#REF!,"AAAAAD/wztA=")</f>
        <v>#REF!</v>
      </c>
      <c r="HB194" t="e">
        <f>AND('GA55 Entry'!#REF!,"AAAAAD/wztE=")</f>
        <v>#REF!</v>
      </c>
      <c r="HC194" t="e">
        <f>AND('GA55 Entry'!#REF!,"AAAAAD/wztI=")</f>
        <v>#REF!</v>
      </c>
      <c r="HD194" t="e">
        <f>AND('GA55 Entry'!#REF!,"AAAAAD/wztM=")</f>
        <v>#REF!</v>
      </c>
      <c r="HE194" t="e">
        <f>AND('GA55 Entry'!D744,"AAAAAD/wztQ=")</f>
        <v>#VALUE!</v>
      </c>
      <c r="HF194" t="e">
        <f>AND('GA55 Entry'!#REF!,"AAAAAD/wztU=")</f>
        <v>#REF!</v>
      </c>
      <c r="HG194" t="e">
        <f>AND('GA55 Entry'!E744,"AAAAAD/wztY=")</f>
        <v>#VALUE!</v>
      </c>
      <c r="HH194" t="e">
        <f>AND('GA55 Entry'!F744,"AAAAAD/wztc=")</f>
        <v>#VALUE!</v>
      </c>
      <c r="HI194" t="e">
        <f>AND('GA55 Entry'!G744,"AAAAAD/wztg=")</f>
        <v>#VALUE!</v>
      </c>
      <c r="HJ194" t="e">
        <f>AND('GA55 Entry'!H744,"AAAAAD/wztk=")</f>
        <v>#VALUE!</v>
      </c>
      <c r="HK194" t="e">
        <f>AND('GA55 Entry'!I744,"AAAAAD/wzto=")</f>
        <v>#VALUE!</v>
      </c>
      <c r="HL194" t="e">
        <f>AND('GA55 Entry'!J744,"AAAAAD/wzts=")</f>
        <v>#VALUE!</v>
      </c>
      <c r="HM194" t="e">
        <f>AND('GA55 Entry'!#REF!,"AAAAAD/wztw=")</f>
        <v>#REF!</v>
      </c>
      <c r="HN194" t="e">
        <f>AND('GA55 Entry'!K744,"AAAAAD/wzt0=")</f>
        <v>#VALUE!</v>
      </c>
      <c r="HO194" t="e">
        <f>AND('GA55 Entry'!L744,"AAAAAD/wzt4=")</f>
        <v>#VALUE!</v>
      </c>
      <c r="HP194" t="e">
        <f>AND('GA55 Entry'!M744,"AAAAAD/wzt8=")</f>
        <v>#VALUE!</v>
      </c>
      <c r="HQ194" t="e">
        <f>AND('GA55 Entry'!N744,"AAAAAD/wzuA=")</f>
        <v>#VALUE!</v>
      </c>
      <c r="HR194" t="e">
        <f>AND('GA55 Entry'!O744,"AAAAAD/wzuE=")</f>
        <v>#VALUE!</v>
      </c>
      <c r="HS194" t="e">
        <f>AND('GA55 Entry'!P744,"AAAAAD/wzuI=")</f>
        <v>#VALUE!</v>
      </c>
      <c r="HT194" t="e">
        <f>AND('GA55 Entry'!Q744,"AAAAAD/wzuM=")</f>
        <v>#VALUE!</v>
      </c>
      <c r="HU194" t="e">
        <f>AND('GA55 Entry'!S744,"AAAAAD/wzuQ=")</f>
        <v>#VALUE!</v>
      </c>
      <c r="HV194" t="e">
        <f>AND('GA55 Entry'!#REF!,"AAAAAD/wzuU=")</f>
        <v>#REF!</v>
      </c>
      <c r="HW194" t="e">
        <f>AND('GA55 Entry'!T744,"AAAAAD/wzuY=")</f>
        <v>#VALUE!</v>
      </c>
      <c r="HX194" t="e">
        <f>AND('GA55 Entry'!U744,"AAAAAD/wzuc=")</f>
        <v>#VALUE!</v>
      </c>
      <c r="HY194" t="e">
        <f>AND('GA55 Entry'!V744,"AAAAAD/wzug=")</f>
        <v>#VALUE!</v>
      </c>
      <c r="HZ194" t="e">
        <f>AND('GA55 Entry'!#REF!,"AAAAAD/wzuk=")</f>
        <v>#REF!</v>
      </c>
      <c r="IA194" t="e">
        <f>AND('GA55 Entry'!#REF!,"AAAAAD/wzuo=")</f>
        <v>#REF!</v>
      </c>
      <c r="IB194" t="e">
        <f>AND('GA55 Entry'!X744,"AAAAAD/wzus=")</f>
        <v>#VALUE!</v>
      </c>
      <c r="IC194" t="e">
        <f>AND('GA55 Entry'!Y744,"AAAAAD/wzuw=")</f>
        <v>#VALUE!</v>
      </c>
      <c r="ID194" t="e">
        <f>AND('GA55 Entry'!#REF!,"AAAAAD/wzu0=")</f>
        <v>#REF!</v>
      </c>
      <c r="IE194" t="e">
        <f>AND('GA55 Entry'!#REF!,"AAAAAD/wzu4=")</f>
        <v>#REF!</v>
      </c>
      <c r="IF194" t="e">
        <f>AND('GA55 Entry'!#REF!,"AAAAAD/wzu8=")</f>
        <v>#REF!</v>
      </c>
      <c r="IG194" t="e">
        <f>AND('GA55 Entry'!#REF!,"AAAAAD/wzvA=")</f>
        <v>#REF!</v>
      </c>
      <c r="IH194" t="e">
        <f>AND('GA55 Entry'!#REF!,"AAAAAD/wzvE=")</f>
        <v>#REF!</v>
      </c>
      <c r="II194" t="e">
        <f>AND('GA55 Entry'!#REF!,"AAAAAD/wzvI=")</f>
        <v>#REF!</v>
      </c>
      <c r="IJ194" t="e">
        <f>AND('GA55 Entry'!#REF!,"AAAAAD/wzvM=")</f>
        <v>#REF!</v>
      </c>
      <c r="IK194" t="e">
        <f>AND('GA55 Entry'!#REF!,"AAAAAD/wzvQ=")</f>
        <v>#REF!</v>
      </c>
      <c r="IL194" t="e">
        <f>AND('GA55 Entry'!#REF!,"AAAAAD/wzvU=")</f>
        <v>#REF!</v>
      </c>
      <c r="IM194" t="e">
        <f>AND('GA55 Entry'!Z744,"AAAAAD/wzvY=")</f>
        <v>#VALUE!</v>
      </c>
      <c r="IN194" t="e">
        <f>AND('GA55 Entry'!AA744,"AAAAAD/wzvc=")</f>
        <v>#VALUE!</v>
      </c>
      <c r="IO194" t="e">
        <f>AND('GA55 Entry'!#REF!,"AAAAAD/wzvg=")</f>
        <v>#REF!</v>
      </c>
      <c r="IP194" t="e">
        <f>AND('GA55 Entry'!#REF!,"AAAAAD/wzvk=")</f>
        <v>#REF!</v>
      </c>
      <c r="IQ194" t="e">
        <f>AND('GA55 Entry'!#REF!,"AAAAAD/wzvo=")</f>
        <v>#REF!</v>
      </c>
      <c r="IR194" t="e">
        <f>AND('GA55 Entry'!AB744,"AAAAAD/wzvs=")</f>
        <v>#VALUE!</v>
      </c>
      <c r="IS194" t="e">
        <f>AND('GA55 Entry'!AC744,"AAAAAD/wzvw=")</f>
        <v>#VALUE!</v>
      </c>
      <c r="IT194" t="e">
        <f>AND('GA55 Entry'!#REF!,"AAAAAD/wzv0=")</f>
        <v>#REF!</v>
      </c>
      <c r="IU194">
        <f>IF('GA55 Entry'!745:745,"AAAAAD/wzv4=",0)</f>
        <v>0</v>
      </c>
      <c r="IV194" t="e">
        <f>AND('GA55 Entry'!B745,"AAAAAD/wzv8=")</f>
        <v>#VALUE!</v>
      </c>
    </row>
    <row r="195" spans="1:256">
      <c r="A195" t="e">
        <f>AND('GA55 Entry'!#REF!,"AAAAAF7q/wA=")</f>
        <v>#REF!</v>
      </c>
      <c r="B195" t="e">
        <f>AND('GA55 Entry'!C745,"AAAAAF7q/wE=")</f>
        <v>#VALUE!</v>
      </c>
      <c r="C195" t="e">
        <f>AND('GA55 Entry'!#REF!,"AAAAAF7q/wI=")</f>
        <v>#REF!</v>
      </c>
      <c r="D195" t="e">
        <f>AND('GA55 Entry'!#REF!,"AAAAAF7q/wM=")</f>
        <v>#REF!</v>
      </c>
      <c r="E195" t="e">
        <f>AND('GA55 Entry'!#REF!,"AAAAAF7q/wQ=")</f>
        <v>#REF!</v>
      </c>
      <c r="F195" t="e">
        <f>AND('GA55 Entry'!#REF!,"AAAAAF7q/wU=")</f>
        <v>#REF!</v>
      </c>
      <c r="G195" t="e">
        <f>AND('GA55 Entry'!#REF!,"AAAAAF7q/wY=")</f>
        <v>#REF!</v>
      </c>
      <c r="H195" t="e">
        <f>AND('GA55 Entry'!D745,"AAAAAF7q/wc=")</f>
        <v>#VALUE!</v>
      </c>
      <c r="I195" t="e">
        <f>AND('GA55 Entry'!#REF!,"AAAAAF7q/wg=")</f>
        <v>#REF!</v>
      </c>
      <c r="J195" t="e">
        <f>AND('GA55 Entry'!E745,"AAAAAF7q/wk=")</f>
        <v>#VALUE!</v>
      </c>
      <c r="K195" t="e">
        <f>AND('GA55 Entry'!F745,"AAAAAF7q/wo=")</f>
        <v>#VALUE!</v>
      </c>
      <c r="L195" t="e">
        <f>AND('GA55 Entry'!G745,"AAAAAF7q/ws=")</f>
        <v>#VALUE!</v>
      </c>
      <c r="M195" t="e">
        <f>AND('GA55 Entry'!H745,"AAAAAF7q/ww=")</f>
        <v>#VALUE!</v>
      </c>
      <c r="N195" t="e">
        <f>AND('GA55 Entry'!I745,"AAAAAF7q/w0=")</f>
        <v>#VALUE!</v>
      </c>
      <c r="O195" t="e">
        <f>AND('GA55 Entry'!J745,"AAAAAF7q/w4=")</f>
        <v>#VALUE!</v>
      </c>
      <c r="P195" t="e">
        <f>AND('GA55 Entry'!#REF!,"AAAAAF7q/w8=")</f>
        <v>#REF!</v>
      </c>
      <c r="Q195" t="e">
        <f>AND('GA55 Entry'!K745,"AAAAAF7q/xA=")</f>
        <v>#VALUE!</v>
      </c>
      <c r="R195" t="e">
        <f>AND('GA55 Entry'!L745,"AAAAAF7q/xE=")</f>
        <v>#VALUE!</v>
      </c>
      <c r="S195" t="e">
        <f>AND('GA55 Entry'!M745,"AAAAAF7q/xI=")</f>
        <v>#VALUE!</v>
      </c>
      <c r="T195" t="e">
        <f>AND('GA55 Entry'!N745,"AAAAAF7q/xM=")</f>
        <v>#VALUE!</v>
      </c>
      <c r="U195" t="e">
        <f>AND('GA55 Entry'!O745,"AAAAAF7q/xQ=")</f>
        <v>#VALUE!</v>
      </c>
      <c r="V195" t="e">
        <f>AND('GA55 Entry'!P745,"AAAAAF7q/xU=")</f>
        <v>#VALUE!</v>
      </c>
      <c r="W195" t="e">
        <f>AND('GA55 Entry'!Q745,"AAAAAF7q/xY=")</f>
        <v>#VALUE!</v>
      </c>
      <c r="X195" t="e">
        <f>AND('GA55 Entry'!S745,"AAAAAF7q/xc=")</f>
        <v>#VALUE!</v>
      </c>
      <c r="Y195" t="e">
        <f>AND('GA55 Entry'!#REF!,"AAAAAF7q/xg=")</f>
        <v>#REF!</v>
      </c>
      <c r="Z195" t="e">
        <f>AND('GA55 Entry'!T745,"AAAAAF7q/xk=")</f>
        <v>#VALUE!</v>
      </c>
      <c r="AA195" t="e">
        <f>AND('GA55 Entry'!U745,"AAAAAF7q/xo=")</f>
        <v>#VALUE!</v>
      </c>
      <c r="AB195" t="e">
        <f>AND('GA55 Entry'!V745,"AAAAAF7q/xs=")</f>
        <v>#VALUE!</v>
      </c>
      <c r="AC195" t="e">
        <f>AND('GA55 Entry'!#REF!,"AAAAAF7q/xw=")</f>
        <v>#REF!</v>
      </c>
      <c r="AD195" t="e">
        <f>AND('GA55 Entry'!#REF!,"AAAAAF7q/x0=")</f>
        <v>#REF!</v>
      </c>
      <c r="AE195" t="e">
        <f>AND('GA55 Entry'!X745,"AAAAAF7q/x4=")</f>
        <v>#VALUE!</v>
      </c>
      <c r="AF195" t="e">
        <f>AND('GA55 Entry'!Y745,"AAAAAF7q/x8=")</f>
        <v>#VALUE!</v>
      </c>
      <c r="AG195" t="e">
        <f>AND('GA55 Entry'!#REF!,"AAAAAF7q/yA=")</f>
        <v>#REF!</v>
      </c>
      <c r="AH195" t="e">
        <f>AND('GA55 Entry'!#REF!,"AAAAAF7q/yE=")</f>
        <v>#REF!</v>
      </c>
      <c r="AI195" t="e">
        <f>AND('GA55 Entry'!#REF!,"AAAAAF7q/yI=")</f>
        <v>#REF!</v>
      </c>
      <c r="AJ195" t="e">
        <f>AND('GA55 Entry'!#REF!,"AAAAAF7q/yM=")</f>
        <v>#REF!</v>
      </c>
      <c r="AK195" t="e">
        <f>AND('GA55 Entry'!#REF!,"AAAAAF7q/yQ=")</f>
        <v>#REF!</v>
      </c>
      <c r="AL195" t="e">
        <f>AND('GA55 Entry'!#REF!,"AAAAAF7q/yU=")</f>
        <v>#REF!</v>
      </c>
      <c r="AM195" t="e">
        <f>AND('GA55 Entry'!#REF!,"AAAAAF7q/yY=")</f>
        <v>#REF!</v>
      </c>
      <c r="AN195" t="e">
        <f>AND('GA55 Entry'!#REF!,"AAAAAF7q/yc=")</f>
        <v>#REF!</v>
      </c>
      <c r="AO195" t="e">
        <f>AND('GA55 Entry'!#REF!,"AAAAAF7q/yg=")</f>
        <v>#REF!</v>
      </c>
      <c r="AP195" t="e">
        <f>AND('GA55 Entry'!Z745,"AAAAAF7q/yk=")</f>
        <v>#VALUE!</v>
      </c>
      <c r="AQ195" t="e">
        <f>AND('GA55 Entry'!AA745,"AAAAAF7q/yo=")</f>
        <v>#VALUE!</v>
      </c>
      <c r="AR195" t="e">
        <f>AND('GA55 Entry'!#REF!,"AAAAAF7q/ys=")</f>
        <v>#REF!</v>
      </c>
      <c r="AS195" t="e">
        <f>AND('GA55 Entry'!#REF!,"AAAAAF7q/yw=")</f>
        <v>#REF!</v>
      </c>
      <c r="AT195" t="e">
        <f>AND('GA55 Entry'!#REF!,"AAAAAF7q/y0=")</f>
        <v>#REF!</v>
      </c>
      <c r="AU195" t="e">
        <f>AND('GA55 Entry'!AB745,"AAAAAF7q/y4=")</f>
        <v>#VALUE!</v>
      </c>
      <c r="AV195" t="e">
        <f>AND('GA55 Entry'!AC745,"AAAAAF7q/y8=")</f>
        <v>#VALUE!</v>
      </c>
      <c r="AW195" t="e">
        <f>AND('GA55 Entry'!#REF!,"AAAAAF7q/zA=")</f>
        <v>#REF!</v>
      </c>
      <c r="AX195">
        <f>IF('GA55 Entry'!746:746,"AAAAAF7q/zE=",0)</f>
        <v>0</v>
      </c>
      <c r="AY195" t="e">
        <f>AND('GA55 Entry'!B746,"AAAAAF7q/zI=")</f>
        <v>#VALUE!</v>
      </c>
      <c r="AZ195" t="e">
        <f>AND('GA55 Entry'!#REF!,"AAAAAF7q/zM=")</f>
        <v>#REF!</v>
      </c>
      <c r="BA195" t="e">
        <f>AND('GA55 Entry'!C746,"AAAAAF7q/zQ=")</f>
        <v>#VALUE!</v>
      </c>
      <c r="BB195" t="e">
        <f>AND('GA55 Entry'!#REF!,"AAAAAF7q/zU=")</f>
        <v>#REF!</v>
      </c>
      <c r="BC195" t="e">
        <f>AND('GA55 Entry'!#REF!,"AAAAAF7q/zY=")</f>
        <v>#REF!</v>
      </c>
      <c r="BD195" t="e">
        <f>AND('GA55 Entry'!#REF!,"AAAAAF7q/zc=")</f>
        <v>#REF!</v>
      </c>
      <c r="BE195" t="e">
        <f>AND('GA55 Entry'!#REF!,"AAAAAF7q/zg=")</f>
        <v>#REF!</v>
      </c>
      <c r="BF195" t="e">
        <f>AND('GA55 Entry'!#REF!,"AAAAAF7q/zk=")</f>
        <v>#REF!</v>
      </c>
      <c r="BG195" t="e">
        <f>AND('GA55 Entry'!D746,"AAAAAF7q/zo=")</f>
        <v>#VALUE!</v>
      </c>
      <c r="BH195" t="e">
        <f>AND('GA55 Entry'!#REF!,"AAAAAF7q/zs=")</f>
        <v>#REF!</v>
      </c>
      <c r="BI195" t="e">
        <f>AND('GA55 Entry'!E746,"AAAAAF7q/zw=")</f>
        <v>#VALUE!</v>
      </c>
      <c r="BJ195" t="e">
        <f>AND('GA55 Entry'!F746,"AAAAAF7q/z0=")</f>
        <v>#VALUE!</v>
      </c>
      <c r="BK195" t="e">
        <f>AND('GA55 Entry'!G746,"AAAAAF7q/z4=")</f>
        <v>#VALUE!</v>
      </c>
      <c r="BL195" t="e">
        <f>AND('GA55 Entry'!H746,"AAAAAF7q/z8=")</f>
        <v>#VALUE!</v>
      </c>
      <c r="BM195" t="e">
        <f>AND('GA55 Entry'!I746,"AAAAAF7q/0A=")</f>
        <v>#VALUE!</v>
      </c>
      <c r="BN195" t="e">
        <f>AND('GA55 Entry'!J746,"AAAAAF7q/0E=")</f>
        <v>#VALUE!</v>
      </c>
      <c r="BO195" t="e">
        <f>AND('GA55 Entry'!#REF!,"AAAAAF7q/0I=")</f>
        <v>#REF!</v>
      </c>
      <c r="BP195" t="e">
        <f>AND('GA55 Entry'!K746,"AAAAAF7q/0M=")</f>
        <v>#VALUE!</v>
      </c>
      <c r="BQ195" t="e">
        <f>AND('GA55 Entry'!L746,"AAAAAF7q/0Q=")</f>
        <v>#VALUE!</v>
      </c>
      <c r="BR195" t="e">
        <f>AND('GA55 Entry'!M746,"AAAAAF7q/0U=")</f>
        <v>#VALUE!</v>
      </c>
      <c r="BS195" t="e">
        <f>AND('GA55 Entry'!N746,"AAAAAF7q/0Y=")</f>
        <v>#VALUE!</v>
      </c>
      <c r="BT195" t="e">
        <f>AND('GA55 Entry'!O746,"AAAAAF7q/0c=")</f>
        <v>#VALUE!</v>
      </c>
      <c r="BU195" t="e">
        <f>AND('GA55 Entry'!P746,"AAAAAF7q/0g=")</f>
        <v>#VALUE!</v>
      </c>
      <c r="BV195" t="e">
        <f>AND('GA55 Entry'!Q746,"AAAAAF7q/0k=")</f>
        <v>#VALUE!</v>
      </c>
      <c r="BW195" t="e">
        <f>AND('GA55 Entry'!S746,"AAAAAF7q/0o=")</f>
        <v>#VALUE!</v>
      </c>
      <c r="BX195" t="e">
        <f>AND('GA55 Entry'!#REF!,"AAAAAF7q/0s=")</f>
        <v>#REF!</v>
      </c>
      <c r="BY195" t="e">
        <f>AND('GA55 Entry'!T746,"AAAAAF7q/0w=")</f>
        <v>#VALUE!</v>
      </c>
      <c r="BZ195" t="e">
        <f>AND('GA55 Entry'!U746,"AAAAAF7q/00=")</f>
        <v>#VALUE!</v>
      </c>
      <c r="CA195" t="e">
        <f>AND('GA55 Entry'!V746,"AAAAAF7q/04=")</f>
        <v>#VALUE!</v>
      </c>
      <c r="CB195" t="e">
        <f>AND('GA55 Entry'!#REF!,"AAAAAF7q/08=")</f>
        <v>#REF!</v>
      </c>
      <c r="CC195" t="e">
        <f>AND('GA55 Entry'!#REF!,"AAAAAF7q/1A=")</f>
        <v>#REF!</v>
      </c>
      <c r="CD195" t="e">
        <f>AND('GA55 Entry'!X746,"AAAAAF7q/1E=")</f>
        <v>#VALUE!</v>
      </c>
      <c r="CE195" t="e">
        <f>AND('GA55 Entry'!Y746,"AAAAAF7q/1I=")</f>
        <v>#VALUE!</v>
      </c>
      <c r="CF195" t="e">
        <f>AND('GA55 Entry'!#REF!,"AAAAAF7q/1M=")</f>
        <v>#REF!</v>
      </c>
      <c r="CG195" t="e">
        <f>AND('GA55 Entry'!#REF!,"AAAAAF7q/1Q=")</f>
        <v>#REF!</v>
      </c>
      <c r="CH195" t="e">
        <f>AND('GA55 Entry'!#REF!,"AAAAAF7q/1U=")</f>
        <v>#REF!</v>
      </c>
      <c r="CI195" t="e">
        <f>AND('GA55 Entry'!#REF!,"AAAAAF7q/1Y=")</f>
        <v>#REF!</v>
      </c>
      <c r="CJ195" t="e">
        <f>AND('GA55 Entry'!#REF!,"AAAAAF7q/1c=")</f>
        <v>#REF!</v>
      </c>
      <c r="CK195" t="e">
        <f>AND('GA55 Entry'!#REF!,"AAAAAF7q/1g=")</f>
        <v>#REF!</v>
      </c>
      <c r="CL195" t="e">
        <f>AND('GA55 Entry'!#REF!,"AAAAAF7q/1k=")</f>
        <v>#REF!</v>
      </c>
      <c r="CM195" t="e">
        <f>AND('GA55 Entry'!#REF!,"AAAAAF7q/1o=")</f>
        <v>#REF!</v>
      </c>
      <c r="CN195" t="e">
        <f>AND('GA55 Entry'!#REF!,"AAAAAF7q/1s=")</f>
        <v>#REF!</v>
      </c>
      <c r="CO195" t="e">
        <f>AND('GA55 Entry'!Z746,"AAAAAF7q/1w=")</f>
        <v>#VALUE!</v>
      </c>
      <c r="CP195" t="e">
        <f>AND('GA55 Entry'!AA746,"AAAAAF7q/10=")</f>
        <v>#VALUE!</v>
      </c>
      <c r="CQ195" t="e">
        <f>AND('GA55 Entry'!#REF!,"AAAAAF7q/14=")</f>
        <v>#REF!</v>
      </c>
      <c r="CR195" t="e">
        <f>AND('GA55 Entry'!#REF!,"AAAAAF7q/18=")</f>
        <v>#REF!</v>
      </c>
      <c r="CS195" t="e">
        <f>AND('GA55 Entry'!#REF!,"AAAAAF7q/2A=")</f>
        <v>#REF!</v>
      </c>
      <c r="CT195" t="e">
        <f>AND('GA55 Entry'!AB746,"AAAAAF7q/2E=")</f>
        <v>#VALUE!</v>
      </c>
      <c r="CU195" t="e">
        <f>AND('GA55 Entry'!AC746,"AAAAAF7q/2I=")</f>
        <v>#VALUE!</v>
      </c>
      <c r="CV195" t="e">
        <f>AND('GA55 Entry'!#REF!,"AAAAAF7q/2M=")</f>
        <v>#REF!</v>
      </c>
      <c r="CW195">
        <f>IF('GA55 Entry'!747:747,"AAAAAF7q/2Q=",0)</f>
        <v>0</v>
      </c>
      <c r="CX195" t="e">
        <f>AND('GA55 Entry'!B747,"AAAAAF7q/2U=")</f>
        <v>#VALUE!</v>
      </c>
      <c r="CY195" t="e">
        <f>AND('GA55 Entry'!#REF!,"AAAAAF7q/2Y=")</f>
        <v>#REF!</v>
      </c>
      <c r="CZ195" t="e">
        <f>AND('GA55 Entry'!C747,"AAAAAF7q/2c=")</f>
        <v>#VALUE!</v>
      </c>
      <c r="DA195" t="e">
        <f>AND('GA55 Entry'!#REF!,"AAAAAF7q/2g=")</f>
        <v>#REF!</v>
      </c>
      <c r="DB195" t="e">
        <f>AND('GA55 Entry'!#REF!,"AAAAAF7q/2k=")</f>
        <v>#REF!</v>
      </c>
      <c r="DC195" t="e">
        <f>AND('GA55 Entry'!#REF!,"AAAAAF7q/2o=")</f>
        <v>#REF!</v>
      </c>
      <c r="DD195" t="e">
        <f>AND('GA55 Entry'!#REF!,"AAAAAF7q/2s=")</f>
        <v>#REF!</v>
      </c>
      <c r="DE195" t="e">
        <f>AND('GA55 Entry'!#REF!,"AAAAAF7q/2w=")</f>
        <v>#REF!</v>
      </c>
      <c r="DF195" t="e">
        <f>AND('GA55 Entry'!D747,"AAAAAF7q/20=")</f>
        <v>#VALUE!</v>
      </c>
      <c r="DG195" t="e">
        <f>AND('GA55 Entry'!#REF!,"AAAAAF7q/24=")</f>
        <v>#REF!</v>
      </c>
      <c r="DH195" t="e">
        <f>AND('GA55 Entry'!E747,"AAAAAF7q/28=")</f>
        <v>#VALUE!</v>
      </c>
      <c r="DI195" t="e">
        <f>AND('GA55 Entry'!F747,"AAAAAF7q/3A=")</f>
        <v>#VALUE!</v>
      </c>
      <c r="DJ195" t="e">
        <f>AND('GA55 Entry'!G747,"AAAAAF7q/3E=")</f>
        <v>#VALUE!</v>
      </c>
      <c r="DK195" t="e">
        <f>AND('GA55 Entry'!H747,"AAAAAF7q/3I=")</f>
        <v>#VALUE!</v>
      </c>
      <c r="DL195" t="e">
        <f>AND('GA55 Entry'!I747,"AAAAAF7q/3M=")</f>
        <v>#VALUE!</v>
      </c>
      <c r="DM195" t="e">
        <f>AND('GA55 Entry'!J747,"AAAAAF7q/3Q=")</f>
        <v>#VALUE!</v>
      </c>
      <c r="DN195" t="e">
        <f>AND('GA55 Entry'!#REF!,"AAAAAF7q/3U=")</f>
        <v>#REF!</v>
      </c>
      <c r="DO195" t="e">
        <f>AND('GA55 Entry'!K747,"AAAAAF7q/3Y=")</f>
        <v>#VALUE!</v>
      </c>
      <c r="DP195" t="e">
        <f>AND('GA55 Entry'!L747,"AAAAAF7q/3c=")</f>
        <v>#VALUE!</v>
      </c>
      <c r="DQ195" t="e">
        <f>AND('GA55 Entry'!M747,"AAAAAF7q/3g=")</f>
        <v>#VALUE!</v>
      </c>
      <c r="DR195" t="e">
        <f>AND('GA55 Entry'!N747,"AAAAAF7q/3k=")</f>
        <v>#VALUE!</v>
      </c>
      <c r="DS195" t="e">
        <f>AND('GA55 Entry'!O747,"AAAAAF7q/3o=")</f>
        <v>#VALUE!</v>
      </c>
      <c r="DT195" t="e">
        <f>AND('GA55 Entry'!P747,"AAAAAF7q/3s=")</f>
        <v>#VALUE!</v>
      </c>
      <c r="DU195" t="e">
        <f>AND('GA55 Entry'!Q747,"AAAAAF7q/3w=")</f>
        <v>#VALUE!</v>
      </c>
      <c r="DV195" t="e">
        <f>AND('GA55 Entry'!S747,"AAAAAF7q/30=")</f>
        <v>#VALUE!</v>
      </c>
      <c r="DW195" t="e">
        <f>AND('GA55 Entry'!#REF!,"AAAAAF7q/34=")</f>
        <v>#REF!</v>
      </c>
      <c r="DX195" t="e">
        <f>AND('GA55 Entry'!T747,"AAAAAF7q/38=")</f>
        <v>#VALUE!</v>
      </c>
      <c r="DY195" t="e">
        <f>AND('GA55 Entry'!U747,"AAAAAF7q/4A=")</f>
        <v>#VALUE!</v>
      </c>
      <c r="DZ195" t="e">
        <f>AND('GA55 Entry'!V747,"AAAAAF7q/4E=")</f>
        <v>#VALUE!</v>
      </c>
      <c r="EA195" t="e">
        <f>AND('GA55 Entry'!#REF!,"AAAAAF7q/4I=")</f>
        <v>#REF!</v>
      </c>
      <c r="EB195" t="e">
        <f>AND('GA55 Entry'!#REF!,"AAAAAF7q/4M=")</f>
        <v>#REF!</v>
      </c>
      <c r="EC195" t="e">
        <f>AND('GA55 Entry'!X747,"AAAAAF7q/4Q=")</f>
        <v>#VALUE!</v>
      </c>
      <c r="ED195" t="e">
        <f>AND('GA55 Entry'!Y747,"AAAAAF7q/4U=")</f>
        <v>#VALUE!</v>
      </c>
      <c r="EE195" t="e">
        <f>AND('GA55 Entry'!#REF!,"AAAAAF7q/4Y=")</f>
        <v>#REF!</v>
      </c>
      <c r="EF195" t="e">
        <f>AND('GA55 Entry'!#REF!,"AAAAAF7q/4c=")</f>
        <v>#REF!</v>
      </c>
      <c r="EG195" t="e">
        <f>AND('GA55 Entry'!#REF!,"AAAAAF7q/4g=")</f>
        <v>#REF!</v>
      </c>
      <c r="EH195" t="e">
        <f>AND('GA55 Entry'!#REF!,"AAAAAF7q/4k=")</f>
        <v>#REF!</v>
      </c>
      <c r="EI195" t="e">
        <f>AND('GA55 Entry'!#REF!,"AAAAAF7q/4o=")</f>
        <v>#REF!</v>
      </c>
      <c r="EJ195" t="e">
        <f>AND('GA55 Entry'!#REF!,"AAAAAF7q/4s=")</f>
        <v>#REF!</v>
      </c>
      <c r="EK195" t="e">
        <f>AND('GA55 Entry'!#REF!,"AAAAAF7q/4w=")</f>
        <v>#REF!</v>
      </c>
      <c r="EL195" t="e">
        <f>AND('GA55 Entry'!#REF!,"AAAAAF7q/40=")</f>
        <v>#REF!</v>
      </c>
      <c r="EM195" t="e">
        <f>AND('GA55 Entry'!#REF!,"AAAAAF7q/44=")</f>
        <v>#REF!</v>
      </c>
      <c r="EN195" t="e">
        <f>AND('GA55 Entry'!Z747,"AAAAAF7q/48=")</f>
        <v>#VALUE!</v>
      </c>
      <c r="EO195" t="e">
        <f>AND('GA55 Entry'!AA747,"AAAAAF7q/5A=")</f>
        <v>#VALUE!</v>
      </c>
      <c r="EP195" t="e">
        <f>AND('GA55 Entry'!#REF!,"AAAAAF7q/5E=")</f>
        <v>#REF!</v>
      </c>
      <c r="EQ195" t="e">
        <f>AND('GA55 Entry'!#REF!,"AAAAAF7q/5I=")</f>
        <v>#REF!</v>
      </c>
      <c r="ER195" t="e">
        <f>AND('GA55 Entry'!#REF!,"AAAAAF7q/5M=")</f>
        <v>#REF!</v>
      </c>
      <c r="ES195" t="e">
        <f>AND('GA55 Entry'!AB747,"AAAAAF7q/5Q=")</f>
        <v>#VALUE!</v>
      </c>
      <c r="ET195" t="e">
        <f>AND('GA55 Entry'!AC747,"AAAAAF7q/5U=")</f>
        <v>#VALUE!</v>
      </c>
      <c r="EU195" t="e">
        <f>AND('GA55 Entry'!#REF!,"AAAAAF7q/5Y=")</f>
        <v>#REF!</v>
      </c>
      <c r="EV195">
        <f>IF('GA55 Entry'!748:748,"AAAAAF7q/5c=",0)</f>
        <v>0</v>
      </c>
      <c r="EW195" t="e">
        <f>AND('GA55 Entry'!B748,"AAAAAF7q/5g=")</f>
        <v>#VALUE!</v>
      </c>
      <c r="EX195" t="e">
        <f>AND('GA55 Entry'!#REF!,"AAAAAF7q/5k=")</f>
        <v>#REF!</v>
      </c>
      <c r="EY195" t="e">
        <f>AND('GA55 Entry'!C748,"AAAAAF7q/5o=")</f>
        <v>#VALUE!</v>
      </c>
      <c r="EZ195" t="e">
        <f>AND('GA55 Entry'!#REF!,"AAAAAF7q/5s=")</f>
        <v>#REF!</v>
      </c>
      <c r="FA195" t="e">
        <f>AND('GA55 Entry'!#REF!,"AAAAAF7q/5w=")</f>
        <v>#REF!</v>
      </c>
      <c r="FB195" t="e">
        <f>AND('GA55 Entry'!#REF!,"AAAAAF7q/50=")</f>
        <v>#REF!</v>
      </c>
      <c r="FC195" t="e">
        <f>AND('GA55 Entry'!#REF!,"AAAAAF7q/54=")</f>
        <v>#REF!</v>
      </c>
      <c r="FD195" t="e">
        <f>AND('GA55 Entry'!#REF!,"AAAAAF7q/58=")</f>
        <v>#REF!</v>
      </c>
      <c r="FE195" t="e">
        <f>AND('GA55 Entry'!D748,"AAAAAF7q/6A=")</f>
        <v>#VALUE!</v>
      </c>
      <c r="FF195" t="e">
        <f>AND('GA55 Entry'!#REF!,"AAAAAF7q/6E=")</f>
        <v>#REF!</v>
      </c>
      <c r="FG195" t="e">
        <f>AND('GA55 Entry'!E748,"AAAAAF7q/6I=")</f>
        <v>#VALUE!</v>
      </c>
      <c r="FH195" t="e">
        <f>AND('GA55 Entry'!F748,"AAAAAF7q/6M=")</f>
        <v>#VALUE!</v>
      </c>
      <c r="FI195" t="e">
        <f>AND('GA55 Entry'!G748,"AAAAAF7q/6Q=")</f>
        <v>#VALUE!</v>
      </c>
      <c r="FJ195" t="e">
        <f>AND('GA55 Entry'!H748,"AAAAAF7q/6U=")</f>
        <v>#VALUE!</v>
      </c>
      <c r="FK195" t="e">
        <f>AND('GA55 Entry'!I748,"AAAAAF7q/6Y=")</f>
        <v>#VALUE!</v>
      </c>
      <c r="FL195" t="e">
        <f>AND('GA55 Entry'!J748,"AAAAAF7q/6c=")</f>
        <v>#VALUE!</v>
      </c>
      <c r="FM195" t="e">
        <f>AND('GA55 Entry'!#REF!,"AAAAAF7q/6g=")</f>
        <v>#REF!</v>
      </c>
      <c r="FN195" t="e">
        <f>AND('GA55 Entry'!K748,"AAAAAF7q/6k=")</f>
        <v>#VALUE!</v>
      </c>
      <c r="FO195" t="e">
        <f>AND('GA55 Entry'!L748,"AAAAAF7q/6o=")</f>
        <v>#VALUE!</v>
      </c>
      <c r="FP195" t="e">
        <f>AND('GA55 Entry'!M748,"AAAAAF7q/6s=")</f>
        <v>#VALUE!</v>
      </c>
      <c r="FQ195" t="e">
        <f>AND('GA55 Entry'!N748,"AAAAAF7q/6w=")</f>
        <v>#VALUE!</v>
      </c>
      <c r="FR195" t="e">
        <f>AND('GA55 Entry'!O748,"AAAAAF7q/60=")</f>
        <v>#VALUE!</v>
      </c>
      <c r="FS195" t="e">
        <f>AND('GA55 Entry'!P748,"AAAAAF7q/64=")</f>
        <v>#VALUE!</v>
      </c>
      <c r="FT195" t="e">
        <f>AND('GA55 Entry'!Q748,"AAAAAF7q/68=")</f>
        <v>#VALUE!</v>
      </c>
      <c r="FU195" t="e">
        <f>AND('GA55 Entry'!S748,"AAAAAF7q/7A=")</f>
        <v>#VALUE!</v>
      </c>
      <c r="FV195" t="e">
        <f>AND('GA55 Entry'!#REF!,"AAAAAF7q/7E=")</f>
        <v>#REF!</v>
      </c>
      <c r="FW195" t="e">
        <f>AND('GA55 Entry'!T748,"AAAAAF7q/7I=")</f>
        <v>#VALUE!</v>
      </c>
      <c r="FX195" t="e">
        <f>AND('GA55 Entry'!U748,"AAAAAF7q/7M=")</f>
        <v>#VALUE!</v>
      </c>
      <c r="FY195" t="e">
        <f>AND('GA55 Entry'!V748,"AAAAAF7q/7Q=")</f>
        <v>#VALUE!</v>
      </c>
      <c r="FZ195" t="e">
        <f>AND('GA55 Entry'!#REF!,"AAAAAF7q/7U=")</f>
        <v>#REF!</v>
      </c>
      <c r="GA195" t="e">
        <f>AND('GA55 Entry'!#REF!,"AAAAAF7q/7Y=")</f>
        <v>#REF!</v>
      </c>
      <c r="GB195" t="e">
        <f>AND('GA55 Entry'!X748,"AAAAAF7q/7c=")</f>
        <v>#VALUE!</v>
      </c>
      <c r="GC195" t="e">
        <f>AND('GA55 Entry'!Y748,"AAAAAF7q/7g=")</f>
        <v>#VALUE!</v>
      </c>
      <c r="GD195" t="e">
        <f>AND('GA55 Entry'!#REF!,"AAAAAF7q/7k=")</f>
        <v>#REF!</v>
      </c>
      <c r="GE195" t="e">
        <f>AND('GA55 Entry'!#REF!,"AAAAAF7q/7o=")</f>
        <v>#REF!</v>
      </c>
      <c r="GF195" t="e">
        <f>AND('GA55 Entry'!#REF!,"AAAAAF7q/7s=")</f>
        <v>#REF!</v>
      </c>
      <c r="GG195" t="e">
        <f>AND('GA55 Entry'!#REF!,"AAAAAF7q/7w=")</f>
        <v>#REF!</v>
      </c>
      <c r="GH195" t="e">
        <f>AND('GA55 Entry'!#REF!,"AAAAAF7q/70=")</f>
        <v>#REF!</v>
      </c>
      <c r="GI195" t="e">
        <f>AND('GA55 Entry'!#REF!,"AAAAAF7q/74=")</f>
        <v>#REF!</v>
      </c>
      <c r="GJ195" t="e">
        <f>AND('GA55 Entry'!#REF!,"AAAAAF7q/78=")</f>
        <v>#REF!</v>
      </c>
      <c r="GK195" t="e">
        <f>AND('GA55 Entry'!#REF!,"AAAAAF7q/8A=")</f>
        <v>#REF!</v>
      </c>
      <c r="GL195" t="e">
        <f>AND('GA55 Entry'!#REF!,"AAAAAF7q/8E=")</f>
        <v>#REF!</v>
      </c>
      <c r="GM195" t="e">
        <f>AND('GA55 Entry'!Z748,"AAAAAF7q/8I=")</f>
        <v>#VALUE!</v>
      </c>
      <c r="GN195" t="e">
        <f>AND('GA55 Entry'!AA748,"AAAAAF7q/8M=")</f>
        <v>#VALUE!</v>
      </c>
      <c r="GO195" t="e">
        <f>AND('GA55 Entry'!#REF!,"AAAAAF7q/8Q=")</f>
        <v>#REF!</v>
      </c>
      <c r="GP195" t="e">
        <f>AND('GA55 Entry'!#REF!,"AAAAAF7q/8U=")</f>
        <v>#REF!</v>
      </c>
      <c r="GQ195" t="e">
        <f>AND('GA55 Entry'!#REF!,"AAAAAF7q/8Y=")</f>
        <v>#REF!</v>
      </c>
      <c r="GR195" t="e">
        <f>AND('GA55 Entry'!AB748,"AAAAAF7q/8c=")</f>
        <v>#VALUE!</v>
      </c>
      <c r="GS195" t="e">
        <f>AND('GA55 Entry'!AC748,"AAAAAF7q/8g=")</f>
        <v>#VALUE!</v>
      </c>
      <c r="GT195" t="e">
        <f>AND('GA55 Entry'!#REF!,"AAAAAF7q/8k=")</f>
        <v>#REF!</v>
      </c>
      <c r="GU195">
        <f>IF('GA55 Entry'!749:749,"AAAAAF7q/8o=",0)</f>
        <v>0</v>
      </c>
      <c r="GV195" t="e">
        <f>AND('GA55 Entry'!B749,"AAAAAF7q/8s=")</f>
        <v>#VALUE!</v>
      </c>
      <c r="GW195" t="e">
        <f>AND('GA55 Entry'!#REF!,"AAAAAF7q/8w=")</f>
        <v>#REF!</v>
      </c>
      <c r="GX195" t="e">
        <f>AND('GA55 Entry'!C749,"AAAAAF7q/80=")</f>
        <v>#VALUE!</v>
      </c>
      <c r="GY195" t="e">
        <f>AND('GA55 Entry'!#REF!,"AAAAAF7q/84=")</f>
        <v>#REF!</v>
      </c>
      <c r="GZ195" t="e">
        <f>AND('GA55 Entry'!#REF!,"AAAAAF7q/88=")</f>
        <v>#REF!</v>
      </c>
      <c r="HA195" t="e">
        <f>AND('GA55 Entry'!#REF!,"AAAAAF7q/9A=")</f>
        <v>#REF!</v>
      </c>
      <c r="HB195" t="e">
        <f>AND('GA55 Entry'!#REF!,"AAAAAF7q/9E=")</f>
        <v>#REF!</v>
      </c>
      <c r="HC195" t="e">
        <f>AND('GA55 Entry'!#REF!,"AAAAAF7q/9I=")</f>
        <v>#REF!</v>
      </c>
      <c r="HD195" t="e">
        <f>AND('GA55 Entry'!D749,"AAAAAF7q/9M=")</f>
        <v>#VALUE!</v>
      </c>
      <c r="HE195" t="e">
        <f>AND('GA55 Entry'!#REF!,"AAAAAF7q/9Q=")</f>
        <v>#REF!</v>
      </c>
      <c r="HF195" t="e">
        <f>AND('GA55 Entry'!E749,"AAAAAF7q/9U=")</f>
        <v>#VALUE!</v>
      </c>
      <c r="HG195" t="e">
        <f>AND('GA55 Entry'!F749,"AAAAAF7q/9Y=")</f>
        <v>#VALUE!</v>
      </c>
      <c r="HH195" t="e">
        <f>AND('GA55 Entry'!G749,"AAAAAF7q/9c=")</f>
        <v>#VALUE!</v>
      </c>
      <c r="HI195" t="e">
        <f>AND('GA55 Entry'!H749,"AAAAAF7q/9g=")</f>
        <v>#VALUE!</v>
      </c>
      <c r="HJ195" t="e">
        <f>AND('GA55 Entry'!I749,"AAAAAF7q/9k=")</f>
        <v>#VALUE!</v>
      </c>
      <c r="HK195" t="e">
        <f>AND('GA55 Entry'!J749,"AAAAAF7q/9o=")</f>
        <v>#VALUE!</v>
      </c>
      <c r="HL195" t="e">
        <f>AND('GA55 Entry'!#REF!,"AAAAAF7q/9s=")</f>
        <v>#REF!</v>
      </c>
      <c r="HM195" t="e">
        <f>AND('GA55 Entry'!K749,"AAAAAF7q/9w=")</f>
        <v>#VALUE!</v>
      </c>
      <c r="HN195" t="e">
        <f>AND('GA55 Entry'!L749,"AAAAAF7q/90=")</f>
        <v>#VALUE!</v>
      </c>
      <c r="HO195" t="e">
        <f>AND('GA55 Entry'!M749,"AAAAAF7q/94=")</f>
        <v>#VALUE!</v>
      </c>
      <c r="HP195" t="e">
        <f>AND('GA55 Entry'!N749,"AAAAAF7q/98=")</f>
        <v>#VALUE!</v>
      </c>
      <c r="HQ195" t="e">
        <f>AND('GA55 Entry'!O749,"AAAAAF7q/+A=")</f>
        <v>#VALUE!</v>
      </c>
      <c r="HR195" t="e">
        <f>AND('GA55 Entry'!P749,"AAAAAF7q/+E=")</f>
        <v>#VALUE!</v>
      </c>
      <c r="HS195" t="e">
        <f>AND('GA55 Entry'!Q749,"AAAAAF7q/+I=")</f>
        <v>#VALUE!</v>
      </c>
      <c r="HT195" t="e">
        <f>AND('GA55 Entry'!S749,"AAAAAF7q/+M=")</f>
        <v>#VALUE!</v>
      </c>
      <c r="HU195" t="e">
        <f>AND('GA55 Entry'!#REF!,"AAAAAF7q/+Q=")</f>
        <v>#REF!</v>
      </c>
      <c r="HV195" t="e">
        <f>AND('GA55 Entry'!T749,"AAAAAF7q/+U=")</f>
        <v>#VALUE!</v>
      </c>
      <c r="HW195" t="e">
        <f>AND('GA55 Entry'!U749,"AAAAAF7q/+Y=")</f>
        <v>#VALUE!</v>
      </c>
      <c r="HX195" t="e">
        <f>AND('GA55 Entry'!V749,"AAAAAF7q/+c=")</f>
        <v>#VALUE!</v>
      </c>
      <c r="HY195" t="e">
        <f>AND('GA55 Entry'!#REF!,"AAAAAF7q/+g=")</f>
        <v>#REF!</v>
      </c>
      <c r="HZ195" t="e">
        <f>AND('GA55 Entry'!#REF!,"AAAAAF7q/+k=")</f>
        <v>#REF!</v>
      </c>
      <c r="IA195" t="e">
        <f>AND('GA55 Entry'!X749,"AAAAAF7q/+o=")</f>
        <v>#VALUE!</v>
      </c>
      <c r="IB195" t="e">
        <f>AND('GA55 Entry'!Y749,"AAAAAF7q/+s=")</f>
        <v>#VALUE!</v>
      </c>
      <c r="IC195" t="e">
        <f>AND('GA55 Entry'!#REF!,"AAAAAF7q/+w=")</f>
        <v>#REF!</v>
      </c>
      <c r="ID195" t="e">
        <f>AND('GA55 Entry'!#REF!,"AAAAAF7q/+0=")</f>
        <v>#REF!</v>
      </c>
      <c r="IE195" t="e">
        <f>AND('GA55 Entry'!#REF!,"AAAAAF7q/+4=")</f>
        <v>#REF!</v>
      </c>
      <c r="IF195" t="e">
        <f>AND('GA55 Entry'!#REF!,"AAAAAF7q/+8=")</f>
        <v>#REF!</v>
      </c>
      <c r="IG195" t="e">
        <f>AND('GA55 Entry'!#REF!,"AAAAAF7q//A=")</f>
        <v>#REF!</v>
      </c>
      <c r="IH195" t="e">
        <f>AND('GA55 Entry'!#REF!,"AAAAAF7q//E=")</f>
        <v>#REF!</v>
      </c>
      <c r="II195" t="e">
        <f>AND('GA55 Entry'!#REF!,"AAAAAF7q//I=")</f>
        <v>#REF!</v>
      </c>
      <c r="IJ195" t="e">
        <f>AND('GA55 Entry'!#REF!,"AAAAAF7q//M=")</f>
        <v>#REF!</v>
      </c>
      <c r="IK195" t="e">
        <f>AND('GA55 Entry'!#REF!,"AAAAAF7q//Q=")</f>
        <v>#REF!</v>
      </c>
      <c r="IL195" t="e">
        <f>AND('GA55 Entry'!Z749,"AAAAAF7q//U=")</f>
        <v>#VALUE!</v>
      </c>
      <c r="IM195" t="e">
        <f>AND('GA55 Entry'!AA749,"AAAAAF7q//Y=")</f>
        <v>#VALUE!</v>
      </c>
      <c r="IN195" t="e">
        <f>AND('GA55 Entry'!#REF!,"AAAAAF7q//c=")</f>
        <v>#REF!</v>
      </c>
      <c r="IO195" t="e">
        <f>AND('GA55 Entry'!#REF!,"AAAAAF7q//g=")</f>
        <v>#REF!</v>
      </c>
      <c r="IP195" t="e">
        <f>AND('GA55 Entry'!#REF!,"AAAAAF7q//k=")</f>
        <v>#REF!</v>
      </c>
      <c r="IQ195" t="e">
        <f>AND('GA55 Entry'!AB749,"AAAAAF7q//o=")</f>
        <v>#VALUE!</v>
      </c>
      <c r="IR195" t="e">
        <f>AND('GA55 Entry'!AC749,"AAAAAF7q//s=")</f>
        <v>#VALUE!</v>
      </c>
      <c r="IS195" t="e">
        <f>AND('GA55 Entry'!#REF!,"AAAAAF7q//w=")</f>
        <v>#REF!</v>
      </c>
      <c r="IT195">
        <f>IF('GA55 Entry'!750:750,"AAAAAF7q//0=",0)</f>
        <v>0</v>
      </c>
      <c r="IU195" t="e">
        <f>AND('GA55 Entry'!B750,"AAAAAF7q//4=")</f>
        <v>#VALUE!</v>
      </c>
      <c r="IV195" t="e">
        <f>AND('GA55 Entry'!#REF!,"AAAAAF7q//8=")</f>
        <v>#REF!</v>
      </c>
    </row>
    <row r="196" spans="1:256">
      <c r="A196" t="e">
        <f>AND('GA55 Entry'!C750,"AAAAAGfYXwA=")</f>
        <v>#VALUE!</v>
      </c>
      <c r="B196" t="e">
        <f>AND('GA55 Entry'!#REF!,"AAAAAGfYXwE=")</f>
        <v>#REF!</v>
      </c>
      <c r="C196" t="e">
        <f>AND('GA55 Entry'!#REF!,"AAAAAGfYXwI=")</f>
        <v>#REF!</v>
      </c>
      <c r="D196" t="e">
        <f>AND('GA55 Entry'!#REF!,"AAAAAGfYXwM=")</f>
        <v>#REF!</v>
      </c>
      <c r="E196" t="e">
        <f>AND('GA55 Entry'!#REF!,"AAAAAGfYXwQ=")</f>
        <v>#REF!</v>
      </c>
      <c r="F196" t="e">
        <f>AND('GA55 Entry'!#REF!,"AAAAAGfYXwU=")</f>
        <v>#REF!</v>
      </c>
      <c r="G196" t="e">
        <f>AND('GA55 Entry'!D750,"AAAAAGfYXwY=")</f>
        <v>#VALUE!</v>
      </c>
      <c r="H196" t="e">
        <f>AND('GA55 Entry'!#REF!,"AAAAAGfYXwc=")</f>
        <v>#REF!</v>
      </c>
      <c r="I196" t="e">
        <f>AND('GA55 Entry'!E750,"AAAAAGfYXwg=")</f>
        <v>#VALUE!</v>
      </c>
      <c r="J196" t="e">
        <f>AND('GA55 Entry'!F750,"AAAAAGfYXwk=")</f>
        <v>#VALUE!</v>
      </c>
      <c r="K196" t="e">
        <f>AND('GA55 Entry'!G750,"AAAAAGfYXwo=")</f>
        <v>#VALUE!</v>
      </c>
      <c r="L196" t="e">
        <f>AND('GA55 Entry'!H750,"AAAAAGfYXws=")</f>
        <v>#VALUE!</v>
      </c>
      <c r="M196" t="e">
        <f>AND('GA55 Entry'!I750,"AAAAAGfYXww=")</f>
        <v>#VALUE!</v>
      </c>
      <c r="N196" t="e">
        <f>AND('GA55 Entry'!J750,"AAAAAGfYXw0=")</f>
        <v>#VALUE!</v>
      </c>
      <c r="O196" t="e">
        <f>AND('GA55 Entry'!#REF!,"AAAAAGfYXw4=")</f>
        <v>#REF!</v>
      </c>
      <c r="P196" t="e">
        <f>AND('GA55 Entry'!K750,"AAAAAGfYXw8=")</f>
        <v>#VALUE!</v>
      </c>
      <c r="Q196" t="e">
        <f>AND('GA55 Entry'!L750,"AAAAAGfYXxA=")</f>
        <v>#VALUE!</v>
      </c>
      <c r="R196" t="e">
        <f>AND('GA55 Entry'!M750,"AAAAAGfYXxE=")</f>
        <v>#VALUE!</v>
      </c>
      <c r="S196" t="e">
        <f>AND('GA55 Entry'!N750,"AAAAAGfYXxI=")</f>
        <v>#VALUE!</v>
      </c>
      <c r="T196" t="e">
        <f>AND('GA55 Entry'!O750,"AAAAAGfYXxM=")</f>
        <v>#VALUE!</v>
      </c>
      <c r="U196" t="e">
        <f>AND('GA55 Entry'!P750,"AAAAAGfYXxQ=")</f>
        <v>#VALUE!</v>
      </c>
      <c r="V196" t="e">
        <f>AND('GA55 Entry'!Q750,"AAAAAGfYXxU=")</f>
        <v>#VALUE!</v>
      </c>
      <c r="W196" t="e">
        <f>AND('GA55 Entry'!S750,"AAAAAGfYXxY=")</f>
        <v>#VALUE!</v>
      </c>
      <c r="X196" t="e">
        <f>AND('GA55 Entry'!#REF!,"AAAAAGfYXxc=")</f>
        <v>#REF!</v>
      </c>
      <c r="Y196" t="e">
        <f>AND('GA55 Entry'!T750,"AAAAAGfYXxg=")</f>
        <v>#VALUE!</v>
      </c>
      <c r="Z196" t="e">
        <f>AND('GA55 Entry'!U750,"AAAAAGfYXxk=")</f>
        <v>#VALUE!</v>
      </c>
      <c r="AA196" t="e">
        <f>AND('GA55 Entry'!V750,"AAAAAGfYXxo=")</f>
        <v>#VALUE!</v>
      </c>
      <c r="AB196" t="e">
        <f>AND('GA55 Entry'!#REF!,"AAAAAGfYXxs=")</f>
        <v>#REF!</v>
      </c>
      <c r="AC196" t="e">
        <f>AND('GA55 Entry'!#REF!,"AAAAAGfYXxw=")</f>
        <v>#REF!</v>
      </c>
      <c r="AD196" t="e">
        <f>AND('GA55 Entry'!X750,"AAAAAGfYXx0=")</f>
        <v>#VALUE!</v>
      </c>
      <c r="AE196" t="e">
        <f>AND('GA55 Entry'!Y750,"AAAAAGfYXx4=")</f>
        <v>#VALUE!</v>
      </c>
      <c r="AF196" t="e">
        <f>AND('GA55 Entry'!#REF!,"AAAAAGfYXx8=")</f>
        <v>#REF!</v>
      </c>
      <c r="AG196" t="e">
        <f>AND('GA55 Entry'!#REF!,"AAAAAGfYXyA=")</f>
        <v>#REF!</v>
      </c>
      <c r="AH196" t="e">
        <f>AND('GA55 Entry'!#REF!,"AAAAAGfYXyE=")</f>
        <v>#REF!</v>
      </c>
      <c r="AI196" t="e">
        <f>AND('GA55 Entry'!#REF!,"AAAAAGfYXyI=")</f>
        <v>#REF!</v>
      </c>
      <c r="AJ196" t="e">
        <f>AND('GA55 Entry'!#REF!,"AAAAAGfYXyM=")</f>
        <v>#REF!</v>
      </c>
      <c r="AK196" t="e">
        <f>AND('GA55 Entry'!#REF!,"AAAAAGfYXyQ=")</f>
        <v>#REF!</v>
      </c>
      <c r="AL196" t="e">
        <f>AND('GA55 Entry'!#REF!,"AAAAAGfYXyU=")</f>
        <v>#REF!</v>
      </c>
      <c r="AM196" t="e">
        <f>AND('GA55 Entry'!#REF!,"AAAAAGfYXyY=")</f>
        <v>#REF!</v>
      </c>
      <c r="AN196" t="e">
        <f>AND('GA55 Entry'!#REF!,"AAAAAGfYXyc=")</f>
        <v>#REF!</v>
      </c>
      <c r="AO196" t="e">
        <f>AND('GA55 Entry'!Z750,"AAAAAGfYXyg=")</f>
        <v>#VALUE!</v>
      </c>
      <c r="AP196" t="e">
        <f>AND('GA55 Entry'!AA750,"AAAAAGfYXyk=")</f>
        <v>#VALUE!</v>
      </c>
      <c r="AQ196" t="e">
        <f>AND('GA55 Entry'!#REF!,"AAAAAGfYXyo=")</f>
        <v>#REF!</v>
      </c>
      <c r="AR196" t="e">
        <f>AND('GA55 Entry'!#REF!,"AAAAAGfYXys=")</f>
        <v>#REF!</v>
      </c>
      <c r="AS196" t="e">
        <f>AND('GA55 Entry'!#REF!,"AAAAAGfYXyw=")</f>
        <v>#REF!</v>
      </c>
      <c r="AT196" t="e">
        <f>AND('GA55 Entry'!AB750,"AAAAAGfYXy0=")</f>
        <v>#VALUE!</v>
      </c>
      <c r="AU196" t="e">
        <f>AND('GA55 Entry'!AC750,"AAAAAGfYXy4=")</f>
        <v>#VALUE!</v>
      </c>
      <c r="AV196" t="e">
        <f>AND('GA55 Entry'!#REF!,"AAAAAGfYXy8=")</f>
        <v>#REF!</v>
      </c>
      <c r="AW196">
        <f>IF('GA55 Entry'!751:751,"AAAAAGfYXzA=",0)</f>
        <v>0</v>
      </c>
      <c r="AX196" t="e">
        <f>AND('GA55 Entry'!B751,"AAAAAGfYXzE=")</f>
        <v>#VALUE!</v>
      </c>
      <c r="AY196" t="e">
        <f>AND('GA55 Entry'!#REF!,"AAAAAGfYXzI=")</f>
        <v>#REF!</v>
      </c>
      <c r="AZ196" t="e">
        <f>AND('GA55 Entry'!C751,"AAAAAGfYXzM=")</f>
        <v>#VALUE!</v>
      </c>
      <c r="BA196" t="e">
        <f>AND('GA55 Entry'!#REF!,"AAAAAGfYXzQ=")</f>
        <v>#REF!</v>
      </c>
      <c r="BB196" t="e">
        <f>AND('GA55 Entry'!#REF!,"AAAAAGfYXzU=")</f>
        <v>#REF!</v>
      </c>
      <c r="BC196" t="e">
        <f>AND('GA55 Entry'!#REF!,"AAAAAGfYXzY=")</f>
        <v>#REF!</v>
      </c>
      <c r="BD196" t="e">
        <f>AND('GA55 Entry'!#REF!,"AAAAAGfYXzc=")</f>
        <v>#REF!</v>
      </c>
      <c r="BE196" t="e">
        <f>AND('GA55 Entry'!#REF!,"AAAAAGfYXzg=")</f>
        <v>#REF!</v>
      </c>
      <c r="BF196" t="e">
        <f>AND('GA55 Entry'!D751,"AAAAAGfYXzk=")</f>
        <v>#VALUE!</v>
      </c>
      <c r="BG196" t="e">
        <f>AND('GA55 Entry'!#REF!,"AAAAAGfYXzo=")</f>
        <v>#REF!</v>
      </c>
      <c r="BH196" t="e">
        <f>AND('GA55 Entry'!E751,"AAAAAGfYXzs=")</f>
        <v>#VALUE!</v>
      </c>
      <c r="BI196" t="e">
        <f>AND('GA55 Entry'!F751,"AAAAAGfYXzw=")</f>
        <v>#VALUE!</v>
      </c>
      <c r="BJ196" t="e">
        <f>AND('GA55 Entry'!G751,"AAAAAGfYXz0=")</f>
        <v>#VALUE!</v>
      </c>
      <c r="BK196" t="e">
        <f>AND('GA55 Entry'!H751,"AAAAAGfYXz4=")</f>
        <v>#VALUE!</v>
      </c>
      <c r="BL196" t="e">
        <f>AND('GA55 Entry'!I751,"AAAAAGfYXz8=")</f>
        <v>#VALUE!</v>
      </c>
      <c r="BM196" t="e">
        <f>AND('GA55 Entry'!J751,"AAAAAGfYX0A=")</f>
        <v>#VALUE!</v>
      </c>
      <c r="BN196" t="e">
        <f>AND('GA55 Entry'!#REF!,"AAAAAGfYX0E=")</f>
        <v>#REF!</v>
      </c>
      <c r="BO196" t="e">
        <f>AND('GA55 Entry'!K751,"AAAAAGfYX0I=")</f>
        <v>#VALUE!</v>
      </c>
      <c r="BP196" t="e">
        <f>AND('GA55 Entry'!L751,"AAAAAGfYX0M=")</f>
        <v>#VALUE!</v>
      </c>
      <c r="BQ196" t="e">
        <f>AND('GA55 Entry'!M751,"AAAAAGfYX0Q=")</f>
        <v>#VALUE!</v>
      </c>
      <c r="BR196" t="e">
        <f>AND('GA55 Entry'!N751,"AAAAAGfYX0U=")</f>
        <v>#VALUE!</v>
      </c>
      <c r="BS196" t="e">
        <f>AND('GA55 Entry'!O751,"AAAAAGfYX0Y=")</f>
        <v>#VALUE!</v>
      </c>
      <c r="BT196" t="e">
        <f>AND('GA55 Entry'!P751,"AAAAAGfYX0c=")</f>
        <v>#VALUE!</v>
      </c>
      <c r="BU196" t="e">
        <f>AND('GA55 Entry'!Q751,"AAAAAGfYX0g=")</f>
        <v>#VALUE!</v>
      </c>
      <c r="BV196" t="e">
        <f>AND('GA55 Entry'!S751,"AAAAAGfYX0k=")</f>
        <v>#VALUE!</v>
      </c>
      <c r="BW196" t="e">
        <f>AND('GA55 Entry'!#REF!,"AAAAAGfYX0o=")</f>
        <v>#REF!</v>
      </c>
      <c r="BX196" t="e">
        <f>AND('GA55 Entry'!T751,"AAAAAGfYX0s=")</f>
        <v>#VALUE!</v>
      </c>
      <c r="BY196" t="e">
        <f>AND('GA55 Entry'!U751,"AAAAAGfYX0w=")</f>
        <v>#VALUE!</v>
      </c>
      <c r="BZ196" t="e">
        <f>AND('GA55 Entry'!V751,"AAAAAGfYX00=")</f>
        <v>#VALUE!</v>
      </c>
      <c r="CA196" t="e">
        <f>AND('GA55 Entry'!#REF!,"AAAAAGfYX04=")</f>
        <v>#REF!</v>
      </c>
      <c r="CB196" t="e">
        <f>AND('GA55 Entry'!#REF!,"AAAAAGfYX08=")</f>
        <v>#REF!</v>
      </c>
      <c r="CC196" t="e">
        <f>AND('GA55 Entry'!X751,"AAAAAGfYX1A=")</f>
        <v>#VALUE!</v>
      </c>
      <c r="CD196" t="e">
        <f>AND('GA55 Entry'!Y751,"AAAAAGfYX1E=")</f>
        <v>#VALUE!</v>
      </c>
      <c r="CE196" t="e">
        <f>AND('GA55 Entry'!#REF!,"AAAAAGfYX1I=")</f>
        <v>#REF!</v>
      </c>
      <c r="CF196" t="e">
        <f>AND('GA55 Entry'!#REF!,"AAAAAGfYX1M=")</f>
        <v>#REF!</v>
      </c>
      <c r="CG196" t="e">
        <f>AND('GA55 Entry'!#REF!,"AAAAAGfYX1Q=")</f>
        <v>#REF!</v>
      </c>
      <c r="CH196" t="e">
        <f>AND('GA55 Entry'!#REF!,"AAAAAGfYX1U=")</f>
        <v>#REF!</v>
      </c>
      <c r="CI196" t="e">
        <f>AND('GA55 Entry'!#REF!,"AAAAAGfYX1Y=")</f>
        <v>#REF!</v>
      </c>
      <c r="CJ196" t="e">
        <f>AND('GA55 Entry'!#REF!,"AAAAAGfYX1c=")</f>
        <v>#REF!</v>
      </c>
      <c r="CK196" t="e">
        <f>AND('GA55 Entry'!#REF!,"AAAAAGfYX1g=")</f>
        <v>#REF!</v>
      </c>
      <c r="CL196" t="e">
        <f>AND('GA55 Entry'!#REF!,"AAAAAGfYX1k=")</f>
        <v>#REF!</v>
      </c>
      <c r="CM196" t="e">
        <f>AND('GA55 Entry'!#REF!,"AAAAAGfYX1o=")</f>
        <v>#REF!</v>
      </c>
      <c r="CN196" t="e">
        <f>AND('GA55 Entry'!Z751,"AAAAAGfYX1s=")</f>
        <v>#VALUE!</v>
      </c>
      <c r="CO196" t="e">
        <f>AND('GA55 Entry'!AA751,"AAAAAGfYX1w=")</f>
        <v>#VALUE!</v>
      </c>
      <c r="CP196" t="e">
        <f>AND('GA55 Entry'!#REF!,"AAAAAGfYX10=")</f>
        <v>#REF!</v>
      </c>
      <c r="CQ196" t="e">
        <f>AND('GA55 Entry'!#REF!,"AAAAAGfYX14=")</f>
        <v>#REF!</v>
      </c>
      <c r="CR196" t="e">
        <f>AND('GA55 Entry'!#REF!,"AAAAAGfYX18=")</f>
        <v>#REF!</v>
      </c>
      <c r="CS196" t="e">
        <f>AND('GA55 Entry'!AB751,"AAAAAGfYX2A=")</f>
        <v>#VALUE!</v>
      </c>
      <c r="CT196" t="e">
        <f>AND('GA55 Entry'!AC751,"AAAAAGfYX2E=")</f>
        <v>#VALUE!</v>
      </c>
      <c r="CU196" t="e">
        <f>AND('GA55 Entry'!#REF!,"AAAAAGfYX2I=")</f>
        <v>#REF!</v>
      </c>
      <c r="CV196">
        <f>IF('GA55 Entry'!752:752,"AAAAAGfYX2M=",0)</f>
        <v>0</v>
      </c>
      <c r="CW196" t="e">
        <f>AND('GA55 Entry'!B752,"AAAAAGfYX2Q=")</f>
        <v>#VALUE!</v>
      </c>
      <c r="CX196" t="e">
        <f>AND('GA55 Entry'!#REF!,"AAAAAGfYX2U=")</f>
        <v>#REF!</v>
      </c>
      <c r="CY196" t="e">
        <f>AND('GA55 Entry'!C752,"AAAAAGfYX2Y=")</f>
        <v>#VALUE!</v>
      </c>
      <c r="CZ196" t="e">
        <f>AND('GA55 Entry'!#REF!,"AAAAAGfYX2c=")</f>
        <v>#REF!</v>
      </c>
      <c r="DA196" t="e">
        <f>AND('GA55 Entry'!#REF!,"AAAAAGfYX2g=")</f>
        <v>#REF!</v>
      </c>
      <c r="DB196" t="e">
        <f>AND('GA55 Entry'!#REF!,"AAAAAGfYX2k=")</f>
        <v>#REF!</v>
      </c>
      <c r="DC196" t="e">
        <f>AND('GA55 Entry'!#REF!,"AAAAAGfYX2o=")</f>
        <v>#REF!</v>
      </c>
      <c r="DD196" t="e">
        <f>AND('GA55 Entry'!#REF!,"AAAAAGfYX2s=")</f>
        <v>#REF!</v>
      </c>
      <c r="DE196" t="e">
        <f>AND('GA55 Entry'!D752,"AAAAAGfYX2w=")</f>
        <v>#VALUE!</v>
      </c>
      <c r="DF196" t="e">
        <f>AND('GA55 Entry'!#REF!,"AAAAAGfYX20=")</f>
        <v>#REF!</v>
      </c>
      <c r="DG196" t="e">
        <f>AND('GA55 Entry'!E752,"AAAAAGfYX24=")</f>
        <v>#VALUE!</v>
      </c>
      <c r="DH196" t="e">
        <f>AND('GA55 Entry'!F752,"AAAAAGfYX28=")</f>
        <v>#VALUE!</v>
      </c>
      <c r="DI196" t="e">
        <f>AND('GA55 Entry'!G752,"AAAAAGfYX3A=")</f>
        <v>#VALUE!</v>
      </c>
      <c r="DJ196" t="e">
        <f>AND('GA55 Entry'!H752,"AAAAAGfYX3E=")</f>
        <v>#VALUE!</v>
      </c>
      <c r="DK196" t="e">
        <f>AND('GA55 Entry'!I752,"AAAAAGfYX3I=")</f>
        <v>#VALUE!</v>
      </c>
      <c r="DL196" t="e">
        <f>AND('GA55 Entry'!J752,"AAAAAGfYX3M=")</f>
        <v>#VALUE!</v>
      </c>
      <c r="DM196" t="e">
        <f>AND('GA55 Entry'!#REF!,"AAAAAGfYX3Q=")</f>
        <v>#REF!</v>
      </c>
      <c r="DN196" t="e">
        <f>AND('GA55 Entry'!K752,"AAAAAGfYX3U=")</f>
        <v>#VALUE!</v>
      </c>
      <c r="DO196" t="e">
        <f>AND('GA55 Entry'!L752,"AAAAAGfYX3Y=")</f>
        <v>#VALUE!</v>
      </c>
      <c r="DP196" t="e">
        <f>AND('GA55 Entry'!M752,"AAAAAGfYX3c=")</f>
        <v>#VALUE!</v>
      </c>
      <c r="DQ196" t="e">
        <f>AND('GA55 Entry'!N752,"AAAAAGfYX3g=")</f>
        <v>#VALUE!</v>
      </c>
      <c r="DR196" t="e">
        <f>AND('GA55 Entry'!O752,"AAAAAGfYX3k=")</f>
        <v>#VALUE!</v>
      </c>
      <c r="DS196" t="e">
        <f>AND('GA55 Entry'!P752,"AAAAAGfYX3o=")</f>
        <v>#VALUE!</v>
      </c>
      <c r="DT196" t="e">
        <f>AND('GA55 Entry'!Q752,"AAAAAGfYX3s=")</f>
        <v>#VALUE!</v>
      </c>
      <c r="DU196" t="e">
        <f>AND('GA55 Entry'!S752,"AAAAAGfYX3w=")</f>
        <v>#VALUE!</v>
      </c>
      <c r="DV196" t="e">
        <f>AND('GA55 Entry'!#REF!,"AAAAAGfYX30=")</f>
        <v>#REF!</v>
      </c>
      <c r="DW196" t="e">
        <f>AND('GA55 Entry'!T752,"AAAAAGfYX34=")</f>
        <v>#VALUE!</v>
      </c>
      <c r="DX196" t="e">
        <f>AND('GA55 Entry'!U752,"AAAAAGfYX38=")</f>
        <v>#VALUE!</v>
      </c>
      <c r="DY196" t="e">
        <f>AND('GA55 Entry'!V752,"AAAAAGfYX4A=")</f>
        <v>#VALUE!</v>
      </c>
      <c r="DZ196" t="e">
        <f>AND('GA55 Entry'!#REF!,"AAAAAGfYX4E=")</f>
        <v>#REF!</v>
      </c>
      <c r="EA196" t="e">
        <f>AND('GA55 Entry'!#REF!,"AAAAAGfYX4I=")</f>
        <v>#REF!</v>
      </c>
      <c r="EB196" t="e">
        <f>AND('GA55 Entry'!X752,"AAAAAGfYX4M=")</f>
        <v>#VALUE!</v>
      </c>
      <c r="EC196" t="e">
        <f>AND('GA55 Entry'!Y752,"AAAAAGfYX4Q=")</f>
        <v>#VALUE!</v>
      </c>
      <c r="ED196" t="e">
        <f>AND('GA55 Entry'!#REF!,"AAAAAGfYX4U=")</f>
        <v>#REF!</v>
      </c>
      <c r="EE196" t="e">
        <f>AND('GA55 Entry'!#REF!,"AAAAAGfYX4Y=")</f>
        <v>#REF!</v>
      </c>
      <c r="EF196" t="e">
        <f>AND('GA55 Entry'!#REF!,"AAAAAGfYX4c=")</f>
        <v>#REF!</v>
      </c>
      <c r="EG196" t="e">
        <f>AND('GA55 Entry'!#REF!,"AAAAAGfYX4g=")</f>
        <v>#REF!</v>
      </c>
      <c r="EH196" t="e">
        <f>AND('GA55 Entry'!#REF!,"AAAAAGfYX4k=")</f>
        <v>#REF!</v>
      </c>
      <c r="EI196" t="e">
        <f>AND('GA55 Entry'!#REF!,"AAAAAGfYX4o=")</f>
        <v>#REF!</v>
      </c>
      <c r="EJ196" t="e">
        <f>AND('GA55 Entry'!#REF!,"AAAAAGfYX4s=")</f>
        <v>#REF!</v>
      </c>
      <c r="EK196" t="e">
        <f>AND('GA55 Entry'!#REF!,"AAAAAGfYX4w=")</f>
        <v>#REF!</v>
      </c>
      <c r="EL196" t="e">
        <f>AND('GA55 Entry'!#REF!,"AAAAAGfYX40=")</f>
        <v>#REF!</v>
      </c>
      <c r="EM196" t="e">
        <f>AND('GA55 Entry'!Z752,"AAAAAGfYX44=")</f>
        <v>#VALUE!</v>
      </c>
      <c r="EN196" t="e">
        <f>AND('GA55 Entry'!AA752,"AAAAAGfYX48=")</f>
        <v>#VALUE!</v>
      </c>
      <c r="EO196" t="e">
        <f>AND('GA55 Entry'!#REF!,"AAAAAGfYX5A=")</f>
        <v>#REF!</v>
      </c>
      <c r="EP196" t="e">
        <f>AND('GA55 Entry'!#REF!,"AAAAAGfYX5E=")</f>
        <v>#REF!</v>
      </c>
      <c r="EQ196" t="e">
        <f>AND('GA55 Entry'!#REF!,"AAAAAGfYX5I=")</f>
        <v>#REF!</v>
      </c>
      <c r="ER196" t="e">
        <f>AND('GA55 Entry'!AB752,"AAAAAGfYX5M=")</f>
        <v>#VALUE!</v>
      </c>
      <c r="ES196" t="e">
        <f>AND('GA55 Entry'!AC752,"AAAAAGfYX5Q=")</f>
        <v>#VALUE!</v>
      </c>
      <c r="ET196" t="e">
        <f>AND('GA55 Entry'!#REF!,"AAAAAGfYX5U=")</f>
        <v>#REF!</v>
      </c>
      <c r="EU196">
        <f>IF('GA55 Entry'!753:753,"AAAAAGfYX5Y=",0)</f>
        <v>0</v>
      </c>
      <c r="EV196" t="e">
        <f>AND('GA55 Entry'!B753,"AAAAAGfYX5c=")</f>
        <v>#VALUE!</v>
      </c>
      <c r="EW196" t="e">
        <f>AND('GA55 Entry'!#REF!,"AAAAAGfYX5g=")</f>
        <v>#REF!</v>
      </c>
      <c r="EX196" t="e">
        <f>AND('GA55 Entry'!C753,"AAAAAGfYX5k=")</f>
        <v>#VALUE!</v>
      </c>
      <c r="EY196" t="e">
        <f>AND('GA55 Entry'!#REF!,"AAAAAGfYX5o=")</f>
        <v>#REF!</v>
      </c>
      <c r="EZ196" t="e">
        <f>AND('GA55 Entry'!#REF!,"AAAAAGfYX5s=")</f>
        <v>#REF!</v>
      </c>
      <c r="FA196" t="e">
        <f>AND('GA55 Entry'!#REF!,"AAAAAGfYX5w=")</f>
        <v>#REF!</v>
      </c>
      <c r="FB196" t="e">
        <f>AND('GA55 Entry'!#REF!,"AAAAAGfYX50=")</f>
        <v>#REF!</v>
      </c>
      <c r="FC196" t="e">
        <f>AND('GA55 Entry'!#REF!,"AAAAAGfYX54=")</f>
        <v>#REF!</v>
      </c>
      <c r="FD196" t="e">
        <f>AND('GA55 Entry'!D753,"AAAAAGfYX58=")</f>
        <v>#VALUE!</v>
      </c>
      <c r="FE196" t="e">
        <f>AND('GA55 Entry'!#REF!,"AAAAAGfYX6A=")</f>
        <v>#REF!</v>
      </c>
      <c r="FF196" t="e">
        <f>AND('GA55 Entry'!E753,"AAAAAGfYX6E=")</f>
        <v>#VALUE!</v>
      </c>
      <c r="FG196" t="e">
        <f>AND('GA55 Entry'!F753,"AAAAAGfYX6I=")</f>
        <v>#VALUE!</v>
      </c>
      <c r="FH196" t="e">
        <f>AND('GA55 Entry'!G753,"AAAAAGfYX6M=")</f>
        <v>#VALUE!</v>
      </c>
      <c r="FI196" t="e">
        <f>AND('GA55 Entry'!H753,"AAAAAGfYX6Q=")</f>
        <v>#VALUE!</v>
      </c>
      <c r="FJ196" t="e">
        <f>AND('GA55 Entry'!I753,"AAAAAGfYX6U=")</f>
        <v>#VALUE!</v>
      </c>
      <c r="FK196" t="e">
        <f>AND('GA55 Entry'!J753,"AAAAAGfYX6Y=")</f>
        <v>#VALUE!</v>
      </c>
      <c r="FL196" t="e">
        <f>AND('GA55 Entry'!#REF!,"AAAAAGfYX6c=")</f>
        <v>#REF!</v>
      </c>
      <c r="FM196" t="e">
        <f>AND('GA55 Entry'!K753,"AAAAAGfYX6g=")</f>
        <v>#VALUE!</v>
      </c>
      <c r="FN196" t="e">
        <f>AND('GA55 Entry'!L753,"AAAAAGfYX6k=")</f>
        <v>#VALUE!</v>
      </c>
      <c r="FO196" t="e">
        <f>AND('GA55 Entry'!M753,"AAAAAGfYX6o=")</f>
        <v>#VALUE!</v>
      </c>
      <c r="FP196" t="e">
        <f>AND('GA55 Entry'!N753,"AAAAAGfYX6s=")</f>
        <v>#VALUE!</v>
      </c>
      <c r="FQ196" t="e">
        <f>AND('GA55 Entry'!O753,"AAAAAGfYX6w=")</f>
        <v>#VALUE!</v>
      </c>
      <c r="FR196" t="e">
        <f>AND('GA55 Entry'!P753,"AAAAAGfYX60=")</f>
        <v>#VALUE!</v>
      </c>
      <c r="FS196" t="e">
        <f>AND('GA55 Entry'!Q753,"AAAAAGfYX64=")</f>
        <v>#VALUE!</v>
      </c>
      <c r="FT196" t="e">
        <f>AND('GA55 Entry'!S753,"AAAAAGfYX68=")</f>
        <v>#VALUE!</v>
      </c>
      <c r="FU196" t="e">
        <f>AND('GA55 Entry'!#REF!,"AAAAAGfYX7A=")</f>
        <v>#REF!</v>
      </c>
      <c r="FV196" t="e">
        <f>AND('GA55 Entry'!T753,"AAAAAGfYX7E=")</f>
        <v>#VALUE!</v>
      </c>
      <c r="FW196" t="e">
        <f>AND('GA55 Entry'!U753,"AAAAAGfYX7I=")</f>
        <v>#VALUE!</v>
      </c>
      <c r="FX196" t="e">
        <f>AND('GA55 Entry'!V753,"AAAAAGfYX7M=")</f>
        <v>#VALUE!</v>
      </c>
      <c r="FY196" t="e">
        <f>AND('GA55 Entry'!#REF!,"AAAAAGfYX7Q=")</f>
        <v>#REF!</v>
      </c>
      <c r="FZ196" t="e">
        <f>AND('GA55 Entry'!#REF!,"AAAAAGfYX7U=")</f>
        <v>#REF!</v>
      </c>
      <c r="GA196" t="e">
        <f>AND('GA55 Entry'!X753,"AAAAAGfYX7Y=")</f>
        <v>#VALUE!</v>
      </c>
      <c r="GB196" t="e">
        <f>AND('GA55 Entry'!Y753,"AAAAAGfYX7c=")</f>
        <v>#VALUE!</v>
      </c>
      <c r="GC196" t="e">
        <f>AND('GA55 Entry'!#REF!,"AAAAAGfYX7g=")</f>
        <v>#REF!</v>
      </c>
      <c r="GD196" t="e">
        <f>AND('GA55 Entry'!#REF!,"AAAAAGfYX7k=")</f>
        <v>#REF!</v>
      </c>
      <c r="GE196" t="e">
        <f>AND('GA55 Entry'!#REF!,"AAAAAGfYX7o=")</f>
        <v>#REF!</v>
      </c>
      <c r="GF196" t="e">
        <f>AND('GA55 Entry'!#REF!,"AAAAAGfYX7s=")</f>
        <v>#REF!</v>
      </c>
      <c r="GG196" t="e">
        <f>AND('GA55 Entry'!#REF!,"AAAAAGfYX7w=")</f>
        <v>#REF!</v>
      </c>
      <c r="GH196" t="e">
        <f>AND('GA55 Entry'!#REF!,"AAAAAGfYX70=")</f>
        <v>#REF!</v>
      </c>
      <c r="GI196" t="e">
        <f>AND('GA55 Entry'!#REF!,"AAAAAGfYX74=")</f>
        <v>#REF!</v>
      </c>
      <c r="GJ196" t="e">
        <f>AND('GA55 Entry'!#REF!,"AAAAAGfYX78=")</f>
        <v>#REF!</v>
      </c>
      <c r="GK196" t="e">
        <f>AND('GA55 Entry'!#REF!,"AAAAAGfYX8A=")</f>
        <v>#REF!</v>
      </c>
      <c r="GL196" t="e">
        <f>AND('GA55 Entry'!Z753,"AAAAAGfYX8E=")</f>
        <v>#VALUE!</v>
      </c>
      <c r="GM196" t="e">
        <f>AND('GA55 Entry'!AA753,"AAAAAGfYX8I=")</f>
        <v>#VALUE!</v>
      </c>
      <c r="GN196" t="e">
        <f>AND('GA55 Entry'!#REF!,"AAAAAGfYX8M=")</f>
        <v>#REF!</v>
      </c>
      <c r="GO196" t="e">
        <f>AND('GA55 Entry'!#REF!,"AAAAAGfYX8Q=")</f>
        <v>#REF!</v>
      </c>
      <c r="GP196" t="e">
        <f>AND('GA55 Entry'!#REF!,"AAAAAGfYX8U=")</f>
        <v>#REF!</v>
      </c>
      <c r="GQ196" t="e">
        <f>AND('GA55 Entry'!AB753,"AAAAAGfYX8Y=")</f>
        <v>#VALUE!</v>
      </c>
      <c r="GR196" t="e">
        <f>AND('GA55 Entry'!AC753,"AAAAAGfYX8c=")</f>
        <v>#VALUE!</v>
      </c>
      <c r="GS196" t="e">
        <f>AND('GA55 Entry'!#REF!,"AAAAAGfYX8g=")</f>
        <v>#REF!</v>
      </c>
      <c r="GT196">
        <f>IF('GA55 Entry'!754:754,"AAAAAGfYX8k=",0)</f>
        <v>0</v>
      </c>
      <c r="GU196" t="e">
        <f>AND('GA55 Entry'!B754,"AAAAAGfYX8o=")</f>
        <v>#VALUE!</v>
      </c>
      <c r="GV196" t="e">
        <f>AND('GA55 Entry'!#REF!,"AAAAAGfYX8s=")</f>
        <v>#REF!</v>
      </c>
      <c r="GW196" t="e">
        <f>AND('GA55 Entry'!C754,"AAAAAGfYX8w=")</f>
        <v>#VALUE!</v>
      </c>
      <c r="GX196" t="e">
        <f>AND('GA55 Entry'!#REF!,"AAAAAGfYX80=")</f>
        <v>#REF!</v>
      </c>
      <c r="GY196" t="e">
        <f>AND('GA55 Entry'!#REF!,"AAAAAGfYX84=")</f>
        <v>#REF!</v>
      </c>
      <c r="GZ196" t="e">
        <f>AND('GA55 Entry'!#REF!,"AAAAAGfYX88=")</f>
        <v>#REF!</v>
      </c>
      <c r="HA196" t="e">
        <f>AND('GA55 Entry'!#REF!,"AAAAAGfYX9A=")</f>
        <v>#REF!</v>
      </c>
      <c r="HB196" t="e">
        <f>AND('GA55 Entry'!#REF!,"AAAAAGfYX9E=")</f>
        <v>#REF!</v>
      </c>
      <c r="HC196" t="e">
        <f>AND('GA55 Entry'!D754,"AAAAAGfYX9I=")</f>
        <v>#VALUE!</v>
      </c>
      <c r="HD196" t="e">
        <f>AND('GA55 Entry'!#REF!,"AAAAAGfYX9M=")</f>
        <v>#REF!</v>
      </c>
      <c r="HE196" t="e">
        <f>AND('GA55 Entry'!E754,"AAAAAGfYX9Q=")</f>
        <v>#VALUE!</v>
      </c>
      <c r="HF196" t="e">
        <f>AND('GA55 Entry'!F754,"AAAAAGfYX9U=")</f>
        <v>#VALUE!</v>
      </c>
      <c r="HG196" t="e">
        <f>AND('GA55 Entry'!G754,"AAAAAGfYX9Y=")</f>
        <v>#VALUE!</v>
      </c>
      <c r="HH196" t="e">
        <f>AND('GA55 Entry'!H754,"AAAAAGfYX9c=")</f>
        <v>#VALUE!</v>
      </c>
      <c r="HI196" t="e">
        <f>AND('GA55 Entry'!I754,"AAAAAGfYX9g=")</f>
        <v>#VALUE!</v>
      </c>
      <c r="HJ196" t="e">
        <f>AND('GA55 Entry'!J754,"AAAAAGfYX9k=")</f>
        <v>#VALUE!</v>
      </c>
      <c r="HK196" t="e">
        <f>AND('GA55 Entry'!#REF!,"AAAAAGfYX9o=")</f>
        <v>#REF!</v>
      </c>
      <c r="HL196" t="e">
        <f>AND('GA55 Entry'!K754,"AAAAAGfYX9s=")</f>
        <v>#VALUE!</v>
      </c>
      <c r="HM196" t="e">
        <f>AND('GA55 Entry'!L754,"AAAAAGfYX9w=")</f>
        <v>#VALUE!</v>
      </c>
      <c r="HN196" t="e">
        <f>AND('GA55 Entry'!M754,"AAAAAGfYX90=")</f>
        <v>#VALUE!</v>
      </c>
      <c r="HO196" t="e">
        <f>AND('GA55 Entry'!N754,"AAAAAGfYX94=")</f>
        <v>#VALUE!</v>
      </c>
      <c r="HP196" t="e">
        <f>AND('GA55 Entry'!O754,"AAAAAGfYX98=")</f>
        <v>#VALUE!</v>
      </c>
      <c r="HQ196" t="e">
        <f>AND('GA55 Entry'!P754,"AAAAAGfYX+A=")</f>
        <v>#VALUE!</v>
      </c>
      <c r="HR196" t="e">
        <f>AND('GA55 Entry'!Q754,"AAAAAGfYX+E=")</f>
        <v>#VALUE!</v>
      </c>
      <c r="HS196" t="e">
        <f>AND('GA55 Entry'!S754,"AAAAAGfYX+I=")</f>
        <v>#VALUE!</v>
      </c>
      <c r="HT196" t="e">
        <f>AND('GA55 Entry'!#REF!,"AAAAAGfYX+M=")</f>
        <v>#REF!</v>
      </c>
      <c r="HU196" t="e">
        <f>AND('GA55 Entry'!T754,"AAAAAGfYX+Q=")</f>
        <v>#VALUE!</v>
      </c>
      <c r="HV196" t="e">
        <f>AND('GA55 Entry'!U754,"AAAAAGfYX+U=")</f>
        <v>#VALUE!</v>
      </c>
      <c r="HW196" t="e">
        <f>AND('GA55 Entry'!V754,"AAAAAGfYX+Y=")</f>
        <v>#VALUE!</v>
      </c>
      <c r="HX196" t="e">
        <f>AND('GA55 Entry'!#REF!,"AAAAAGfYX+c=")</f>
        <v>#REF!</v>
      </c>
      <c r="HY196" t="e">
        <f>AND('GA55 Entry'!#REF!,"AAAAAGfYX+g=")</f>
        <v>#REF!</v>
      </c>
      <c r="HZ196" t="e">
        <f>AND('GA55 Entry'!X754,"AAAAAGfYX+k=")</f>
        <v>#VALUE!</v>
      </c>
      <c r="IA196" t="e">
        <f>AND('GA55 Entry'!Y754,"AAAAAGfYX+o=")</f>
        <v>#VALUE!</v>
      </c>
      <c r="IB196" t="e">
        <f>AND('GA55 Entry'!#REF!,"AAAAAGfYX+s=")</f>
        <v>#REF!</v>
      </c>
      <c r="IC196" t="e">
        <f>AND('GA55 Entry'!#REF!,"AAAAAGfYX+w=")</f>
        <v>#REF!</v>
      </c>
      <c r="ID196" t="e">
        <f>AND('GA55 Entry'!#REF!,"AAAAAGfYX+0=")</f>
        <v>#REF!</v>
      </c>
      <c r="IE196" t="e">
        <f>AND('GA55 Entry'!#REF!,"AAAAAGfYX+4=")</f>
        <v>#REF!</v>
      </c>
      <c r="IF196" t="e">
        <f>AND('GA55 Entry'!#REF!,"AAAAAGfYX+8=")</f>
        <v>#REF!</v>
      </c>
      <c r="IG196" t="e">
        <f>AND('GA55 Entry'!#REF!,"AAAAAGfYX/A=")</f>
        <v>#REF!</v>
      </c>
      <c r="IH196" t="e">
        <f>AND('GA55 Entry'!#REF!,"AAAAAGfYX/E=")</f>
        <v>#REF!</v>
      </c>
      <c r="II196" t="e">
        <f>AND('GA55 Entry'!#REF!,"AAAAAGfYX/I=")</f>
        <v>#REF!</v>
      </c>
      <c r="IJ196" t="e">
        <f>AND('GA55 Entry'!#REF!,"AAAAAGfYX/M=")</f>
        <v>#REF!</v>
      </c>
      <c r="IK196" t="e">
        <f>AND('GA55 Entry'!Z754,"AAAAAGfYX/Q=")</f>
        <v>#VALUE!</v>
      </c>
      <c r="IL196" t="e">
        <f>AND('GA55 Entry'!AA754,"AAAAAGfYX/U=")</f>
        <v>#VALUE!</v>
      </c>
      <c r="IM196" t="e">
        <f>AND('GA55 Entry'!#REF!,"AAAAAGfYX/Y=")</f>
        <v>#REF!</v>
      </c>
      <c r="IN196" t="e">
        <f>AND('GA55 Entry'!#REF!,"AAAAAGfYX/c=")</f>
        <v>#REF!</v>
      </c>
      <c r="IO196" t="e">
        <f>AND('GA55 Entry'!#REF!,"AAAAAGfYX/g=")</f>
        <v>#REF!</v>
      </c>
      <c r="IP196" t="e">
        <f>AND('GA55 Entry'!AB754,"AAAAAGfYX/k=")</f>
        <v>#VALUE!</v>
      </c>
      <c r="IQ196" t="e">
        <f>AND('GA55 Entry'!AC754,"AAAAAGfYX/o=")</f>
        <v>#VALUE!</v>
      </c>
      <c r="IR196" t="e">
        <f>AND('GA55 Entry'!#REF!,"AAAAAGfYX/s=")</f>
        <v>#REF!</v>
      </c>
      <c r="IS196">
        <f>IF('GA55 Entry'!755:755,"AAAAAGfYX/w=",0)</f>
        <v>0</v>
      </c>
      <c r="IT196" t="e">
        <f>AND('GA55 Entry'!B755,"AAAAAGfYX/0=")</f>
        <v>#VALUE!</v>
      </c>
      <c r="IU196" t="e">
        <f>AND('GA55 Entry'!#REF!,"AAAAAGfYX/4=")</f>
        <v>#REF!</v>
      </c>
      <c r="IV196" t="e">
        <f>AND('GA55 Entry'!C755,"AAAAAGfYX/8=")</f>
        <v>#VALUE!</v>
      </c>
    </row>
    <row r="197" spans="1:256">
      <c r="A197" t="e">
        <f>AND('GA55 Entry'!#REF!,"AAAAAD/z+gA=")</f>
        <v>#REF!</v>
      </c>
      <c r="B197" t="e">
        <f>AND('GA55 Entry'!#REF!,"AAAAAD/z+gE=")</f>
        <v>#REF!</v>
      </c>
      <c r="C197" t="e">
        <f>AND('GA55 Entry'!#REF!,"AAAAAD/z+gI=")</f>
        <v>#REF!</v>
      </c>
      <c r="D197" t="e">
        <f>AND('GA55 Entry'!#REF!,"AAAAAD/z+gM=")</f>
        <v>#REF!</v>
      </c>
      <c r="E197" t="e">
        <f>AND('GA55 Entry'!#REF!,"AAAAAD/z+gQ=")</f>
        <v>#REF!</v>
      </c>
      <c r="F197" t="e">
        <f>AND('GA55 Entry'!D755,"AAAAAD/z+gU=")</f>
        <v>#VALUE!</v>
      </c>
      <c r="G197" t="e">
        <f>AND('GA55 Entry'!#REF!,"AAAAAD/z+gY=")</f>
        <v>#REF!</v>
      </c>
      <c r="H197" t="e">
        <f>AND('GA55 Entry'!E755,"AAAAAD/z+gc=")</f>
        <v>#VALUE!</v>
      </c>
      <c r="I197" t="e">
        <f>AND('GA55 Entry'!F755,"AAAAAD/z+gg=")</f>
        <v>#VALUE!</v>
      </c>
      <c r="J197" t="e">
        <f>AND('GA55 Entry'!G755,"AAAAAD/z+gk=")</f>
        <v>#VALUE!</v>
      </c>
      <c r="K197" t="e">
        <f>AND('GA55 Entry'!H755,"AAAAAD/z+go=")</f>
        <v>#VALUE!</v>
      </c>
      <c r="L197" t="e">
        <f>AND('GA55 Entry'!I755,"AAAAAD/z+gs=")</f>
        <v>#VALUE!</v>
      </c>
      <c r="M197" t="e">
        <f>AND('GA55 Entry'!J755,"AAAAAD/z+gw=")</f>
        <v>#VALUE!</v>
      </c>
      <c r="N197" t="e">
        <f>AND('GA55 Entry'!#REF!,"AAAAAD/z+g0=")</f>
        <v>#REF!</v>
      </c>
      <c r="O197" t="e">
        <f>AND('GA55 Entry'!K755,"AAAAAD/z+g4=")</f>
        <v>#VALUE!</v>
      </c>
      <c r="P197" t="e">
        <f>AND('GA55 Entry'!L755,"AAAAAD/z+g8=")</f>
        <v>#VALUE!</v>
      </c>
      <c r="Q197" t="e">
        <f>AND('GA55 Entry'!M755,"AAAAAD/z+hA=")</f>
        <v>#VALUE!</v>
      </c>
      <c r="R197" t="e">
        <f>AND('GA55 Entry'!N755,"AAAAAD/z+hE=")</f>
        <v>#VALUE!</v>
      </c>
      <c r="S197" t="e">
        <f>AND('GA55 Entry'!O755,"AAAAAD/z+hI=")</f>
        <v>#VALUE!</v>
      </c>
      <c r="T197" t="e">
        <f>AND('GA55 Entry'!P755,"AAAAAD/z+hM=")</f>
        <v>#VALUE!</v>
      </c>
      <c r="U197" t="e">
        <f>AND('GA55 Entry'!Q755,"AAAAAD/z+hQ=")</f>
        <v>#VALUE!</v>
      </c>
      <c r="V197" t="e">
        <f>AND('GA55 Entry'!S755,"AAAAAD/z+hU=")</f>
        <v>#VALUE!</v>
      </c>
      <c r="W197" t="e">
        <f>AND('GA55 Entry'!#REF!,"AAAAAD/z+hY=")</f>
        <v>#REF!</v>
      </c>
      <c r="X197" t="e">
        <f>AND('GA55 Entry'!T755,"AAAAAD/z+hc=")</f>
        <v>#VALUE!</v>
      </c>
      <c r="Y197" t="e">
        <f>AND('GA55 Entry'!U755,"AAAAAD/z+hg=")</f>
        <v>#VALUE!</v>
      </c>
      <c r="Z197" t="e">
        <f>AND('GA55 Entry'!V755,"AAAAAD/z+hk=")</f>
        <v>#VALUE!</v>
      </c>
      <c r="AA197" t="e">
        <f>AND('GA55 Entry'!#REF!,"AAAAAD/z+ho=")</f>
        <v>#REF!</v>
      </c>
      <c r="AB197" t="e">
        <f>AND('GA55 Entry'!#REF!,"AAAAAD/z+hs=")</f>
        <v>#REF!</v>
      </c>
      <c r="AC197" t="e">
        <f>AND('GA55 Entry'!X755,"AAAAAD/z+hw=")</f>
        <v>#VALUE!</v>
      </c>
      <c r="AD197" t="e">
        <f>AND('GA55 Entry'!Y755,"AAAAAD/z+h0=")</f>
        <v>#VALUE!</v>
      </c>
      <c r="AE197" t="e">
        <f>AND('GA55 Entry'!#REF!,"AAAAAD/z+h4=")</f>
        <v>#REF!</v>
      </c>
      <c r="AF197" t="e">
        <f>AND('GA55 Entry'!#REF!,"AAAAAD/z+h8=")</f>
        <v>#REF!</v>
      </c>
      <c r="AG197" t="e">
        <f>AND('GA55 Entry'!#REF!,"AAAAAD/z+iA=")</f>
        <v>#REF!</v>
      </c>
      <c r="AH197" t="e">
        <f>AND('GA55 Entry'!#REF!,"AAAAAD/z+iE=")</f>
        <v>#REF!</v>
      </c>
      <c r="AI197" t="e">
        <f>AND('GA55 Entry'!#REF!,"AAAAAD/z+iI=")</f>
        <v>#REF!</v>
      </c>
      <c r="AJ197" t="e">
        <f>AND('GA55 Entry'!#REF!,"AAAAAD/z+iM=")</f>
        <v>#REF!</v>
      </c>
      <c r="AK197" t="e">
        <f>AND('GA55 Entry'!#REF!,"AAAAAD/z+iQ=")</f>
        <v>#REF!</v>
      </c>
      <c r="AL197" t="e">
        <f>AND('GA55 Entry'!#REF!,"AAAAAD/z+iU=")</f>
        <v>#REF!</v>
      </c>
      <c r="AM197" t="e">
        <f>AND('GA55 Entry'!#REF!,"AAAAAD/z+iY=")</f>
        <v>#REF!</v>
      </c>
      <c r="AN197" t="e">
        <f>AND('GA55 Entry'!Z755,"AAAAAD/z+ic=")</f>
        <v>#VALUE!</v>
      </c>
      <c r="AO197" t="e">
        <f>AND('GA55 Entry'!AA755,"AAAAAD/z+ig=")</f>
        <v>#VALUE!</v>
      </c>
      <c r="AP197" t="e">
        <f>AND('GA55 Entry'!#REF!,"AAAAAD/z+ik=")</f>
        <v>#REF!</v>
      </c>
      <c r="AQ197" t="e">
        <f>AND('GA55 Entry'!#REF!,"AAAAAD/z+io=")</f>
        <v>#REF!</v>
      </c>
      <c r="AR197" t="e">
        <f>AND('GA55 Entry'!#REF!,"AAAAAD/z+is=")</f>
        <v>#REF!</v>
      </c>
      <c r="AS197" t="e">
        <f>AND('GA55 Entry'!AB755,"AAAAAD/z+iw=")</f>
        <v>#VALUE!</v>
      </c>
      <c r="AT197" t="e">
        <f>AND('GA55 Entry'!AC755,"AAAAAD/z+i0=")</f>
        <v>#VALUE!</v>
      </c>
      <c r="AU197" t="e">
        <f>AND('GA55 Entry'!#REF!,"AAAAAD/z+i4=")</f>
        <v>#REF!</v>
      </c>
      <c r="AV197">
        <f>IF('GA55 Entry'!756:756,"AAAAAD/z+i8=",0)</f>
        <v>0</v>
      </c>
      <c r="AW197" t="e">
        <f>AND('GA55 Entry'!B756,"AAAAAD/z+jA=")</f>
        <v>#VALUE!</v>
      </c>
      <c r="AX197" t="e">
        <f>AND('GA55 Entry'!#REF!,"AAAAAD/z+jE=")</f>
        <v>#REF!</v>
      </c>
      <c r="AY197" t="e">
        <f>AND('GA55 Entry'!C756,"AAAAAD/z+jI=")</f>
        <v>#VALUE!</v>
      </c>
      <c r="AZ197" t="e">
        <f>AND('GA55 Entry'!#REF!,"AAAAAD/z+jM=")</f>
        <v>#REF!</v>
      </c>
      <c r="BA197" t="e">
        <f>AND('GA55 Entry'!#REF!,"AAAAAD/z+jQ=")</f>
        <v>#REF!</v>
      </c>
      <c r="BB197" t="e">
        <f>AND('GA55 Entry'!#REF!,"AAAAAD/z+jU=")</f>
        <v>#REF!</v>
      </c>
      <c r="BC197" t="e">
        <f>AND('GA55 Entry'!#REF!,"AAAAAD/z+jY=")</f>
        <v>#REF!</v>
      </c>
      <c r="BD197" t="e">
        <f>AND('GA55 Entry'!#REF!,"AAAAAD/z+jc=")</f>
        <v>#REF!</v>
      </c>
      <c r="BE197" t="e">
        <f>AND('GA55 Entry'!D756,"AAAAAD/z+jg=")</f>
        <v>#VALUE!</v>
      </c>
      <c r="BF197" t="e">
        <f>AND('GA55 Entry'!#REF!,"AAAAAD/z+jk=")</f>
        <v>#REF!</v>
      </c>
      <c r="BG197" t="e">
        <f>AND('GA55 Entry'!E756,"AAAAAD/z+jo=")</f>
        <v>#VALUE!</v>
      </c>
      <c r="BH197" t="e">
        <f>AND('GA55 Entry'!F756,"AAAAAD/z+js=")</f>
        <v>#VALUE!</v>
      </c>
      <c r="BI197" t="e">
        <f>AND('GA55 Entry'!G756,"AAAAAD/z+jw=")</f>
        <v>#VALUE!</v>
      </c>
      <c r="BJ197" t="e">
        <f>AND('GA55 Entry'!H756,"AAAAAD/z+j0=")</f>
        <v>#VALUE!</v>
      </c>
      <c r="BK197" t="e">
        <f>AND('GA55 Entry'!I756,"AAAAAD/z+j4=")</f>
        <v>#VALUE!</v>
      </c>
      <c r="BL197" t="e">
        <f>AND('GA55 Entry'!J756,"AAAAAD/z+j8=")</f>
        <v>#VALUE!</v>
      </c>
      <c r="BM197" t="e">
        <f>AND('GA55 Entry'!#REF!,"AAAAAD/z+kA=")</f>
        <v>#REF!</v>
      </c>
      <c r="BN197" t="e">
        <f>AND('GA55 Entry'!K756,"AAAAAD/z+kE=")</f>
        <v>#VALUE!</v>
      </c>
      <c r="BO197" t="e">
        <f>AND('GA55 Entry'!L756,"AAAAAD/z+kI=")</f>
        <v>#VALUE!</v>
      </c>
      <c r="BP197" t="e">
        <f>AND('GA55 Entry'!M756,"AAAAAD/z+kM=")</f>
        <v>#VALUE!</v>
      </c>
      <c r="BQ197" t="e">
        <f>AND('GA55 Entry'!N756,"AAAAAD/z+kQ=")</f>
        <v>#VALUE!</v>
      </c>
      <c r="BR197" t="e">
        <f>AND('GA55 Entry'!O756,"AAAAAD/z+kU=")</f>
        <v>#VALUE!</v>
      </c>
      <c r="BS197" t="e">
        <f>AND('GA55 Entry'!P756,"AAAAAD/z+kY=")</f>
        <v>#VALUE!</v>
      </c>
      <c r="BT197" t="e">
        <f>AND('GA55 Entry'!Q756,"AAAAAD/z+kc=")</f>
        <v>#VALUE!</v>
      </c>
      <c r="BU197" t="e">
        <f>AND('GA55 Entry'!S756,"AAAAAD/z+kg=")</f>
        <v>#VALUE!</v>
      </c>
      <c r="BV197" t="e">
        <f>AND('GA55 Entry'!#REF!,"AAAAAD/z+kk=")</f>
        <v>#REF!</v>
      </c>
      <c r="BW197" t="e">
        <f>AND('GA55 Entry'!T756,"AAAAAD/z+ko=")</f>
        <v>#VALUE!</v>
      </c>
      <c r="BX197" t="e">
        <f>AND('GA55 Entry'!U756,"AAAAAD/z+ks=")</f>
        <v>#VALUE!</v>
      </c>
      <c r="BY197" t="e">
        <f>AND('GA55 Entry'!V756,"AAAAAD/z+kw=")</f>
        <v>#VALUE!</v>
      </c>
      <c r="BZ197" t="e">
        <f>AND('GA55 Entry'!#REF!,"AAAAAD/z+k0=")</f>
        <v>#REF!</v>
      </c>
      <c r="CA197" t="e">
        <f>AND('GA55 Entry'!#REF!,"AAAAAD/z+k4=")</f>
        <v>#REF!</v>
      </c>
      <c r="CB197" t="e">
        <f>AND('GA55 Entry'!X756,"AAAAAD/z+k8=")</f>
        <v>#VALUE!</v>
      </c>
      <c r="CC197" t="e">
        <f>AND('GA55 Entry'!Y756,"AAAAAD/z+lA=")</f>
        <v>#VALUE!</v>
      </c>
      <c r="CD197" t="e">
        <f>AND('GA55 Entry'!#REF!,"AAAAAD/z+lE=")</f>
        <v>#REF!</v>
      </c>
      <c r="CE197" t="e">
        <f>AND('GA55 Entry'!#REF!,"AAAAAD/z+lI=")</f>
        <v>#REF!</v>
      </c>
      <c r="CF197" t="e">
        <f>AND('GA55 Entry'!#REF!,"AAAAAD/z+lM=")</f>
        <v>#REF!</v>
      </c>
      <c r="CG197" t="e">
        <f>AND('GA55 Entry'!#REF!,"AAAAAD/z+lQ=")</f>
        <v>#REF!</v>
      </c>
      <c r="CH197" t="e">
        <f>AND('GA55 Entry'!#REF!,"AAAAAD/z+lU=")</f>
        <v>#REF!</v>
      </c>
      <c r="CI197" t="e">
        <f>AND('GA55 Entry'!#REF!,"AAAAAD/z+lY=")</f>
        <v>#REF!</v>
      </c>
      <c r="CJ197" t="e">
        <f>AND('GA55 Entry'!#REF!,"AAAAAD/z+lc=")</f>
        <v>#REF!</v>
      </c>
      <c r="CK197" t="e">
        <f>AND('GA55 Entry'!#REF!,"AAAAAD/z+lg=")</f>
        <v>#REF!</v>
      </c>
      <c r="CL197" t="e">
        <f>AND('GA55 Entry'!#REF!,"AAAAAD/z+lk=")</f>
        <v>#REF!</v>
      </c>
      <c r="CM197" t="e">
        <f>AND('GA55 Entry'!Z756,"AAAAAD/z+lo=")</f>
        <v>#VALUE!</v>
      </c>
      <c r="CN197" t="e">
        <f>AND('GA55 Entry'!AA756,"AAAAAD/z+ls=")</f>
        <v>#VALUE!</v>
      </c>
      <c r="CO197" t="e">
        <f>AND('GA55 Entry'!#REF!,"AAAAAD/z+lw=")</f>
        <v>#REF!</v>
      </c>
      <c r="CP197" t="e">
        <f>AND('GA55 Entry'!#REF!,"AAAAAD/z+l0=")</f>
        <v>#REF!</v>
      </c>
      <c r="CQ197" t="e">
        <f>AND('GA55 Entry'!#REF!,"AAAAAD/z+l4=")</f>
        <v>#REF!</v>
      </c>
      <c r="CR197" t="e">
        <f>AND('GA55 Entry'!AB756,"AAAAAD/z+l8=")</f>
        <v>#VALUE!</v>
      </c>
      <c r="CS197" t="e">
        <f>AND('GA55 Entry'!AC756,"AAAAAD/z+mA=")</f>
        <v>#VALUE!</v>
      </c>
      <c r="CT197" t="e">
        <f>AND('GA55 Entry'!#REF!,"AAAAAD/z+mE=")</f>
        <v>#REF!</v>
      </c>
      <c r="CU197">
        <f>IF('GA55 Entry'!757:757,"AAAAAD/z+mI=",0)</f>
        <v>0</v>
      </c>
      <c r="CV197" t="e">
        <f>AND('GA55 Entry'!B757,"AAAAAD/z+mM=")</f>
        <v>#VALUE!</v>
      </c>
      <c r="CW197" t="e">
        <f>AND('GA55 Entry'!#REF!,"AAAAAD/z+mQ=")</f>
        <v>#REF!</v>
      </c>
      <c r="CX197" t="e">
        <f>AND('GA55 Entry'!C757,"AAAAAD/z+mU=")</f>
        <v>#VALUE!</v>
      </c>
      <c r="CY197" t="e">
        <f>AND('GA55 Entry'!#REF!,"AAAAAD/z+mY=")</f>
        <v>#REF!</v>
      </c>
      <c r="CZ197" t="e">
        <f>AND('GA55 Entry'!#REF!,"AAAAAD/z+mc=")</f>
        <v>#REF!</v>
      </c>
      <c r="DA197" t="e">
        <f>AND('GA55 Entry'!#REF!,"AAAAAD/z+mg=")</f>
        <v>#REF!</v>
      </c>
      <c r="DB197" t="e">
        <f>AND('GA55 Entry'!#REF!,"AAAAAD/z+mk=")</f>
        <v>#REF!</v>
      </c>
      <c r="DC197" t="e">
        <f>AND('GA55 Entry'!#REF!,"AAAAAD/z+mo=")</f>
        <v>#REF!</v>
      </c>
      <c r="DD197" t="e">
        <f>AND('GA55 Entry'!D757,"AAAAAD/z+ms=")</f>
        <v>#VALUE!</v>
      </c>
      <c r="DE197" t="e">
        <f>AND('GA55 Entry'!#REF!,"AAAAAD/z+mw=")</f>
        <v>#REF!</v>
      </c>
      <c r="DF197" t="e">
        <f>AND('GA55 Entry'!E757,"AAAAAD/z+m0=")</f>
        <v>#VALUE!</v>
      </c>
      <c r="DG197" t="e">
        <f>AND('GA55 Entry'!F757,"AAAAAD/z+m4=")</f>
        <v>#VALUE!</v>
      </c>
      <c r="DH197" t="e">
        <f>AND('GA55 Entry'!G757,"AAAAAD/z+m8=")</f>
        <v>#VALUE!</v>
      </c>
      <c r="DI197" t="e">
        <f>AND('GA55 Entry'!H757,"AAAAAD/z+nA=")</f>
        <v>#VALUE!</v>
      </c>
      <c r="DJ197" t="e">
        <f>AND('GA55 Entry'!I757,"AAAAAD/z+nE=")</f>
        <v>#VALUE!</v>
      </c>
      <c r="DK197" t="e">
        <f>AND('GA55 Entry'!J757,"AAAAAD/z+nI=")</f>
        <v>#VALUE!</v>
      </c>
      <c r="DL197" t="e">
        <f>AND('GA55 Entry'!#REF!,"AAAAAD/z+nM=")</f>
        <v>#REF!</v>
      </c>
      <c r="DM197" t="e">
        <f>AND('GA55 Entry'!K757,"AAAAAD/z+nQ=")</f>
        <v>#VALUE!</v>
      </c>
      <c r="DN197" t="e">
        <f>AND('GA55 Entry'!L757,"AAAAAD/z+nU=")</f>
        <v>#VALUE!</v>
      </c>
      <c r="DO197" t="e">
        <f>AND('GA55 Entry'!M757,"AAAAAD/z+nY=")</f>
        <v>#VALUE!</v>
      </c>
      <c r="DP197" t="e">
        <f>AND('GA55 Entry'!N757,"AAAAAD/z+nc=")</f>
        <v>#VALUE!</v>
      </c>
      <c r="DQ197" t="e">
        <f>AND('GA55 Entry'!O757,"AAAAAD/z+ng=")</f>
        <v>#VALUE!</v>
      </c>
      <c r="DR197" t="e">
        <f>AND('GA55 Entry'!P757,"AAAAAD/z+nk=")</f>
        <v>#VALUE!</v>
      </c>
      <c r="DS197" t="e">
        <f>AND('GA55 Entry'!Q757,"AAAAAD/z+no=")</f>
        <v>#VALUE!</v>
      </c>
      <c r="DT197" t="e">
        <f>AND('GA55 Entry'!S757,"AAAAAD/z+ns=")</f>
        <v>#VALUE!</v>
      </c>
      <c r="DU197" t="e">
        <f>AND('GA55 Entry'!#REF!,"AAAAAD/z+nw=")</f>
        <v>#REF!</v>
      </c>
      <c r="DV197" t="e">
        <f>AND('GA55 Entry'!T757,"AAAAAD/z+n0=")</f>
        <v>#VALUE!</v>
      </c>
      <c r="DW197" t="e">
        <f>AND('GA55 Entry'!U757,"AAAAAD/z+n4=")</f>
        <v>#VALUE!</v>
      </c>
      <c r="DX197" t="e">
        <f>AND('GA55 Entry'!V757,"AAAAAD/z+n8=")</f>
        <v>#VALUE!</v>
      </c>
      <c r="DY197" t="e">
        <f>AND('GA55 Entry'!#REF!,"AAAAAD/z+oA=")</f>
        <v>#REF!</v>
      </c>
      <c r="DZ197" t="e">
        <f>AND('GA55 Entry'!#REF!,"AAAAAD/z+oE=")</f>
        <v>#REF!</v>
      </c>
      <c r="EA197" t="e">
        <f>AND('GA55 Entry'!X757,"AAAAAD/z+oI=")</f>
        <v>#VALUE!</v>
      </c>
      <c r="EB197" t="e">
        <f>AND('GA55 Entry'!Y757,"AAAAAD/z+oM=")</f>
        <v>#VALUE!</v>
      </c>
      <c r="EC197" t="e">
        <f>AND('GA55 Entry'!#REF!,"AAAAAD/z+oQ=")</f>
        <v>#REF!</v>
      </c>
      <c r="ED197" t="e">
        <f>AND('GA55 Entry'!#REF!,"AAAAAD/z+oU=")</f>
        <v>#REF!</v>
      </c>
      <c r="EE197" t="e">
        <f>AND('GA55 Entry'!#REF!,"AAAAAD/z+oY=")</f>
        <v>#REF!</v>
      </c>
      <c r="EF197" t="e">
        <f>AND('GA55 Entry'!#REF!,"AAAAAD/z+oc=")</f>
        <v>#REF!</v>
      </c>
      <c r="EG197" t="e">
        <f>AND('GA55 Entry'!#REF!,"AAAAAD/z+og=")</f>
        <v>#REF!</v>
      </c>
      <c r="EH197" t="e">
        <f>AND('GA55 Entry'!#REF!,"AAAAAD/z+ok=")</f>
        <v>#REF!</v>
      </c>
      <c r="EI197" t="e">
        <f>AND('GA55 Entry'!#REF!,"AAAAAD/z+oo=")</f>
        <v>#REF!</v>
      </c>
      <c r="EJ197" t="e">
        <f>AND('GA55 Entry'!#REF!,"AAAAAD/z+os=")</f>
        <v>#REF!</v>
      </c>
      <c r="EK197" t="e">
        <f>AND('GA55 Entry'!#REF!,"AAAAAD/z+ow=")</f>
        <v>#REF!</v>
      </c>
      <c r="EL197" t="e">
        <f>AND('GA55 Entry'!Z757,"AAAAAD/z+o0=")</f>
        <v>#VALUE!</v>
      </c>
      <c r="EM197" t="e">
        <f>AND('GA55 Entry'!AA757,"AAAAAD/z+o4=")</f>
        <v>#VALUE!</v>
      </c>
      <c r="EN197" t="e">
        <f>AND('GA55 Entry'!#REF!,"AAAAAD/z+o8=")</f>
        <v>#REF!</v>
      </c>
      <c r="EO197" t="e">
        <f>AND('GA55 Entry'!#REF!,"AAAAAD/z+pA=")</f>
        <v>#REF!</v>
      </c>
      <c r="EP197" t="e">
        <f>AND('GA55 Entry'!#REF!,"AAAAAD/z+pE=")</f>
        <v>#REF!</v>
      </c>
      <c r="EQ197" t="e">
        <f>AND('GA55 Entry'!AB757,"AAAAAD/z+pI=")</f>
        <v>#VALUE!</v>
      </c>
      <c r="ER197" t="e">
        <f>AND('GA55 Entry'!AC757,"AAAAAD/z+pM=")</f>
        <v>#VALUE!</v>
      </c>
      <c r="ES197" t="e">
        <f>AND('GA55 Entry'!#REF!,"AAAAAD/z+pQ=")</f>
        <v>#REF!</v>
      </c>
      <c r="ET197">
        <f>IF('GA55 Entry'!758:758,"AAAAAD/z+pU=",0)</f>
        <v>0</v>
      </c>
      <c r="EU197" t="e">
        <f>AND('GA55 Entry'!B758,"AAAAAD/z+pY=")</f>
        <v>#VALUE!</v>
      </c>
      <c r="EV197" t="e">
        <f>AND('GA55 Entry'!#REF!,"AAAAAD/z+pc=")</f>
        <v>#REF!</v>
      </c>
      <c r="EW197" t="e">
        <f>AND('GA55 Entry'!C758,"AAAAAD/z+pg=")</f>
        <v>#VALUE!</v>
      </c>
      <c r="EX197" t="e">
        <f>AND('GA55 Entry'!#REF!,"AAAAAD/z+pk=")</f>
        <v>#REF!</v>
      </c>
      <c r="EY197" t="e">
        <f>AND('GA55 Entry'!#REF!,"AAAAAD/z+po=")</f>
        <v>#REF!</v>
      </c>
      <c r="EZ197" t="e">
        <f>AND('GA55 Entry'!#REF!,"AAAAAD/z+ps=")</f>
        <v>#REF!</v>
      </c>
      <c r="FA197" t="e">
        <f>AND('GA55 Entry'!#REF!,"AAAAAD/z+pw=")</f>
        <v>#REF!</v>
      </c>
      <c r="FB197" t="e">
        <f>AND('GA55 Entry'!#REF!,"AAAAAD/z+p0=")</f>
        <v>#REF!</v>
      </c>
      <c r="FC197" t="e">
        <f>AND('GA55 Entry'!D758,"AAAAAD/z+p4=")</f>
        <v>#VALUE!</v>
      </c>
      <c r="FD197" t="e">
        <f>AND('GA55 Entry'!#REF!,"AAAAAD/z+p8=")</f>
        <v>#REF!</v>
      </c>
      <c r="FE197" t="e">
        <f>AND('GA55 Entry'!E758,"AAAAAD/z+qA=")</f>
        <v>#VALUE!</v>
      </c>
      <c r="FF197" t="e">
        <f>AND('GA55 Entry'!F758,"AAAAAD/z+qE=")</f>
        <v>#VALUE!</v>
      </c>
      <c r="FG197" t="e">
        <f>AND('GA55 Entry'!G758,"AAAAAD/z+qI=")</f>
        <v>#VALUE!</v>
      </c>
      <c r="FH197" t="e">
        <f>AND('GA55 Entry'!H758,"AAAAAD/z+qM=")</f>
        <v>#VALUE!</v>
      </c>
      <c r="FI197" t="e">
        <f>AND('GA55 Entry'!I758,"AAAAAD/z+qQ=")</f>
        <v>#VALUE!</v>
      </c>
      <c r="FJ197" t="e">
        <f>AND('GA55 Entry'!J758,"AAAAAD/z+qU=")</f>
        <v>#VALUE!</v>
      </c>
      <c r="FK197" t="e">
        <f>AND('GA55 Entry'!#REF!,"AAAAAD/z+qY=")</f>
        <v>#REF!</v>
      </c>
      <c r="FL197" t="e">
        <f>AND('GA55 Entry'!K758,"AAAAAD/z+qc=")</f>
        <v>#VALUE!</v>
      </c>
      <c r="FM197" t="e">
        <f>AND('GA55 Entry'!L758,"AAAAAD/z+qg=")</f>
        <v>#VALUE!</v>
      </c>
      <c r="FN197" t="e">
        <f>AND('GA55 Entry'!M758,"AAAAAD/z+qk=")</f>
        <v>#VALUE!</v>
      </c>
      <c r="FO197" t="e">
        <f>AND('GA55 Entry'!N758,"AAAAAD/z+qo=")</f>
        <v>#VALUE!</v>
      </c>
      <c r="FP197" t="e">
        <f>AND('GA55 Entry'!O758,"AAAAAD/z+qs=")</f>
        <v>#VALUE!</v>
      </c>
      <c r="FQ197" t="e">
        <f>AND('GA55 Entry'!P758,"AAAAAD/z+qw=")</f>
        <v>#VALUE!</v>
      </c>
      <c r="FR197" t="e">
        <f>AND('GA55 Entry'!Q758,"AAAAAD/z+q0=")</f>
        <v>#VALUE!</v>
      </c>
      <c r="FS197" t="e">
        <f>AND('GA55 Entry'!S758,"AAAAAD/z+q4=")</f>
        <v>#VALUE!</v>
      </c>
      <c r="FT197" t="e">
        <f>AND('GA55 Entry'!#REF!,"AAAAAD/z+q8=")</f>
        <v>#REF!</v>
      </c>
      <c r="FU197" t="e">
        <f>AND('GA55 Entry'!T758,"AAAAAD/z+rA=")</f>
        <v>#VALUE!</v>
      </c>
      <c r="FV197" t="e">
        <f>AND('GA55 Entry'!U758,"AAAAAD/z+rE=")</f>
        <v>#VALUE!</v>
      </c>
      <c r="FW197" t="e">
        <f>AND('GA55 Entry'!V758,"AAAAAD/z+rI=")</f>
        <v>#VALUE!</v>
      </c>
      <c r="FX197" t="e">
        <f>AND('GA55 Entry'!#REF!,"AAAAAD/z+rM=")</f>
        <v>#REF!</v>
      </c>
      <c r="FY197" t="e">
        <f>AND('GA55 Entry'!#REF!,"AAAAAD/z+rQ=")</f>
        <v>#REF!</v>
      </c>
      <c r="FZ197" t="e">
        <f>AND('GA55 Entry'!X758,"AAAAAD/z+rU=")</f>
        <v>#VALUE!</v>
      </c>
      <c r="GA197" t="e">
        <f>AND('GA55 Entry'!Y758,"AAAAAD/z+rY=")</f>
        <v>#VALUE!</v>
      </c>
      <c r="GB197" t="e">
        <f>AND('GA55 Entry'!#REF!,"AAAAAD/z+rc=")</f>
        <v>#REF!</v>
      </c>
      <c r="GC197" t="e">
        <f>AND('GA55 Entry'!#REF!,"AAAAAD/z+rg=")</f>
        <v>#REF!</v>
      </c>
      <c r="GD197" t="e">
        <f>AND('GA55 Entry'!#REF!,"AAAAAD/z+rk=")</f>
        <v>#REF!</v>
      </c>
      <c r="GE197" t="e">
        <f>AND('GA55 Entry'!#REF!,"AAAAAD/z+ro=")</f>
        <v>#REF!</v>
      </c>
      <c r="GF197" t="e">
        <f>AND('GA55 Entry'!#REF!,"AAAAAD/z+rs=")</f>
        <v>#REF!</v>
      </c>
      <c r="GG197" t="e">
        <f>AND('GA55 Entry'!#REF!,"AAAAAD/z+rw=")</f>
        <v>#REF!</v>
      </c>
      <c r="GH197" t="e">
        <f>AND('GA55 Entry'!#REF!,"AAAAAD/z+r0=")</f>
        <v>#REF!</v>
      </c>
      <c r="GI197" t="e">
        <f>AND('GA55 Entry'!#REF!,"AAAAAD/z+r4=")</f>
        <v>#REF!</v>
      </c>
      <c r="GJ197" t="e">
        <f>AND('GA55 Entry'!#REF!,"AAAAAD/z+r8=")</f>
        <v>#REF!</v>
      </c>
      <c r="GK197" t="e">
        <f>AND('GA55 Entry'!Z758,"AAAAAD/z+sA=")</f>
        <v>#VALUE!</v>
      </c>
      <c r="GL197" t="e">
        <f>AND('GA55 Entry'!AA758,"AAAAAD/z+sE=")</f>
        <v>#VALUE!</v>
      </c>
      <c r="GM197" t="e">
        <f>AND('GA55 Entry'!#REF!,"AAAAAD/z+sI=")</f>
        <v>#REF!</v>
      </c>
      <c r="GN197" t="e">
        <f>AND('GA55 Entry'!#REF!,"AAAAAD/z+sM=")</f>
        <v>#REF!</v>
      </c>
      <c r="GO197" t="e">
        <f>AND('GA55 Entry'!#REF!,"AAAAAD/z+sQ=")</f>
        <v>#REF!</v>
      </c>
      <c r="GP197" t="e">
        <f>AND('GA55 Entry'!AB758,"AAAAAD/z+sU=")</f>
        <v>#VALUE!</v>
      </c>
      <c r="GQ197" t="e">
        <f>AND('GA55 Entry'!AC758,"AAAAAD/z+sY=")</f>
        <v>#VALUE!</v>
      </c>
      <c r="GR197" t="e">
        <f>AND('GA55 Entry'!#REF!,"AAAAAD/z+sc=")</f>
        <v>#REF!</v>
      </c>
      <c r="GS197">
        <f>IF('GA55 Entry'!759:759,"AAAAAD/z+sg=",0)</f>
        <v>0</v>
      </c>
      <c r="GT197" t="e">
        <f>AND('GA55 Entry'!B759,"AAAAAD/z+sk=")</f>
        <v>#VALUE!</v>
      </c>
      <c r="GU197" t="e">
        <f>AND('GA55 Entry'!#REF!,"AAAAAD/z+so=")</f>
        <v>#REF!</v>
      </c>
      <c r="GV197" t="e">
        <f>AND('GA55 Entry'!C759,"AAAAAD/z+ss=")</f>
        <v>#VALUE!</v>
      </c>
      <c r="GW197" t="e">
        <f>AND('GA55 Entry'!#REF!,"AAAAAD/z+sw=")</f>
        <v>#REF!</v>
      </c>
      <c r="GX197" t="e">
        <f>AND('GA55 Entry'!#REF!,"AAAAAD/z+s0=")</f>
        <v>#REF!</v>
      </c>
      <c r="GY197" t="e">
        <f>AND('GA55 Entry'!#REF!,"AAAAAD/z+s4=")</f>
        <v>#REF!</v>
      </c>
      <c r="GZ197" t="e">
        <f>AND('GA55 Entry'!#REF!,"AAAAAD/z+s8=")</f>
        <v>#REF!</v>
      </c>
      <c r="HA197" t="e">
        <f>AND('GA55 Entry'!#REF!,"AAAAAD/z+tA=")</f>
        <v>#REF!</v>
      </c>
      <c r="HB197" t="e">
        <f>AND('GA55 Entry'!D759,"AAAAAD/z+tE=")</f>
        <v>#VALUE!</v>
      </c>
      <c r="HC197" t="e">
        <f>AND('GA55 Entry'!#REF!,"AAAAAD/z+tI=")</f>
        <v>#REF!</v>
      </c>
      <c r="HD197" t="e">
        <f>AND('GA55 Entry'!E759,"AAAAAD/z+tM=")</f>
        <v>#VALUE!</v>
      </c>
      <c r="HE197" t="e">
        <f>AND('GA55 Entry'!F759,"AAAAAD/z+tQ=")</f>
        <v>#VALUE!</v>
      </c>
      <c r="HF197" t="e">
        <f>AND('GA55 Entry'!G759,"AAAAAD/z+tU=")</f>
        <v>#VALUE!</v>
      </c>
      <c r="HG197" t="e">
        <f>AND('GA55 Entry'!H759,"AAAAAD/z+tY=")</f>
        <v>#VALUE!</v>
      </c>
      <c r="HH197" t="e">
        <f>AND('GA55 Entry'!I759,"AAAAAD/z+tc=")</f>
        <v>#VALUE!</v>
      </c>
      <c r="HI197" t="e">
        <f>AND('GA55 Entry'!J759,"AAAAAD/z+tg=")</f>
        <v>#VALUE!</v>
      </c>
      <c r="HJ197" t="e">
        <f>AND('GA55 Entry'!#REF!,"AAAAAD/z+tk=")</f>
        <v>#REF!</v>
      </c>
      <c r="HK197" t="e">
        <f>AND('GA55 Entry'!K759,"AAAAAD/z+to=")</f>
        <v>#VALUE!</v>
      </c>
      <c r="HL197" t="e">
        <f>AND('GA55 Entry'!L759,"AAAAAD/z+ts=")</f>
        <v>#VALUE!</v>
      </c>
      <c r="HM197" t="e">
        <f>AND('GA55 Entry'!M759,"AAAAAD/z+tw=")</f>
        <v>#VALUE!</v>
      </c>
      <c r="HN197" t="e">
        <f>AND('GA55 Entry'!N759,"AAAAAD/z+t0=")</f>
        <v>#VALUE!</v>
      </c>
      <c r="HO197" t="e">
        <f>AND('GA55 Entry'!O759,"AAAAAD/z+t4=")</f>
        <v>#VALUE!</v>
      </c>
      <c r="HP197" t="e">
        <f>AND('GA55 Entry'!P759,"AAAAAD/z+t8=")</f>
        <v>#VALUE!</v>
      </c>
      <c r="HQ197" t="e">
        <f>AND('GA55 Entry'!Q759,"AAAAAD/z+uA=")</f>
        <v>#VALUE!</v>
      </c>
      <c r="HR197" t="e">
        <f>AND('GA55 Entry'!S759,"AAAAAD/z+uE=")</f>
        <v>#VALUE!</v>
      </c>
      <c r="HS197" t="e">
        <f>AND('GA55 Entry'!#REF!,"AAAAAD/z+uI=")</f>
        <v>#REF!</v>
      </c>
      <c r="HT197" t="e">
        <f>AND('GA55 Entry'!T759,"AAAAAD/z+uM=")</f>
        <v>#VALUE!</v>
      </c>
      <c r="HU197" t="e">
        <f>AND('GA55 Entry'!U759,"AAAAAD/z+uQ=")</f>
        <v>#VALUE!</v>
      </c>
      <c r="HV197" t="e">
        <f>AND('GA55 Entry'!V759,"AAAAAD/z+uU=")</f>
        <v>#VALUE!</v>
      </c>
      <c r="HW197" t="e">
        <f>AND('GA55 Entry'!#REF!,"AAAAAD/z+uY=")</f>
        <v>#REF!</v>
      </c>
      <c r="HX197" t="e">
        <f>AND('GA55 Entry'!#REF!,"AAAAAD/z+uc=")</f>
        <v>#REF!</v>
      </c>
      <c r="HY197" t="e">
        <f>AND('GA55 Entry'!X759,"AAAAAD/z+ug=")</f>
        <v>#VALUE!</v>
      </c>
      <c r="HZ197" t="e">
        <f>AND('GA55 Entry'!Y759,"AAAAAD/z+uk=")</f>
        <v>#VALUE!</v>
      </c>
      <c r="IA197" t="e">
        <f>AND('GA55 Entry'!#REF!,"AAAAAD/z+uo=")</f>
        <v>#REF!</v>
      </c>
      <c r="IB197" t="e">
        <f>AND('GA55 Entry'!#REF!,"AAAAAD/z+us=")</f>
        <v>#REF!</v>
      </c>
      <c r="IC197" t="e">
        <f>AND('GA55 Entry'!#REF!,"AAAAAD/z+uw=")</f>
        <v>#REF!</v>
      </c>
      <c r="ID197" t="e">
        <f>AND('GA55 Entry'!#REF!,"AAAAAD/z+u0=")</f>
        <v>#REF!</v>
      </c>
      <c r="IE197" t="e">
        <f>AND('GA55 Entry'!#REF!,"AAAAAD/z+u4=")</f>
        <v>#REF!</v>
      </c>
      <c r="IF197" t="e">
        <f>AND('GA55 Entry'!#REF!,"AAAAAD/z+u8=")</f>
        <v>#REF!</v>
      </c>
      <c r="IG197" t="e">
        <f>AND('GA55 Entry'!#REF!,"AAAAAD/z+vA=")</f>
        <v>#REF!</v>
      </c>
      <c r="IH197" t="e">
        <f>AND('GA55 Entry'!#REF!,"AAAAAD/z+vE=")</f>
        <v>#REF!</v>
      </c>
      <c r="II197" t="e">
        <f>AND('GA55 Entry'!#REF!,"AAAAAD/z+vI=")</f>
        <v>#REF!</v>
      </c>
      <c r="IJ197" t="e">
        <f>AND('GA55 Entry'!Z759,"AAAAAD/z+vM=")</f>
        <v>#VALUE!</v>
      </c>
      <c r="IK197" t="e">
        <f>AND('GA55 Entry'!AA759,"AAAAAD/z+vQ=")</f>
        <v>#VALUE!</v>
      </c>
      <c r="IL197" t="e">
        <f>AND('GA55 Entry'!#REF!,"AAAAAD/z+vU=")</f>
        <v>#REF!</v>
      </c>
      <c r="IM197" t="e">
        <f>AND('GA55 Entry'!#REF!,"AAAAAD/z+vY=")</f>
        <v>#REF!</v>
      </c>
      <c r="IN197" t="e">
        <f>AND('GA55 Entry'!#REF!,"AAAAAD/z+vc=")</f>
        <v>#REF!</v>
      </c>
      <c r="IO197" t="e">
        <f>AND('GA55 Entry'!AB759,"AAAAAD/z+vg=")</f>
        <v>#VALUE!</v>
      </c>
      <c r="IP197" t="e">
        <f>AND('GA55 Entry'!AC759,"AAAAAD/z+vk=")</f>
        <v>#VALUE!</v>
      </c>
      <c r="IQ197" t="e">
        <f>AND('GA55 Entry'!#REF!,"AAAAAD/z+vo=")</f>
        <v>#REF!</v>
      </c>
      <c r="IR197">
        <f>IF('GA55 Entry'!760:760,"AAAAAD/z+vs=",0)</f>
        <v>0</v>
      </c>
      <c r="IS197" t="e">
        <f>AND('GA55 Entry'!B760,"AAAAAD/z+vw=")</f>
        <v>#VALUE!</v>
      </c>
      <c r="IT197" t="e">
        <f>AND('GA55 Entry'!#REF!,"AAAAAD/z+v0=")</f>
        <v>#REF!</v>
      </c>
      <c r="IU197" t="e">
        <f>AND('GA55 Entry'!C760,"AAAAAD/z+v4=")</f>
        <v>#VALUE!</v>
      </c>
      <c r="IV197" t="e">
        <f>AND('GA55 Entry'!#REF!,"AAAAAD/z+v8=")</f>
        <v>#REF!</v>
      </c>
    </row>
    <row r="198" spans="1:256">
      <c r="A198" t="e">
        <f>AND('GA55 Entry'!#REF!,"AAAAAD9L/wA=")</f>
        <v>#REF!</v>
      </c>
      <c r="B198" t="e">
        <f>AND('GA55 Entry'!#REF!,"AAAAAD9L/wE=")</f>
        <v>#REF!</v>
      </c>
      <c r="C198" t="e">
        <f>AND('GA55 Entry'!#REF!,"AAAAAD9L/wI=")</f>
        <v>#REF!</v>
      </c>
      <c r="D198" t="e">
        <f>AND('GA55 Entry'!#REF!,"AAAAAD9L/wM=")</f>
        <v>#REF!</v>
      </c>
      <c r="E198" t="e">
        <f>AND('GA55 Entry'!D760,"AAAAAD9L/wQ=")</f>
        <v>#VALUE!</v>
      </c>
      <c r="F198" t="e">
        <f>AND('GA55 Entry'!#REF!,"AAAAAD9L/wU=")</f>
        <v>#REF!</v>
      </c>
      <c r="G198" t="e">
        <f>AND('GA55 Entry'!E760,"AAAAAD9L/wY=")</f>
        <v>#VALUE!</v>
      </c>
      <c r="H198" t="e">
        <f>AND('GA55 Entry'!F760,"AAAAAD9L/wc=")</f>
        <v>#VALUE!</v>
      </c>
      <c r="I198" t="e">
        <f>AND('GA55 Entry'!G760,"AAAAAD9L/wg=")</f>
        <v>#VALUE!</v>
      </c>
      <c r="J198" t="e">
        <f>AND('GA55 Entry'!H760,"AAAAAD9L/wk=")</f>
        <v>#VALUE!</v>
      </c>
      <c r="K198" t="e">
        <f>AND('GA55 Entry'!I760,"AAAAAD9L/wo=")</f>
        <v>#VALUE!</v>
      </c>
      <c r="L198" t="e">
        <f>AND('GA55 Entry'!J760,"AAAAAD9L/ws=")</f>
        <v>#VALUE!</v>
      </c>
      <c r="M198" t="e">
        <f>AND('GA55 Entry'!#REF!,"AAAAAD9L/ww=")</f>
        <v>#REF!</v>
      </c>
      <c r="N198" t="e">
        <f>AND('GA55 Entry'!K760,"AAAAAD9L/w0=")</f>
        <v>#VALUE!</v>
      </c>
      <c r="O198" t="e">
        <f>AND('GA55 Entry'!L760,"AAAAAD9L/w4=")</f>
        <v>#VALUE!</v>
      </c>
      <c r="P198" t="e">
        <f>AND('GA55 Entry'!M760,"AAAAAD9L/w8=")</f>
        <v>#VALUE!</v>
      </c>
      <c r="Q198" t="e">
        <f>AND('GA55 Entry'!N760,"AAAAAD9L/xA=")</f>
        <v>#VALUE!</v>
      </c>
      <c r="R198" t="e">
        <f>AND('GA55 Entry'!O760,"AAAAAD9L/xE=")</f>
        <v>#VALUE!</v>
      </c>
      <c r="S198" t="e">
        <f>AND('GA55 Entry'!P760,"AAAAAD9L/xI=")</f>
        <v>#VALUE!</v>
      </c>
      <c r="T198" t="e">
        <f>AND('GA55 Entry'!Q760,"AAAAAD9L/xM=")</f>
        <v>#VALUE!</v>
      </c>
      <c r="U198" t="e">
        <f>AND('GA55 Entry'!S760,"AAAAAD9L/xQ=")</f>
        <v>#VALUE!</v>
      </c>
      <c r="V198" t="e">
        <f>AND('GA55 Entry'!#REF!,"AAAAAD9L/xU=")</f>
        <v>#REF!</v>
      </c>
      <c r="W198" t="e">
        <f>AND('GA55 Entry'!T760,"AAAAAD9L/xY=")</f>
        <v>#VALUE!</v>
      </c>
      <c r="X198" t="e">
        <f>AND('GA55 Entry'!U760,"AAAAAD9L/xc=")</f>
        <v>#VALUE!</v>
      </c>
      <c r="Y198" t="e">
        <f>AND('GA55 Entry'!V760,"AAAAAD9L/xg=")</f>
        <v>#VALUE!</v>
      </c>
      <c r="Z198" t="e">
        <f>AND('GA55 Entry'!#REF!,"AAAAAD9L/xk=")</f>
        <v>#REF!</v>
      </c>
      <c r="AA198" t="e">
        <f>AND('GA55 Entry'!#REF!,"AAAAAD9L/xo=")</f>
        <v>#REF!</v>
      </c>
      <c r="AB198" t="e">
        <f>AND('GA55 Entry'!X760,"AAAAAD9L/xs=")</f>
        <v>#VALUE!</v>
      </c>
      <c r="AC198" t="e">
        <f>AND('GA55 Entry'!Y760,"AAAAAD9L/xw=")</f>
        <v>#VALUE!</v>
      </c>
      <c r="AD198" t="e">
        <f>AND('GA55 Entry'!#REF!,"AAAAAD9L/x0=")</f>
        <v>#REF!</v>
      </c>
      <c r="AE198" t="e">
        <f>AND('GA55 Entry'!#REF!,"AAAAAD9L/x4=")</f>
        <v>#REF!</v>
      </c>
      <c r="AF198" t="e">
        <f>AND('GA55 Entry'!#REF!,"AAAAAD9L/x8=")</f>
        <v>#REF!</v>
      </c>
      <c r="AG198" t="e">
        <f>AND('GA55 Entry'!#REF!,"AAAAAD9L/yA=")</f>
        <v>#REF!</v>
      </c>
      <c r="AH198" t="e">
        <f>AND('GA55 Entry'!#REF!,"AAAAAD9L/yE=")</f>
        <v>#REF!</v>
      </c>
      <c r="AI198" t="e">
        <f>AND('GA55 Entry'!#REF!,"AAAAAD9L/yI=")</f>
        <v>#REF!</v>
      </c>
      <c r="AJ198" t="e">
        <f>AND('GA55 Entry'!#REF!,"AAAAAD9L/yM=")</f>
        <v>#REF!</v>
      </c>
      <c r="AK198" t="e">
        <f>AND('GA55 Entry'!#REF!,"AAAAAD9L/yQ=")</f>
        <v>#REF!</v>
      </c>
      <c r="AL198" t="e">
        <f>AND('GA55 Entry'!#REF!,"AAAAAD9L/yU=")</f>
        <v>#REF!</v>
      </c>
      <c r="AM198" t="e">
        <f>AND('GA55 Entry'!Z760,"AAAAAD9L/yY=")</f>
        <v>#VALUE!</v>
      </c>
      <c r="AN198" t="e">
        <f>AND('GA55 Entry'!AA760,"AAAAAD9L/yc=")</f>
        <v>#VALUE!</v>
      </c>
      <c r="AO198" t="e">
        <f>AND('GA55 Entry'!#REF!,"AAAAAD9L/yg=")</f>
        <v>#REF!</v>
      </c>
      <c r="AP198" t="e">
        <f>AND('GA55 Entry'!#REF!,"AAAAAD9L/yk=")</f>
        <v>#REF!</v>
      </c>
      <c r="AQ198" t="e">
        <f>AND('GA55 Entry'!#REF!,"AAAAAD9L/yo=")</f>
        <v>#REF!</v>
      </c>
      <c r="AR198" t="e">
        <f>AND('GA55 Entry'!AB760,"AAAAAD9L/ys=")</f>
        <v>#VALUE!</v>
      </c>
      <c r="AS198" t="e">
        <f>AND('GA55 Entry'!AC760,"AAAAAD9L/yw=")</f>
        <v>#VALUE!</v>
      </c>
      <c r="AT198" t="e">
        <f>AND('GA55 Entry'!#REF!,"AAAAAD9L/y0=")</f>
        <v>#REF!</v>
      </c>
      <c r="AU198">
        <f>IF('GA55 Entry'!761:761,"AAAAAD9L/y4=",0)</f>
        <v>0</v>
      </c>
      <c r="AV198" t="e">
        <f>AND('GA55 Entry'!B761,"AAAAAD9L/y8=")</f>
        <v>#VALUE!</v>
      </c>
      <c r="AW198" t="e">
        <f>AND('GA55 Entry'!#REF!,"AAAAAD9L/zA=")</f>
        <v>#REF!</v>
      </c>
      <c r="AX198" t="e">
        <f>AND('GA55 Entry'!C761,"AAAAAD9L/zE=")</f>
        <v>#VALUE!</v>
      </c>
      <c r="AY198" t="e">
        <f>AND('GA55 Entry'!#REF!,"AAAAAD9L/zI=")</f>
        <v>#REF!</v>
      </c>
      <c r="AZ198" t="e">
        <f>AND('GA55 Entry'!#REF!,"AAAAAD9L/zM=")</f>
        <v>#REF!</v>
      </c>
      <c r="BA198" t="e">
        <f>AND('GA55 Entry'!#REF!,"AAAAAD9L/zQ=")</f>
        <v>#REF!</v>
      </c>
      <c r="BB198" t="e">
        <f>AND('GA55 Entry'!#REF!,"AAAAAD9L/zU=")</f>
        <v>#REF!</v>
      </c>
      <c r="BC198" t="e">
        <f>AND('GA55 Entry'!#REF!,"AAAAAD9L/zY=")</f>
        <v>#REF!</v>
      </c>
      <c r="BD198" t="e">
        <f>AND('GA55 Entry'!D761,"AAAAAD9L/zc=")</f>
        <v>#VALUE!</v>
      </c>
      <c r="BE198" t="e">
        <f>AND('GA55 Entry'!#REF!,"AAAAAD9L/zg=")</f>
        <v>#REF!</v>
      </c>
      <c r="BF198" t="e">
        <f>AND('GA55 Entry'!E761,"AAAAAD9L/zk=")</f>
        <v>#VALUE!</v>
      </c>
      <c r="BG198" t="e">
        <f>AND('GA55 Entry'!F761,"AAAAAD9L/zo=")</f>
        <v>#VALUE!</v>
      </c>
      <c r="BH198" t="e">
        <f>AND('GA55 Entry'!G761,"AAAAAD9L/zs=")</f>
        <v>#VALUE!</v>
      </c>
      <c r="BI198" t="e">
        <f>AND('GA55 Entry'!H761,"AAAAAD9L/zw=")</f>
        <v>#VALUE!</v>
      </c>
      <c r="BJ198" t="e">
        <f>AND('GA55 Entry'!I761,"AAAAAD9L/z0=")</f>
        <v>#VALUE!</v>
      </c>
      <c r="BK198" t="e">
        <f>AND('GA55 Entry'!J761,"AAAAAD9L/z4=")</f>
        <v>#VALUE!</v>
      </c>
      <c r="BL198" t="e">
        <f>AND('GA55 Entry'!#REF!,"AAAAAD9L/z8=")</f>
        <v>#REF!</v>
      </c>
      <c r="BM198" t="e">
        <f>AND('GA55 Entry'!K761,"AAAAAD9L/0A=")</f>
        <v>#VALUE!</v>
      </c>
      <c r="BN198" t="e">
        <f>AND('GA55 Entry'!L761,"AAAAAD9L/0E=")</f>
        <v>#VALUE!</v>
      </c>
      <c r="BO198" t="e">
        <f>AND('GA55 Entry'!M761,"AAAAAD9L/0I=")</f>
        <v>#VALUE!</v>
      </c>
      <c r="BP198" t="e">
        <f>AND('GA55 Entry'!N761,"AAAAAD9L/0M=")</f>
        <v>#VALUE!</v>
      </c>
      <c r="BQ198" t="e">
        <f>AND('GA55 Entry'!O761,"AAAAAD9L/0Q=")</f>
        <v>#VALUE!</v>
      </c>
      <c r="BR198" t="e">
        <f>AND('GA55 Entry'!P761,"AAAAAD9L/0U=")</f>
        <v>#VALUE!</v>
      </c>
      <c r="BS198" t="e">
        <f>AND('GA55 Entry'!Q761,"AAAAAD9L/0Y=")</f>
        <v>#VALUE!</v>
      </c>
      <c r="BT198" t="e">
        <f>AND('GA55 Entry'!S761,"AAAAAD9L/0c=")</f>
        <v>#VALUE!</v>
      </c>
      <c r="BU198" t="e">
        <f>AND('GA55 Entry'!#REF!,"AAAAAD9L/0g=")</f>
        <v>#REF!</v>
      </c>
      <c r="BV198" t="e">
        <f>AND('GA55 Entry'!T761,"AAAAAD9L/0k=")</f>
        <v>#VALUE!</v>
      </c>
      <c r="BW198" t="e">
        <f>AND('GA55 Entry'!U761,"AAAAAD9L/0o=")</f>
        <v>#VALUE!</v>
      </c>
      <c r="BX198" t="e">
        <f>AND('GA55 Entry'!V761,"AAAAAD9L/0s=")</f>
        <v>#VALUE!</v>
      </c>
      <c r="BY198" t="e">
        <f>AND('GA55 Entry'!#REF!,"AAAAAD9L/0w=")</f>
        <v>#REF!</v>
      </c>
      <c r="BZ198" t="e">
        <f>AND('GA55 Entry'!#REF!,"AAAAAD9L/00=")</f>
        <v>#REF!</v>
      </c>
      <c r="CA198" t="e">
        <f>AND('GA55 Entry'!X761,"AAAAAD9L/04=")</f>
        <v>#VALUE!</v>
      </c>
      <c r="CB198" t="e">
        <f>AND('GA55 Entry'!Y761,"AAAAAD9L/08=")</f>
        <v>#VALUE!</v>
      </c>
      <c r="CC198" t="e">
        <f>AND('GA55 Entry'!#REF!,"AAAAAD9L/1A=")</f>
        <v>#REF!</v>
      </c>
      <c r="CD198" t="e">
        <f>AND('GA55 Entry'!#REF!,"AAAAAD9L/1E=")</f>
        <v>#REF!</v>
      </c>
      <c r="CE198" t="e">
        <f>AND('GA55 Entry'!#REF!,"AAAAAD9L/1I=")</f>
        <v>#REF!</v>
      </c>
      <c r="CF198" t="e">
        <f>AND('GA55 Entry'!#REF!,"AAAAAD9L/1M=")</f>
        <v>#REF!</v>
      </c>
      <c r="CG198" t="e">
        <f>AND('GA55 Entry'!#REF!,"AAAAAD9L/1Q=")</f>
        <v>#REF!</v>
      </c>
      <c r="CH198" t="e">
        <f>AND('GA55 Entry'!#REF!,"AAAAAD9L/1U=")</f>
        <v>#REF!</v>
      </c>
      <c r="CI198" t="e">
        <f>AND('GA55 Entry'!#REF!,"AAAAAD9L/1Y=")</f>
        <v>#REF!</v>
      </c>
      <c r="CJ198" t="e">
        <f>AND('GA55 Entry'!#REF!,"AAAAAD9L/1c=")</f>
        <v>#REF!</v>
      </c>
      <c r="CK198" t="e">
        <f>AND('GA55 Entry'!#REF!,"AAAAAD9L/1g=")</f>
        <v>#REF!</v>
      </c>
      <c r="CL198" t="e">
        <f>AND('GA55 Entry'!Z761,"AAAAAD9L/1k=")</f>
        <v>#VALUE!</v>
      </c>
      <c r="CM198" t="e">
        <f>AND('GA55 Entry'!AA761,"AAAAAD9L/1o=")</f>
        <v>#VALUE!</v>
      </c>
      <c r="CN198" t="e">
        <f>AND('GA55 Entry'!#REF!,"AAAAAD9L/1s=")</f>
        <v>#REF!</v>
      </c>
      <c r="CO198" t="e">
        <f>AND('GA55 Entry'!#REF!,"AAAAAD9L/1w=")</f>
        <v>#REF!</v>
      </c>
      <c r="CP198" t="e">
        <f>AND('GA55 Entry'!#REF!,"AAAAAD9L/10=")</f>
        <v>#REF!</v>
      </c>
      <c r="CQ198" t="e">
        <f>AND('GA55 Entry'!AB761,"AAAAAD9L/14=")</f>
        <v>#VALUE!</v>
      </c>
      <c r="CR198" t="e">
        <f>AND('GA55 Entry'!AC761,"AAAAAD9L/18=")</f>
        <v>#VALUE!</v>
      </c>
      <c r="CS198" t="e">
        <f>AND('GA55 Entry'!#REF!,"AAAAAD9L/2A=")</f>
        <v>#REF!</v>
      </c>
      <c r="CT198">
        <f>IF('GA55 Entry'!762:762,"AAAAAD9L/2E=",0)</f>
        <v>0</v>
      </c>
      <c r="CU198" t="e">
        <f>AND('GA55 Entry'!B762,"AAAAAD9L/2I=")</f>
        <v>#VALUE!</v>
      </c>
      <c r="CV198" t="e">
        <f>AND('GA55 Entry'!#REF!,"AAAAAD9L/2M=")</f>
        <v>#REF!</v>
      </c>
      <c r="CW198" t="e">
        <f>AND('GA55 Entry'!C762,"AAAAAD9L/2Q=")</f>
        <v>#VALUE!</v>
      </c>
      <c r="CX198" t="e">
        <f>AND('GA55 Entry'!#REF!,"AAAAAD9L/2U=")</f>
        <v>#REF!</v>
      </c>
      <c r="CY198" t="e">
        <f>AND('GA55 Entry'!#REF!,"AAAAAD9L/2Y=")</f>
        <v>#REF!</v>
      </c>
      <c r="CZ198" t="e">
        <f>AND('GA55 Entry'!#REF!,"AAAAAD9L/2c=")</f>
        <v>#REF!</v>
      </c>
      <c r="DA198" t="e">
        <f>AND('GA55 Entry'!#REF!,"AAAAAD9L/2g=")</f>
        <v>#REF!</v>
      </c>
      <c r="DB198" t="e">
        <f>AND('GA55 Entry'!#REF!,"AAAAAD9L/2k=")</f>
        <v>#REF!</v>
      </c>
      <c r="DC198" t="e">
        <f>AND('GA55 Entry'!D762,"AAAAAD9L/2o=")</f>
        <v>#VALUE!</v>
      </c>
      <c r="DD198" t="e">
        <f>AND('GA55 Entry'!#REF!,"AAAAAD9L/2s=")</f>
        <v>#REF!</v>
      </c>
      <c r="DE198" t="e">
        <f>AND('GA55 Entry'!E762,"AAAAAD9L/2w=")</f>
        <v>#VALUE!</v>
      </c>
      <c r="DF198" t="e">
        <f>AND('GA55 Entry'!F762,"AAAAAD9L/20=")</f>
        <v>#VALUE!</v>
      </c>
      <c r="DG198" t="e">
        <f>AND('GA55 Entry'!G762,"AAAAAD9L/24=")</f>
        <v>#VALUE!</v>
      </c>
      <c r="DH198" t="e">
        <f>AND('GA55 Entry'!H762,"AAAAAD9L/28=")</f>
        <v>#VALUE!</v>
      </c>
      <c r="DI198" t="e">
        <f>AND('GA55 Entry'!I762,"AAAAAD9L/3A=")</f>
        <v>#VALUE!</v>
      </c>
      <c r="DJ198" t="e">
        <f>AND('GA55 Entry'!J762,"AAAAAD9L/3E=")</f>
        <v>#VALUE!</v>
      </c>
      <c r="DK198" t="e">
        <f>AND('GA55 Entry'!#REF!,"AAAAAD9L/3I=")</f>
        <v>#REF!</v>
      </c>
      <c r="DL198" t="e">
        <f>AND('GA55 Entry'!K762,"AAAAAD9L/3M=")</f>
        <v>#VALUE!</v>
      </c>
      <c r="DM198" t="e">
        <f>AND('GA55 Entry'!L762,"AAAAAD9L/3Q=")</f>
        <v>#VALUE!</v>
      </c>
      <c r="DN198" t="e">
        <f>AND('GA55 Entry'!M762,"AAAAAD9L/3U=")</f>
        <v>#VALUE!</v>
      </c>
      <c r="DO198" t="e">
        <f>AND('GA55 Entry'!N762,"AAAAAD9L/3Y=")</f>
        <v>#VALUE!</v>
      </c>
      <c r="DP198" t="e">
        <f>AND('GA55 Entry'!O762,"AAAAAD9L/3c=")</f>
        <v>#VALUE!</v>
      </c>
      <c r="DQ198" t="e">
        <f>AND('GA55 Entry'!P762,"AAAAAD9L/3g=")</f>
        <v>#VALUE!</v>
      </c>
      <c r="DR198" t="e">
        <f>AND('GA55 Entry'!Q762,"AAAAAD9L/3k=")</f>
        <v>#VALUE!</v>
      </c>
      <c r="DS198" t="e">
        <f>AND('GA55 Entry'!S762,"AAAAAD9L/3o=")</f>
        <v>#VALUE!</v>
      </c>
      <c r="DT198" t="e">
        <f>AND('GA55 Entry'!#REF!,"AAAAAD9L/3s=")</f>
        <v>#REF!</v>
      </c>
      <c r="DU198" t="e">
        <f>AND('GA55 Entry'!T762,"AAAAAD9L/3w=")</f>
        <v>#VALUE!</v>
      </c>
      <c r="DV198" t="e">
        <f>AND('GA55 Entry'!U762,"AAAAAD9L/30=")</f>
        <v>#VALUE!</v>
      </c>
      <c r="DW198" t="e">
        <f>AND('GA55 Entry'!V762,"AAAAAD9L/34=")</f>
        <v>#VALUE!</v>
      </c>
      <c r="DX198" t="e">
        <f>AND('GA55 Entry'!#REF!,"AAAAAD9L/38=")</f>
        <v>#REF!</v>
      </c>
      <c r="DY198" t="e">
        <f>AND('GA55 Entry'!#REF!,"AAAAAD9L/4A=")</f>
        <v>#REF!</v>
      </c>
      <c r="DZ198" t="e">
        <f>AND('GA55 Entry'!X762,"AAAAAD9L/4E=")</f>
        <v>#VALUE!</v>
      </c>
      <c r="EA198" t="e">
        <f>AND('GA55 Entry'!Y762,"AAAAAD9L/4I=")</f>
        <v>#VALUE!</v>
      </c>
      <c r="EB198" t="e">
        <f>AND('GA55 Entry'!#REF!,"AAAAAD9L/4M=")</f>
        <v>#REF!</v>
      </c>
      <c r="EC198" t="e">
        <f>AND('GA55 Entry'!#REF!,"AAAAAD9L/4Q=")</f>
        <v>#REF!</v>
      </c>
      <c r="ED198" t="e">
        <f>AND('GA55 Entry'!#REF!,"AAAAAD9L/4U=")</f>
        <v>#REF!</v>
      </c>
      <c r="EE198" t="e">
        <f>AND('GA55 Entry'!#REF!,"AAAAAD9L/4Y=")</f>
        <v>#REF!</v>
      </c>
      <c r="EF198" t="e">
        <f>AND('GA55 Entry'!#REF!,"AAAAAD9L/4c=")</f>
        <v>#REF!</v>
      </c>
      <c r="EG198" t="e">
        <f>AND('GA55 Entry'!#REF!,"AAAAAD9L/4g=")</f>
        <v>#REF!</v>
      </c>
      <c r="EH198" t="e">
        <f>AND('GA55 Entry'!#REF!,"AAAAAD9L/4k=")</f>
        <v>#REF!</v>
      </c>
      <c r="EI198" t="e">
        <f>AND('GA55 Entry'!#REF!,"AAAAAD9L/4o=")</f>
        <v>#REF!</v>
      </c>
      <c r="EJ198" t="e">
        <f>AND('GA55 Entry'!#REF!,"AAAAAD9L/4s=")</f>
        <v>#REF!</v>
      </c>
      <c r="EK198" t="e">
        <f>AND('GA55 Entry'!Z762,"AAAAAD9L/4w=")</f>
        <v>#VALUE!</v>
      </c>
      <c r="EL198" t="e">
        <f>AND('GA55 Entry'!AA762,"AAAAAD9L/40=")</f>
        <v>#VALUE!</v>
      </c>
      <c r="EM198" t="e">
        <f>AND('GA55 Entry'!#REF!,"AAAAAD9L/44=")</f>
        <v>#REF!</v>
      </c>
      <c r="EN198" t="e">
        <f>AND('GA55 Entry'!#REF!,"AAAAAD9L/48=")</f>
        <v>#REF!</v>
      </c>
      <c r="EO198" t="e">
        <f>AND('GA55 Entry'!#REF!,"AAAAAD9L/5A=")</f>
        <v>#REF!</v>
      </c>
      <c r="EP198" t="e">
        <f>AND('GA55 Entry'!AB762,"AAAAAD9L/5E=")</f>
        <v>#VALUE!</v>
      </c>
      <c r="EQ198" t="e">
        <f>AND('GA55 Entry'!AC762,"AAAAAD9L/5I=")</f>
        <v>#VALUE!</v>
      </c>
      <c r="ER198" t="e">
        <f>AND('GA55 Entry'!#REF!,"AAAAAD9L/5M=")</f>
        <v>#REF!</v>
      </c>
      <c r="ES198">
        <f>IF('GA55 Entry'!763:763,"AAAAAD9L/5Q=",0)</f>
        <v>0</v>
      </c>
      <c r="ET198" t="e">
        <f>AND('GA55 Entry'!B763,"AAAAAD9L/5U=")</f>
        <v>#VALUE!</v>
      </c>
      <c r="EU198" t="e">
        <f>AND('GA55 Entry'!#REF!,"AAAAAD9L/5Y=")</f>
        <v>#REF!</v>
      </c>
      <c r="EV198" t="e">
        <f>AND('GA55 Entry'!C763,"AAAAAD9L/5c=")</f>
        <v>#VALUE!</v>
      </c>
      <c r="EW198" t="e">
        <f>AND('GA55 Entry'!#REF!,"AAAAAD9L/5g=")</f>
        <v>#REF!</v>
      </c>
      <c r="EX198" t="e">
        <f>AND('GA55 Entry'!#REF!,"AAAAAD9L/5k=")</f>
        <v>#REF!</v>
      </c>
      <c r="EY198" t="e">
        <f>AND('GA55 Entry'!#REF!,"AAAAAD9L/5o=")</f>
        <v>#REF!</v>
      </c>
      <c r="EZ198" t="e">
        <f>AND('GA55 Entry'!#REF!,"AAAAAD9L/5s=")</f>
        <v>#REF!</v>
      </c>
      <c r="FA198" t="e">
        <f>AND('GA55 Entry'!#REF!,"AAAAAD9L/5w=")</f>
        <v>#REF!</v>
      </c>
      <c r="FB198" t="e">
        <f>AND('GA55 Entry'!D763,"AAAAAD9L/50=")</f>
        <v>#VALUE!</v>
      </c>
      <c r="FC198" t="e">
        <f>AND('GA55 Entry'!#REF!,"AAAAAD9L/54=")</f>
        <v>#REF!</v>
      </c>
      <c r="FD198" t="e">
        <f>AND('GA55 Entry'!E763,"AAAAAD9L/58=")</f>
        <v>#VALUE!</v>
      </c>
      <c r="FE198" t="e">
        <f>AND('GA55 Entry'!F763,"AAAAAD9L/6A=")</f>
        <v>#VALUE!</v>
      </c>
      <c r="FF198" t="e">
        <f>AND('GA55 Entry'!G763,"AAAAAD9L/6E=")</f>
        <v>#VALUE!</v>
      </c>
      <c r="FG198" t="e">
        <f>AND('GA55 Entry'!H763,"AAAAAD9L/6I=")</f>
        <v>#VALUE!</v>
      </c>
      <c r="FH198" t="e">
        <f>AND('GA55 Entry'!I763,"AAAAAD9L/6M=")</f>
        <v>#VALUE!</v>
      </c>
      <c r="FI198" t="e">
        <f>AND('GA55 Entry'!J763,"AAAAAD9L/6Q=")</f>
        <v>#VALUE!</v>
      </c>
      <c r="FJ198" t="e">
        <f>AND('GA55 Entry'!#REF!,"AAAAAD9L/6U=")</f>
        <v>#REF!</v>
      </c>
      <c r="FK198" t="e">
        <f>AND('GA55 Entry'!K763,"AAAAAD9L/6Y=")</f>
        <v>#VALUE!</v>
      </c>
      <c r="FL198" t="e">
        <f>AND('GA55 Entry'!L763,"AAAAAD9L/6c=")</f>
        <v>#VALUE!</v>
      </c>
      <c r="FM198" t="e">
        <f>AND('GA55 Entry'!M763,"AAAAAD9L/6g=")</f>
        <v>#VALUE!</v>
      </c>
      <c r="FN198" t="e">
        <f>AND('GA55 Entry'!N763,"AAAAAD9L/6k=")</f>
        <v>#VALUE!</v>
      </c>
      <c r="FO198" t="e">
        <f>AND('GA55 Entry'!O763,"AAAAAD9L/6o=")</f>
        <v>#VALUE!</v>
      </c>
      <c r="FP198" t="e">
        <f>AND('GA55 Entry'!P763,"AAAAAD9L/6s=")</f>
        <v>#VALUE!</v>
      </c>
      <c r="FQ198" t="e">
        <f>AND('GA55 Entry'!Q763,"AAAAAD9L/6w=")</f>
        <v>#VALUE!</v>
      </c>
      <c r="FR198" t="e">
        <f>AND('GA55 Entry'!S763,"AAAAAD9L/60=")</f>
        <v>#VALUE!</v>
      </c>
      <c r="FS198" t="e">
        <f>AND('GA55 Entry'!#REF!,"AAAAAD9L/64=")</f>
        <v>#REF!</v>
      </c>
      <c r="FT198" t="e">
        <f>AND('GA55 Entry'!T763,"AAAAAD9L/68=")</f>
        <v>#VALUE!</v>
      </c>
      <c r="FU198" t="e">
        <f>AND('GA55 Entry'!U763,"AAAAAD9L/7A=")</f>
        <v>#VALUE!</v>
      </c>
      <c r="FV198" t="e">
        <f>AND('GA55 Entry'!V763,"AAAAAD9L/7E=")</f>
        <v>#VALUE!</v>
      </c>
      <c r="FW198" t="e">
        <f>AND('GA55 Entry'!#REF!,"AAAAAD9L/7I=")</f>
        <v>#REF!</v>
      </c>
      <c r="FX198" t="e">
        <f>AND('GA55 Entry'!#REF!,"AAAAAD9L/7M=")</f>
        <v>#REF!</v>
      </c>
      <c r="FY198" t="e">
        <f>AND('GA55 Entry'!X763,"AAAAAD9L/7Q=")</f>
        <v>#VALUE!</v>
      </c>
      <c r="FZ198" t="e">
        <f>AND('GA55 Entry'!Y763,"AAAAAD9L/7U=")</f>
        <v>#VALUE!</v>
      </c>
      <c r="GA198" t="e">
        <f>AND('GA55 Entry'!#REF!,"AAAAAD9L/7Y=")</f>
        <v>#REF!</v>
      </c>
      <c r="GB198" t="e">
        <f>AND('GA55 Entry'!#REF!,"AAAAAD9L/7c=")</f>
        <v>#REF!</v>
      </c>
      <c r="GC198" t="e">
        <f>AND('GA55 Entry'!#REF!,"AAAAAD9L/7g=")</f>
        <v>#REF!</v>
      </c>
      <c r="GD198" t="e">
        <f>AND('GA55 Entry'!#REF!,"AAAAAD9L/7k=")</f>
        <v>#REF!</v>
      </c>
      <c r="GE198" t="e">
        <f>AND('GA55 Entry'!#REF!,"AAAAAD9L/7o=")</f>
        <v>#REF!</v>
      </c>
      <c r="GF198" t="e">
        <f>AND('GA55 Entry'!#REF!,"AAAAAD9L/7s=")</f>
        <v>#REF!</v>
      </c>
      <c r="GG198" t="e">
        <f>AND('GA55 Entry'!#REF!,"AAAAAD9L/7w=")</f>
        <v>#REF!</v>
      </c>
      <c r="GH198" t="e">
        <f>AND('GA55 Entry'!#REF!,"AAAAAD9L/70=")</f>
        <v>#REF!</v>
      </c>
      <c r="GI198" t="e">
        <f>AND('GA55 Entry'!#REF!,"AAAAAD9L/74=")</f>
        <v>#REF!</v>
      </c>
      <c r="GJ198" t="e">
        <f>AND('GA55 Entry'!Z763,"AAAAAD9L/78=")</f>
        <v>#VALUE!</v>
      </c>
      <c r="GK198" t="e">
        <f>AND('GA55 Entry'!AA763,"AAAAAD9L/8A=")</f>
        <v>#VALUE!</v>
      </c>
      <c r="GL198" t="e">
        <f>AND('GA55 Entry'!#REF!,"AAAAAD9L/8E=")</f>
        <v>#REF!</v>
      </c>
      <c r="GM198" t="e">
        <f>AND('GA55 Entry'!#REF!,"AAAAAD9L/8I=")</f>
        <v>#REF!</v>
      </c>
      <c r="GN198" t="e">
        <f>AND('GA55 Entry'!#REF!,"AAAAAD9L/8M=")</f>
        <v>#REF!</v>
      </c>
      <c r="GO198" t="e">
        <f>AND('GA55 Entry'!AB763,"AAAAAD9L/8Q=")</f>
        <v>#VALUE!</v>
      </c>
      <c r="GP198" t="e">
        <f>AND('GA55 Entry'!AC763,"AAAAAD9L/8U=")</f>
        <v>#VALUE!</v>
      </c>
      <c r="GQ198" t="e">
        <f>AND('GA55 Entry'!#REF!,"AAAAAD9L/8Y=")</f>
        <v>#REF!</v>
      </c>
      <c r="GR198">
        <f>IF('GA55 Entry'!764:764,"AAAAAD9L/8c=",0)</f>
        <v>0</v>
      </c>
      <c r="GS198" t="e">
        <f>AND('GA55 Entry'!B764,"AAAAAD9L/8g=")</f>
        <v>#VALUE!</v>
      </c>
      <c r="GT198" t="e">
        <f>AND('GA55 Entry'!#REF!,"AAAAAD9L/8k=")</f>
        <v>#REF!</v>
      </c>
      <c r="GU198" t="e">
        <f>AND('GA55 Entry'!C764,"AAAAAD9L/8o=")</f>
        <v>#VALUE!</v>
      </c>
      <c r="GV198" t="e">
        <f>AND('GA55 Entry'!#REF!,"AAAAAD9L/8s=")</f>
        <v>#REF!</v>
      </c>
      <c r="GW198" t="e">
        <f>AND('GA55 Entry'!#REF!,"AAAAAD9L/8w=")</f>
        <v>#REF!</v>
      </c>
      <c r="GX198" t="e">
        <f>AND('GA55 Entry'!#REF!,"AAAAAD9L/80=")</f>
        <v>#REF!</v>
      </c>
      <c r="GY198" t="e">
        <f>AND('GA55 Entry'!#REF!,"AAAAAD9L/84=")</f>
        <v>#REF!</v>
      </c>
      <c r="GZ198" t="e">
        <f>AND('GA55 Entry'!#REF!,"AAAAAD9L/88=")</f>
        <v>#REF!</v>
      </c>
      <c r="HA198" t="e">
        <f>AND('GA55 Entry'!D764,"AAAAAD9L/9A=")</f>
        <v>#VALUE!</v>
      </c>
      <c r="HB198" t="e">
        <f>AND('GA55 Entry'!#REF!,"AAAAAD9L/9E=")</f>
        <v>#REF!</v>
      </c>
      <c r="HC198" t="e">
        <f>AND('GA55 Entry'!E764,"AAAAAD9L/9I=")</f>
        <v>#VALUE!</v>
      </c>
      <c r="HD198" t="e">
        <f>AND('GA55 Entry'!F764,"AAAAAD9L/9M=")</f>
        <v>#VALUE!</v>
      </c>
      <c r="HE198" t="e">
        <f>AND('GA55 Entry'!G764,"AAAAAD9L/9Q=")</f>
        <v>#VALUE!</v>
      </c>
      <c r="HF198" t="e">
        <f>AND('GA55 Entry'!H764,"AAAAAD9L/9U=")</f>
        <v>#VALUE!</v>
      </c>
      <c r="HG198" t="e">
        <f>AND('GA55 Entry'!I764,"AAAAAD9L/9Y=")</f>
        <v>#VALUE!</v>
      </c>
      <c r="HH198" t="e">
        <f>AND('GA55 Entry'!J764,"AAAAAD9L/9c=")</f>
        <v>#VALUE!</v>
      </c>
      <c r="HI198" t="e">
        <f>AND('GA55 Entry'!#REF!,"AAAAAD9L/9g=")</f>
        <v>#REF!</v>
      </c>
      <c r="HJ198" t="e">
        <f>AND('GA55 Entry'!K764,"AAAAAD9L/9k=")</f>
        <v>#VALUE!</v>
      </c>
      <c r="HK198" t="e">
        <f>AND('GA55 Entry'!L764,"AAAAAD9L/9o=")</f>
        <v>#VALUE!</v>
      </c>
      <c r="HL198" t="e">
        <f>AND('GA55 Entry'!M764,"AAAAAD9L/9s=")</f>
        <v>#VALUE!</v>
      </c>
      <c r="HM198" t="e">
        <f>AND('GA55 Entry'!N764,"AAAAAD9L/9w=")</f>
        <v>#VALUE!</v>
      </c>
      <c r="HN198" t="e">
        <f>AND('GA55 Entry'!O764,"AAAAAD9L/90=")</f>
        <v>#VALUE!</v>
      </c>
      <c r="HO198" t="e">
        <f>AND('GA55 Entry'!P764,"AAAAAD9L/94=")</f>
        <v>#VALUE!</v>
      </c>
      <c r="HP198" t="e">
        <f>AND('GA55 Entry'!Q764,"AAAAAD9L/98=")</f>
        <v>#VALUE!</v>
      </c>
      <c r="HQ198" t="e">
        <f>AND('GA55 Entry'!S764,"AAAAAD9L/+A=")</f>
        <v>#VALUE!</v>
      </c>
      <c r="HR198" t="e">
        <f>AND('GA55 Entry'!#REF!,"AAAAAD9L/+E=")</f>
        <v>#REF!</v>
      </c>
      <c r="HS198" t="e">
        <f>AND('GA55 Entry'!T764,"AAAAAD9L/+I=")</f>
        <v>#VALUE!</v>
      </c>
      <c r="HT198" t="e">
        <f>AND('GA55 Entry'!U764,"AAAAAD9L/+M=")</f>
        <v>#VALUE!</v>
      </c>
      <c r="HU198" t="e">
        <f>AND('GA55 Entry'!V764,"AAAAAD9L/+Q=")</f>
        <v>#VALUE!</v>
      </c>
      <c r="HV198" t="e">
        <f>AND('GA55 Entry'!#REF!,"AAAAAD9L/+U=")</f>
        <v>#REF!</v>
      </c>
      <c r="HW198" t="e">
        <f>AND('GA55 Entry'!#REF!,"AAAAAD9L/+Y=")</f>
        <v>#REF!</v>
      </c>
      <c r="HX198" t="e">
        <f>AND('GA55 Entry'!X764,"AAAAAD9L/+c=")</f>
        <v>#VALUE!</v>
      </c>
      <c r="HY198" t="e">
        <f>AND('GA55 Entry'!Y764,"AAAAAD9L/+g=")</f>
        <v>#VALUE!</v>
      </c>
      <c r="HZ198" t="e">
        <f>AND('GA55 Entry'!#REF!,"AAAAAD9L/+k=")</f>
        <v>#REF!</v>
      </c>
      <c r="IA198" t="e">
        <f>AND('GA55 Entry'!#REF!,"AAAAAD9L/+o=")</f>
        <v>#REF!</v>
      </c>
      <c r="IB198" t="e">
        <f>AND('GA55 Entry'!#REF!,"AAAAAD9L/+s=")</f>
        <v>#REF!</v>
      </c>
      <c r="IC198" t="e">
        <f>AND('GA55 Entry'!#REF!,"AAAAAD9L/+w=")</f>
        <v>#REF!</v>
      </c>
      <c r="ID198" t="e">
        <f>AND('GA55 Entry'!#REF!,"AAAAAD9L/+0=")</f>
        <v>#REF!</v>
      </c>
      <c r="IE198" t="e">
        <f>AND('GA55 Entry'!#REF!,"AAAAAD9L/+4=")</f>
        <v>#REF!</v>
      </c>
      <c r="IF198" t="e">
        <f>AND('GA55 Entry'!#REF!,"AAAAAD9L/+8=")</f>
        <v>#REF!</v>
      </c>
      <c r="IG198" t="e">
        <f>AND('GA55 Entry'!#REF!,"AAAAAD9L//A=")</f>
        <v>#REF!</v>
      </c>
      <c r="IH198" t="e">
        <f>AND('GA55 Entry'!#REF!,"AAAAAD9L//E=")</f>
        <v>#REF!</v>
      </c>
      <c r="II198" t="e">
        <f>AND('GA55 Entry'!Z764,"AAAAAD9L//I=")</f>
        <v>#VALUE!</v>
      </c>
      <c r="IJ198" t="e">
        <f>AND('GA55 Entry'!AA764,"AAAAAD9L//M=")</f>
        <v>#VALUE!</v>
      </c>
      <c r="IK198" t="e">
        <f>AND('GA55 Entry'!#REF!,"AAAAAD9L//Q=")</f>
        <v>#REF!</v>
      </c>
      <c r="IL198" t="e">
        <f>AND('GA55 Entry'!#REF!,"AAAAAD9L//U=")</f>
        <v>#REF!</v>
      </c>
      <c r="IM198" t="e">
        <f>AND('GA55 Entry'!#REF!,"AAAAAD9L//Y=")</f>
        <v>#REF!</v>
      </c>
      <c r="IN198" t="e">
        <f>AND('GA55 Entry'!AB764,"AAAAAD9L//c=")</f>
        <v>#VALUE!</v>
      </c>
      <c r="IO198" t="e">
        <f>AND('GA55 Entry'!AC764,"AAAAAD9L//g=")</f>
        <v>#VALUE!</v>
      </c>
      <c r="IP198" t="e">
        <f>AND('GA55 Entry'!#REF!,"AAAAAD9L//k=")</f>
        <v>#REF!</v>
      </c>
      <c r="IQ198">
        <f>IF('GA55 Entry'!765:765,"AAAAAD9L//o=",0)</f>
        <v>0</v>
      </c>
      <c r="IR198" t="e">
        <f>AND('GA55 Entry'!B765,"AAAAAD9L//s=")</f>
        <v>#VALUE!</v>
      </c>
      <c r="IS198" t="e">
        <f>AND('GA55 Entry'!#REF!,"AAAAAD9L//w=")</f>
        <v>#REF!</v>
      </c>
      <c r="IT198" t="e">
        <f>AND('GA55 Entry'!C765,"AAAAAD9L//0=")</f>
        <v>#VALUE!</v>
      </c>
      <c r="IU198" t="e">
        <f>AND('GA55 Entry'!#REF!,"AAAAAD9L//4=")</f>
        <v>#REF!</v>
      </c>
      <c r="IV198" t="e">
        <f>AND('GA55 Entry'!#REF!,"AAAAAD9L//8=")</f>
        <v>#REF!</v>
      </c>
    </row>
    <row r="199" spans="1:256">
      <c r="A199" t="e">
        <f>AND('GA55 Entry'!#REF!,"AAAAAHW3/wA=")</f>
        <v>#REF!</v>
      </c>
      <c r="B199" t="e">
        <f>AND('GA55 Entry'!#REF!,"AAAAAHW3/wE=")</f>
        <v>#REF!</v>
      </c>
      <c r="C199" t="e">
        <f>AND('GA55 Entry'!#REF!,"AAAAAHW3/wI=")</f>
        <v>#REF!</v>
      </c>
      <c r="D199" t="e">
        <f>AND('GA55 Entry'!D765,"AAAAAHW3/wM=")</f>
        <v>#VALUE!</v>
      </c>
      <c r="E199" t="e">
        <f>AND('GA55 Entry'!#REF!,"AAAAAHW3/wQ=")</f>
        <v>#REF!</v>
      </c>
      <c r="F199" t="e">
        <f>AND('GA55 Entry'!E765,"AAAAAHW3/wU=")</f>
        <v>#VALUE!</v>
      </c>
      <c r="G199" t="e">
        <f>AND('GA55 Entry'!F765,"AAAAAHW3/wY=")</f>
        <v>#VALUE!</v>
      </c>
      <c r="H199" t="e">
        <f>AND('GA55 Entry'!G765,"AAAAAHW3/wc=")</f>
        <v>#VALUE!</v>
      </c>
      <c r="I199" t="e">
        <f>AND('GA55 Entry'!H765,"AAAAAHW3/wg=")</f>
        <v>#VALUE!</v>
      </c>
      <c r="J199" t="e">
        <f>AND('GA55 Entry'!I765,"AAAAAHW3/wk=")</f>
        <v>#VALUE!</v>
      </c>
      <c r="K199" t="e">
        <f>AND('GA55 Entry'!J765,"AAAAAHW3/wo=")</f>
        <v>#VALUE!</v>
      </c>
      <c r="L199" t="e">
        <f>AND('GA55 Entry'!#REF!,"AAAAAHW3/ws=")</f>
        <v>#REF!</v>
      </c>
      <c r="M199" t="e">
        <f>AND('GA55 Entry'!K765,"AAAAAHW3/ww=")</f>
        <v>#VALUE!</v>
      </c>
      <c r="N199" t="e">
        <f>AND('GA55 Entry'!L765,"AAAAAHW3/w0=")</f>
        <v>#VALUE!</v>
      </c>
      <c r="O199" t="e">
        <f>AND('GA55 Entry'!M765,"AAAAAHW3/w4=")</f>
        <v>#VALUE!</v>
      </c>
      <c r="P199" t="e">
        <f>AND('GA55 Entry'!N765,"AAAAAHW3/w8=")</f>
        <v>#VALUE!</v>
      </c>
      <c r="Q199" t="e">
        <f>AND('GA55 Entry'!O765,"AAAAAHW3/xA=")</f>
        <v>#VALUE!</v>
      </c>
      <c r="R199" t="e">
        <f>AND('GA55 Entry'!P765,"AAAAAHW3/xE=")</f>
        <v>#VALUE!</v>
      </c>
      <c r="S199" t="e">
        <f>AND('GA55 Entry'!Q765,"AAAAAHW3/xI=")</f>
        <v>#VALUE!</v>
      </c>
      <c r="T199" t="e">
        <f>AND('GA55 Entry'!S765,"AAAAAHW3/xM=")</f>
        <v>#VALUE!</v>
      </c>
      <c r="U199" t="e">
        <f>AND('GA55 Entry'!#REF!,"AAAAAHW3/xQ=")</f>
        <v>#REF!</v>
      </c>
      <c r="V199" t="e">
        <f>AND('GA55 Entry'!T765,"AAAAAHW3/xU=")</f>
        <v>#VALUE!</v>
      </c>
      <c r="W199" t="e">
        <f>AND('GA55 Entry'!U765,"AAAAAHW3/xY=")</f>
        <v>#VALUE!</v>
      </c>
      <c r="X199" t="e">
        <f>AND('GA55 Entry'!V765,"AAAAAHW3/xc=")</f>
        <v>#VALUE!</v>
      </c>
      <c r="Y199" t="e">
        <f>AND('GA55 Entry'!#REF!,"AAAAAHW3/xg=")</f>
        <v>#REF!</v>
      </c>
      <c r="Z199" t="e">
        <f>AND('GA55 Entry'!#REF!,"AAAAAHW3/xk=")</f>
        <v>#REF!</v>
      </c>
      <c r="AA199" t="e">
        <f>AND('GA55 Entry'!X765,"AAAAAHW3/xo=")</f>
        <v>#VALUE!</v>
      </c>
      <c r="AB199" t="e">
        <f>AND('GA55 Entry'!Y765,"AAAAAHW3/xs=")</f>
        <v>#VALUE!</v>
      </c>
      <c r="AC199" t="e">
        <f>AND('GA55 Entry'!#REF!,"AAAAAHW3/xw=")</f>
        <v>#REF!</v>
      </c>
      <c r="AD199" t="e">
        <f>AND('GA55 Entry'!#REF!,"AAAAAHW3/x0=")</f>
        <v>#REF!</v>
      </c>
      <c r="AE199" t="e">
        <f>AND('GA55 Entry'!#REF!,"AAAAAHW3/x4=")</f>
        <v>#REF!</v>
      </c>
      <c r="AF199" t="e">
        <f>AND('GA55 Entry'!#REF!,"AAAAAHW3/x8=")</f>
        <v>#REF!</v>
      </c>
      <c r="AG199" t="e">
        <f>AND('GA55 Entry'!#REF!,"AAAAAHW3/yA=")</f>
        <v>#REF!</v>
      </c>
      <c r="AH199" t="e">
        <f>AND('GA55 Entry'!#REF!,"AAAAAHW3/yE=")</f>
        <v>#REF!</v>
      </c>
      <c r="AI199" t="e">
        <f>AND('GA55 Entry'!#REF!,"AAAAAHW3/yI=")</f>
        <v>#REF!</v>
      </c>
      <c r="AJ199" t="e">
        <f>AND('GA55 Entry'!#REF!,"AAAAAHW3/yM=")</f>
        <v>#REF!</v>
      </c>
      <c r="AK199" t="e">
        <f>AND('GA55 Entry'!#REF!,"AAAAAHW3/yQ=")</f>
        <v>#REF!</v>
      </c>
      <c r="AL199" t="e">
        <f>AND('GA55 Entry'!Z765,"AAAAAHW3/yU=")</f>
        <v>#VALUE!</v>
      </c>
      <c r="AM199" t="e">
        <f>AND('GA55 Entry'!AA765,"AAAAAHW3/yY=")</f>
        <v>#VALUE!</v>
      </c>
      <c r="AN199" t="e">
        <f>AND('GA55 Entry'!#REF!,"AAAAAHW3/yc=")</f>
        <v>#REF!</v>
      </c>
      <c r="AO199" t="e">
        <f>AND('GA55 Entry'!#REF!,"AAAAAHW3/yg=")</f>
        <v>#REF!</v>
      </c>
      <c r="AP199" t="e">
        <f>AND('GA55 Entry'!#REF!,"AAAAAHW3/yk=")</f>
        <v>#REF!</v>
      </c>
      <c r="AQ199" t="e">
        <f>AND('GA55 Entry'!AB765,"AAAAAHW3/yo=")</f>
        <v>#VALUE!</v>
      </c>
      <c r="AR199" t="e">
        <f>AND('GA55 Entry'!AC765,"AAAAAHW3/ys=")</f>
        <v>#VALUE!</v>
      </c>
      <c r="AS199" t="e">
        <f>AND('GA55 Entry'!#REF!,"AAAAAHW3/yw=")</f>
        <v>#REF!</v>
      </c>
      <c r="AT199">
        <f>IF('GA55 Entry'!766:766,"AAAAAHW3/y0=",0)</f>
        <v>0</v>
      </c>
      <c r="AU199" t="e">
        <f>AND('GA55 Entry'!B766,"AAAAAHW3/y4=")</f>
        <v>#VALUE!</v>
      </c>
      <c r="AV199" t="e">
        <f>AND('GA55 Entry'!#REF!,"AAAAAHW3/y8=")</f>
        <v>#REF!</v>
      </c>
      <c r="AW199" t="e">
        <f>AND('GA55 Entry'!C766,"AAAAAHW3/zA=")</f>
        <v>#VALUE!</v>
      </c>
      <c r="AX199" t="e">
        <f>AND('GA55 Entry'!#REF!,"AAAAAHW3/zE=")</f>
        <v>#REF!</v>
      </c>
      <c r="AY199" t="e">
        <f>AND('GA55 Entry'!#REF!,"AAAAAHW3/zI=")</f>
        <v>#REF!</v>
      </c>
      <c r="AZ199" t="e">
        <f>AND('GA55 Entry'!#REF!,"AAAAAHW3/zM=")</f>
        <v>#REF!</v>
      </c>
      <c r="BA199" t="e">
        <f>AND('GA55 Entry'!#REF!,"AAAAAHW3/zQ=")</f>
        <v>#REF!</v>
      </c>
      <c r="BB199" t="e">
        <f>AND('GA55 Entry'!#REF!,"AAAAAHW3/zU=")</f>
        <v>#REF!</v>
      </c>
      <c r="BC199" t="e">
        <f>AND('GA55 Entry'!D766,"AAAAAHW3/zY=")</f>
        <v>#VALUE!</v>
      </c>
      <c r="BD199" t="e">
        <f>AND('GA55 Entry'!#REF!,"AAAAAHW3/zc=")</f>
        <v>#REF!</v>
      </c>
      <c r="BE199" t="e">
        <f>AND('GA55 Entry'!E766,"AAAAAHW3/zg=")</f>
        <v>#VALUE!</v>
      </c>
      <c r="BF199" t="e">
        <f>AND('GA55 Entry'!F766,"AAAAAHW3/zk=")</f>
        <v>#VALUE!</v>
      </c>
      <c r="BG199" t="e">
        <f>AND('GA55 Entry'!G766,"AAAAAHW3/zo=")</f>
        <v>#VALUE!</v>
      </c>
      <c r="BH199" t="e">
        <f>AND('GA55 Entry'!H766,"AAAAAHW3/zs=")</f>
        <v>#VALUE!</v>
      </c>
      <c r="BI199" t="e">
        <f>AND('GA55 Entry'!I766,"AAAAAHW3/zw=")</f>
        <v>#VALUE!</v>
      </c>
      <c r="BJ199" t="e">
        <f>AND('GA55 Entry'!J766,"AAAAAHW3/z0=")</f>
        <v>#VALUE!</v>
      </c>
      <c r="BK199" t="e">
        <f>AND('GA55 Entry'!#REF!,"AAAAAHW3/z4=")</f>
        <v>#REF!</v>
      </c>
      <c r="BL199" t="e">
        <f>AND('GA55 Entry'!K766,"AAAAAHW3/z8=")</f>
        <v>#VALUE!</v>
      </c>
      <c r="BM199" t="e">
        <f>AND('GA55 Entry'!L766,"AAAAAHW3/0A=")</f>
        <v>#VALUE!</v>
      </c>
      <c r="BN199" t="e">
        <f>AND('GA55 Entry'!M766,"AAAAAHW3/0E=")</f>
        <v>#VALUE!</v>
      </c>
      <c r="BO199" t="e">
        <f>AND('GA55 Entry'!N766,"AAAAAHW3/0I=")</f>
        <v>#VALUE!</v>
      </c>
      <c r="BP199" t="e">
        <f>AND('GA55 Entry'!O766,"AAAAAHW3/0M=")</f>
        <v>#VALUE!</v>
      </c>
      <c r="BQ199" t="e">
        <f>AND('GA55 Entry'!P766,"AAAAAHW3/0Q=")</f>
        <v>#VALUE!</v>
      </c>
      <c r="BR199" t="e">
        <f>AND('GA55 Entry'!Q766,"AAAAAHW3/0U=")</f>
        <v>#VALUE!</v>
      </c>
      <c r="BS199" t="e">
        <f>AND('GA55 Entry'!S766,"AAAAAHW3/0Y=")</f>
        <v>#VALUE!</v>
      </c>
      <c r="BT199" t="e">
        <f>AND('GA55 Entry'!#REF!,"AAAAAHW3/0c=")</f>
        <v>#REF!</v>
      </c>
      <c r="BU199" t="e">
        <f>AND('GA55 Entry'!T766,"AAAAAHW3/0g=")</f>
        <v>#VALUE!</v>
      </c>
      <c r="BV199" t="e">
        <f>AND('GA55 Entry'!U766,"AAAAAHW3/0k=")</f>
        <v>#VALUE!</v>
      </c>
      <c r="BW199" t="e">
        <f>AND('GA55 Entry'!V766,"AAAAAHW3/0o=")</f>
        <v>#VALUE!</v>
      </c>
      <c r="BX199" t="e">
        <f>AND('GA55 Entry'!#REF!,"AAAAAHW3/0s=")</f>
        <v>#REF!</v>
      </c>
      <c r="BY199" t="e">
        <f>AND('GA55 Entry'!#REF!,"AAAAAHW3/0w=")</f>
        <v>#REF!</v>
      </c>
      <c r="BZ199" t="e">
        <f>AND('GA55 Entry'!X766,"AAAAAHW3/00=")</f>
        <v>#VALUE!</v>
      </c>
      <c r="CA199" t="e">
        <f>AND('GA55 Entry'!Y766,"AAAAAHW3/04=")</f>
        <v>#VALUE!</v>
      </c>
      <c r="CB199" t="e">
        <f>AND('GA55 Entry'!#REF!,"AAAAAHW3/08=")</f>
        <v>#REF!</v>
      </c>
      <c r="CC199" t="e">
        <f>AND('GA55 Entry'!#REF!,"AAAAAHW3/1A=")</f>
        <v>#REF!</v>
      </c>
      <c r="CD199" t="e">
        <f>AND('GA55 Entry'!#REF!,"AAAAAHW3/1E=")</f>
        <v>#REF!</v>
      </c>
      <c r="CE199" t="e">
        <f>AND('GA55 Entry'!#REF!,"AAAAAHW3/1I=")</f>
        <v>#REF!</v>
      </c>
      <c r="CF199" t="e">
        <f>AND('GA55 Entry'!#REF!,"AAAAAHW3/1M=")</f>
        <v>#REF!</v>
      </c>
      <c r="CG199" t="e">
        <f>AND('GA55 Entry'!#REF!,"AAAAAHW3/1Q=")</f>
        <v>#REF!</v>
      </c>
      <c r="CH199" t="e">
        <f>AND('GA55 Entry'!#REF!,"AAAAAHW3/1U=")</f>
        <v>#REF!</v>
      </c>
      <c r="CI199" t="e">
        <f>AND('GA55 Entry'!#REF!,"AAAAAHW3/1Y=")</f>
        <v>#REF!</v>
      </c>
      <c r="CJ199" t="e">
        <f>AND('GA55 Entry'!#REF!,"AAAAAHW3/1c=")</f>
        <v>#REF!</v>
      </c>
      <c r="CK199" t="e">
        <f>AND('GA55 Entry'!Z766,"AAAAAHW3/1g=")</f>
        <v>#VALUE!</v>
      </c>
      <c r="CL199" t="e">
        <f>AND('GA55 Entry'!AA766,"AAAAAHW3/1k=")</f>
        <v>#VALUE!</v>
      </c>
      <c r="CM199" t="e">
        <f>AND('GA55 Entry'!#REF!,"AAAAAHW3/1o=")</f>
        <v>#REF!</v>
      </c>
      <c r="CN199" t="e">
        <f>AND('GA55 Entry'!#REF!,"AAAAAHW3/1s=")</f>
        <v>#REF!</v>
      </c>
      <c r="CO199" t="e">
        <f>AND('GA55 Entry'!#REF!,"AAAAAHW3/1w=")</f>
        <v>#REF!</v>
      </c>
      <c r="CP199" t="e">
        <f>AND('GA55 Entry'!AB766,"AAAAAHW3/10=")</f>
        <v>#VALUE!</v>
      </c>
      <c r="CQ199" t="e">
        <f>AND('GA55 Entry'!AC766,"AAAAAHW3/14=")</f>
        <v>#VALUE!</v>
      </c>
      <c r="CR199" t="e">
        <f>AND('GA55 Entry'!#REF!,"AAAAAHW3/18=")</f>
        <v>#REF!</v>
      </c>
      <c r="CS199">
        <f>IF('GA55 Entry'!767:767,"AAAAAHW3/2A=",0)</f>
        <v>0</v>
      </c>
      <c r="CT199" t="e">
        <f>AND('GA55 Entry'!B767,"AAAAAHW3/2E=")</f>
        <v>#VALUE!</v>
      </c>
      <c r="CU199" t="e">
        <f>AND('GA55 Entry'!#REF!,"AAAAAHW3/2I=")</f>
        <v>#REF!</v>
      </c>
      <c r="CV199" t="e">
        <f>AND('GA55 Entry'!C767,"AAAAAHW3/2M=")</f>
        <v>#VALUE!</v>
      </c>
      <c r="CW199" t="e">
        <f>AND('GA55 Entry'!#REF!,"AAAAAHW3/2Q=")</f>
        <v>#REF!</v>
      </c>
      <c r="CX199" t="e">
        <f>AND('GA55 Entry'!#REF!,"AAAAAHW3/2U=")</f>
        <v>#REF!</v>
      </c>
      <c r="CY199" t="e">
        <f>AND('GA55 Entry'!#REF!,"AAAAAHW3/2Y=")</f>
        <v>#REF!</v>
      </c>
      <c r="CZ199" t="e">
        <f>AND('GA55 Entry'!#REF!,"AAAAAHW3/2c=")</f>
        <v>#REF!</v>
      </c>
      <c r="DA199" t="e">
        <f>AND('GA55 Entry'!#REF!,"AAAAAHW3/2g=")</f>
        <v>#REF!</v>
      </c>
      <c r="DB199" t="e">
        <f>AND('GA55 Entry'!D767,"AAAAAHW3/2k=")</f>
        <v>#VALUE!</v>
      </c>
      <c r="DC199" t="e">
        <f>AND('GA55 Entry'!#REF!,"AAAAAHW3/2o=")</f>
        <v>#REF!</v>
      </c>
      <c r="DD199" t="e">
        <f>AND('GA55 Entry'!E767,"AAAAAHW3/2s=")</f>
        <v>#VALUE!</v>
      </c>
      <c r="DE199" t="e">
        <f>AND('GA55 Entry'!F767,"AAAAAHW3/2w=")</f>
        <v>#VALUE!</v>
      </c>
      <c r="DF199" t="e">
        <f>AND('GA55 Entry'!G767,"AAAAAHW3/20=")</f>
        <v>#VALUE!</v>
      </c>
      <c r="DG199" t="e">
        <f>AND('GA55 Entry'!H767,"AAAAAHW3/24=")</f>
        <v>#VALUE!</v>
      </c>
      <c r="DH199" t="e">
        <f>AND('GA55 Entry'!I767,"AAAAAHW3/28=")</f>
        <v>#VALUE!</v>
      </c>
      <c r="DI199" t="e">
        <f>AND('GA55 Entry'!J767,"AAAAAHW3/3A=")</f>
        <v>#VALUE!</v>
      </c>
      <c r="DJ199" t="e">
        <f>AND('GA55 Entry'!#REF!,"AAAAAHW3/3E=")</f>
        <v>#REF!</v>
      </c>
      <c r="DK199" t="e">
        <f>AND('GA55 Entry'!K767,"AAAAAHW3/3I=")</f>
        <v>#VALUE!</v>
      </c>
      <c r="DL199" t="e">
        <f>AND('GA55 Entry'!L767,"AAAAAHW3/3M=")</f>
        <v>#VALUE!</v>
      </c>
      <c r="DM199" t="e">
        <f>AND('GA55 Entry'!M767,"AAAAAHW3/3Q=")</f>
        <v>#VALUE!</v>
      </c>
      <c r="DN199" t="e">
        <f>AND('GA55 Entry'!N767,"AAAAAHW3/3U=")</f>
        <v>#VALUE!</v>
      </c>
      <c r="DO199" t="e">
        <f>AND('GA55 Entry'!O767,"AAAAAHW3/3Y=")</f>
        <v>#VALUE!</v>
      </c>
      <c r="DP199" t="e">
        <f>AND('GA55 Entry'!P767,"AAAAAHW3/3c=")</f>
        <v>#VALUE!</v>
      </c>
      <c r="DQ199" t="e">
        <f>AND('GA55 Entry'!Q767,"AAAAAHW3/3g=")</f>
        <v>#VALUE!</v>
      </c>
      <c r="DR199" t="e">
        <f>AND('GA55 Entry'!S767,"AAAAAHW3/3k=")</f>
        <v>#VALUE!</v>
      </c>
      <c r="DS199" t="e">
        <f>AND('GA55 Entry'!#REF!,"AAAAAHW3/3o=")</f>
        <v>#REF!</v>
      </c>
      <c r="DT199" t="e">
        <f>AND('GA55 Entry'!T767,"AAAAAHW3/3s=")</f>
        <v>#VALUE!</v>
      </c>
      <c r="DU199" t="e">
        <f>AND('GA55 Entry'!U767,"AAAAAHW3/3w=")</f>
        <v>#VALUE!</v>
      </c>
      <c r="DV199" t="e">
        <f>AND('GA55 Entry'!V767,"AAAAAHW3/30=")</f>
        <v>#VALUE!</v>
      </c>
      <c r="DW199" t="e">
        <f>AND('GA55 Entry'!#REF!,"AAAAAHW3/34=")</f>
        <v>#REF!</v>
      </c>
      <c r="DX199" t="e">
        <f>AND('GA55 Entry'!#REF!,"AAAAAHW3/38=")</f>
        <v>#REF!</v>
      </c>
      <c r="DY199" t="e">
        <f>AND('GA55 Entry'!X767,"AAAAAHW3/4A=")</f>
        <v>#VALUE!</v>
      </c>
      <c r="DZ199" t="e">
        <f>AND('GA55 Entry'!Y767,"AAAAAHW3/4E=")</f>
        <v>#VALUE!</v>
      </c>
      <c r="EA199" t="e">
        <f>AND('GA55 Entry'!#REF!,"AAAAAHW3/4I=")</f>
        <v>#REF!</v>
      </c>
      <c r="EB199" t="e">
        <f>AND('GA55 Entry'!#REF!,"AAAAAHW3/4M=")</f>
        <v>#REF!</v>
      </c>
      <c r="EC199" t="e">
        <f>AND('GA55 Entry'!#REF!,"AAAAAHW3/4Q=")</f>
        <v>#REF!</v>
      </c>
      <c r="ED199" t="e">
        <f>AND('GA55 Entry'!#REF!,"AAAAAHW3/4U=")</f>
        <v>#REF!</v>
      </c>
      <c r="EE199" t="e">
        <f>AND('GA55 Entry'!#REF!,"AAAAAHW3/4Y=")</f>
        <v>#REF!</v>
      </c>
      <c r="EF199" t="e">
        <f>AND('GA55 Entry'!#REF!,"AAAAAHW3/4c=")</f>
        <v>#REF!</v>
      </c>
      <c r="EG199" t="e">
        <f>AND('GA55 Entry'!#REF!,"AAAAAHW3/4g=")</f>
        <v>#REF!</v>
      </c>
      <c r="EH199" t="e">
        <f>AND('GA55 Entry'!#REF!,"AAAAAHW3/4k=")</f>
        <v>#REF!</v>
      </c>
      <c r="EI199" t="e">
        <f>AND('GA55 Entry'!#REF!,"AAAAAHW3/4o=")</f>
        <v>#REF!</v>
      </c>
      <c r="EJ199" t="e">
        <f>AND('GA55 Entry'!Z767,"AAAAAHW3/4s=")</f>
        <v>#VALUE!</v>
      </c>
      <c r="EK199" t="e">
        <f>AND('GA55 Entry'!AA767,"AAAAAHW3/4w=")</f>
        <v>#VALUE!</v>
      </c>
      <c r="EL199" t="e">
        <f>AND('GA55 Entry'!#REF!,"AAAAAHW3/40=")</f>
        <v>#REF!</v>
      </c>
      <c r="EM199" t="e">
        <f>AND('GA55 Entry'!#REF!,"AAAAAHW3/44=")</f>
        <v>#REF!</v>
      </c>
      <c r="EN199" t="e">
        <f>AND('GA55 Entry'!#REF!,"AAAAAHW3/48=")</f>
        <v>#REF!</v>
      </c>
      <c r="EO199" t="e">
        <f>AND('GA55 Entry'!AB767,"AAAAAHW3/5A=")</f>
        <v>#VALUE!</v>
      </c>
      <c r="EP199" t="e">
        <f>AND('GA55 Entry'!AC767,"AAAAAHW3/5E=")</f>
        <v>#VALUE!</v>
      </c>
      <c r="EQ199" t="e">
        <f>AND('GA55 Entry'!#REF!,"AAAAAHW3/5I=")</f>
        <v>#REF!</v>
      </c>
      <c r="ER199">
        <f>IF('GA55 Entry'!768:768,"AAAAAHW3/5M=",0)</f>
        <v>0</v>
      </c>
      <c r="ES199" t="e">
        <f>AND('GA55 Entry'!B768,"AAAAAHW3/5Q=")</f>
        <v>#VALUE!</v>
      </c>
      <c r="ET199" t="e">
        <f>AND('GA55 Entry'!#REF!,"AAAAAHW3/5U=")</f>
        <v>#REF!</v>
      </c>
      <c r="EU199" t="e">
        <f>AND('GA55 Entry'!C768,"AAAAAHW3/5Y=")</f>
        <v>#VALUE!</v>
      </c>
      <c r="EV199" t="e">
        <f>AND('GA55 Entry'!#REF!,"AAAAAHW3/5c=")</f>
        <v>#REF!</v>
      </c>
      <c r="EW199" t="e">
        <f>AND('GA55 Entry'!#REF!,"AAAAAHW3/5g=")</f>
        <v>#REF!</v>
      </c>
      <c r="EX199" t="e">
        <f>AND('GA55 Entry'!#REF!,"AAAAAHW3/5k=")</f>
        <v>#REF!</v>
      </c>
      <c r="EY199" t="e">
        <f>AND('GA55 Entry'!#REF!,"AAAAAHW3/5o=")</f>
        <v>#REF!</v>
      </c>
      <c r="EZ199" t="e">
        <f>AND('GA55 Entry'!#REF!,"AAAAAHW3/5s=")</f>
        <v>#REF!</v>
      </c>
      <c r="FA199" t="e">
        <f>AND('GA55 Entry'!D768,"AAAAAHW3/5w=")</f>
        <v>#VALUE!</v>
      </c>
      <c r="FB199" t="e">
        <f>AND('GA55 Entry'!#REF!,"AAAAAHW3/50=")</f>
        <v>#REF!</v>
      </c>
      <c r="FC199" t="e">
        <f>AND('GA55 Entry'!E768,"AAAAAHW3/54=")</f>
        <v>#VALUE!</v>
      </c>
      <c r="FD199" t="e">
        <f>AND('GA55 Entry'!F768,"AAAAAHW3/58=")</f>
        <v>#VALUE!</v>
      </c>
      <c r="FE199" t="e">
        <f>AND('GA55 Entry'!G768,"AAAAAHW3/6A=")</f>
        <v>#VALUE!</v>
      </c>
      <c r="FF199" t="e">
        <f>AND('GA55 Entry'!H768,"AAAAAHW3/6E=")</f>
        <v>#VALUE!</v>
      </c>
      <c r="FG199" t="e">
        <f>AND('GA55 Entry'!I768,"AAAAAHW3/6I=")</f>
        <v>#VALUE!</v>
      </c>
      <c r="FH199" t="e">
        <f>AND('GA55 Entry'!J768,"AAAAAHW3/6M=")</f>
        <v>#VALUE!</v>
      </c>
      <c r="FI199" t="e">
        <f>AND('GA55 Entry'!#REF!,"AAAAAHW3/6Q=")</f>
        <v>#REF!</v>
      </c>
      <c r="FJ199" t="e">
        <f>AND('GA55 Entry'!K768,"AAAAAHW3/6U=")</f>
        <v>#VALUE!</v>
      </c>
      <c r="FK199" t="e">
        <f>AND('GA55 Entry'!L768,"AAAAAHW3/6Y=")</f>
        <v>#VALUE!</v>
      </c>
      <c r="FL199" t="e">
        <f>AND('GA55 Entry'!M768,"AAAAAHW3/6c=")</f>
        <v>#VALUE!</v>
      </c>
      <c r="FM199" t="e">
        <f>AND('GA55 Entry'!N768,"AAAAAHW3/6g=")</f>
        <v>#VALUE!</v>
      </c>
      <c r="FN199" t="e">
        <f>AND('GA55 Entry'!O768,"AAAAAHW3/6k=")</f>
        <v>#VALUE!</v>
      </c>
      <c r="FO199" t="e">
        <f>AND('GA55 Entry'!P768,"AAAAAHW3/6o=")</f>
        <v>#VALUE!</v>
      </c>
      <c r="FP199" t="e">
        <f>AND('GA55 Entry'!Q768,"AAAAAHW3/6s=")</f>
        <v>#VALUE!</v>
      </c>
      <c r="FQ199" t="e">
        <f>AND('GA55 Entry'!S768,"AAAAAHW3/6w=")</f>
        <v>#VALUE!</v>
      </c>
      <c r="FR199" t="e">
        <f>AND('GA55 Entry'!#REF!,"AAAAAHW3/60=")</f>
        <v>#REF!</v>
      </c>
      <c r="FS199" t="e">
        <f>AND('GA55 Entry'!T768,"AAAAAHW3/64=")</f>
        <v>#VALUE!</v>
      </c>
      <c r="FT199" t="e">
        <f>AND('GA55 Entry'!U768,"AAAAAHW3/68=")</f>
        <v>#VALUE!</v>
      </c>
      <c r="FU199" t="e">
        <f>AND('GA55 Entry'!V768,"AAAAAHW3/7A=")</f>
        <v>#VALUE!</v>
      </c>
      <c r="FV199" t="e">
        <f>AND('GA55 Entry'!#REF!,"AAAAAHW3/7E=")</f>
        <v>#REF!</v>
      </c>
      <c r="FW199" t="e">
        <f>AND('GA55 Entry'!#REF!,"AAAAAHW3/7I=")</f>
        <v>#REF!</v>
      </c>
      <c r="FX199" t="e">
        <f>AND('GA55 Entry'!X768,"AAAAAHW3/7M=")</f>
        <v>#VALUE!</v>
      </c>
      <c r="FY199" t="e">
        <f>AND('GA55 Entry'!Y768,"AAAAAHW3/7Q=")</f>
        <v>#VALUE!</v>
      </c>
      <c r="FZ199" t="e">
        <f>AND('GA55 Entry'!#REF!,"AAAAAHW3/7U=")</f>
        <v>#REF!</v>
      </c>
      <c r="GA199" t="e">
        <f>AND('GA55 Entry'!#REF!,"AAAAAHW3/7Y=")</f>
        <v>#REF!</v>
      </c>
      <c r="GB199" t="e">
        <f>AND('GA55 Entry'!#REF!,"AAAAAHW3/7c=")</f>
        <v>#REF!</v>
      </c>
      <c r="GC199" t="e">
        <f>AND('GA55 Entry'!#REF!,"AAAAAHW3/7g=")</f>
        <v>#REF!</v>
      </c>
      <c r="GD199" t="e">
        <f>AND('GA55 Entry'!#REF!,"AAAAAHW3/7k=")</f>
        <v>#REF!</v>
      </c>
      <c r="GE199" t="e">
        <f>AND('GA55 Entry'!#REF!,"AAAAAHW3/7o=")</f>
        <v>#REF!</v>
      </c>
      <c r="GF199" t="e">
        <f>AND('GA55 Entry'!#REF!,"AAAAAHW3/7s=")</f>
        <v>#REF!</v>
      </c>
      <c r="GG199" t="e">
        <f>AND('GA55 Entry'!#REF!,"AAAAAHW3/7w=")</f>
        <v>#REF!</v>
      </c>
      <c r="GH199" t="e">
        <f>AND('GA55 Entry'!#REF!,"AAAAAHW3/70=")</f>
        <v>#REF!</v>
      </c>
      <c r="GI199" t="e">
        <f>AND('GA55 Entry'!Z768,"AAAAAHW3/74=")</f>
        <v>#VALUE!</v>
      </c>
      <c r="GJ199" t="e">
        <f>AND('GA55 Entry'!AA768,"AAAAAHW3/78=")</f>
        <v>#VALUE!</v>
      </c>
      <c r="GK199" t="e">
        <f>AND('GA55 Entry'!#REF!,"AAAAAHW3/8A=")</f>
        <v>#REF!</v>
      </c>
      <c r="GL199" t="e">
        <f>AND('GA55 Entry'!#REF!,"AAAAAHW3/8E=")</f>
        <v>#REF!</v>
      </c>
      <c r="GM199" t="e">
        <f>AND('GA55 Entry'!#REF!,"AAAAAHW3/8I=")</f>
        <v>#REF!</v>
      </c>
      <c r="GN199" t="e">
        <f>AND('GA55 Entry'!AB768,"AAAAAHW3/8M=")</f>
        <v>#VALUE!</v>
      </c>
      <c r="GO199" t="e">
        <f>AND('GA55 Entry'!AC768,"AAAAAHW3/8Q=")</f>
        <v>#VALUE!</v>
      </c>
      <c r="GP199" t="e">
        <f>AND('GA55 Entry'!#REF!,"AAAAAHW3/8U=")</f>
        <v>#REF!</v>
      </c>
      <c r="GQ199">
        <f>IF('GA55 Entry'!769:769,"AAAAAHW3/8Y=",0)</f>
        <v>0</v>
      </c>
      <c r="GR199" t="e">
        <f>AND('GA55 Entry'!B769,"AAAAAHW3/8c=")</f>
        <v>#VALUE!</v>
      </c>
      <c r="GS199" t="e">
        <f>AND('GA55 Entry'!#REF!,"AAAAAHW3/8g=")</f>
        <v>#REF!</v>
      </c>
      <c r="GT199" t="e">
        <f>AND('GA55 Entry'!C769,"AAAAAHW3/8k=")</f>
        <v>#VALUE!</v>
      </c>
      <c r="GU199" t="e">
        <f>AND('GA55 Entry'!#REF!,"AAAAAHW3/8o=")</f>
        <v>#REF!</v>
      </c>
      <c r="GV199" t="e">
        <f>AND('GA55 Entry'!#REF!,"AAAAAHW3/8s=")</f>
        <v>#REF!</v>
      </c>
      <c r="GW199" t="e">
        <f>AND('GA55 Entry'!#REF!,"AAAAAHW3/8w=")</f>
        <v>#REF!</v>
      </c>
      <c r="GX199" t="e">
        <f>AND('GA55 Entry'!#REF!,"AAAAAHW3/80=")</f>
        <v>#REF!</v>
      </c>
      <c r="GY199" t="e">
        <f>AND('GA55 Entry'!#REF!,"AAAAAHW3/84=")</f>
        <v>#REF!</v>
      </c>
      <c r="GZ199" t="e">
        <f>AND('GA55 Entry'!D769,"AAAAAHW3/88=")</f>
        <v>#VALUE!</v>
      </c>
      <c r="HA199" t="e">
        <f>AND('GA55 Entry'!#REF!,"AAAAAHW3/9A=")</f>
        <v>#REF!</v>
      </c>
      <c r="HB199" t="e">
        <f>AND('GA55 Entry'!E769,"AAAAAHW3/9E=")</f>
        <v>#VALUE!</v>
      </c>
      <c r="HC199" t="e">
        <f>AND('GA55 Entry'!F769,"AAAAAHW3/9I=")</f>
        <v>#VALUE!</v>
      </c>
      <c r="HD199" t="e">
        <f>AND('GA55 Entry'!G769,"AAAAAHW3/9M=")</f>
        <v>#VALUE!</v>
      </c>
      <c r="HE199" t="e">
        <f>AND('GA55 Entry'!H769,"AAAAAHW3/9Q=")</f>
        <v>#VALUE!</v>
      </c>
      <c r="HF199" t="e">
        <f>AND('GA55 Entry'!I769,"AAAAAHW3/9U=")</f>
        <v>#VALUE!</v>
      </c>
      <c r="HG199" t="e">
        <f>AND('GA55 Entry'!J769,"AAAAAHW3/9Y=")</f>
        <v>#VALUE!</v>
      </c>
      <c r="HH199" t="e">
        <f>AND('GA55 Entry'!#REF!,"AAAAAHW3/9c=")</f>
        <v>#REF!</v>
      </c>
      <c r="HI199" t="e">
        <f>AND('GA55 Entry'!K769,"AAAAAHW3/9g=")</f>
        <v>#VALUE!</v>
      </c>
      <c r="HJ199" t="e">
        <f>AND('GA55 Entry'!L769,"AAAAAHW3/9k=")</f>
        <v>#VALUE!</v>
      </c>
      <c r="HK199" t="e">
        <f>AND('GA55 Entry'!M769,"AAAAAHW3/9o=")</f>
        <v>#VALUE!</v>
      </c>
      <c r="HL199" t="e">
        <f>AND('GA55 Entry'!N769,"AAAAAHW3/9s=")</f>
        <v>#VALUE!</v>
      </c>
      <c r="HM199" t="e">
        <f>AND('GA55 Entry'!O769,"AAAAAHW3/9w=")</f>
        <v>#VALUE!</v>
      </c>
      <c r="HN199" t="e">
        <f>AND('GA55 Entry'!P769,"AAAAAHW3/90=")</f>
        <v>#VALUE!</v>
      </c>
      <c r="HO199" t="e">
        <f>AND('GA55 Entry'!Q769,"AAAAAHW3/94=")</f>
        <v>#VALUE!</v>
      </c>
      <c r="HP199" t="e">
        <f>AND('GA55 Entry'!S769,"AAAAAHW3/98=")</f>
        <v>#VALUE!</v>
      </c>
      <c r="HQ199" t="e">
        <f>AND('GA55 Entry'!#REF!,"AAAAAHW3/+A=")</f>
        <v>#REF!</v>
      </c>
      <c r="HR199" t="e">
        <f>AND('GA55 Entry'!T769,"AAAAAHW3/+E=")</f>
        <v>#VALUE!</v>
      </c>
      <c r="HS199" t="e">
        <f>AND('GA55 Entry'!U769,"AAAAAHW3/+I=")</f>
        <v>#VALUE!</v>
      </c>
      <c r="HT199" t="e">
        <f>AND('GA55 Entry'!V769,"AAAAAHW3/+M=")</f>
        <v>#VALUE!</v>
      </c>
      <c r="HU199" t="e">
        <f>AND('GA55 Entry'!#REF!,"AAAAAHW3/+Q=")</f>
        <v>#REF!</v>
      </c>
      <c r="HV199" t="e">
        <f>AND('GA55 Entry'!#REF!,"AAAAAHW3/+U=")</f>
        <v>#REF!</v>
      </c>
      <c r="HW199" t="e">
        <f>AND('GA55 Entry'!X769,"AAAAAHW3/+Y=")</f>
        <v>#VALUE!</v>
      </c>
      <c r="HX199" t="e">
        <f>AND('GA55 Entry'!Y769,"AAAAAHW3/+c=")</f>
        <v>#VALUE!</v>
      </c>
      <c r="HY199" t="e">
        <f>AND('GA55 Entry'!#REF!,"AAAAAHW3/+g=")</f>
        <v>#REF!</v>
      </c>
      <c r="HZ199" t="e">
        <f>AND('GA55 Entry'!#REF!,"AAAAAHW3/+k=")</f>
        <v>#REF!</v>
      </c>
      <c r="IA199" t="e">
        <f>AND('GA55 Entry'!#REF!,"AAAAAHW3/+o=")</f>
        <v>#REF!</v>
      </c>
      <c r="IB199" t="e">
        <f>AND('GA55 Entry'!#REF!,"AAAAAHW3/+s=")</f>
        <v>#REF!</v>
      </c>
      <c r="IC199" t="e">
        <f>AND('GA55 Entry'!#REF!,"AAAAAHW3/+w=")</f>
        <v>#REF!</v>
      </c>
      <c r="ID199" t="e">
        <f>AND('GA55 Entry'!#REF!,"AAAAAHW3/+0=")</f>
        <v>#REF!</v>
      </c>
      <c r="IE199" t="e">
        <f>AND('GA55 Entry'!#REF!,"AAAAAHW3/+4=")</f>
        <v>#REF!</v>
      </c>
      <c r="IF199" t="e">
        <f>AND('GA55 Entry'!#REF!,"AAAAAHW3/+8=")</f>
        <v>#REF!</v>
      </c>
      <c r="IG199" t="e">
        <f>AND('GA55 Entry'!#REF!,"AAAAAHW3//A=")</f>
        <v>#REF!</v>
      </c>
      <c r="IH199" t="e">
        <f>AND('GA55 Entry'!Z769,"AAAAAHW3//E=")</f>
        <v>#VALUE!</v>
      </c>
      <c r="II199" t="e">
        <f>AND('GA55 Entry'!AA769,"AAAAAHW3//I=")</f>
        <v>#VALUE!</v>
      </c>
      <c r="IJ199" t="e">
        <f>AND('GA55 Entry'!#REF!,"AAAAAHW3//M=")</f>
        <v>#REF!</v>
      </c>
      <c r="IK199" t="e">
        <f>AND('GA55 Entry'!#REF!,"AAAAAHW3//Q=")</f>
        <v>#REF!</v>
      </c>
      <c r="IL199" t="e">
        <f>AND('GA55 Entry'!#REF!,"AAAAAHW3//U=")</f>
        <v>#REF!</v>
      </c>
      <c r="IM199" t="e">
        <f>AND('GA55 Entry'!AB769,"AAAAAHW3//Y=")</f>
        <v>#VALUE!</v>
      </c>
      <c r="IN199" t="e">
        <f>AND('GA55 Entry'!AC769,"AAAAAHW3//c=")</f>
        <v>#VALUE!</v>
      </c>
      <c r="IO199" t="e">
        <f>AND('GA55 Entry'!#REF!,"AAAAAHW3//g=")</f>
        <v>#REF!</v>
      </c>
      <c r="IP199">
        <f>IF('GA55 Entry'!770:770,"AAAAAHW3//k=",0)</f>
        <v>0</v>
      </c>
      <c r="IQ199" t="e">
        <f>AND('GA55 Entry'!B770,"AAAAAHW3//o=")</f>
        <v>#VALUE!</v>
      </c>
      <c r="IR199" t="e">
        <f>AND('GA55 Entry'!#REF!,"AAAAAHW3//s=")</f>
        <v>#REF!</v>
      </c>
      <c r="IS199" t="e">
        <f>AND('GA55 Entry'!C770,"AAAAAHW3//w=")</f>
        <v>#VALUE!</v>
      </c>
      <c r="IT199" t="e">
        <f>AND('GA55 Entry'!#REF!,"AAAAAHW3//0=")</f>
        <v>#REF!</v>
      </c>
      <c r="IU199" t="e">
        <f>AND('GA55 Entry'!#REF!,"AAAAAHW3//4=")</f>
        <v>#REF!</v>
      </c>
      <c r="IV199" t="e">
        <f>AND('GA55 Entry'!#REF!,"AAAAAHW3//8=")</f>
        <v>#REF!</v>
      </c>
    </row>
    <row r="200" spans="1:256">
      <c r="A200" t="e">
        <f>AND('GA55 Entry'!#REF!,"AAAAAHz78QA=")</f>
        <v>#REF!</v>
      </c>
      <c r="B200" t="e">
        <f>AND('GA55 Entry'!#REF!,"AAAAAHz78QE=")</f>
        <v>#REF!</v>
      </c>
      <c r="C200" t="e">
        <f>AND('GA55 Entry'!D770,"AAAAAHz78QI=")</f>
        <v>#VALUE!</v>
      </c>
      <c r="D200" t="e">
        <f>AND('GA55 Entry'!#REF!,"AAAAAHz78QM=")</f>
        <v>#REF!</v>
      </c>
      <c r="E200" t="e">
        <f>AND('GA55 Entry'!E770,"AAAAAHz78QQ=")</f>
        <v>#VALUE!</v>
      </c>
      <c r="F200" t="e">
        <f>AND('GA55 Entry'!F770,"AAAAAHz78QU=")</f>
        <v>#VALUE!</v>
      </c>
      <c r="G200" t="e">
        <f>AND('GA55 Entry'!G770,"AAAAAHz78QY=")</f>
        <v>#VALUE!</v>
      </c>
      <c r="H200" t="e">
        <f>AND('GA55 Entry'!H770,"AAAAAHz78Qc=")</f>
        <v>#VALUE!</v>
      </c>
      <c r="I200" t="e">
        <f>AND('GA55 Entry'!I770,"AAAAAHz78Qg=")</f>
        <v>#VALUE!</v>
      </c>
      <c r="J200" t="e">
        <f>AND('GA55 Entry'!J770,"AAAAAHz78Qk=")</f>
        <v>#VALUE!</v>
      </c>
      <c r="K200" t="e">
        <f>AND('GA55 Entry'!#REF!,"AAAAAHz78Qo=")</f>
        <v>#REF!</v>
      </c>
      <c r="L200" t="e">
        <f>AND('GA55 Entry'!K770,"AAAAAHz78Qs=")</f>
        <v>#VALUE!</v>
      </c>
      <c r="M200" t="e">
        <f>AND('GA55 Entry'!L770,"AAAAAHz78Qw=")</f>
        <v>#VALUE!</v>
      </c>
      <c r="N200" t="e">
        <f>AND('GA55 Entry'!M770,"AAAAAHz78Q0=")</f>
        <v>#VALUE!</v>
      </c>
      <c r="O200" t="e">
        <f>AND('GA55 Entry'!N770,"AAAAAHz78Q4=")</f>
        <v>#VALUE!</v>
      </c>
      <c r="P200" t="e">
        <f>AND('GA55 Entry'!O770,"AAAAAHz78Q8=")</f>
        <v>#VALUE!</v>
      </c>
      <c r="Q200" t="e">
        <f>AND('GA55 Entry'!P770,"AAAAAHz78RA=")</f>
        <v>#VALUE!</v>
      </c>
      <c r="R200" t="e">
        <f>AND('GA55 Entry'!Q770,"AAAAAHz78RE=")</f>
        <v>#VALUE!</v>
      </c>
      <c r="S200" t="e">
        <f>AND('GA55 Entry'!S770,"AAAAAHz78RI=")</f>
        <v>#VALUE!</v>
      </c>
      <c r="T200" t="e">
        <f>AND('GA55 Entry'!#REF!,"AAAAAHz78RM=")</f>
        <v>#REF!</v>
      </c>
      <c r="U200" t="e">
        <f>AND('GA55 Entry'!T770,"AAAAAHz78RQ=")</f>
        <v>#VALUE!</v>
      </c>
      <c r="V200" t="e">
        <f>AND('GA55 Entry'!U770,"AAAAAHz78RU=")</f>
        <v>#VALUE!</v>
      </c>
      <c r="W200" t="e">
        <f>AND('GA55 Entry'!V770,"AAAAAHz78RY=")</f>
        <v>#VALUE!</v>
      </c>
      <c r="X200" t="e">
        <f>AND('GA55 Entry'!#REF!,"AAAAAHz78Rc=")</f>
        <v>#REF!</v>
      </c>
      <c r="Y200" t="e">
        <f>AND('GA55 Entry'!#REF!,"AAAAAHz78Rg=")</f>
        <v>#REF!</v>
      </c>
      <c r="Z200" t="e">
        <f>AND('GA55 Entry'!X770,"AAAAAHz78Rk=")</f>
        <v>#VALUE!</v>
      </c>
      <c r="AA200" t="e">
        <f>AND('GA55 Entry'!Y770,"AAAAAHz78Ro=")</f>
        <v>#VALUE!</v>
      </c>
      <c r="AB200" t="e">
        <f>AND('GA55 Entry'!#REF!,"AAAAAHz78Rs=")</f>
        <v>#REF!</v>
      </c>
      <c r="AC200" t="e">
        <f>AND('GA55 Entry'!#REF!,"AAAAAHz78Rw=")</f>
        <v>#REF!</v>
      </c>
      <c r="AD200" t="e">
        <f>AND('GA55 Entry'!#REF!,"AAAAAHz78R0=")</f>
        <v>#REF!</v>
      </c>
      <c r="AE200" t="e">
        <f>AND('GA55 Entry'!#REF!,"AAAAAHz78R4=")</f>
        <v>#REF!</v>
      </c>
      <c r="AF200" t="e">
        <f>AND('GA55 Entry'!#REF!,"AAAAAHz78R8=")</f>
        <v>#REF!</v>
      </c>
      <c r="AG200" t="e">
        <f>AND('GA55 Entry'!#REF!,"AAAAAHz78SA=")</f>
        <v>#REF!</v>
      </c>
      <c r="AH200" t="e">
        <f>AND('GA55 Entry'!#REF!,"AAAAAHz78SE=")</f>
        <v>#REF!</v>
      </c>
      <c r="AI200" t="e">
        <f>AND('GA55 Entry'!#REF!,"AAAAAHz78SI=")</f>
        <v>#REF!</v>
      </c>
      <c r="AJ200" t="e">
        <f>AND('GA55 Entry'!#REF!,"AAAAAHz78SM=")</f>
        <v>#REF!</v>
      </c>
      <c r="AK200" t="e">
        <f>AND('GA55 Entry'!Z770,"AAAAAHz78SQ=")</f>
        <v>#VALUE!</v>
      </c>
      <c r="AL200" t="e">
        <f>AND('GA55 Entry'!AA770,"AAAAAHz78SU=")</f>
        <v>#VALUE!</v>
      </c>
      <c r="AM200" t="e">
        <f>AND('GA55 Entry'!#REF!,"AAAAAHz78SY=")</f>
        <v>#REF!</v>
      </c>
      <c r="AN200" t="e">
        <f>AND('GA55 Entry'!#REF!,"AAAAAHz78Sc=")</f>
        <v>#REF!</v>
      </c>
      <c r="AO200" t="e">
        <f>AND('GA55 Entry'!#REF!,"AAAAAHz78Sg=")</f>
        <v>#REF!</v>
      </c>
      <c r="AP200" t="e">
        <f>AND('GA55 Entry'!AB770,"AAAAAHz78Sk=")</f>
        <v>#VALUE!</v>
      </c>
      <c r="AQ200" t="e">
        <f>AND('GA55 Entry'!AC770,"AAAAAHz78So=")</f>
        <v>#VALUE!</v>
      </c>
      <c r="AR200" t="e">
        <f>AND('GA55 Entry'!#REF!,"AAAAAHz78Ss=")</f>
        <v>#REF!</v>
      </c>
      <c r="AS200">
        <f>IF('GA55 Entry'!771:771,"AAAAAHz78Sw=",0)</f>
        <v>0</v>
      </c>
      <c r="AT200" t="e">
        <f>AND('GA55 Entry'!B771,"AAAAAHz78S0=")</f>
        <v>#VALUE!</v>
      </c>
      <c r="AU200" t="e">
        <f>AND('GA55 Entry'!#REF!,"AAAAAHz78S4=")</f>
        <v>#REF!</v>
      </c>
      <c r="AV200" t="e">
        <f>AND('GA55 Entry'!C771,"AAAAAHz78S8=")</f>
        <v>#VALUE!</v>
      </c>
      <c r="AW200" t="e">
        <f>AND('GA55 Entry'!#REF!,"AAAAAHz78TA=")</f>
        <v>#REF!</v>
      </c>
      <c r="AX200" t="e">
        <f>AND('GA55 Entry'!#REF!,"AAAAAHz78TE=")</f>
        <v>#REF!</v>
      </c>
      <c r="AY200" t="e">
        <f>AND('GA55 Entry'!#REF!,"AAAAAHz78TI=")</f>
        <v>#REF!</v>
      </c>
      <c r="AZ200" t="e">
        <f>AND('GA55 Entry'!#REF!,"AAAAAHz78TM=")</f>
        <v>#REF!</v>
      </c>
      <c r="BA200" t="e">
        <f>AND('GA55 Entry'!#REF!,"AAAAAHz78TQ=")</f>
        <v>#REF!</v>
      </c>
      <c r="BB200" t="e">
        <f>AND('GA55 Entry'!D771,"AAAAAHz78TU=")</f>
        <v>#VALUE!</v>
      </c>
      <c r="BC200" t="e">
        <f>AND('GA55 Entry'!#REF!,"AAAAAHz78TY=")</f>
        <v>#REF!</v>
      </c>
      <c r="BD200" t="e">
        <f>AND('GA55 Entry'!E771,"AAAAAHz78Tc=")</f>
        <v>#VALUE!</v>
      </c>
      <c r="BE200" t="e">
        <f>AND('GA55 Entry'!F771,"AAAAAHz78Tg=")</f>
        <v>#VALUE!</v>
      </c>
      <c r="BF200" t="e">
        <f>AND('GA55 Entry'!G771,"AAAAAHz78Tk=")</f>
        <v>#VALUE!</v>
      </c>
      <c r="BG200" t="e">
        <f>AND('GA55 Entry'!H771,"AAAAAHz78To=")</f>
        <v>#VALUE!</v>
      </c>
      <c r="BH200" t="e">
        <f>AND('GA55 Entry'!I771,"AAAAAHz78Ts=")</f>
        <v>#VALUE!</v>
      </c>
      <c r="BI200" t="e">
        <f>AND('GA55 Entry'!J771,"AAAAAHz78Tw=")</f>
        <v>#VALUE!</v>
      </c>
      <c r="BJ200" t="e">
        <f>AND('GA55 Entry'!#REF!,"AAAAAHz78T0=")</f>
        <v>#REF!</v>
      </c>
      <c r="BK200" t="e">
        <f>AND('GA55 Entry'!K771,"AAAAAHz78T4=")</f>
        <v>#VALUE!</v>
      </c>
      <c r="BL200" t="e">
        <f>AND('GA55 Entry'!L771,"AAAAAHz78T8=")</f>
        <v>#VALUE!</v>
      </c>
      <c r="BM200" t="e">
        <f>AND('GA55 Entry'!M771,"AAAAAHz78UA=")</f>
        <v>#VALUE!</v>
      </c>
      <c r="BN200" t="e">
        <f>AND('GA55 Entry'!N771,"AAAAAHz78UE=")</f>
        <v>#VALUE!</v>
      </c>
      <c r="BO200" t="e">
        <f>AND('GA55 Entry'!O771,"AAAAAHz78UI=")</f>
        <v>#VALUE!</v>
      </c>
      <c r="BP200" t="e">
        <f>AND('GA55 Entry'!P771,"AAAAAHz78UM=")</f>
        <v>#VALUE!</v>
      </c>
      <c r="BQ200" t="e">
        <f>AND('GA55 Entry'!Q771,"AAAAAHz78UQ=")</f>
        <v>#VALUE!</v>
      </c>
      <c r="BR200" t="e">
        <f>AND('GA55 Entry'!S771,"AAAAAHz78UU=")</f>
        <v>#VALUE!</v>
      </c>
      <c r="BS200" t="e">
        <f>AND('GA55 Entry'!#REF!,"AAAAAHz78UY=")</f>
        <v>#REF!</v>
      </c>
      <c r="BT200" t="e">
        <f>AND('GA55 Entry'!T771,"AAAAAHz78Uc=")</f>
        <v>#VALUE!</v>
      </c>
      <c r="BU200" t="e">
        <f>AND('GA55 Entry'!U771,"AAAAAHz78Ug=")</f>
        <v>#VALUE!</v>
      </c>
      <c r="BV200" t="e">
        <f>AND('GA55 Entry'!V771,"AAAAAHz78Uk=")</f>
        <v>#VALUE!</v>
      </c>
      <c r="BW200" t="e">
        <f>AND('GA55 Entry'!#REF!,"AAAAAHz78Uo=")</f>
        <v>#REF!</v>
      </c>
      <c r="BX200" t="e">
        <f>AND('GA55 Entry'!#REF!,"AAAAAHz78Us=")</f>
        <v>#REF!</v>
      </c>
      <c r="BY200" t="e">
        <f>AND('GA55 Entry'!X771,"AAAAAHz78Uw=")</f>
        <v>#VALUE!</v>
      </c>
      <c r="BZ200" t="e">
        <f>AND('GA55 Entry'!Y771,"AAAAAHz78U0=")</f>
        <v>#VALUE!</v>
      </c>
      <c r="CA200" t="e">
        <f>AND('GA55 Entry'!#REF!,"AAAAAHz78U4=")</f>
        <v>#REF!</v>
      </c>
      <c r="CB200" t="e">
        <f>AND('GA55 Entry'!#REF!,"AAAAAHz78U8=")</f>
        <v>#REF!</v>
      </c>
      <c r="CC200" t="e">
        <f>AND('GA55 Entry'!#REF!,"AAAAAHz78VA=")</f>
        <v>#REF!</v>
      </c>
      <c r="CD200" t="e">
        <f>AND('GA55 Entry'!#REF!,"AAAAAHz78VE=")</f>
        <v>#REF!</v>
      </c>
      <c r="CE200" t="e">
        <f>AND('GA55 Entry'!#REF!,"AAAAAHz78VI=")</f>
        <v>#REF!</v>
      </c>
      <c r="CF200" t="e">
        <f>AND('GA55 Entry'!#REF!,"AAAAAHz78VM=")</f>
        <v>#REF!</v>
      </c>
      <c r="CG200" t="e">
        <f>AND('GA55 Entry'!#REF!,"AAAAAHz78VQ=")</f>
        <v>#REF!</v>
      </c>
      <c r="CH200" t="e">
        <f>AND('GA55 Entry'!#REF!,"AAAAAHz78VU=")</f>
        <v>#REF!</v>
      </c>
      <c r="CI200" t="e">
        <f>AND('GA55 Entry'!#REF!,"AAAAAHz78VY=")</f>
        <v>#REF!</v>
      </c>
      <c r="CJ200" t="e">
        <f>AND('GA55 Entry'!Z771,"AAAAAHz78Vc=")</f>
        <v>#VALUE!</v>
      </c>
      <c r="CK200" t="e">
        <f>AND('GA55 Entry'!AA771,"AAAAAHz78Vg=")</f>
        <v>#VALUE!</v>
      </c>
      <c r="CL200" t="e">
        <f>AND('GA55 Entry'!#REF!,"AAAAAHz78Vk=")</f>
        <v>#REF!</v>
      </c>
      <c r="CM200" t="e">
        <f>AND('GA55 Entry'!#REF!,"AAAAAHz78Vo=")</f>
        <v>#REF!</v>
      </c>
      <c r="CN200" t="e">
        <f>AND('GA55 Entry'!#REF!,"AAAAAHz78Vs=")</f>
        <v>#REF!</v>
      </c>
      <c r="CO200" t="e">
        <f>AND('GA55 Entry'!AB771,"AAAAAHz78Vw=")</f>
        <v>#VALUE!</v>
      </c>
      <c r="CP200" t="e">
        <f>AND('GA55 Entry'!AC771,"AAAAAHz78V0=")</f>
        <v>#VALUE!</v>
      </c>
      <c r="CQ200" t="e">
        <f>AND('GA55 Entry'!#REF!,"AAAAAHz78V4=")</f>
        <v>#REF!</v>
      </c>
      <c r="CR200">
        <f>IF('GA55 Entry'!772:772,"AAAAAHz78V8=",0)</f>
        <v>0</v>
      </c>
      <c r="CS200" t="e">
        <f>AND('GA55 Entry'!B772,"AAAAAHz78WA=")</f>
        <v>#VALUE!</v>
      </c>
      <c r="CT200" t="e">
        <f>AND('GA55 Entry'!#REF!,"AAAAAHz78WE=")</f>
        <v>#REF!</v>
      </c>
      <c r="CU200" t="e">
        <f>AND('GA55 Entry'!C772,"AAAAAHz78WI=")</f>
        <v>#VALUE!</v>
      </c>
      <c r="CV200" t="e">
        <f>AND('GA55 Entry'!#REF!,"AAAAAHz78WM=")</f>
        <v>#REF!</v>
      </c>
      <c r="CW200" t="e">
        <f>AND('GA55 Entry'!#REF!,"AAAAAHz78WQ=")</f>
        <v>#REF!</v>
      </c>
      <c r="CX200" t="e">
        <f>AND('GA55 Entry'!#REF!,"AAAAAHz78WU=")</f>
        <v>#REF!</v>
      </c>
      <c r="CY200" t="e">
        <f>AND('GA55 Entry'!#REF!,"AAAAAHz78WY=")</f>
        <v>#REF!</v>
      </c>
      <c r="CZ200" t="e">
        <f>AND('GA55 Entry'!#REF!,"AAAAAHz78Wc=")</f>
        <v>#REF!</v>
      </c>
      <c r="DA200" t="e">
        <f>AND('GA55 Entry'!D772,"AAAAAHz78Wg=")</f>
        <v>#VALUE!</v>
      </c>
      <c r="DB200" t="e">
        <f>AND('GA55 Entry'!#REF!,"AAAAAHz78Wk=")</f>
        <v>#REF!</v>
      </c>
      <c r="DC200" t="e">
        <f>AND('GA55 Entry'!E772,"AAAAAHz78Wo=")</f>
        <v>#VALUE!</v>
      </c>
      <c r="DD200" t="e">
        <f>AND('GA55 Entry'!F772,"AAAAAHz78Ws=")</f>
        <v>#VALUE!</v>
      </c>
      <c r="DE200" t="e">
        <f>AND('GA55 Entry'!G772,"AAAAAHz78Ww=")</f>
        <v>#VALUE!</v>
      </c>
      <c r="DF200" t="e">
        <f>AND('GA55 Entry'!H772,"AAAAAHz78W0=")</f>
        <v>#VALUE!</v>
      </c>
      <c r="DG200" t="e">
        <f>AND('GA55 Entry'!I772,"AAAAAHz78W4=")</f>
        <v>#VALUE!</v>
      </c>
      <c r="DH200" t="e">
        <f>AND('GA55 Entry'!J772,"AAAAAHz78W8=")</f>
        <v>#VALUE!</v>
      </c>
      <c r="DI200" t="e">
        <f>AND('GA55 Entry'!#REF!,"AAAAAHz78XA=")</f>
        <v>#REF!</v>
      </c>
      <c r="DJ200" t="e">
        <f>AND('GA55 Entry'!K772,"AAAAAHz78XE=")</f>
        <v>#VALUE!</v>
      </c>
      <c r="DK200" t="e">
        <f>AND('GA55 Entry'!L772,"AAAAAHz78XI=")</f>
        <v>#VALUE!</v>
      </c>
      <c r="DL200" t="e">
        <f>AND('GA55 Entry'!M772,"AAAAAHz78XM=")</f>
        <v>#VALUE!</v>
      </c>
      <c r="DM200" t="e">
        <f>AND('GA55 Entry'!N772,"AAAAAHz78XQ=")</f>
        <v>#VALUE!</v>
      </c>
      <c r="DN200" t="e">
        <f>AND('GA55 Entry'!O772,"AAAAAHz78XU=")</f>
        <v>#VALUE!</v>
      </c>
      <c r="DO200" t="e">
        <f>AND('GA55 Entry'!P772,"AAAAAHz78XY=")</f>
        <v>#VALUE!</v>
      </c>
      <c r="DP200" t="e">
        <f>AND('GA55 Entry'!Q772,"AAAAAHz78Xc=")</f>
        <v>#VALUE!</v>
      </c>
      <c r="DQ200" t="e">
        <f>AND('GA55 Entry'!S772,"AAAAAHz78Xg=")</f>
        <v>#VALUE!</v>
      </c>
      <c r="DR200" t="e">
        <f>AND('GA55 Entry'!#REF!,"AAAAAHz78Xk=")</f>
        <v>#REF!</v>
      </c>
      <c r="DS200" t="e">
        <f>AND('GA55 Entry'!T772,"AAAAAHz78Xo=")</f>
        <v>#VALUE!</v>
      </c>
      <c r="DT200" t="e">
        <f>AND('GA55 Entry'!U772,"AAAAAHz78Xs=")</f>
        <v>#VALUE!</v>
      </c>
      <c r="DU200" t="e">
        <f>AND('GA55 Entry'!V772,"AAAAAHz78Xw=")</f>
        <v>#VALUE!</v>
      </c>
      <c r="DV200" t="e">
        <f>AND('GA55 Entry'!#REF!,"AAAAAHz78X0=")</f>
        <v>#REF!</v>
      </c>
      <c r="DW200" t="e">
        <f>AND('GA55 Entry'!#REF!,"AAAAAHz78X4=")</f>
        <v>#REF!</v>
      </c>
      <c r="DX200" t="e">
        <f>AND('GA55 Entry'!X772,"AAAAAHz78X8=")</f>
        <v>#VALUE!</v>
      </c>
      <c r="DY200" t="e">
        <f>AND('GA55 Entry'!Y772,"AAAAAHz78YA=")</f>
        <v>#VALUE!</v>
      </c>
      <c r="DZ200" t="e">
        <f>AND('GA55 Entry'!#REF!,"AAAAAHz78YE=")</f>
        <v>#REF!</v>
      </c>
      <c r="EA200" t="e">
        <f>AND('GA55 Entry'!#REF!,"AAAAAHz78YI=")</f>
        <v>#REF!</v>
      </c>
      <c r="EB200" t="e">
        <f>AND('GA55 Entry'!#REF!,"AAAAAHz78YM=")</f>
        <v>#REF!</v>
      </c>
      <c r="EC200" t="e">
        <f>AND('GA55 Entry'!#REF!,"AAAAAHz78YQ=")</f>
        <v>#REF!</v>
      </c>
      <c r="ED200" t="e">
        <f>AND('GA55 Entry'!#REF!,"AAAAAHz78YU=")</f>
        <v>#REF!</v>
      </c>
      <c r="EE200" t="e">
        <f>AND('GA55 Entry'!#REF!,"AAAAAHz78YY=")</f>
        <v>#REF!</v>
      </c>
      <c r="EF200" t="e">
        <f>AND('GA55 Entry'!#REF!,"AAAAAHz78Yc=")</f>
        <v>#REF!</v>
      </c>
      <c r="EG200" t="e">
        <f>AND('GA55 Entry'!#REF!,"AAAAAHz78Yg=")</f>
        <v>#REF!</v>
      </c>
      <c r="EH200" t="e">
        <f>AND('GA55 Entry'!#REF!,"AAAAAHz78Yk=")</f>
        <v>#REF!</v>
      </c>
      <c r="EI200" t="e">
        <f>AND('GA55 Entry'!Z772,"AAAAAHz78Yo=")</f>
        <v>#VALUE!</v>
      </c>
      <c r="EJ200" t="e">
        <f>AND('GA55 Entry'!AA772,"AAAAAHz78Ys=")</f>
        <v>#VALUE!</v>
      </c>
      <c r="EK200" t="e">
        <f>AND('GA55 Entry'!#REF!,"AAAAAHz78Yw=")</f>
        <v>#REF!</v>
      </c>
      <c r="EL200" t="e">
        <f>AND('GA55 Entry'!#REF!,"AAAAAHz78Y0=")</f>
        <v>#REF!</v>
      </c>
      <c r="EM200" t="e">
        <f>AND('GA55 Entry'!#REF!,"AAAAAHz78Y4=")</f>
        <v>#REF!</v>
      </c>
      <c r="EN200" t="e">
        <f>AND('GA55 Entry'!AB772,"AAAAAHz78Y8=")</f>
        <v>#VALUE!</v>
      </c>
      <c r="EO200" t="e">
        <f>AND('GA55 Entry'!AC772,"AAAAAHz78ZA=")</f>
        <v>#VALUE!</v>
      </c>
      <c r="EP200" t="e">
        <f>AND('GA55 Entry'!#REF!,"AAAAAHz78ZE=")</f>
        <v>#REF!</v>
      </c>
      <c r="EQ200">
        <f>IF('GA55 Entry'!773:773,"AAAAAHz78ZI=",0)</f>
        <v>0</v>
      </c>
      <c r="ER200" t="e">
        <f>AND('GA55 Entry'!B773,"AAAAAHz78ZM=")</f>
        <v>#VALUE!</v>
      </c>
      <c r="ES200" t="e">
        <f>AND('GA55 Entry'!#REF!,"AAAAAHz78ZQ=")</f>
        <v>#REF!</v>
      </c>
      <c r="ET200" t="e">
        <f>AND('GA55 Entry'!C773,"AAAAAHz78ZU=")</f>
        <v>#VALUE!</v>
      </c>
      <c r="EU200" t="e">
        <f>AND('GA55 Entry'!#REF!,"AAAAAHz78ZY=")</f>
        <v>#REF!</v>
      </c>
      <c r="EV200" t="e">
        <f>AND('GA55 Entry'!#REF!,"AAAAAHz78Zc=")</f>
        <v>#REF!</v>
      </c>
      <c r="EW200" t="e">
        <f>AND('GA55 Entry'!#REF!,"AAAAAHz78Zg=")</f>
        <v>#REF!</v>
      </c>
      <c r="EX200" t="e">
        <f>AND('GA55 Entry'!#REF!,"AAAAAHz78Zk=")</f>
        <v>#REF!</v>
      </c>
      <c r="EY200" t="e">
        <f>AND('GA55 Entry'!#REF!,"AAAAAHz78Zo=")</f>
        <v>#REF!</v>
      </c>
      <c r="EZ200" t="e">
        <f>AND('GA55 Entry'!D773,"AAAAAHz78Zs=")</f>
        <v>#VALUE!</v>
      </c>
      <c r="FA200" t="e">
        <f>AND('GA55 Entry'!#REF!,"AAAAAHz78Zw=")</f>
        <v>#REF!</v>
      </c>
      <c r="FB200" t="e">
        <f>AND('GA55 Entry'!E773,"AAAAAHz78Z0=")</f>
        <v>#VALUE!</v>
      </c>
      <c r="FC200" t="e">
        <f>AND('GA55 Entry'!F773,"AAAAAHz78Z4=")</f>
        <v>#VALUE!</v>
      </c>
      <c r="FD200" t="e">
        <f>AND('GA55 Entry'!G773,"AAAAAHz78Z8=")</f>
        <v>#VALUE!</v>
      </c>
      <c r="FE200" t="e">
        <f>AND('GA55 Entry'!H773,"AAAAAHz78aA=")</f>
        <v>#VALUE!</v>
      </c>
      <c r="FF200" t="e">
        <f>AND('GA55 Entry'!I773,"AAAAAHz78aE=")</f>
        <v>#VALUE!</v>
      </c>
      <c r="FG200" t="e">
        <f>AND('GA55 Entry'!J773,"AAAAAHz78aI=")</f>
        <v>#VALUE!</v>
      </c>
      <c r="FH200" t="e">
        <f>AND('GA55 Entry'!#REF!,"AAAAAHz78aM=")</f>
        <v>#REF!</v>
      </c>
      <c r="FI200" t="e">
        <f>AND('GA55 Entry'!K773,"AAAAAHz78aQ=")</f>
        <v>#VALUE!</v>
      </c>
      <c r="FJ200" t="e">
        <f>AND('GA55 Entry'!L773,"AAAAAHz78aU=")</f>
        <v>#VALUE!</v>
      </c>
      <c r="FK200" t="e">
        <f>AND('GA55 Entry'!M773,"AAAAAHz78aY=")</f>
        <v>#VALUE!</v>
      </c>
      <c r="FL200" t="e">
        <f>AND('GA55 Entry'!N773,"AAAAAHz78ac=")</f>
        <v>#VALUE!</v>
      </c>
      <c r="FM200" t="e">
        <f>AND('GA55 Entry'!O773,"AAAAAHz78ag=")</f>
        <v>#VALUE!</v>
      </c>
      <c r="FN200" t="e">
        <f>AND('GA55 Entry'!P773,"AAAAAHz78ak=")</f>
        <v>#VALUE!</v>
      </c>
      <c r="FO200" t="e">
        <f>AND('GA55 Entry'!Q773,"AAAAAHz78ao=")</f>
        <v>#VALUE!</v>
      </c>
      <c r="FP200" t="e">
        <f>AND('GA55 Entry'!S773,"AAAAAHz78as=")</f>
        <v>#VALUE!</v>
      </c>
      <c r="FQ200" t="e">
        <f>AND('GA55 Entry'!#REF!,"AAAAAHz78aw=")</f>
        <v>#REF!</v>
      </c>
      <c r="FR200" t="e">
        <f>AND('GA55 Entry'!T773,"AAAAAHz78a0=")</f>
        <v>#VALUE!</v>
      </c>
      <c r="FS200" t="e">
        <f>AND('GA55 Entry'!U773,"AAAAAHz78a4=")</f>
        <v>#VALUE!</v>
      </c>
      <c r="FT200" t="e">
        <f>AND('GA55 Entry'!V773,"AAAAAHz78a8=")</f>
        <v>#VALUE!</v>
      </c>
      <c r="FU200" t="e">
        <f>AND('GA55 Entry'!#REF!,"AAAAAHz78bA=")</f>
        <v>#REF!</v>
      </c>
      <c r="FV200" t="e">
        <f>AND('GA55 Entry'!#REF!,"AAAAAHz78bE=")</f>
        <v>#REF!</v>
      </c>
      <c r="FW200" t="e">
        <f>AND('GA55 Entry'!X773,"AAAAAHz78bI=")</f>
        <v>#VALUE!</v>
      </c>
      <c r="FX200" t="e">
        <f>AND('GA55 Entry'!Y773,"AAAAAHz78bM=")</f>
        <v>#VALUE!</v>
      </c>
      <c r="FY200" t="e">
        <f>AND('GA55 Entry'!#REF!,"AAAAAHz78bQ=")</f>
        <v>#REF!</v>
      </c>
      <c r="FZ200" t="e">
        <f>AND('GA55 Entry'!#REF!,"AAAAAHz78bU=")</f>
        <v>#REF!</v>
      </c>
      <c r="GA200" t="e">
        <f>AND('GA55 Entry'!#REF!,"AAAAAHz78bY=")</f>
        <v>#REF!</v>
      </c>
      <c r="GB200" t="e">
        <f>AND('GA55 Entry'!#REF!,"AAAAAHz78bc=")</f>
        <v>#REF!</v>
      </c>
      <c r="GC200" t="e">
        <f>AND('GA55 Entry'!#REF!,"AAAAAHz78bg=")</f>
        <v>#REF!</v>
      </c>
      <c r="GD200" t="e">
        <f>AND('GA55 Entry'!#REF!,"AAAAAHz78bk=")</f>
        <v>#REF!</v>
      </c>
      <c r="GE200" t="e">
        <f>AND('GA55 Entry'!#REF!,"AAAAAHz78bo=")</f>
        <v>#REF!</v>
      </c>
      <c r="GF200" t="e">
        <f>AND('GA55 Entry'!#REF!,"AAAAAHz78bs=")</f>
        <v>#REF!</v>
      </c>
      <c r="GG200" t="e">
        <f>AND('GA55 Entry'!#REF!,"AAAAAHz78bw=")</f>
        <v>#REF!</v>
      </c>
      <c r="GH200" t="e">
        <f>AND('GA55 Entry'!Z773,"AAAAAHz78b0=")</f>
        <v>#VALUE!</v>
      </c>
      <c r="GI200" t="e">
        <f>AND('GA55 Entry'!AA773,"AAAAAHz78b4=")</f>
        <v>#VALUE!</v>
      </c>
      <c r="GJ200" t="e">
        <f>AND('GA55 Entry'!#REF!,"AAAAAHz78b8=")</f>
        <v>#REF!</v>
      </c>
      <c r="GK200" t="e">
        <f>AND('GA55 Entry'!#REF!,"AAAAAHz78cA=")</f>
        <v>#REF!</v>
      </c>
      <c r="GL200" t="e">
        <f>AND('GA55 Entry'!#REF!,"AAAAAHz78cE=")</f>
        <v>#REF!</v>
      </c>
      <c r="GM200" t="e">
        <f>AND('GA55 Entry'!AB773,"AAAAAHz78cI=")</f>
        <v>#VALUE!</v>
      </c>
      <c r="GN200" t="e">
        <f>AND('GA55 Entry'!AC773,"AAAAAHz78cM=")</f>
        <v>#VALUE!</v>
      </c>
      <c r="GO200" t="e">
        <f>AND('GA55 Entry'!#REF!,"AAAAAHz78cQ=")</f>
        <v>#REF!</v>
      </c>
      <c r="GP200">
        <f>IF('GA55 Entry'!774:774,"AAAAAHz78cU=",0)</f>
        <v>0</v>
      </c>
      <c r="GQ200" t="e">
        <f>AND('GA55 Entry'!B774,"AAAAAHz78cY=")</f>
        <v>#VALUE!</v>
      </c>
      <c r="GR200" t="e">
        <f>AND('GA55 Entry'!#REF!,"AAAAAHz78cc=")</f>
        <v>#REF!</v>
      </c>
      <c r="GS200" t="e">
        <f>AND('GA55 Entry'!C774,"AAAAAHz78cg=")</f>
        <v>#VALUE!</v>
      </c>
      <c r="GT200" t="e">
        <f>AND('GA55 Entry'!#REF!,"AAAAAHz78ck=")</f>
        <v>#REF!</v>
      </c>
      <c r="GU200" t="e">
        <f>AND('GA55 Entry'!#REF!,"AAAAAHz78co=")</f>
        <v>#REF!</v>
      </c>
      <c r="GV200" t="e">
        <f>AND('GA55 Entry'!#REF!,"AAAAAHz78cs=")</f>
        <v>#REF!</v>
      </c>
      <c r="GW200" t="e">
        <f>AND('GA55 Entry'!#REF!,"AAAAAHz78cw=")</f>
        <v>#REF!</v>
      </c>
      <c r="GX200" t="e">
        <f>AND('GA55 Entry'!#REF!,"AAAAAHz78c0=")</f>
        <v>#REF!</v>
      </c>
      <c r="GY200" t="e">
        <f>AND('GA55 Entry'!D774,"AAAAAHz78c4=")</f>
        <v>#VALUE!</v>
      </c>
      <c r="GZ200" t="e">
        <f>AND('GA55 Entry'!#REF!,"AAAAAHz78c8=")</f>
        <v>#REF!</v>
      </c>
      <c r="HA200" t="e">
        <f>AND('GA55 Entry'!E774,"AAAAAHz78dA=")</f>
        <v>#VALUE!</v>
      </c>
      <c r="HB200" t="e">
        <f>AND('GA55 Entry'!F774,"AAAAAHz78dE=")</f>
        <v>#VALUE!</v>
      </c>
      <c r="HC200" t="e">
        <f>AND('GA55 Entry'!G774,"AAAAAHz78dI=")</f>
        <v>#VALUE!</v>
      </c>
      <c r="HD200" t="e">
        <f>AND('GA55 Entry'!H774,"AAAAAHz78dM=")</f>
        <v>#VALUE!</v>
      </c>
      <c r="HE200" t="e">
        <f>AND('GA55 Entry'!I774,"AAAAAHz78dQ=")</f>
        <v>#VALUE!</v>
      </c>
      <c r="HF200" t="e">
        <f>AND('GA55 Entry'!J774,"AAAAAHz78dU=")</f>
        <v>#VALUE!</v>
      </c>
      <c r="HG200" t="e">
        <f>AND('GA55 Entry'!#REF!,"AAAAAHz78dY=")</f>
        <v>#REF!</v>
      </c>
      <c r="HH200" t="e">
        <f>AND('GA55 Entry'!K774,"AAAAAHz78dc=")</f>
        <v>#VALUE!</v>
      </c>
      <c r="HI200" t="e">
        <f>AND('GA55 Entry'!L774,"AAAAAHz78dg=")</f>
        <v>#VALUE!</v>
      </c>
      <c r="HJ200" t="e">
        <f>AND('GA55 Entry'!M774,"AAAAAHz78dk=")</f>
        <v>#VALUE!</v>
      </c>
      <c r="HK200" t="e">
        <f>AND('GA55 Entry'!N774,"AAAAAHz78do=")</f>
        <v>#VALUE!</v>
      </c>
      <c r="HL200" t="e">
        <f>AND('GA55 Entry'!O774,"AAAAAHz78ds=")</f>
        <v>#VALUE!</v>
      </c>
      <c r="HM200" t="e">
        <f>AND('GA55 Entry'!P774,"AAAAAHz78dw=")</f>
        <v>#VALUE!</v>
      </c>
      <c r="HN200" t="e">
        <f>AND('GA55 Entry'!Q774,"AAAAAHz78d0=")</f>
        <v>#VALUE!</v>
      </c>
      <c r="HO200" t="e">
        <f>AND('GA55 Entry'!S774,"AAAAAHz78d4=")</f>
        <v>#VALUE!</v>
      </c>
      <c r="HP200" t="e">
        <f>AND('GA55 Entry'!#REF!,"AAAAAHz78d8=")</f>
        <v>#REF!</v>
      </c>
      <c r="HQ200" t="e">
        <f>AND('GA55 Entry'!T774,"AAAAAHz78eA=")</f>
        <v>#VALUE!</v>
      </c>
      <c r="HR200" t="e">
        <f>AND('GA55 Entry'!U774,"AAAAAHz78eE=")</f>
        <v>#VALUE!</v>
      </c>
      <c r="HS200" t="e">
        <f>AND('GA55 Entry'!V774,"AAAAAHz78eI=")</f>
        <v>#VALUE!</v>
      </c>
      <c r="HT200" t="e">
        <f>AND('GA55 Entry'!#REF!,"AAAAAHz78eM=")</f>
        <v>#REF!</v>
      </c>
      <c r="HU200" t="e">
        <f>AND('GA55 Entry'!#REF!,"AAAAAHz78eQ=")</f>
        <v>#REF!</v>
      </c>
      <c r="HV200" t="e">
        <f>AND('GA55 Entry'!X774,"AAAAAHz78eU=")</f>
        <v>#VALUE!</v>
      </c>
      <c r="HW200" t="e">
        <f>AND('GA55 Entry'!Y774,"AAAAAHz78eY=")</f>
        <v>#VALUE!</v>
      </c>
      <c r="HX200" t="e">
        <f>AND('GA55 Entry'!#REF!,"AAAAAHz78ec=")</f>
        <v>#REF!</v>
      </c>
      <c r="HY200" t="e">
        <f>AND('GA55 Entry'!#REF!,"AAAAAHz78eg=")</f>
        <v>#REF!</v>
      </c>
      <c r="HZ200" t="e">
        <f>AND('GA55 Entry'!#REF!,"AAAAAHz78ek=")</f>
        <v>#REF!</v>
      </c>
      <c r="IA200" t="e">
        <f>AND('GA55 Entry'!#REF!,"AAAAAHz78eo=")</f>
        <v>#REF!</v>
      </c>
      <c r="IB200" t="e">
        <f>AND('GA55 Entry'!#REF!,"AAAAAHz78es=")</f>
        <v>#REF!</v>
      </c>
      <c r="IC200" t="e">
        <f>AND('GA55 Entry'!#REF!,"AAAAAHz78ew=")</f>
        <v>#REF!</v>
      </c>
      <c r="ID200" t="e">
        <f>AND('GA55 Entry'!#REF!,"AAAAAHz78e0=")</f>
        <v>#REF!</v>
      </c>
      <c r="IE200" t="e">
        <f>AND('GA55 Entry'!#REF!,"AAAAAHz78e4=")</f>
        <v>#REF!</v>
      </c>
      <c r="IF200" t="e">
        <f>AND('GA55 Entry'!#REF!,"AAAAAHz78e8=")</f>
        <v>#REF!</v>
      </c>
      <c r="IG200" t="e">
        <f>AND('GA55 Entry'!Z774,"AAAAAHz78fA=")</f>
        <v>#VALUE!</v>
      </c>
      <c r="IH200" t="e">
        <f>AND('GA55 Entry'!AA774,"AAAAAHz78fE=")</f>
        <v>#VALUE!</v>
      </c>
      <c r="II200" t="e">
        <f>AND('GA55 Entry'!#REF!,"AAAAAHz78fI=")</f>
        <v>#REF!</v>
      </c>
      <c r="IJ200" t="e">
        <f>AND('GA55 Entry'!#REF!,"AAAAAHz78fM=")</f>
        <v>#REF!</v>
      </c>
      <c r="IK200" t="e">
        <f>AND('GA55 Entry'!#REF!,"AAAAAHz78fQ=")</f>
        <v>#REF!</v>
      </c>
      <c r="IL200" t="e">
        <f>AND('GA55 Entry'!AB774,"AAAAAHz78fU=")</f>
        <v>#VALUE!</v>
      </c>
      <c r="IM200" t="e">
        <f>AND('GA55 Entry'!AC774,"AAAAAHz78fY=")</f>
        <v>#VALUE!</v>
      </c>
      <c r="IN200" t="e">
        <f>AND('GA55 Entry'!#REF!,"AAAAAHz78fc=")</f>
        <v>#REF!</v>
      </c>
      <c r="IO200">
        <f>IF('GA55 Entry'!775:775,"AAAAAHz78fg=",0)</f>
        <v>0</v>
      </c>
      <c r="IP200" t="e">
        <f>AND('GA55 Entry'!B775,"AAAAAHz78fk=")</f>
        <v>#VALUE!</v>
      </c>
      <c r="IQ200" t="e">
        <f>AND('GA55 Entry'!#REF!,"AAAAAHz78fo=")</f>
        <v>#REF!</v>
      </c>
      <c r="IR200" t="e">
        <f>AND('GA55 Entry'!C775,"AAAAAHz78fs=")</f>
        <v>#VALUE!</v>
      </c>
      <c r="IS200" t="e">
        <f>AND('GA55 Entry'!#REF!,"AAAAAHz78fw=")</f>
        <v>#REF!</v>
      </c>
      <c r="IT200" t="e">
        <f>AND('GA55 Entry'!#REF!,"AAAAAHz78f0=")</f>
        <v>#REF!</v>
      </c>
      <c r="IU200" t="e">
        <f>AND('GA55 Entry'!#REF!,"AAAAAHz78f4=")</f>
        <v>#REF!</v>
      </c>
      <c r="IV200" t="e">
        <f>AND('GA55 Entry'!#REF!,"AAAAAHz78f8=")</f>
        <v>#REF!</v>
      </c>
    </row>
    <row r="201" spans="1:256">
      <c r="A201" t="e">
        <f>AND('GA55 Entry'!#REF!,"AAAAAGuunwA=")</f>
        <v>#REF!</v>
      </c>
      <c r="B201" t="e">
        <f>AND('GA55 Entry'!D775,"AAAAAGuunwE=")</f>
        <v>#VALUE!</v>
      </c>
      <c r="C201" t="e">
        <f>AND('GA55 Entry'!#REF!,"AAAAAGuunwI=")</f>
        <v>#REF!</v>
      </c>
      <c r="D201" t="e">
        <f>AND('GA55 Entry'!E775,"AAAAAGuunwM=")</f>
        <v>#VALUE!</v>
      </c>
      <c r="E201" t="e">
        <f>AND('GA55 Entry'!F775,"AAAAAGuunwQ=")</f>
        <v>#VALUE!</v>
      </c>
      <c r="F201" t="e">
        <f>AND('GA55 Entry'!G775,"AAAAAGuunwU=")</f>
        <v>#VALUE!</v>
      </c>
      <c r="G201" t="e">
        <f>AND('GA55 Entry'!H775,"AAAAAGuunwY=")</f>
        <v>#VALUE!</v>
      </c>
      <c r="H201" t="e">
        <f>AND('GA55 Entry'!I775,"AAAAAGuunwc=")</f>
        <v>#VALUE!</v>
      </c>
      <c r="I201" t="e">
        <f>AND('GA55 Entry'!J775,"AAAAAGuunwg=")</f>
        <v>#VALUE!</v>
      </c>
      <c r="J201" t="e">
        <f>AND('GA55 Entry'!#REF!,"AAAAAGuunwk=")</f>
        <v>#REF!</v>
      </c>
      <c r="K201" t="e">
        <f>AND('GA55 Entry'!K775,"AAAAAGuunwo=")</f>
        <v>#VALUE!</v>
      </c>
      <c r="L201" t="e">
        <f>AND('GA55 Entry'!L775,"AAAAAGuunws=")</f>
        <v>#VALUE!</v>
      </c>
      <c r="M201" t="e">
        <f>AND('GA55 Entry'!M775,"AAAAAGuunww=")</f>
        <v>#VALUE!</v>
      </c>
      <c r="N201" t="e">
        <f>AND('GA55 Entry'!N775,"AAAAAGuunw0=")</f>
        <v>#VALUE!</v>
      </c>
      <c r="O201" t="e">
        <f>AND('GA55 Entry'!O775,"AAAAAGuunw4=")</f>
        <v>#VALUE!</v>
      </c>
      <c r="P201" t="e">
        <f>AND('GA55 Entry'!P775,"AAAAAGuunw8=")</f>
        <v>#VALUE!</v>
      </c>
      <c r="Q201" t="e">
        <f>AND('GA55 Entry'!Q775,"AAAAAGuunxA=")</f>
        <v>#VALUE!</v>
      </c>
      <c r="R201" t="e">
        <f>AND('GA55 Entry'!S775,"AAAAAGuunxE=")</f>
        <v>#VALUE!</v>
      </c>
      <c r="S201" t="e">
        <f>AND('GA55 Entry'!#REF!,"AAAAAGuunxI=")</f>
        <v>#REF!</v>
      </c>
      <c r="T201" t="e">
        <f>AND('GA55 Entry'!T775,"AAAAAGuunxM=")</f>
        <v>#VALUE!</v>
      </c>
      <c r="U201" t="e">
        <f>AND('GA55 Entry'!U775,"AAAAAGuunxQ=")</f>
        <v>#VALUE!</v>
      </c>
      <c r="V201" t="e">
        <f>AND('GA55 Entry'!V775,"AAAAAGuunxU=")</f>
        <v>#VALUE!</v>
      </c>
      <c r="W201" t="e">
        <f>AND('GA55 Entry'!#REF!,"AAAAAGuunxY=")</f>
        <v>#REF!</v>
      </c>
      <c r="X201" t="e">
        <f>AND('GA55 Entry'!#REF!,"AAAAAGuunxc=")</f>
        <v>#REF!</v>
      </c>
      <c r="Y201" t="e">
        <f>AND('GA55 Entry'!X775,"AAAAAGuunxg=")</f>
        <v>#VALUE!</v>
      </c>
      <c r="Z201" t="e">
        <f>AND('GA55 Entry'!Y775,"AAAAAGuunxk=")</f>
        <v>#VALUE!</v>
      </c>
      <c r="AA201" t="e">
        <f>AND('GA55 Entry'!#REF!,"AAAAAGuunxo=")</f>
        <v>#REF!</v>
      </c>
      <c r="AB201" t="e">
        <f>AND('GA55 Entry'!#REF!,"AAAAAGuunxs=")</f>
        <v>#REF!</v>
      </c>
      <c r="AC201" t="e">
        <f>AND('GA55 Entry'!#REF!,"AAAAAGuunxw=")</f>
        <v>#REF!</v>
      </c>
      <c r="AD201" t="e">
        <f>AND('GA55 Entry'!#REF!,"AAAAAGuunx0=")</f>
        <v>#REF!</v>
      </c>
      <c r="AE201" t="e">
        <f>AND('GA55 Entry'!#REF!,"AAAAAGuunx4=")</f>
        <v>#REF!</v>
      </c>
      <c r="AF201" t="e">
        <f>AND('GA55 Entry'!#REF!,"AAAAAGuunx8=")</f>
        <v>#REF!</v>
      </c>
      <c r="AG201" t="e">
        <f>AND('GA55 Entry'!#REF!,"AAAAAGuunyA=")</f>
        <v>#REF!</v>
      </c>
      <c r="AH201" t="e">
        <f>AND('GA55 Entry'!#REF!,"AAAAAGuunyE=")</f>
        <v>#REF!</v>
      </c>
      <c r="AI201" t="e">
        <f>AND('GA55 Entry'!#REF!,"AAAAAGuunyI=")</f>
        <v>#REF!</v>
      </c>
      <c r="AJ201" t="e">
        <f>AND('GA55 Entry'!Z775,"AAAAAGuunyM=")</f>
        <v>#VALUE!</v>
      </c>
      <c r="AK201" t="e">
        <f>AND('GA55 Entry'!AA775,"AAAAAGuunyQ=")</f>
        <v>#VALUE!</v>
      </c>
      <c r="AL201" t="e">
        <f>AND('GA55 Entry'!#REF!,"AAAAAGuunyU=")</f>
        <v>#REF!</v>
      </c>
      <c r="AM201" t="e">
        <f>AND('GA55 Entry'!#REF!,"AAAAAGuunyY=")</f>
        <v>#REF!</v>
      </c>
      <c r="AN201" t="e">
        <f>AND('GA55 Entry'!#REF!,"AAAAAGuunyc=")</f>
        <v>#REF!</v>
      </c>
      <c r="AO201" t="e">
        <f>AND('GA55 Entry'!AB775,"AAAAAGuunyg=")</f>
        <v>#VALUE!</v>
      </c>
      <c r="AP201" t="e">
        <f>AND('GA55 Entry'!AC775,"AAAAAGuunyk=")</f>
        <v>#VALUE!</v>
      </c>
      <c r="AQ201" t="e">
        <f>AND('GA55 Entry'!#REF!,"AAAAAGuunyo=")</f>
        <v>#REF!</v>
      </c>
      <c r="AR201">
        <f>IF('GA55 Entry'!776:776,"AAAAAGuunys=",0)</f>
        <v>0</v>
      </c>
      <c r="AS201" t="e">
        <f>AND('GA55 Entry'!B776,"AAAAAGuunyw=")</f>
        <v>#VALUE!</v>
      </c>
      <c r="AT201" t="e">
        <f>AND('GA55 Entry'!#REF!,"AAAAAGuuny0=")</f>
        <v>#REF!</v>
      </c>
      <c r="AU201" t="e">
        <f>AND('GA55 Entry'!C776,"AAAAAGuuny4=")</f>
        <v>#VALUE!</v>
      </c>
      <c r="AV201" t="e">
        <f>AND('GA55 Entry'!#REF!,"AAAAAGuuny8=")</f>
        <v>#REF!</v>
      </c>
      <c r="AW201" t="e">
        <f>AND('GA55 Entry'!#REF!,"AAAAAGuunzA=")</f>
        <v>#REF!</v>
      </c>
      <c r="AX201" t="e">
        <f>AND('GA55 Entry'!#REF!,"AAAAAGuunzE=")</f>
        <v>#REF!</v>
      </c>
      <c r="AY201" t="e">
        <f>AND('GA55 Entry'!#REF!,"AAAAAGuunzI=")</f>
        <v>#REF!</v>
      </c>
      <c r="AZ201" t="e">
        <f>AND('GA55 Entry'!#REF!,"AAAAAGuunzM=")</f>
        <v>#REF!</v>
      </c>
      <c r="BA201" t="e">
        <f>AND('GA55 Entry'!D776,"AAAAAGuunzQ=")</f>
        <v>#VALUE!</v>
      </c>
      <c r="BB201" t="e">
        <f>AND('GA55 Entry'!#REF!,"AAAAAGuunzU=")</f>
        <v>#REF!</v>
      </c>
      <c r="BC201" t="e">
        <f>AND('GA55 Entry'!E776,"AAAAAGuunzY=")</f>
        <v>#VALUE!</v>
      </c>
      <c r="BD201" t="e">
        <f>AND('GA55 Entry'!F776,"AAAAAGuunzc=")</f>
        <v>#VALUE!</v>
      </c>
      <c r="BE201" t="e">
        <f>AND('GA55 Entry'!G776,"AAAAAGuunzg=")</f>
        <v>#VALUE!</v>
      </c>
      <c r="BF201" t="e">
        <f>AND('GA55 Entry'!H776,"AAAAAGuunzk=")</f>
        <v>#VALUE!</v>
      </c>
      <c r="BG201" t="e">
        <f>AND('GA55 Entry'!I776,"AAAAAGuunzo=")</f>
        <v>#VALUE!</v>
      </c>
      <c r="BH201" t="e">
        <f>AND('GA55 Entry'!J776,"AAAAAGuunzs=")</f>
        <v>#VALUE!</v>
      </c>
      <c r="BI201" t="e">
        <f>AND('GA55 Entry'!#REF!,"AAAAAGuunzw=")</f>
        <v>#REF!</v>
      </c>
      <c r="BJ201" t="e">
        <f>AND('GA55 Entry'!K776,"AAAAAGuunz0=")</f>
        <v>#VALUE!</v>
      </c>
      <c r="BK201" t="e">
        <f>AND('GA55 Entry'!L776,"AAAAAGuunz4=")</f>
        <v>#VALUE!</v>
      </c>
      <c r="BL201" t="e">
        <f>AND('GA55 Entry'!M776,"AAAAAGuunz8=")</f>
        <v>#VALUE!</v>
      </c>
      <c r="BM201" t="e">
        <f>AND('GA55 Entry'!N776,"AAAAAGuun0A=")</f>
        <v>#VALUE!</v>
      </c>
      <c r="BN201" t="e">
        <f>AND('GA55 Entry'!O776,"AAAAAGuun0E=")</f>
        <v>#VALUE!</v>
      </c>
      <c r="BO201" t="e">
        <f>AND('GA55 Entry'!P776,"AAAAAGuun0I=")</f>
        <v>#VALUE!</v>
      </c>
      <c r="BP201" t="e">
        <f>AND('GA55 Entry'!Q776,"AAAAAGuun0M=")</f>
        <v>#VALUE!</v>
      </c>
      <c r="BQ201" t="e">
        <f>AND('GA55 Entry'!S776,"AAAAAGuun0Q=")</f>
        <v>#VALUE!</v>
      </c>
      <c r="BR201" t="e">
        <f>AND('GA55 Entry'!#REF!,"AAAAAGuun0U=")</f>
        <v>#REF!</v>
      </c>
      <c r="BS201" t="e">
        <f>AND('GA55 Entry'!T776,"AAAAAGuun0Y=")</f>
        <v>#VALUE!</v>
      </c>
      <c r="BT201" t="e">
        <f>AND('GA55 Entry'!U776,"AAAAAGuun0c=")</f>
        <v>#VALUE!</v>
      </c>
      <c r="BU201" t="e">
        <f>AND('GA55 Entry'!V776,"AAAAAGuun0g=")</f>
        <v>#VALUE!</v>
      </c>
      <c r="BV201" t="e">
        <f>AND('GA55 Entry'!#REF!,"AAAAAGuun0k=")</f>
        <v>#REF!</v>
      </c>
      <c r="BW201" t="e">
        <f>AND('GA55 Entry'!#REF!,"AAAAAGuun0o=")</f>
        <v>#REF!</v>
      </c>
      <c r="BX201" t="e">
        <f>AND('GA55 Entry'!X776,"AAAAAGuun0s=")</f>
        <v>#VALUE!</v>
      </c>
      <c r="BY201" t="e">
        <f>AND('GA55 Entry'!Y776,"AAAAAGuun0w=")</f>
        <v>#VALUE!</v>
      </c>
      <c r="BZ201" t="e">
        <f>AND('GA55 Entry'!#REF!,"AAAAAGuun00=")</f>
        <v>#REF!</v>
      </c>
      <c r="CA201" t="e">
        <f>AND('GA55 Entry'!#REF!,"AAAAAGuun04=")</f>
        <v>#REF!</v>
      </c>
      <c r="CB201" t="e">
        <f>AND('GA55 Entry'!#REF!,"AAAAAGuun08=")</f>
        <v>#REF!</v>
      </c>
      <c r="CC201" t="e">
        <f>AND('GA55 Entry'!#REF!,"AAAAAGuun1A=")</f>
        <v>#REF!</v>
      </c>
      <c r="CD201" t="e">
        <f>AND('GA55 Entry'!#REF!,"AAAAAGuun1E=")</f>
        <v>#REF!</v>
      </c>
      <c r="CE201" t="e">
        <f>AND('GA55 Entry'!#REF!,"AAAAAGuun1I=")</f>
        <v>#REF!</v>
      </c>
      <c r="CF201" t="e">
        <f>AND('GA55 Entry'!#REF!,"AAAAAGuun1M=")</f>
        <v>#REF!</v>
      </c>
      <c r="CG201" t="e">
        <f>AND('GA55 Entry'!#REF!,"AAAAAGuun1Q=")</f>
        <v>#REF!</v>
      </c>
      <c r="CH201" t="e">
        <f>AND('GA55 Entry'!#REF!,"AAAAAGuun1U=")</f>
        <v>#REF!</v>
      </c>
      <c r="CI201" t="e">
        <f>AND('GA55 Entry'!Z776,"AAAAAGuun1Y=")</f>
        <v>#VALUE!</v>
      </c>
      <c r="CJ201" t="e">
        <f>AND('GA55 Entry'!AA776,"AAAAAGuun1c=")</f>
        <v>#VALUE!</v>
      </c>
      <c r="CK201" t="e">
        <f>AND('GA55 Entry'!#REF!,"AAAAAGuun1g=")</f>
        <v>#REF!</v>
      </c>
      <c r="CL201" t="e">
        <f>AND('GA55 Entry'!#REF!,"AAAAAGuun1k=")</f>
        <v>#REF!</v>
      </c>
      <c r="CM201" t="e">
        <f>AND('GA55 Entry'!#REF!,"AAAAAGuun1o=")</f>
        <v>#REF!</v>
      </c>
      <c r="CN201" t="e">
        <f>AND('GA55 Entry'!AB776,"AAAAAGuun1s=")</f>
        <v>#VALUE!</v>
      </c>
      <c r="CO201" t="e">
        <f>AND('GA55 Entry'!AC776,"AAAAAGuun1w=")</f>
        <v>#VALUE!</v>
      </c>
      <c r="CP201" t="e">
        <f>AND('GA55 Entry'!#REF!,"AAAAAGuun10=")</f>
        <v>#REF!</v>
      </c>
      <c r="CQ201">
        <f>IF('GA55 Entry'!777:777,"AAAAAGuun14=",0)</f>
        <v>0</v>
      </c>
      <c r="CR201" t="e">
        <f>AND('GA55 Entry'!B777,"AAAAAGuun18=")</f>
        <v>#VALUE!</v>
      </c>
      <c r="CS201" t="e">
        <f>AND('GA55 Entry'!#REF!,"AAAAAGuun2A=")</f>
        <v>#REF!</v>
      </c>
      <c r="CT201" t="e">
        <f>AND('GA55 Entry'!C777,"AAAAAGuun2E=")</f>
        <v>#VALUE!</v>
      </c>
      <c r="CU201" t="e">
        <f>AND('GA55 Entry'!#REF!,"AAAAAGuun2I=")</f>
        <v>#REF!</v>
      </c>
      <c r="CV201" t="e">
        <f>AND('GA55 Entry'!#REF!,"AAAAAGuun2M=")</f>
        <v>#REF!</v>
      </c>
      <c r="CW201" t="e">
        <f>AND('GA55 Entry'!#REF!,"AAAAAGuun2Q=")</f>
        <v>#REF!</v>
      </c>
      <c r="CX201" t="e">
        <f>AND('GA55 Entry'!#REF!,"AAAAAGuun2U=")</f>
        <v>#REF!</v>
      </c>
      <c r="CY201" t="e">
        <f>AND('GA55 Entry'!#REF!,"AAAAAGuun2Y=")</f>
        <v>#REF!</v>
      </c>
      <c r="CZ201" t="e">
        <f>AND('GA55 Entry'!D777,"AAAAAGuun2c=")</f>
        <v>#VALUE!</v>
      </c>
      <c r="DA201" t="e">
        <f>AND('GA55 Entry'!#REF!,"AAAAAGuun2g=")</f>
        <v>#REF!</v>
      </c>
      <c r="DB201" t="e">
        <f>AND('GA55 Entry'!E777,"AAAAAGuun2k=")</f>
        <v>#VALUE!</v>
      </c>
      <c r="DC201" t="e">
        <f>AND('GA55 Entry'!F777,"AAAAAGuun2o=")</f>
        <v>#VALUE!</v>
      </c>
      <c r="DD201" t="e">
        <f>AND('GA55 Entry'!G777,"AAAAAGuun2s=")</f>
        <v>#VALUE!</v>
      </c>
      <c r="DE201" t="e">
        <f>AND('GA55 Entry'!H777,"AAAAAGuun2w=")</f>
        <v>#VALUE!</v>
      </c>
      <c r="DF201" t="e">
        <f>AND('GA55 Entry'!I777,"AAAAAGuun20=")</f>
        <v>#VALUE!</v>
      </c>
      <c r="DG201" t="e">
        <f>AND('GA55 Entry'!J777,"AAAAAGuun24=")</f>
        <v>#VALUE!</v>
      </c>
      <c r="DH201" t="e">
        <f>AND('GA55 Entry'!#REF!,"AAAAAGuun28=")</f>
        <v>#REF!</v>
      </c>
      <c r="DI201" t="e">
        <f>AND('GA55 Entry'!K777,"AAAAAGuun3A=")</f>
        <v>#VALUE!</v>
      </c>
      <c r="DJ201" t="e">
        <f>AND('GA55 Entry'!L777,"AAAAAGuun3E=")</f>
        <v>#VALUE!</v>
      </c>
      <c r="DK201" t="e">
        <f>AND('GA55 Entry'!M777,"AAAAAGuun3I=")</f>
        <v>#VALUE!</v>
      </c>
      <c r="DL201" t="e">
        <f>AND('GA55 Entry'!N777,"AAAAAGuun3M=")</f>
        <v>#VALUE!</v>
      </c>
      <c r="DM201" t="e">
        <f>AND('GA55 Entry'!O777,"AAAAAGuun3Q=")</f>
        <v>#VALUE!</v>
      </c>
      <c r="DN201" t="e">
        <f>AND('GA55 Entry'!P777,"AAAAAGuun3U=")</f>
        <v>#VALUE!</v>
      </c>
      <c r="DO201" t="e">
        <f>AND('GA55 Entry'!Q777,"AAAAAGuun3Y=")</f>
        <v>#VALUE!</v>
      </c>
      <c r="DP201" t="e">
        <f>AND('GA55 Entry'!S777,"AAAAAGuun3c=")</f>
        <v>#VALUE!</v>
      </c>
      <c r="DQ201" t="e">
        <f>AND('GA55 Entry'!#REF!,"AAAAAGuun3g=")</f>
        <v>#REF!</v>
      </c>
      <c r="DR201" t="e">
        <f>AND('GA55 Entry'!T777,"AAAAAGuun3k=")</f>
        <v>#VALUE!</v>
      </c>
      <c r="DS201" t="e">
        <f>AND('GA55 Entry'!U777,"AAAAAGuun3o=")</f>
        <v>#VALUE!</v>
      </c>
      <c r="DT201" t="e">
        <f>AND('GA55 Entry'!V777,"AAAAAGuun3s=")</f>
        <v>#VALUE!</v>
      </c>
      <c r="DU201" t="e">
        <f>AND('GA55 Entry'!#REF!,"AAAAAGuun3w=")</f>
        <v>#REF!</v>
      </c>
      <c r="DV201" t="e">
        <f>AND('GA55 Entry'!#REF!,"AAAAAGuun30=")</f>
        <v>#REF!</v>
      </c>
      <c r="DW201" t="e">
        <f>AND('GA55 Entry'!X777,"AAAAAGuun34=")</f>
        <v>#VALUE!</v>
      </c>
      <c r="DX201" t="e">
        <f>AND('GA55 Entry'!Y777,"AAAAAGuun38=")</f>
        <v>#VALUE!</v>
      </c>
      <c r="DY201" t="e">
        <f>AND('GA55 Entry'!#REF!,"AAAAAGuun4A=")</f>
        <v>#REF!</v>
      </c>
      <c r="DZ201" t="e">
        <f>AND('GA55 Entry'!#REF!,"AAAAAGuun4E=")</f>
        <v>#REF!</v>
      </c>
      <c r="EA201" t="e">
        <f>AND('GA55 Entry'!#REF!,"AAAAAGuun4I=")</f>
        <v>#REF!</v>
      </c>
      <c r="EB201" t="e">
        <f>AND('GA55 Entry'!#REF!,"AAAAAGuun4M=")</f>
        <v>#REF!</v>
      </c>
      <c r="EC201" t="e">
        <f>AND('GA55 Entry'!#REF!,"AAAAAGuun4Q=")</f>
        <v>#REF!</v>
      </c>
      <c r="ED201" t="e">
        <f>AND('GA55 Entry'!#REF!,"AAAAAGuun4U=")</f>
        <v>#REF!</v>
      </c>
      <c r="EE201" t="e">
        <f>AND('GA55 Entry'!#REF!,"AAAAAGuun4Y=")</f>
        <v>#REF!</v>
      </c>
      <c r="EF201" t="e">
        <f>AND('GA55 Entry'!#REF!,"AAAAAGuun4c=")</f>
        <v>#REF!</v>
      </c>
      <c r="EG201" t="e">
        <f>AND('GA55 Entry'!#REF!,"AAAAAGuun4g=")</f>
        <v>#REF!</v>
      </c>
      <c r="EH201" t="e">
        <f>AND('GA55 Entry'!Z777,"AAAAAGuun4k=")</f>
        <v>#VALUE!</v>
      </c>
      <c r="EI201" t="e">
        <f>AND('GA55 Entry'!AA777,"AAAAAGuun4o=")</f>
        <v>#VALUE!</v>
      </c>
      <c r="EJ201" t="e">
        <f>AND('GA55 Entry'!#REF!,"AAAAAGuun4s=")</f>
        <v>#REF!</v>
      </c>
      <c r="EK201" t="e">
        <f>AND('GA55 Entry'!#REF!,"AAAAAGuun4w=")</f>
        <v>#REF!</v>
      </c>
      <c r="EL201" t="e">
        <f>AND('GA55 Entry'!#REF!,"AAAAAGuun40=")</f>
        <v>#REF!</v>
      </c>
      <c r="EM201" t="e">
        <f>AND('GA55 Entry'!AB777,"AAAAAGuun44=")</f>
        <v>#VALUE!</v>
      </c>
      <c r="EN201" t="e">
        <f>AND('GA55 Entry'!AC777,"AAAAAGuun48=")</f>
        <v>#VALUE!</v>
      </c>
      <c r="EO201" t="e">
        <f>AND('GA55 Entry'!#REF!,"AAAAAGuun5A=")</f>
        <v>#REF!</v>
      </c>
      <c r="EP201">
        <f>IF('GA55 Entry'!778:778,"AAAAAGuun5E=",0)</f>
        <v>0</v>
      </c>
      <c r="EQ201" t="e">
        <f>AND('GA55 Entry'!B778,"AAAAAGuun5I=")</f>
        <v>#VALUE!</v>
      </c>
      <c r="ER201" t="e">
        <f>AND('GA55 Entry'!#REF!,"AAAAAGuun5M=")</f>
        <v>#REF!</v>
      </c>
      <c r="ES201" t="e">
        <f>AND('GA55 Entry'!C778,"AAAAAGuun5Q=")</f>
        <v>#VALUE!</v>
      </c>
      <c r="ET201" t="e">
        <f>AND('GA55 Entry'!#REF!,"AAAAAGuun5U=")</f>
        <v>#REF!</v>
      </c>
      <c r="EU201" t="e">
        <f>AND('GA55 Entry'!#REF!,"AAAAAGuun5Y=")</f>
        <v>#REF!</v>
      </c>
      <c r="EV201" t="e">
        <f>AND('GA55 Entry'!#REF!,"AAAAAGuun5c=")</f>
        <v>#REF!</v>
      </c>
      <c r="EW201" t="e">
        <f>AND('GA55 Entry'!#REF!,"AAAAAGuun5g=")</f>
        <v>#REF!</v>
      </c>
      <c r="EX201" t="e">
        <f>AND('GA55 Entry'!#REF!,"AAAAAGuun5k=")</f>
        <v>#REF!</v>
      </c>
      <c r="EY201" t="e">
        <f>AND('GA55 Entry'!D778,"AAAAAGuun5o=")</f>
        <v>#VALUE!</v>
      </c>
      <c r="EZ201" t="e">
        <f>AND('GA55 Entry'!#REF!,"AAAAAGuun5s=")</f>
        <v>#REF!</v>
      </c>
      <c r="FA201" t="e">
        <f>AND('GA55 Entry'!E778,"AAAAAGuun5w=")</f>
        <v>#VALUE!</v>
      </c>
      <c r="FB201" t="e">
        <f>AND('GA55 Entry'!F778,"AAAAAGuun50=")</f>
        <v>#VALUE!</v>
      </c>
      <c r="FC201" t="e">
        <f>AND('GA55 Entry'!G778,"AAAAAGuun54=")</f>
        <v>#VALUE!</v>
      </c>
      <c r="FD201" t="e">
        <f>AND('GA55 Entry'!H778,"AAAAAGuun58=")</f>
        <v>#VALUE!</v>
      </c>
      <c r="FE201" t="e">
        <f>AND('GA55 Entry'!I778,"AAAAAGuun6A=")</f>
        <v>#VALUE!</v>
      </c>
      <c r="FF201" t="e">
        <f>AND('GA55 Entry'!J778,"AAAAAGuun6E=")</f>
        <v>#VALUE!</v>
      </c>
      <c r="FG201" t="e">
        <f>AND('GA55 Entry'!#REF!,"AAAAAGuun6I=")</f>
        <v>#REF!</v>
      </c>
      <c r="FH201" t="e">
        <f>AND('GA55 Entry'!K778,"AAAAAGuun6M=")</f>
        <v>#VALUE!</v>
      </c>
      <c r="FI201" t="e">
        <f>AND('GA55 Entry'!L778,"AAAAAGuun6Q=")</f>
        <v>#VALUE!</v>
      </c>
      <c r="FJ201" t="e">
        <f>AND('GA55 Entry'!M778,"AAAAAGuun6U=")</f>
        <v>#VALUE!</v>
      </c>
      <c r="FK201" t="e">
        <f>AND('GA55 Entry'!N778,"AAAAAGuun6Y=")</f>
        <v>#VALUE!</v>
      </c>
      <c r="FL201" t="e">
        <f>AND('GA55 Entry'!O778,"AAAAAGuun6c=")</f>
        <v>#VALUE!</v>
      </c>
      <c r="FM201" t="e">
        <f>AND('GA55 Entry'!P778,"AAAAAGuun6g=")</f>
        <v>#VALUE!</v>
      </c>
      <c r="FN201" t="e">
        <f>AND('GA55 Entry'!Q778,"AAAAAGuun6k=")</f>
        <v>#VALUE!</v>
      </c>
      <c r="FO201" t="e">
        <f>AND('GA55 Entry'!S778,"AAAAAGuun6o=")</f>
        <v>#VALUE!</v>
      </c>
      <c r="FP201" t="e">
        <f>AND('GA55 Entry'!#REF!,"AAAAAGuun6s=")</f>
        <v>#REF!</v>
      </c>
      <c r="FQ201" t="e">
        <f>AND('GA55 Entry'!T778,"AAAAAGuun6w=")</f>
        <v>#VALUE!</v>
      </c>
      <c r="FR201" t="e">
        <f>AND('GA55 Entry'!U778,"AAAAAGuun60=")</f>
        <v>#VALUE!</v>
      </c>
      <c r="FS201" t="e">
        <f>AND('GA55 Entry'!V778,"AAAAAGuun64=")</f>
        <v>#VALUE!</v>
      </c>
      <c r="FT201" t="e">
        <f>AND('GA55 Entry'!#REF!,"AAAAAGuun68=")</f>
        <v>#REF!</v>
      </c>
      <c r="FU201" t="e">
        <f>AND('GA55 Entry'!#REF!,"AAAAAGuun7A=")</f>
        <v>#REF!</v>
      </c>
      <c r="FV201" t="e">
        <f>AND('GA55 Entry'!X778,"AAAAAGuun7E=")</f>
        <v>#VALUE!</v>
      </c>
      <c r="FW201" t="e">
        <f>AND('GA55 Entry'!Y778,"AAAAAGuun7I=")</f>
        <v>#VALUE!</v>
      </c>
      <c r="FX201" t="e">
        <f>AND('GA55 Entry'!#REF!,"AAAAAGuun7M=")</f>
        <v>#REF!</v>
      </c>
      <c r="FY201" t="e">
        <f>AND('GA55 Entry'!#REF!,"AAAAAGuun7Q=")</f>
        <v>#REF!</v>
      </c>
      <c r="FZ201" t="e">
        <f>AND('GA55 Entry'!#REF!,"AAAAAGuun7U=")</f>
        <v>#REF!</v>
      </c>
      <c r="GA201" t="e">
        <f>AND('GA55 Entry'!#REF!,"AAAAAGuun7Y=")</f>
        <v>#REF!</v>
      </c>
      <c r="GB201" t="e">
        <f>AND('GA55 Entry'!#REF!,"AAAAAGuun7c=")</f>
        <v>#REF!</v>
      </c>
      <c r="GC201" t="e">
        <f>AND('GA55 Entry'!#REF!,"AAAAAGuun7g=")</f>
        <v>#REF!</v>
      </c>
      <c r="GD201" t="e">
        <f>AND('GA55 Entry'!#REF!,"AAAAAGuun7k=")</f>
        <v>#REF!</v>
      </c>
      <c r="GE201" t="e">
        <f>AND('GA55 Entry'!#REF!,"AAAAAGuun7o=")</f>
        <v>#REF!</v>
      </c>
      <c r="GF201" t="e">
        <f>AND('GA55 Entry'!#REF!,"AAAAAGuun7s=")</f>
        <v>#REF!</v>
      </c>
      <c r="GG201" t="e">
        <f>AND('GA55 Entry'!Z778,"AAAAAGuun7w=")</f>
        <v>#VALUE!</v>
      </c>
      <c r="GH201" t="e">
        <f>AND('GA55 Entry'!AA778,"AAAAAGuun70=")</f>
        <v>#VALUE!</v>
      </c>
      <c r="GI201" t="e">
        <f>AND('GA55 Entry'!#REF!,"AAAAAGuun74=")</f>
        <v>#REF!</v>
      </c>
      <c r="GJ201" t="e">
        <f>AND('GA55 Entry'!#REF!,"AAAAAGuun78=")</f>
        <v>#REF!</v>
      </c>
      <c r="GK201" t="e">
        <f>AND('GA55 Entry'!#REF!,"AAAAAGuun8A=")</f>
        <v>#REF!</v>
      </c>
      <c r="GL201" t="e">
        <f>AND('GA55 Entry'!AB778,"AAAAAGuun8E=")</f>
        <v>#VALUE!</v>
      </c>
      <c r="GM201" t="e">
        <f>AND('GA55 Entry'!AC778,"AAAAAGuun8I=")</f>
        <v>#VALUE!</v>
      </c>
      <c r="GN201" t="e">
        <f>AND('GA55 Entry'!#REF!,"AAAAAGuun8M=")</f>
        <v>#REF!</v>
      </c>
      <c r="GO201">
        <f>IF('GA55 Entry'!779:779,"AAAAAGuun8Q=",0)</f>
        <v>0</v>
      </c>
      <c r="GP201" t="e">
        <f>AND('GA55 Entry'!B779,"AAAAAGuun8U=")</f>
        <v>#VALUE!</v>
      </c>
      <c r="GQ201" t="e">
        <f>AND('GA55 Entry'!#REF!,"AAAAAGuun8Y=")</f>
        <v>#REF!</v>
      </c>
      <c r="GR201" t="e">
        <f>AND('GA55 Entry'!C779,"AAAAAGuun8c=")</f>
        <v>#VALUE!</v>
      </c>
      <c r="GS201" t="e">
        <f>AND('GA55 Entry'!#REF!,"AAAAAGuun8g=")</f>
        <v>#REF!</v>
      </c>
      <c r="GT201" t="e">
        <f>AND('GA55 Entry'!#REF!,"AAAAAGuun8k=")</f>
        <v>#REF!</v>
      </c>
      <c r="GU201" t="e">
        <f>AND('GA55 Entry'!#REF!,"AAAAAGuun8o=")</f>
        <v>#REF!</v>
      </c>
      <c r="GV201" t="e">
        <f>AND('GA55 Entry'!#REF!,"AAAAAGuun8s=")</f>
        <v>#REF!</v>
      </c>
      <c r="GW201" t="e">
        <f>AND('GA55 Entry'!#REF!,"AAAAAGuun8w=")</f>
        <v>#REF!</v>
      </c>
      <c r="GX201" t="e">
        <f>AND('GA55 Entry'!D779,"AAAAAGuun80=")</f>
        <v>#VALUE!</v>
      </c>
      <c r="GY201" t="e">
        <f>AND('GA55 Entry'!#REF!,"AAAAAGuun84=")</f>
        <v>#REF!</v>
      </c>
      <c r="GZ201" t="e">
        <f>AND('GA55 Entry'!E779,"AAAAAGuun88=")</f>
        <v>#VALUE!</v>
      </c>
      <c r="HA201" t="e">
        <f>AND('GA55 Entry'!F779,"AAAAAGuun9A=")</f>
        <v>#VALUE!</v>
      </c>
      <c r="HB201" t="e">
        <f>AND('GA55 Entry'!G779,"AAAAAGuun9E=")</f>
        <v>#VALUE!</v>
      </c>
      <c r="HC201" t="e">
        <f>AND('GA55 Entry'!H779,"AAAAAGuun9I=")</f>
        <v>#VALUE!</v>
      </c>
      <c r="HD201" t="e">
        <f>AND('GA55 Entry'!I779,"AAAAAGuun9M=")</f>
        <v>#VALUE!</v>
      </c>
      <c r="HE201" t="e">
        <f>AND('GA55 Entry'!J779,"AAAAAGuun9Q=")</f>
        <v>#VALUE!</v>
      </c>
      <c r="HF201" t="e">
        <f>AND('GA55 Entry'!#REF!,"AAAAAGuun9U=")</f>
        <v>#REF!</v>
      </c>
      <c r="HG201" t="e">
        <f>AND('GA55 Entry'!K779,"AAAAAGuun9Y=")</f>
        <v>#VALUE!</v>
      </c>
      <c r="HH201" t="e">
        <f>AND('GA55 Entry'!L779,"AAAAAGuun9c=")</f>
        <v>#VALUE!</v>
      </c>
      <c r="HI201" t="e">
        <f>AND('GA55 Entry'!M779,"AAAAAGuun9g=")</f>
        <v>#VALUE!</v>
      </c>
      <c r="HJ201" t="e">
        <f>AND('GA55 Entry'!N779,"AAAAAGuun9k=")</f>
        <v>#VALUE!</v>
      </c>
      <c r="HK201" t="e">
        <f>AND('GA55 Entry'!O779,"AAAAAGuun9o=")</f>
        <v>#VALUE!</v>
      </c>
      <c r="HL201" t="e">
        <f>AND('GA55 Entry'!P779,"AAAAAGuun9s=")</f>
        <v>#VALUE!</v>
      </c>
      <c r="HM201" t="e">
        <f>AND('GA55 Entry'!Q779,"AAAAAGuun9w=")</f>
        <v>#VALUE!</v>
      </c>
      <c r="HN201" t="e">
        <f>AND('GA55 Entry'!S779,"AAAAAGuun90=")</f>
        <v>#VALUE!</v>
      </c>
      <c r="HO201" t="e">
        <f>AND('GA55 Entry'!#REF!,"AAAAAGuun94=")</f>
        <v>#REF!</v>
      </c>
      <c r="HP201" t="e">
        <f>AND('GA55 Entry'!T779,"AAAAAGuun98=")</f>
        <v>#VALUE!</v>
      </c>
      <c r="HQ201" t="e">
        <f>AND('GA55 Entry'!U779,"AAAAAGuun+A=")</f>
        <v>#VALUE!</v>
      </c>
      <c r="HR201" t="e">
        <f>AND('GA55 Entry'!V779,"AAAAAGuun+E=")</f>
        <v>#VALUE!</v>
      </c>
      <c r="HS201" t="e">
        <f>AND('GA55 Entry'!#REF!,"AAAAAGuun+I=")</f>
        <v>#REF!</v>
      </c>
      <c r="HT201" t="e">
        <f>AND('GA55 Entry'!#REF!,"AAAAAGuun+M=")</f>
        <v>#REF!</v>
      </c>
      <c r="HU201" t="e">
        <f>AND('GA55 Entry'!X779,"AAAAAGuun+Q=")</f>
        <v>#VALUE!</v>
      </c>
      <c r="HV201" t="e">
        <f>AND('GA55 Entry'!Y779,"AAAAAGuun+U=")</f>
        <v>#VALUE!</v>
      </c>
      <c r="HW201" t="e">
        <f>AND('GA55 Entry'!#REF!,"AAAAAGuun+Y=")</f>
        <v>#REF!</v>
      </c>
      <c r="HX201" t="e">
        <f>AND('GA55 Entry'!#REF!,"AAAAAGuun+c=")</f>
        <v>#REF!</v>
      </c>
      <c r="HY201" t="e">
        <f>AND('GA55 Entry'!#REF!,"AAAAAGuun+g=")</f>
        <v>#REF!</v>
      </c>
      <c r="HZ201" t="e">
        <f>AND('GA55 Entry'!#REF!,"AAAAAGuun+k=")</f>
        <v>#REF!</v>
      </c>
      <c r="IA201" t="e">
        <f>AND('GA55 Entry'!#REF!,"AAAAAGuun+o=")</f>
        <v>#REF!</v>
      </c>
      <c r="IB201" t="e">
        <f>AND('GA55 Entry'!#REF!,"AAAAAGuun+s=")</f>
        <v>#REF!</v>
      </c>
      <c r="IC201" t="e">
        <f>AND('GA55 Entry'!#REF!,"AAAAAGuun+w=")</f>
        <v>#REF!</v>
      </c>
      <c r="ID201" t="e">
        <f>AND('GA55 Entry'!#REF!,"AAAAAGuun+0=")</f>
        <v>#REF!</v>
      </c>
      <c r="IE201" t="e">
        <f>AND('GA55 Entry'!#REF!,"AAAAAGuun+4=")</f>
        <v>#REF!</v>
      </c>
      <c r="IF201" t="e">
        <f>AND('GA55 Entry'!Z779,"AAAAAGuun+8=")</f>
        <v>#VALUE!</v>
      </c>
      <c r="IG201" t="e">
        <f>AND('GA55 Entry'!AA779,"AAAAAGuun/A=")</f>
        <v>#VALUE!</v>
      </c>
      <c r="IH201" t="e">
        <f>AND('GA55 Entry'!#REF!,"AAAAAGuun/E=")</f>
        <v>#REF!</v>
      </c>
      <c r="II201" t="e">
        <f>AND('GA55 Entry'!#REF!,"AAAAAGuun/I=")</f>
        <v>#REF!</v>
      </c>
      <c r="IJ201" t="e">
        <f>AND('GA55 Entry'!#REF!,"AAAAAGuun/M=")</f>
        <v>#REF!</v>
      </c>
      <c r="IK201" t="e">
        <f>AND('GA55 Entry'!AB779,"AAAAAGuun/Q=")</f>
        <v>#VALUE!</v>
      </c>
      <c r="IL201" t="e">
        <f>AND('GA55 Entry'!AC779,"AAAAAGuun/U=")</f>
        <v>#VALUE!</v>
      </c>
      <c r="IM201" t="e">
        <f>AND('GA55 Entry'!#REF!,"AAAAAGuun/Y=")</f>
        <v>#REF!</v>
      </c>
      <c r="IN201">
        <f>IF('GA55 Entry'!780:780,"AAAAAGuun/c=",0)</f>
        <v>0</v>
      </c>
      <c r="IO201" t="e">
        <f>AND('GA55 Entry'!B780,"AAAAAGuun/g=")</f>
        <v>#VALUE!</v>
      </c>
      <c r="IP201" t="e">
        <f>AND('GA55 Entry'!#REF!,"AAAAAGuun/k=")</f>
        <v>#REF!</v>
      </c>
      <c r="IQ201" t="e">
        <f>AND('GA55 Entry'!C780,"AAAAAGuun/o=")</f>
        <v>#VALUE!</v>
      </c>
      <c r="IR201" t="e">
        <f>AND('GA55 Entry'!#REF!,"AAAAAGuun/s=")</f>
        <v>#REF!</v>
      </c>
      <c r="IS201" t="e">
        <f>AND('GA55 Entry'!#REF!,"AAAAAGuun/w=")</f>
        <v>#REF!</v>
      </c>
      <c r="IT201" t="e">
        <f>AND('GA55 Entry'!#REF!,"AAAAAGuun/0=")</f>
        <v>#REF!</v>
      </c>
      <c r="IU201" t="e">
        <f>AND('GA55 Entry'!#REF!,"AAAAAGuun/4=")</f>
        <v>#REF!</v>
      </c>
      <c r="IV201" t="e">
        <f>AND('GA55 Entry'!#REF!,"AAAAAGuun/8=")</f>
        <v>#REF!</v>
      </c>
    </row>
    <row r="202" spans="1:256">
      <c r="A202" t="e">
        <f>AND('GA55 Entry'!D780,"AAAAACaNbwA=")</f>
        <v>#VALUE!</v>
      </c>
      <c r="B202" t="e">
        <f>AND('GA55 Entry'!#REF!,"AAAAACaNbwE=")</f>
        <v>#REF!</v>
      </c>
      <c r="C202" t="e">
        <f>AND('GA55 Entry'!E780,"AAAAACaNbwI=")</f>
        <v>#VALUE!</v>
      </c>
      <c r="D202" t="e">
        <f>AND('GA55 Entry'!F780,"AAAAACaNbwM=")</f>
        <v>#VALUE!</v>
      </c>
      <c r="E202" t="e">
        <f>AND('GA55 Entry'!G780,"AAAAACaNbwQ=")</f>
        <v>#VALUE!</v>
      </c>
      <c r="F202" t="e">
        <f>AND('GA55 Entry'!H780,"AAAAACaNbwU=")</f>
        <v>#VALUE!</v>
      </c>
      <c r="G202" t="e">
        <f>AND('GA55 Entry'!I780,"AAAAACaNbwY=")</f>
        <v>#VALUE!</v>
      </c>
      <c r="H202" t="e">
        <f>AND('GA55 Entry'!J780,"AAAAACaNbwc=")</f>
        <v>#VALUE!</v>
      </c>
      <c r="I202" t="e">
        <f>AND('GA55 Entry'!#REF!,"AAAAACaNbwg=")</f>
        <v>#REF!</v>
      </c>
      <c r="J202" t="e">
        <f>AND('GA55 Entry'!K780,"AAAAACaNbwk=")</f>
        <v>#VALUE!</v>
      </c>
      <c r="K202" t="e">
        <f>AND('GA55 Entry'!L780,"AAAAACaNbwo=")</f>
        <v>#VALUE!</v>
      </c>
      <c r="L202" t="e">
        <f>AND('GA55 Entry'!M780,"AAAAACaNbws=")</f>
        <v>#VALUE!</v>
      </c>
      <c r="M202" t="e">
        <f>AND('GA55 Entry'!N780,"AAAAACaNbww=")</f>
        <v>#VALUE!</v>
      </c>
      <c r="N202" t="e">
        <f>AND('GA55 Entry'!O780,"AAAAACaNbw0=")</f>
        <v>#VALUE!</v>
      </c>
      <c r="O202" t="e">
        <f>AND('GA55 Entry'!P780,"AAAAACaNbw4=")</f>
        <v>#VALUE!</v>
      </c>
      <c r="P202" t="e">
        <f>AND('GA55 Entry'!Q780,"AAAAACaNbw8=")</f>
        <v>#VALUE!</v>
      </c>
      <c r="Q202" t="e">
        <f>AND('GA55 Entry'!S780,"AAAAACaNbxA=")</f>
        <v>#VALUE!</v>
      </c>
      <c r="R202" t="e">
        <f>AND('GA55 Entry'!#REF!,"AAAAACaNbxE=")</f>
        <v>#REF!</v>
      </c>
      <c r="S202" t="e">
        <f>AND('GA55 Entry'!T780,"AAAAACaNbxI=")</f>
        <v>#VALUE!</v>
      </c>
      <c r="T202" t="e">
        <f>AND('GA55 Entry'!U780,"AAAAACaNbxM=")</f>
        <v>#VALUE!</v>
      </c>
      <c r="U202" t="e">
        <f>AND('GA55 Entry'!V780,"AAAAACaNbxQ=")</f>
        <v>#VALUE!</v>
      </c>
      <c r="V202" t="e">
        <f>AND('GA55 Entry'!#REF!,"AAAAACaNbxU=")</f>
        <v>#REF!</v>
      </c>
      <c r="W202" t="e">
        <f>AND('GA55 Entry'!#REF!,"AAAAACaNbxY=")</f>
        <v>#REF!</v>
      </c>
      <c r="X202" t="e">
        <f>AND('GA55 Entry'!X780,"AAAAACaNbxc=")</f>
        <v>#VALUE!</v>
      </c>
      <c r="Y202" t="e">
        <f>AND('GA55 Entry'!Y780,"AAAAACaNbxg=")</f>
        <v>#VALUE!</v>
      </c>
      <c r="Z202" t="e">
        <f>AND('GA55 Entry'!#REF!,"AAAAACaNbxk=")</f>
        <v>#REF!</v>
      </c>
      <c r="AA202" t="e">
        <f>AND('GA55 Entry'!#REF!,"AAAAACaNbxo=")</f>
        <v>#REF!</v>
      </c>
      <c r="AB202" t="e">
        <f>AND('GA55 Entry'!#REF!,"AAAAACaNbxs=")</f>
        <v>#REF!</v>
      </c>
      <c r="AC202" t="e">
        <f>AND('GA55 Entry'!#REF!,"AAAAACaNbxw=")</f>
        <v>#REF!</v>
      </c>
      <c r="AD202" t="e">
        <f>AND('GA55 Entry'!#REF!,"AAAAACaNbx0=")</f>
        <v>#REF!</v>
      </c>
      <c r="AE202" t="e">
        <f>AND('GA55 Entry'!#REF!,"AAAAACaNbx4=")</f>
        <v>#REF!</v>
      </c>
      <c r="AF202" t="e">
        <f>AND('GA55 Entry'!#REF!,"AAAAACaNbx8=")</f>
        <v>#REF!</v>
      </c>
      <c r="AG202" t="e">
        <f>AND('GA55 Entry'!#REF!,"AAAAACaNbyA=")</f>
        <v>#REF!</v>
      </c>
      <c r="AH202" t="e">
        <f>AND('GA55 Entry'!#REF!,"AAAAACaNbyE=")</f>
        <v>#REF!</v>
      </c>
      <c r="AI202" t="e">
        <f>AND('GA55 Entry'!Z780,"AAAAACaNbyI=")</f>
        <v>#VALUE!</v>
      </c>
      <c r="AJ202" t="e">
        <f>AND('GA55 Entry'!AA780,"AAAAACaNbyM=")</f>
        <v>#VALUE!</v>
      </c>
      <c r="AK202" t="e">
        <f>AND('GA55 Entry'!#REF!,"AAAAACaNbyQ=")</f>
        <v>#REF!</v>
      </c>
      <c r="AL202" t="e">
        <f>AND('GA55 Entry'!#REF!,"AAAAACaNbyU=")</f>
        <v>#REF!</v>
      </c>
      <c r="AM202" t="e">
        <f>AND('GA55 Entry'!#REF!,"AAAAACaNbyY=")</f>
        <v>#REF!</v>
      </c>
      <c r="AN202" t="e">
        <f>AND('GA55 Entry'!AB780,"AAAAACaNbyc=")</f>
        <v>#VALUE!</v>
      </c>
      <c r="AO202" t="e">
        <f>AND('GA55 Entry'!AC780,"AAAAACaNbyg=")</f>
        <v>#VALUE!</v>
      </c>
      <c r="AP202" t="e">
        <f>AND('GA55 Entry'!#REF!,"AAAAACaNbyk=")</f>
        <v>#REF!</v>
      </c>
      <c r="AQ202">
        <f>IF('GA55 Entry'!781:781,"AAAAACaNbyo=",0)</f>
        <v>0</v>
      </c>
      <c r="AR202" t="e">
        <f>AND('GA55 Entry'!B781,"AAAAACaNbys=")</f>
        <v>#VALUE!</v>
      </c>
      <c r="AS202" t="e">
        <f>AND('GA55 Entry'!#REF!,"AAAAACaNbyw=")</f>
        <v>#REF!</v>
      </c>
      <c r="AT202" t="e">
        <f>AND('GA55 Entry'!C781,"AAAAACaNby0=")</f>
        <v>#VALUE!</v>
      </c>
      <c r="AU202" t="e">
        <f>AND('GA55 Entry'!#REF!,"AAAAACaNby4=")</f>
        <v>#REF!</v>
      </c>
      <c r="AV202" t="e">
        <f>AND('GA55 Entry'!#REF!,"AAAAACaNby8=")</f>
        <v>#REF!</v>
      </c>
      <c r="AW202" t="e">
        <f>AND('GA55 Entry'!#REF!,"AAAAACaNbzA=")</f>
        <v>#REF!</v>
      </c>
      <c r="AX202" t="e">
        <f>AND('GA55 Entry'!#REF!,"AAAAACaNbzE=")</f>
        <v>#REF!</v>
      </c>
      <c r="AY202" t="e">
        <f>AND('GA55 Entry'!#REF!,"AAAAACaNbzI=")</f>
        <v>#REF!</v>
      </c>
      <c r="AZ202" t="e">
        <f>AND('GA55 Entry'!D781,"AAAAACaNbzM=")</f>
        <v>#VALUE!</v>
      </c>
      <c r="BA202" t="e">
        <f>AND('GA55 Entry'!#REF!,"AAAAACaNbzQ=")</f>
        <v>#REF!</v>
      </c>
      <c r="BB202" t="e">
        <f>AND('GA55 Entry'!E781,"AAAAACaNbzU=")</f>
        <v>#VALUE!</v>
      </c>
      <c r="BC202" t="e">
        <f>AND('GA55 Entry'!F781,"AAAAACaNbzY=")</f>
        <v>#VALUE!</v>
      </c>
      <c r="BD202" t="e">
        <f>AND('GA55 Entry'!G781,"AAAAACaNbzc=")</f>
        <v>#VALUE!</v>
      </c>
      <c r="BE202" t="e">
        <f>AND('GA55 Entry'!H781,"AAAAACaNbzg=")</f>
        <v>#VALUE!</v>
      </c>
      <c r="BF202" t="e">
        <f>AND('GA55 Entry'!I781,"AAAAACaNbzk=")</f>
        <v>#VALUE!</v>
      </c>
      <c r="BG202" t="e">
        <f>AND('GA55 Entry'!J781,"AAAAACaNbzo=")</f>
        <v>#VALUE!</v>
      </c>
      <c r="BH202" t="e">
        <f>AND('GA55 Entry'!#REF!,"AAAAACaNbzs=")</f>
        <v>#REF!</v>
      </c>
      <c r="BI202" t="e">
        <f>AND('GA55 Entry'!K781,"AAAAACaNbzw=")</f>
        <v>#VALUE!</v>
      </c>
      <c r="BJ202" t="e">
        <f>AND('GA55 Entry'!L781,"AAAAACaNbz0=")</f>
        <v>#VALUE!</v>
      </c>
      <c r="BK202" t="e">
        <f>AND('GA55 Entry'!M781,"AAAAACaNbz4=")</f>
        <v>#VALUE!</v>
      </c>
      <c r="BL202" t="e">
        <f>AND('GA55 Entry'!N781,"AAAAACaNbz8=")</f>
        <v>#VALUE!</v>
      </c>
      <c r="BM202" t="e">
        <f>AND('GA55 Entry'!O781,"AAAAACaNb0A=")</f>
        <v>#VALUE!</v>
      </c>
      <c r="BN202" t="e">
        <f>AND('GA55 Entry'!P781,"AAAAACaNb0E=")</f>
        <v>#VALUE!</v>
      </c>
      <c r="BO202" t="e">
        <f>AND('GA55 Entry'!Q781,"AAAAACaNb0I=")</f>
        <v>#VALUE!</v>
      </c>
      <c r="BP202" t="e">
        <f>AND('GA55 Entry'!S781,"AAAAACaNb0M=")</f>
        <v>#VALUE!</v>
      </c>
      <c r="BQ202" t="e">
        <f>AND('GA55 Entry'!#REF!,"AAAAACaNb0Q=")</f>
        <v>#REF!</v>
      </c>
      <c r="BR202" t="e">
        <f>AND('GA55 Entry'!T781,"AAAAACaNb0U=")</f>
        <v>#VALUE!</v>
      </c>
      <c r="BS202" t="e">
        <f>AND('GA55 Entry'!U781,"AAAAACaNb0Y=")</f>
        <v>#VALUE!</v>
      </c>
      <c r="BT202" t="e">
        <f>AND('GA55 Entry'!V781,"AAAAACaNb0c=")</f>
        <v>#VALUE!</v>
      </c>
      <c r="BU202" t="e">
        <f>AND('GA55 Entry'!#REF!,"AAAAACaNb0g=")</f>
        <v>#REF!</v>
      </c>
      <c r="BV202" t="e">
        <f>AND('GA55 Entry'!#REF!,"AAAAACaNb0k=")</f>
        <v>#REF!</v>
      </c>
      <c r="BW202" t="e">
        <f>AND('GA55 Entry'!X781,"AAAAACaNb0o=")</f>
        <v>#VALUE!</v>
      </c>
      <c r="BX202" t="e">
        <f>AND('GA55 Entry'!Y781,"AAAAACaNb0s=")</f>
        <v>#VALUE!</v>
      </c>
      <c r="BY202" t="e">
        <f>AND('GA55 Entry'!#REF!,"AAAAACaNb0w=")</f>
        <v>#REF!</v>
      </c>
      <c r="BZ202" t="e">
        <f>AND('GA55 Entry'!#REF!,"AAAAACaNb00=")</f>
        <v>#REF!</v>
      </c>
      <c r="CA202" t="e">
        <f>AND('GA55 Entry'!#REF!,"AAAAACaNb04=")</f>
        <v>#REF!</v>
      </c>
      <c r="CB202" t="e">
        <f>AND('GA55 Entry'!#REF!,"AAAAACaNb08=")</f>
        <v>#REF!</v>
      </c>
      <c r="CC202" t="e">
        <f>AND('GA55 Entry'!#REF!,"AAAAACaNb1A=")</f>
        <v>#REF!</v>
      </c>
      <c r="CD202" t="e">
        <f>AND('GA55 Entry'!#REF!,"AAAAACaNb1E=")</f>
        <v>#REF!</v>
      </c>
      <c r="CE202" t="e">
        <f>AND('GA55 Entry'!#REF!,"AAAAACaNb1I=")</f>
        <v>#REF!</v>
      </c>
      <c r="CF202" t="e">
        <f>AND('GA55 Entry'!#REF!,"AAAAACaNb1M=")</f>
        <v>#REF!</v>
      </c>
      <c r="CG202" t="e">
        <f>AND('GA55 Entry'!#REF!,"AAAAACaNb1Q=")</f>
        <v>#REF!</v>
      </c>
      <c r="CH202" t="e">
        <f>AND('GA55 Entry'!Z781,"AAAAACaNb1U=")</f>
        <v>#VALUE!</v>
      </c>
      <c r="CI202" t="e">
        <f>AND('GA55 Entry'!AA781,"AAAAACaNb1Y=")</f>
        <v>#VALUE!</v>
      </c>
      <c r="CJ202" t="e">
        <f>AND('GA55 Entry'!#REF!,"AAAAACaNb1c=")</f>
        <v>#REF!</v>
      </c>
      <c r="CK202" t="e">
        <f>AND('GA55 Entry'!#REF!,"AAAAACaNb1g=")</f>
        <v>#REF!</v>
      </c>
      <c r="CL202" t="e">
        <f>AND('GA55 Entry'!#REF!,"AAAAACaNb1k=")</f>
        <v>#REF!</v>
      </c>
      <c r="CM202" t="e">
        <f>AND('GA55 Entry'!AB781,"AAAAACaNb1o=")</f>
        <v>#VALUE!</v>
      </c>
      <c r="CN202" t="e">
        <f>AND('GA55 Entry'!AC781,"AAAAACaNb1s=")</f>
        <v>#VALUE!</v>
      </c>
      <c r="CO202" t="e">
        <f>AND('GA55 Entry'!#REF!,"AAAAACaNb1w=")</f>
        <v>#REF!</v>
      </c>
      <c r="CP202">
        <f>IF('GA55 Entry'!782:782,"AAAAACaNb10=",0)</f>
        <v>0</v>
      </c>
      <c r="CQ202" t="e">
        <f>AND('GA55 Entry'!B782,"AAAAACaNb14=")</f>
        <v>#VALUE!</v>
      </c>
      <c r="CR202" t="e">
        <f>AND('GA55 Entry'!#REF!,"AAAAACaNb18=")</f>
        <v>#REF!</v>
      </c>
      <c r="CS202" t="e">
        <f>AND('GA55 Entry'!C782,"AAAAACaNb2A=")</f>
        <v>#VALUE!</v>
      </c>
      <c r="CT202" t="e">
        <f>AND('GA55 Entry'!#REF!,"AAAAACaNb2E=")</f>
        <v>#REF!</v>
      </c>
      <c r="CU202" t="e">
        <f>AND('GA55 Entry'!#REF!,"AAAAACaNb2I=")</f>
        <v>#REF!</v>
      </c>
      <c r="CV202" t="e">
        <f>AND('GA55 Entry'!#REF!,"AAAAACaNb2M=")</f>
        <v>#REF!</v>
      </c>
      <c r="CW202" t="e">
        <f>AND('GA55 Entry'!#REF!,"AAAAACaNb2Q=")</f>
        <v>#REF!</v>
      </c>
      <c r="CX202" t="e">
        <f>AND('GA55 Entry'!#REF!,"AAAAACaNb2U=")</f>
        <v>#REF!</v>
      </c>
      <c r="CY202" t="e">
        <f>AND('GA55 Entry'!D782,"AAAAACaNb2Y=")</f>
        <v>#VALUE!</v>
      </c>
      <c r="CZ202" t="e">
        <f>AND('GA55 Entry'!#REF!,"AAAAACaNb2c=")</f>
        <v>#REF!</v>
      </c>
      <c r="DA202" t="e">
        <f>AND('GA55 Entry'!E782,"AAAAACaNb2g=")</f>
        <v>#VALUE!</v>
      </c>
      <c r="DB202" t="e">
        <f>AND('GA55 Entry'!F782,"AAAAACaNb2k=")</f>
        <v>#VALUE!</v>
      </c>
      <c r="DC202" t="e">
        <f>AND('GA55 Entry'!G782,"AAAAACaNb2o=")</f>
        <v>#VALUE!</v>
      </c>
      <c r="DD202" t="e">
        <f>AND('GA55 Entry'!H782,"AAAAACaNb2s=")</f>
        <v>#VALUE!</v>
      </c>
      <c r="DE202" t="e">
        <f>AND('GA55 Entry'!I782,"AAAAACaNb2w=")</f>
        <v>#VALUE!</v>
      </c>
      <c r="DF202" t="e">
        <f>AND('GA55 Entry'!J782,"AAAAACaNb20=")</f>
        <v>#VALUE!</v>
      </c>
      <c r="DG202" t="e">
        <f>AND('GA55 Entry'!#REF!,"AAAAACaNb24=")</f>
        <v>#REF!</v>
      </c>
      <c r="DH202" t="e">
        <f>AND('GA55 Entry'!K782,"AAAAACaNb28=")</f>
        <v>#VALUE!</v>
      </c>
      <c r="DI202" t="e">
        <f>AND('GA55 Entry'!L782,"AAAAACaNb3A=")</f>
        <v>#VALUE!</v>
      </c>
      <c r="DJ202" t="e">
        <f>AND('GA55 Entry'!M782,"AAAAACaNb3E=")</f>
        <v>#VALUE!</v>
      </c>
      <c r="DK202" t="e">
        <f>AND('GA55 Entry'!N782,"AAAAACaNb3I=")</f>
        <v>#VALUE!</v>
      </c>
      <c r="DL202" t="e">
        <f>AND('GA55 Entry'!O782,"AAAAACaNb3M=")</f>
        <v>#VALUE!</v>
      </c>
      <c r="DM202" t="e">
        <f>AND('GA55 Entry'!P782,"AAAAACaNb3Q=")</f>
        <v>#VALUE!</v>
      </c>
      <c r="DN202" t="e">
        <f>AND('GA55 Entry'!Q782,"AAAAACaNb3U=")</f>
        <v>#VALUE!</v>
      </c>
      <c r="DO202" t="e">
        <f>AND('GA55 Entry'!S782,"AAAAACaNb3Y=")</f>
        <v>#VALUE!</v>
      </c>
      <c r="DP202" t="e">
        <f>AND('GA55 Entry'!#REF!,"AAAAACaNb3c=")</f>
        <v>#REF!</v>
      </c>
      <c r="DQ202" t="e">
        <f>AND('GA55 Entry'!T782,"AAAAACaNb3g=")</f>
        <v>#VALUE!</v>
      </c>
      <c r="DR202" t="e">
        <f>AND('GA55 Entry'!U782,"AAAAACaNb3k=")</f>
        <v>#VALUE!</v>
      </c>
      <c r="DS202" t="e">
        <f>AND('GA55 Entry'!V782,"AAAAACaNb3o=")</f>
        <v>#VALUE!</v>
      </c>
      <c r="DT202" t="e">
        <f>AND('GA55 Entry'!#REF!,"AAAAACaNb3s=")</f>
        <v>#REF!</v>
      </c>
      <c r="DU202" t="e">
        <f>AND('GA55 Entry'!#REF!,"AAAAACaNb3w=")</f>
        <v>#REF!</v>
      </c>
      <c r="DV202" t="e">
        <f>AND('GA55 Entry'!X782,"AAAAACaNb30=")</f>
        <v>#VALUE!</v>
      </c>
      <c r="DW202" t="e">
        <f>AND('GA55 Entry'!Y782,"AAAAACaNb34=")</f>
        <v>#VALUE!</v>
      </c>
      <c r="DX202" t="e">
        <f>AND('GA55 Entry'!#REF!,"AAAAACaNb38=")</f>
        <v>#REF!</v>
      </c>
      <c r="DY202" t="e">
        <f>AND('GA55 Entry'!#REF!,"AAAAACaNb4A=")</f>
        <v>#REF!</v>
      </c>
      <c r="DZ202" t="e">
        <f>AND('GA55 Entry'!#REF!,"AAAAACaNb4E=")</f>
        <v>#REF!</v>
      </c>
      <c r="EA202" t="e">
        <f>AND('GA55 Entry'!#REF!,"AAAAACaNb4I=")</f>
        <v>#REF!</v>
      </c>
      <c r="EB202" t="e">
        <f>AND('GA55 Entry'!#REF!,"AAAAACaNb4M=")</f>
        <v>#REF!</v>
      </c>
      <c r="EC202" t="e">
        <f>AND('GA55 Entry'!#REF!,"AAAAACaNb4Q=")</f>
        <v>#REF!</v>
      </c>
      <c r="ED202" t="e">
        <f>AND('GA55 Entry'!#REF!,"AAAAACaNb4U=")</f>
        <v>#REF!</v>
      </c>
      <c r="EE202" t="e">
        <f>AND('GA55 Entry'!#REF!,"AAAAACaNb4Y=")</f>
        <v>#REF!</v>
      </c>
      <c r="EF202" t="e">
        <f>AND('GA55 Entry'!#REF!,"AAAAACaNb4c=")</f>
        <v>#REF!</v>
      </c>
      <c r="EG202" t="e">
        <f>AND('GA55 Entry'!Z782,"AAAAACaNb4g=")</f>
        <v>#VALUE!</v>
      </c>
      <c r="EH202" t="e">
        <f>AND('GA55 Entry'!AA782,"AAAAACaNb4k=")</f>
        <v>#VALUE!</v>
      </c>
      <c r="EI202" t="e">
        <f>AND('GA55 Entry'!#REF!,"AAAAACaNb4o=")</f>
        <v>#REF!</v>
      </c>
      <c r="EJ202" t="e">
        <f>AND('GA55 Entry'!#REF!,"AAAAACaNb4s=")</f>
        <v>#REF!</v>
      </c>
      <c r="EK202" t="e">
        <f>AND('GA55 Entry'!#REF!,"AAAAACaNb4w=")</f>
        <v>#REF!</v>
      </c>
      <c r="EL202" t="e">
        <f>AND('GA55 Entry'!AB782,"AAAAACaNb40=")</f>
        <v>#VALUE!</v>
      </c>
      <c r="EM202" t="e">
        <f>AND('GA55 Entry'!AC782,"AAAAACaNb44=")</f>
        <v>#VALUE!</v>
      </c>
      <c r="EN202" t="e">
        <f>AND('GA55 Entry'!#REF!,"AAAAACaNb48=")</f>
        <v>#REF!</v>
      </c>
      <c r="EO202">
        <f>IF('GA55 Entry'!783:783,"AAAAACaNb5A=",0)</f>
        <v>0</v>
      </c>
      <c r="EP202" t="e">
        <f>AND('GA55 Entry'!B783,"AAAAACaNb5E=")</f>
        <v>#VALUE!</v>
      </c>
      <c r="EQ202" t="e">
        <f>AND('GA55 Entry'!#REF!,"AAAAACaNb5I=")</f>
        <v>#REF!</v>
      </c>
      <c r="ER202" t="e">
        <f>AND('GA55 Entry'!C783,"AAAAACaNb5M=")</f>
        <v>#VALUE!</v>
      </c>
      <c r="ES202" t="e">
        <f>AND('GA55 Entry'!#REF!,"AAAAACaNb5Q=")</f>
        <v>#REF!</v>
      </c>
      <c r="ET202" t="e">
        <f>AND('GA55 Entry'!#REF!,"AAAAACaNb5U=")</f>
        <v>#REF!</v>
      </c>
      <c r="EU202" t="e">
        <f>AND('GA55 Entry'!#REF!,"AAAAACaNb5Y=")</f>
        <v>#REF!</v>
      </c>
      <c r="EV202" t="e">
        <f>AND('GA55 Entry'!#REF!,"AAAAACaNb5c=")</f>
        <v>#REF!</v>
      </c>
      <c r="EW202" t="e">
        <f>AND('GA55 Entry'!#REF!,"AAAAACaNb5g=")</f>
        <v>#REF!</v>
      </c>
      <c r="EX202" t="e">
        <f>AND('GA55 Entry'!D783,"AAAAACaNb5k=")</f>
        <v>#VALUE!</v>
      </c>
      <c r="EY202" t="e">
        <f>AND('GA55 Entry'!#REF!,"AAAAACaNb5o=")</f>
        <v>#REF!</v>
      </c>
      <c r="EZ202" t="e">
        <f>AND('GA55 Entry'!E783,"AAAAACaNb5s=")</f>
        <v>#VALUE!</v>
      </c>
      <c r="FA202" t="e">
        <f>AND('GA55 Entry'!F783,"AAAAACaNb5w=")</f>
        <v>#VALUE!</v>
      </c>
      <c r="FB202" t="e">
        <f>AND('GA55 Entry'!G783,"AAAAACaNb50=")</f>
        <v>#VALUE!</v>
      </c>
      <c r="FC202" t="e">
        <f>AND('GA55 Entry'!H783,"AAAAACaNb54=")</f>
        <v>#VALUE!</v>
      </c>
      <c r="FD202" t="e">
        <f>AND('GA55 Entry'!I783,"AAAAACaNb58=")</f>
        <v>#VALUE!</v>
      </c>
      <c r="FE202" t="e">
        <f>AND('GA55 Entry'!J783,"AAAAACaNb6A=")</f>
        <v>#VALUE!</v>
      </c>
      <c r="FF202" t="e">
        <f>AND('GA55 Entry'!#REF!,"AAAAACaNb6E=")</f>
        <v>#REF!</v>
      </c>
      <c r="FG202" t="e">
        <f>AND('GA55 Entry'!K783,"AAAAACaNb6I=")</f>
        <v>#VALUE!</v>
      </c>
      <c r="FH202" t="e">
        <f>AND('GA55 Entry'!L783,"AAAAACaNb6M=")</f>
        <v>#VALUE!</v>
      </c>
      <c r="FI202" t="e">
        <f>AND('GA55 Entry'!M783,"AAAAACaNb6Q=")</f>
        <v>#VALUE!</v>
      </c>
      <c r="FJ202" t="e">
        <f>AND('GA55 Entry'!N783,"AAAAACaNb6U=")</f>
        <v>#VALUE!</v>
      </c>
      <c r="FK202" t="e">
        <f>AND('GA55 Entry'!O783,"AAAAACaNb6Y=")</f>
        <v>#VALUE!</v>
      </c>
      <c r="FL202" t="e">
        <f>AND('GA55 Entry'!P783,"AAAAACaNb6c=")</f>
        <v>#VALUE!</v>
      </c>
      <c r="FM202" t="e">
        <f>AND('GA55 Entry'!Q783,"AAAAACaNb6g=")</f>
        <v>#VALUE!</v>
      </c>
      <c r="FN202" t="e">
        <f>AND('GA55 Entry'!S783,"AAAAACaNb6k=")</f>
        <v>#VALUE!</v>
      </c>
      <c r="FO202" t="e">
        <f>AND('GA55 Entry'!#REF!,"AAAAACaNb6o=")</f>
        <v>#REF!</v>
      </c>
      <c r="FP202" t="e">
        <f>AND('GA55 Entry'!T783,"AAAAACaNb6s=")</f>
        <v>#VALUE!</v>
      </c>
      <c r="FQ202" t="e">
        <f>AND('GA55 Entry'!U783,"AAAAACaNb6w=")</f>
        <v>#VALUE!</v>
      </c>
      <c r="FR202" t="e">
        <f>AND('GA55 Entry'!V783,"AAAAACaNb60=")</f>
        <v>#VALUE!</v>
      </c>
      <c r="FS202" t="e">
        <f>AND('GA55 Entry'!#REF!,"AAAAACaNb64=")</f>
        <v>#REF!</v>
      </c>
      <c r="FT202" t="e">
        <f>AND('GA55 Entry'!#REF!,"AAAAACaNb68=")</f>
        <v>#REF!</v>
      </c>
      <c r="FU202" t="e">
        <f>AND('GA55 Entry'!X783,"AAAAACaNb7A=")</f>
        <v>#VALUE!</v>
      </c>
      <c r="FV202" t="e">
        <f>AND('GA55 Entry'!Y783,"AAAAACaNb7E=")</f>
        <v>#VALUE!</v>
      </c>
      <c r="FW202" t="e">
        <f>AND('GA55 Entry'!#REF!,"AAAAACaNb7I=")</f>
        <v>#REF!</v>
      </c>
      <c r="FX202" t="e">
        <f>AND('GA55 Entry'!#REF!,"AAAAACaNb7M=")</f>
        <v>#REF!</v>
      </c>
      <c r="FY202" t="e">
        <f>AND('GA55 Entry'!#REF!,"AAAAACaNb7Q=")</f>
        <v>#REF!</v>
      </c>
      <c r="FZ202" t="e">
        <f>AND('GA55 Entry'!#REF!,"AAAAACaNb7U=")</f>
        <v>#REF!</v>
      </c>
      <c r="GA202" t="e">
        <f>AND('GA55 Entry'!#REF!,"AAAAACaNb7Y=")</f>
        <v>#REF!</v>
      </c>
      <c r="GB202" t="e">
        <f>AND('GA55 Entry'!#REF!,"AAAAACaNb7c=")</f>
        <v>#REF!</v>
      </c>
      <c r="GC202" t="e">
        <f>AND('GA55 Entry'!#REF!,"AAAAACaNb7g=")</f>
        <v>#REF!</v>
      </c>
      <c r="GD202" t="e">
        <f>AND('GA55 Entry'!#REF!,"AAAAACaNb7k=")</f>
        <v>#REF!</v>
      </c>
      <c r="GE202" t="e">
        <f>AND('GA55 Entry'!#REF!,"AAAAACaNb7o=")</f>
        <v>#REF!</v>
      </c>
      <c r="GF202" t="e">
        <f>AND('GA55 Entry'!Z783,"AAAAACaNb7s=")</f>
        <v>#VALUE!</v>
      </c>
      <c r="GG202" t="e">
        <f>AND('GA55 Entry'!AA783,"AAAAACaNb7w=")</f>
        <v>#VALUE!</v>
      </c>
      <c r="GH202" t="e">
        <f>AND('GA55 Entry'!#REF!,"AAAAACaNb70=")</f>
        <v>#REF!</v>
      </c>
      <c r="GI202" t="e">
        <f>AND('GA55 Entry'!#REF!,"AAAAACaNb74=")</f>
        <v>#REF!</v>
      </c>
      <c r="GJ202" t="e">
        <f>AND('GA55 Entry'!#REF!,"AAAAACaNb78=")</f>
        <v>#REF!</v>
      </c>
      <c r="GK202" t="e">
        <f>AND('GA55 Entry'!AB783,"AAAAACaNb8A=")</f>
        <v>#VALUE!</v>
      </c>
      <c r="GL202" t="e">
        <f>AND('GA55 Entry'!AC783,"AAAAACaNb8E=")</f>
        <v>#VALUE!</v>
      </c>
      <c r="GM202" t="e">
        <f>AND('GA55 Entry'!#REF!,"AAAAACaNb8I=")</f>
        <v>#REF!</v>
      </c>
      <c r="GN202">
        <f>IF('GA55 Entry'!784:784,"AAAAACaNb8M=",0)</f>
        <v>0</v>
      </c>
      <c r="GO202" t="e">
        <f>AND('GA55 Entry'!B784,"AAAAACaNb8Q=")</f>
        <v>#VALUE!</v>
      </c>
      <c r="GP202" t="e">
        <f>AND('GA55 Entry'!#REF!,"AAAAACaNb8U=")</f>
        <v>#REF!</v>
      </c>
      <c r="GQ202" t="e">
        <f>AND('GA55 Entry'!C784,"AAAAACaNb8Y=")</f>
        <v>#VALUE!</v>
      </c>
      <c r="GR202" t="e">
        <f>AND('GA55 Entry'!#REF!,"AAAAACaNb8c=")</f>
        <v>#REF!</v>
      </c>
      <c r="GS202" t="e">
        <f>AND('GA55 Entry'!#REF!,"AAAAACaNb8g=")</f>
        <v>#REF!</v>
      </c>
      <c r="GT202" t="e">
        <f>AND('GA55 Entry'!#REF!,"AAAAACaNb8k=")</f>
        <v>#REF!</v>
      </c>
      <c r="GU202" t="e">
        <f>AND('GA55 Entry'!#REF!,"AAAAACaNb8o=")</f>
        <v>#REF!</v>
      </c>
      <c r="GV202" t="e">
        <f>AND('GA55 Entry'!#REF!,"AAAAACaNb8s=")</f>
        <v>#REF!</v>
      </c>
      <c r="GW202" t="e">
        <f>AND('GA55 Entry'!D784,"AAAAACaNb8w=")</f>
        <v>#VALUE!</v>
      </c>
      <c r="GX202" t="e">
        <f>AND('GA55 Entry'!#REF!,"AAAAACaNb80=")</f>
        <v>#REF!</v>
      </c>
      <c r="GY202" t="e">
        <f>AND('GA55 Entry'!E784,"AAAAACaNb84=")</f>
        <v>#VALUE!</v>
      </c>
      <c r="GZ202" t="e">
        <f>AND('GA55 Entry'!F784,"AAAAACaNb88=")</f>
        <v>#VALUE!</v>
      </c>
      <c r="HA202" t="e">
        <f>AND('GA55 Entry'!G784,"AAAAACaNb9A=")</f>
        <v>#VALUE!</v>
      </c>
      <c r="HB202" t="e">
        <f>AND('GA55 Entry'!H784,"AAAAACaNb9E=")</f>
        <v>#VALUE!</v>
      </c>
      <c r="HC202" t="e">
        <f>AND('GA55 Entry'!I784,"AAAAACaNb9I=")</f>
        <v>#VALUE!</v>
      </c>
      <c r="HD202" t="e">
        <f>AND('GA55 Entry'!J784,"AAAAACaNb9M=")</f>
        <v>#VALUE!</v>
      </c>
      <c r="HE202" t="e">
        <f>AND('GA55 Entry'!#REF!,"AAAAACaNb9Q=")</f>
        <v>#REF!</v>
      </c>
      <c r="HF202" t="e">
        <f>AND('GA55 Entry'!K784,"AAAAACaNb9U=")</f>
        <v>#VALUE!</v>
      </c>
      <c r="HG202" t="e">
        <f>AND('GA55 Entry'!L784,"AAAAACaNb9Y=")</f>
        <v>#VALUE!</v>
      </c>
      <c r="HH202" t="e">
        <f>AND('GA55 Entry'!M784,"AAAAACaNb9c=")</f>
        <v>#VALUE!</v>
      </c>
      <c r="HI202" t="e">
        <f>AND('GA55 Entry'!N784,"AAAAACaNb9g=")</f>
        <v>#VALUE!</v>
      </c>
      <c r="HJ202" t="e">
        <f>AND('GA55 Entry'!O784,"AAAAACaNb9k=")</f>
        <v>#VALUE!</v>
      </c>
      <c r="HK202" t="e">
        <f>AND('GA55 Entry'!P784,"AAAAACaNb9o=")</f>
        <v>#VALUE!</v>
      </c>
      <c r="HL202" t="e">
        <f>AND('GA55 Entry'!Q784,"AAAAACaNb9s=")</f>
        <v>#VALUE!</v>
      </c>
      <c r="HM202" t="e">
        <f>AND('GA55 Entry'!S784,"AAAAACaNb9w=")</f>
        <v>#VALUE!</v>
      </c>
      <c r="HN202" t="e">
        <f>AND('GA55 Entry'!#REF!,"AAAAACaNb90=")</f>
        <v>#REF!</v>
      </c>
      <c r="HO202" t="e">
        <f>AND('GA55 Entry'!T784,"AAAAACaNb94=")</f>
        <v>#VALUE!</v>
      </c>
      <c r="HP202" t="e">
        <f>AND('GA55 Entry'!U784,"AAAAACaNb98=")</f>
        <v>#VALUE!</v>
      </c>
      <c r="HQ202" t="e">
        <f>AND('GA55 Entry'!V784,"AAAAACaNb+A=")</f>
        <v>#VALUE!</v>
      </c>
      <c r="HR202" t="e">
        <f>AND('GA55 Entry'!#REF!,"AAAAACaNb+E=")</f>
        <v>#REF!</v>
      </c>
      <c r="HS202" t="e">
        <f>AND('GA55 Entry'!#REF!,"AAAAACaNb+I=")</f>
        <v>#REF!</v>
      </c>
      <c r="HT202" t="e">
        <f>AND('GA55 Entry'!X784,"AAAAACaNb+M=")</f>
        <v>#VALUE!</v>
      </c>
      <c r="HU202" t="e">
        <f>AND('GA55 Entry'!Y784,"AAAAACaNb+Q=")</f>
        <v>#VALUE!</v>
      </c>
      <c r="HV202" t="e">
        <f>AND('GA55 Entry'!#REF!,"AAAAACaNb+U=")</f>
        <v>#REF!</v>
      </c>
      <c r="HW202" t="e">
        <f>AND('GA55 Entry'!#REF!,"AAAAACaNb+Y=")</f>
        <v>#REF!</v>
      </c>
      <c r="HX202" t="e">
        <f>AND('GA55 Entry'!#REF!,"AAAAACaNb+c=")</f>
        <v>#REF!</v>
      </c>
      <c r="HY202" t="e">
        <f>AND('GA55 Entry'!#REF!,"AAAAACaNb+g=")</f>
        <v>#REF!</v>
      </c>
      <c r="HZ202" t="e">
        <f>AND('GA55 Entry'!#REF!,"AAAAACaNb+k=")</f>
        <v>#REF!</v>
      </c>
      <c r="IA202" t="e">
        <f>AND('GA55 Entry'!#REF!,"AAAAACaNb+o=")</f>
        <v>#REF!</v>
      </c>
      <c r="IB202" t="e">
        <f>AND('GA55 Entry'!#REF!,"AAAAACaNb+s=")</f>
        <v>#REF!</v>
      </c>
      <c r="IC202" t="e">
        <f>AND('GA55 Entry'!#REF!,"AAAAACaNb+w=")</f>
        <v>#REF!</v>
      </c>
      <c r="ID202" t="e">
        <f>AND('GA55 Entry'!#REF!,"AAAAACaNb+0=")</f>
        <v>#REF!</v>
      </c>
      <c r="IE202" t="e">
        <f>AND('GA55 Entry'!Z784,"AAAAACaNb+4=")</f>
        <v>#VALUE!</v>
      </c>
      <c r="IF202" t="e">
        <f>AND('GA55 Entry'!AA784,"AAAAACaNb+8=")</f>
        <v>#VALUE!</v>
      </c>
      <c r="IG202" t="e">
        <f>AND('GA55 Entry'!#REF!,"AAAAACaNb/A=")</f>
        <v>#REF!</v>
      </c>
      <c r="IH202" t="e">
        <f>AND('GA55 Entry'!#REF!,"AAAAACaNb/E=")</f>
        <v>#REF!</v>
      </c>
      <c r="II202" t="e">
        <f>AND('GA55 Entry'!#REF!,"AAAAACaNb/I=")</f>
        <v>#REF!</v>
      </c>
      <c r="IJ202" t="e">
        <f>AND('GA55 Entry'!AB784,"AAAAACaNb/M=")</f>
        <v>#VALUE!</v>
      </c>
      <c r="IK202" t="e">
        <f>AND('GA55 Entry'!AC784,"AAAAACaNb/Q=")</f>
        <v>#VALUE!</v>
      </c>
      <c r="IL202" t="e">
        <f>AND('GA55 Entry'!#REF!,"AAAAACaNb/U=")</f>
        <v>#REF!</v>
      </c>
      <c r="IM202">
        <f>IF('GA55 Entry'!785:785,"AAAAACaNb/Y=",0)</f>
        <v>0</v>
      </c>
      <c r="IN202" t="e">
        <f>AND('GA55 Entry'!B785,"AAAAACaNb/c=")</f>
        <v>#VALUE!</v>
      </c>
      <c r="IO202" t="e">
        <f>AND('GA55 Entry'!#REF!,"AAAAACaNb/g=")</f>
        <v>#REF!</v>
      </c>
      <c r="IP202" t="e">
        <f>AND('GA55 Entry'!C785,"AAAAACaNb/k=")</f>
        <v>#VALUE!</v>
      </c>
      <c r="IQ202" t="e">
        <f>AND('GA55 Entry'!#REF!,"AAAAACaNb/o=")</f>
        <v>#REF!</v>
      </c>
      <c r="IR202" t="e">
        <f>AND('GA55 Entry'!#REF!,"AAAAACaNb/s=")</f>
        <v>#REF!</v>
      </c>
      <c r="IS202" t="e">
        <f>AND('GA55 Entry'!#REF!,"AAAAACaNb/w=")</f>
        <v>#REF!</v>
      </c>
      <c r="IT202" t="e">
        <f>AND('GA55 Entry'!#REF!,"AAAAACaNb/0=")</f>
        <v>#REF!</v>
      </c>
      <c r="IU202" t="e">
        <f>AND('GA55 Entry'!#REF!,"AAAAACaNb/4=")</f>
        <v>#REF!</v>
      </c>
      <c r="IV202" t="e">
        <f>AND('GA55 Entry'!D785,"AAAAACaNb/8=")</f>
        <v>#VALUE!</v>
      </c>
    </row>
    <row r="203" spans="1:256">
      <c r="A203" t="e">
        <f>AND('GA55 Entry'!#REF!,"AAAAAHuXnwA=")</f>
        <v>#REF!</v>
      </c>
      <c r="B203" t="e">
        <f>AND('GA55 Entry'!E785,"AAAAAHuXnwE=")</f>
        <v>#VALUE!</v>
      </c>
      <c r="C203" t="e">
        <f>AND('GA55 Entry'!F785,"AAAAAHuXnwI=")</f>
        <v>#VALUE!</v>
      </c>
      <c r="D203" t="e">
        <f>AND('GA55 Entry'!G785,"AAAAAHuXnwM=")</f>
        <v>#VALUE!</v>
      </c>
      <c r="E203" t="e">
        <f>AND('GA55 Entry'!H785,"AAAAAHuXnwQ=")</f>
        <v>#VALUE!</v>
      </c>
      <c r="F203" t="e">
        <f>AND('GA55 Entry'!I785,"AAAAAHuXnwU=")</f>
        <v>#VALUE!</v>
      </c>
      <c r="G203" t="e">
        <f>AND('GA55 Entry'!J785,"AAAAAHuXnwY=")</f>
        <v>#VALUE!</v>
      </c>
      <c r="H203" t="e">
        <f>AND('GA55 Entry'!#REF!,"AAAAAHuXnwc=")</f>
        <v>#REF!</v>
      </c>
      <c r="I203" t="e">
        <f>AND('GA55 Entry'!K785,"AAAAAHuXnwg=")</f>
        <v>#VALUE!</v>
      </c>
      <c r="J203" t="e">
        <f>AND('GA55 Entry'!L785,"AAAAAHuXnwk=")</f>
        <v>#VALUE!</v>
      </c>
      <c r="K203" t="e">
        <f>AND('GA55 Entry'!M785,"AAAAAHuXnwo=")</f>
        <v>#VALUE!</v>
      </c>
      <c r="L203" t="e">
        <f>AND('GA55 Entry'!N785,"AAAAAHuXnws=")</f>
        <v>#VALUE!</v>
      </c>
      <c r="M203" t="e">
        <f>AND('GA55 Entry'!O785,"AAAAAHuXnww=")</f>
        <v>#VALUE!</v>
      </c>
      <c r="N203" t="e">
        <f>AND('GA55 Entry'!P785,"AAAAAHuXnw0=")</f>
        <v>#VALUE!</v>
      </c>
      <c r="O203" t="e">
        <f>AND('GA55 Entry'!Q785,"AAAAAHuXnw4=")</f>
        <v>#VALUE!</v>
      </c>
      <c r="P203" t="e">
        <f>AND('GA55 Entry'!S785,"AAAAAHuXnw8=")</f>
        <v>#VALUE!</v>
      </c>
      <c r="Q203" t="e">
        <f>AND('GA55 Entry'!#REF!,"AAAAAHuXnxA=")</f>
        <v>#REF!</v>
      </c>
      <c r="R203" t="e">
        <f>AND('GA55 Entry'!T785,"AAAAAHuXnxE=")</f>
        <v>#VALUE!</v>
      </c>
      <c r="S203" t="e">
        <f>AND('GA55 Entry'!U785,"AAAAAHuXnxI=")</f>
        <v>#VALUE!</v>
      </c>
      <c r="T203" t="e">
        <f>AND('GA55 Entry'!V785,"AAAAAHuXnxM=")</f>
        <v>#VALUE!</v>
      </c>
      <c r="U203" t="e">
        <f>AND('GA55 Entry'!#REF!,"AAAAAHuXnxQ=")</f>
        <v>#REF!</v>
      </c>
      <c r="V203" t="e">
        <f>AND('GA55 Entry'!#REF!,"AAAAAHuXnxU=")</f>
        <v>#REF!</v>
      </c>
      <c r="W203" t="e">
        <f>AND('GA55 Entry'!X785,"AAAAAHuXnxY=")</f>
        <v>#VALUE!</v>
      </c>
      <c r="X203" t="e">
        <f>AND('GA55 Entry'!Y785,"AAAAAHuXnxc=")</f>
        <v>#VALUE!</v>
      </c>
      <c r="Y203" t="e">
        <f>AND('GA55 Entry'!#REF!,"AAAAAHuXnxg=")</f>
        <v>#REF!</v>
      </c>
      <c r="Z203" t="e">
        <f>AND('GA55 Entry'!#REF!,"AAAAAHuXnxk=")</f>
        <v>#REF!</v>
      </c>
      <c r="AA203" t="e">
        <f>AND('GA55 Entry'!#REF!,"AAAAAHuXnxo=")</f>
        <v>#REF!</v>
      </c>
      <c r="AB203" t="e">
        <f>AND('GA55 Entry'!#REF!,"AAAAAHuXnxs=")</f>
        <v>#REF!</v>
      </c>
      <c r="AC203" t="e">
        <f>AND('GA55 Entry'!#REF!,"AAAAAHuXnxw=")</f>
        <v>#REF!</v>
      </c>
      <c r="AD203" t="e">
        <f>AND('GA55 Entry'!#REF!,"AAAAAHuXnx0=")</f>
        <v>#REF!</v>
      </c>
      <c r="AE203" t="e">
        <f>AND('GA55 Entry'!#REF!,"AAAAAHuXnx4=")</f>
        <v>#REF!</v>
      </c>
      <c r="AF203" t="e">
        <f>AND('GA55 Entry'!#REF!,"AAAAAHuXnx8=")</f>
        <v>#REF!</v>
      </c>
      <c r="AG203" t="e">
        <f>AND('GA55 Entry'!#REF!,"AAAAAHuXnyA=")</f>
        <v>#REF!</v>
      </c>
      <c r="AH203" t="e">
        <f>AND('GA55 Entry'!Z785,"AAAAAHuXnyE=")</f>
        <v>#VALUE!</v>
      </c>
      <c r="AI203" t="e">
        <f>AND('GA55 Entry'!AA785,"AAAAAHuXnyI=")</f>
        <v>#VALUE!</v>
      </c>
      <c r="AJ203" t="e">
        <f>AND('GA55 Entry'!#REF!,"AAAAAHuXnyM=")</f>
        <v>#REF!</v>
      </c>
      <c r="AK203" t="e">
        <f>AND('GA55 Entry'!#REF!,"AAAAAHuXnyQ=")</f>
        <v>#REF!</v>
      </c>
      <c r="AL203" t="e">
        <f>AND('GA55 Entry'!#REF!,"AAAAAHuXnyU=")</f>
        <v>#REF!</v>
      </c>
      <c r="AM203" t="e">
        <f>AND('GA55 Entry'!AB785,"AAAAAHuXnyY=")</f>
        <v>#VALUE!</v>
      </c>
      <c r="AN203" t="e">
        <f>AND('GA55 Entry'!AC785,"AAAAAHuXnyc=")</f>
        <v>#VALUE!</v>
      </c>
      <c r="AO203" t="e">
        <f>AND('GA55 Entry'!#REF!,"AAAAAHuXnyg=")</f>
        <v>#REF!</v>
      </c>
      <c r="AP203">
        <f>IF('GA55 Entry'!786:786,"AAAAAHuXnyk=",0)</f>
        <v>0</v>
      </c>
      <c r="AQ203" t="e">
        <f>AND('GA55 Entry'!B786,"AAAAAHuXnyo=")</f>
        <v>#VALUE!</v>
      </c>
      <c r="AR203" t="e">
        <f>AND('GA55 Entry'!#REF!,"AAAAAHuXnys=")</f>
        <v>#REF!</v>
      </c>
      <c r="AS203" t="e">
        <f>AND('GA55 Entry'!C786,"AAAAAHuXnyw=")</f>
        <v>#VALUE!</v>
      </c>
      <c r="AT203" t="e">
        <f>AND('GA55 Entry'!#REF!,"AAAAAHuXny0=")</f>
        <v>#REF!</v>
      </c>
      <c r="AU203" t="e">
        <f>AND('GA55 Entry'!#REF!,"AAAAAHuXny4=")</f>
        <v>#REF!</v>
      </c>
      <c r="AV203" t="e">
        <f>AND('GA55 Entry'!#REF!,"AAAAAHuXny8=")</f>
        <v>#REF!</v>
      </c>
      <c r="AW203" t="e">
        <f>AND('GA55 Entry'!#REF!,"AAAAAHuXnzA=")</f>
        <v>#REF!</v>
      </c>
      <c r="AX203" t="e">
        <f>AND('GA55 Entry'!#REF!,"AAAAAHuXnzE=")</f>
        <v>#REF!</v>
      </c>
      <c r="AY203" t="e">
        <f>AND('GA55 Entry'!D786,"AAAAAHuXnzI=")</f>
        <v>#VALUE!</v>
      </c>
      <c r="AZ203" t="e">
        <f>AND('GA55 Entry'!#REF!,"AAAAAHuXnzM=")</f>
        <v>#REF!</v>
      </c>
      <c r="BA203" t="e">
        <f>AND('GA55 Entry'!E786,"AAAAAHuXnzQ=")</f>
        <v>#VALUE!</v>
      </c>
      <c r="BB203" t="e">
        <f>AND('GA55 Entry'!F786,"AAAAAHuXnzU=")</f>
        <v>#VALUE!</v>
      </c>
      <c r="BC203" t="e">
        <f>AND('GA55 Entry'!G786,"AAAAAHuXnzY=")</f>
        <v>#VALUE!</v>
      </c>
      <c r="BD203" t="e">
        <f>AND('GA55 Entry'!H786,"AAAAAHuXnzc=")</f>
        <v>#VALUE!</v>
      </c>
      <c r="BE203" t="e">
        <f>AND('GA55 Entry'!I786,"AAAAAHuXnzg=")</f>
        <v>#VALUE!</v>
      </c>
      <c r="BF203" t="e">
        <f>AND('GA55 Entry'!J786,"AAAAAHuXnzk=")</f>
        <v>#VALUE!</v>
      </c>
      <c r="BG203" t="e">
        <f>AND('GA55 Entry'!#REF!,"AAAAAHuXnzo=")</f>
        <v>#REF!</v>
      </c>
      <c r="BH203" t="e">
        <f>AND('GA55 Entry'!K786,"AAAAAHuXnzs=")</f>
        <v>#VALUE!</v>
      </c>
      <c r="BI203" t="e">
        <f>AND('GA55 Entry'!L786,"AAAAAHuXnzw=")</f>
        <v>#VALUE!</v>
      </c>
      <c r="BJ203" t="e">
        <f>AND('GA55 Entry'!M786,"AAAAAHuXnz0=")</f>
        <v>#VALUE!</v>
      </c>
      <c r="BK203" t="e">
        <f>AND('GA55 Entry'!N786,"AAAAAHuXnz4=")</f>
        <v>#VALUE!</v>
      </c>
      <c r="BL203" t="e">
        <f>AND('GA55 Entry'!O786,"AAAAAHuXnz8=")</f>
        <v>#VALUE!</v>
      </c>
      <c r="BM203" t="e">
        <f>AND('GA55 Entry'!P786,"AAAAAHuXn0A=")</f>
        <v>#VALUE!</v>
      </c>
      <c r="BN203" t="e">
        <f>AND('GA55 Entry'!Q786,"AAAAAHuXn0E=")</f>
        <v>#VALUE!</v>
      </c>
      <c r="BO203" t="e">
        <f>AND('GA55 Entry'!S786,"AAAAAHuXn0I=")</f>
        <v>#VALUE!</v>
      </c>
      <c r="BP203" t="e">
        <f>AND('GA55 Entry'!#REF!,"AAAAAHuXn0M=")</f>
        <v>#REF!</v>
      </c>
      <c r="BQ203" t="e">
        <f>AND('GA55 Entry'!T786,"AAAAAHuXn0Q=")</f>
        <v>#VALUE!</v>
      </c>
      <c r="BR203" t="e">
        <f>AND('GA55 Entry'!U786,"AAAAAHuXn0U=")</f>
        <v>#VALUE!</v>
      </c>
      <c r="BS203" t="e">
        <f>AND('GA55 Entry'!V786,"AAAAAHuXn0Y=")</f>
        <v>#VALUE!</v>
      </c>
      <c r="BT203" t="e">
        <f>AND('GA55 Entry'!#REF!,"AAAAAHuXn0c=")</f>
        <v>#REF!</v>
      </c>
      <c r="BU203" t="e">
        <f>AND('GA55 Entry'!#REF!,"AAAAAHuXn0g=")</f>
        <v>#REF!</v>
      </c>
      <c r="BV203" t="e">
        <f>AND('GA55 Entry'!X786,"AAAAAHuXn0k=")</f>
        <v>#VALUE!</v>
      </c>
      <c r="BW203" t="e">
        <f>AND('GA55 Entry'!Y786,"AAAAAHuXn0o=")</f>
        <v>#VALUE!</v>
      </c>
      <c r="BX203" t="e">
        <f>AND('GA55 Entry'!#REF!,"AAAAAHuXn0s=")</f>
        <v>#REF!</v>
      </c>
      <c r="BY203" t="e">
        <f>AND('GA55 Entry'!#REF!,"AAAAAHuXn0w=")</f>
        <v>#REF!</v>
      </c>
      <c r="BZ203" t="e">
        <f>AND('GA55 Entry'!#REF!,"AAAAAHuXn00=")</f>
        <v>#REF!</v>
      </c>
      <c r="CA203" t="e">
        <f>AND('GA55 Entry'!#REF!,"AAAAAHuXn04=")</f>
        <v>#REF!</v>
      </c>
      <c r="CB203" t="e">
        <f>AND('GA55 Entry'!#REF!,"AAAAAHuXn08=")</f>
        <v>#REF!</v>
      </c>
      <c r="CC203" t="e">
        <f>AND('GA55 Entry'!#REF!,"AAAAAHuXn1A=")</f>
        <v>#REF!</v>
      </c>
      <c r="CD203" t="e">
        <f>AND('GA55 Entry'!#REF!,"AAAAAHuXn1E=")</f>
        <v>#REF!</v>
      </c>
      <c r="CE203" t="e">
        <f>AND('GA55 Entry'!#REF!,"AAAAAHuXn1I=")</f>
        <v>#REF!</v>
      </c>
      <c r="CF203" t="e">
        <f>AND('GA55 Entry'!#REF!,"AAAAAHuXn1M=")</f>
        <v>#REF!</v>
      </c>
      <c r="CG203" t="e">
        <f>AND('GA55 Entry'!Z786,"AAAAAHuXn1Q=")</f>
        <v>#VALUE!</v>
      </c>
      <c r="CH203" t="e">
        <f>AND('GA55 Entry'!AA786,"AAAAAHuXn1U=")</f>
        <v>#VALUE!</v>
      </c>
      <c r="CI203" t="e">
        <f>AND('GA55 Entry'!#REF!,"AAAAAHuXn1Y=")</f>
        <v>#REF!</v>
      </c>
      <c r="CJ203" t="e">
        <f>AND('GA55 Entry'!#REF!,"AAAAAHuXn1c=")</f>
        <v>#REF!</v>
      </c>
      <c r="CK203" t="e">
        <f>AND('GA55 Entry'!#REF!,"AAAAAHuXn1g=")</f>
        <v>#REF!</v>
      </c>
      <c r="CL203" t="e">
        <f>AND('GA55 Entry'!AB786,"AAAAAHuXn1k=")</f>
        <v>#VALUE!</v>
      </c>
      <c r="CM203" t="e">
        <f>AND('GA55 Entry'!AC786,"AAAAAHuXn1o=")</f>
        <v>#VALUE!</v>
      </c>
      <c r="CN203" t="e">
        <f>AND('GA55 Entry'!#REF!,"AAAAAHuXn1s=")</f>
        <v>#REF!</v>
      </c>
      <c r="CO203">
        <f>IF('GA55 Entry'!787:787,"AAAAAHuXn1w=",0)</f>
        <v>0</v>
      </c>
      <c r="CP203" t="e">
        <f>AND('GA55 Entry'!B787,"AAAAAHuXn10=")</f>
        <v>#VALUE!</v>
      </c>
      <c r="CQ203" t="e">
        <f>AND('GA55 Entry'!#REF!,"AAAAAHuXn14=")</f>
        <v>#REF!</v>
      </c>
      <c r="CR203" t="e">
        <f>AND('GA55 Entry'!C787,"AAAAAHuXn18=")</f>
        <v>#VALUE!</v>
      </c>
      <c r="CS203" t="e">
        <f>AND('GA55 Entry'!#REF!,"AAAAAHuXn2A=")</f>
        <v>#REF!</v>
      </c>
      <c r="CT203" t="e">
        <f>AND('GA55 Entry'!#REF!,"AAAAAHuXn2E=")</f>
        <v>#REF!</v>
      </c>
      <c r="CU203" t="e">
        <f>AND('GA55 Entry'!#REF!,"AAAAAHuXn2I=")</f>
        <v>#REF!</v>
      </c>
      <c r="CV203" t="e">
        <f>AND('GA55 Entry'!#REF!,"AAAAAHuXn2M=")</f>
        <v>#REF!</v>
      </c>
      <c r="CW203" t="e">
        <f>AND('GA55 Entry'!#REF!,"AAAAAHuXn2Q=")</f>
        <v>#REF!</v>
      </c>
      <c r="CX203" t="e">
        <f>AND('GA55 Entry'!D787,"AAAAAHuXn2U=")</f>
        <v>#VALUE!</v>
      </c>
      <c r="CY203" t="e">
        <f>AND('GA55 Entry'!#REF!,"AAAAAHuXn2Y=")</f>
        <v>#REF!</v>
      </c>
      <c r="CZ203" t="e">
        <f>AND('GA55 Entry'!E787,"AAAAAHuXn2c=")</f>
        <v>#VALUE!</v>
      </c>
      <c r="DA203" t="e">
        <f>AND('GA55 Entry'!F787,"AAAAAHuXn2g=")</f>
        <v>#VALUE!</v>
      </c>
      <c r="DB203" t="e">
        <f>AND('GA55 Entry'!G787,"AAAAAHuXn2k=")</f>
        <v>#VALUE!</v>
      </c>
      <c r="DC203" t="e">
        <f>AND('GA55 Entry'!H787,"AAAAAHuXn2o=")</f>
        <v>#VALUE!</v>
      </c>
      <c r="DD203" t="e">
        <f>AND('GA55 Entry'!I787,"AAAAAHuXn2s=")</f>
        <v>#VALUE!</v>
      </c>
      <c r="DE203" t="e">
        <f>AND('GA55 Entry'!J787,"AAAAAHuXn2w=")</f>
        <v>#VALUE!</v>
      </c>
      <c r="DF203" t="e">
        <f>AND('GA55 Entry'!#REF!,"AAAAAHuXn20=")</f>
        <v>#REF!</v>
      </c>
      <c r="DG203" t="e">
        <f>AND('GA55 Entry'!K787,"AAAAAHuXn24=")</f>
        <v>#VALUE!</v>
      </c>
      <c r="DH203" t="e">
        <f>AND('GA55 Entry'!L787,"AAAAAHuXn28=")</f>
        <v>#VALUE!</v>
      </c>
      <c r="DI203" t="e">
        <f>AND('GA55 Entry'!M787,"AAAAAHuXn3A=")</f>
        <v>#VALUE!</v>
      </c>
      <c r="DJ203" t="e">
        <f>AND('GA55 Entry'!N787,"AAAAAHuXn3E=")</f>
        <v>#VALUE!</v>
      </c>
      <c r="DK203" t="e">
        <f>AND('GA55 Entry'!O787,"AAAAAHuXn3I=")</f>
        <v>#VALUE!</v>
      </c>
      <c r="DL203" t="e">
        <f>AND('GA55 Entry'!P787,"AAAAAHuXn3M=")</f>
        <v>#VALUE!</v>
      </c>
      <c r="DM203" t="e">
        <f>AND('GA55 Entry'!Q787,"AAAAAHuXn3Q=")</f>
        <v>#VALUE!</v>
      </c>
      <c r="DN203" t="e">
        <f>AND('GA55 Entry'!S787,"AAAAAHuXn3U=")</f>
        <v>#VALUE!</v>
      </c>
      <c r="DO203" t="e">
        <f>AND('GA55 Entry'!#REF!,"AAAAAHuXn3Y=")</f>
        <v>#REF!</v>
      </c>
      <c r="DP203" t="e">
        <f>AND('GA55 Entry'!T787,"AAAAAHuXn3c=")</f>
        <v>#VALUE!</v>
      </c>
      <c r="DQ203" t="e">
        <f>AND('GA55 Entry'!U787,"AAAAAHuXn3g=")</f>
        <v>#VALUE!</v>
      </c>
      <c r="DR203" t="e">
        <f>AND('GA55 Entry'!V787,"AAAAAHuXn3k=")</f>
        <v>#VALUE!</v>
      </c>
      <c r="DS203" t="e">
        <f>AND('GA55 Entry'!#REF!,"AAAAAHuXn3o=")</f>
        <v>#REF!</v>
      </c>
      <c r="DT203" t="e">
        <f>AND('GA55 Entry'!#REF!,"AAAAAHuXn3s=")</f>
        <v>#REF!</v>
      </c>
      <c r="DU203" t="e">
        <f>AND('GA55 Entry'!X787,"AAAAAHuXn3w=")</f>
        <v>#VALUE!</v>
      </c>
      <c r="DV203" t="e">
        <f>AND('GA55 Entry'!Y787,"AAAAAHuXn30=")</f>
        <v>#VALUE!</v>
      </c>
      <c r="DW203" t="e">
        <f>AND('GA55 Entry'!#REF!,"AAAAAHuXn34=")</f>
        <v>#REF!</v>
      </c>
      <c r="DX203" t="e">
        <f>AND('GA55 Entry'!#REF!,"AAAAAHuXn38=")</f>
        <v>#REF!</v>
      </c>
      <c r="DY203" t="e">
        <f>AND('GA55 Entry'!#REF!,"AAAAAHuXn4A=")</f>
        <v>#REF!</v>
      </c>
      <c r="DZ203" t="e">
        <f>AND('GA55 Entry'!#REF!,"AAAAAHuXn4E=")</f>
        <v>#REF!</v>
      </c>
      <c r="EA203" t="e">
        <f>AND('GA55 Entry'!#REF!,"AAAAAHuXn4I=")</f>
        <v>#REF!</v>
      </c>
      <c r="EB203" t="e">
        <f>AND('GA55 Entry'!#REF!,"AAAAAHuXn4M=")</f>
        <v>#REF!</v>
      </c>
      <c r="EC203" t="e">
        <f>AND('GA55 Entry'!#REF!,"AAAAAHuXn4Q=")</f>
        <v>#REF!</v>
      </c>
      <c r="ED203" t="e">
        <f>AND('GA55 Entry'!#REF!,"AAAAAHuXn4U=")</f>
        <v>#REF!</v>
      </c>
      <c r="EE203" t="e">
        <f>AND('GA55 Entry'!#REF!,"AAAAAHuXn4Y=")</f>
        <v>#REF!</v>
      </c>
      <c r="EF203" t="e">
        <f>AND('GA55 Entry'!Z787,"AAAAAHuXn4c=")</f>
        <v>#VALUE!</v>
      </c>
      <c r="EG203" t="e">
        <f>AND('GA55 Entry'!AA787,"AAAAAHuXn4g=")</f>
        <v>#VALUE!</v>
      </c>
      <c r="EH203" t="e">
        <f>AND('GA55 Entry'!#REF!,"AAAAAHuXn4k=")</f>
        <v>#REF!</v>
      </c>
      <c r="EI203" t="e">
        <f>AND('GA55 Entry'!#REF!,"AAAAAHuXn4o=")</f>
        <v>#REF!</v>
      </c>
      <c r="EJ203" t="e">
        <f>AND('GA55 Entry'!#REF!,"AAAAAHuXn4s=")</f>
        <v>#REF!</v>
      </c>
      <c r="EK203" t="e">
        <f>AND('GA55 Entry'!AB787,"AAAAAHuXn4w=")</f>
        <v>#VALUE!</v>
      </c>
      <c r="EL203" t="e">
        <f>AND('GA55 Entry'!AC787,"AAAAAHuXn40=")</f>
        <v>#VALUE!</v>
      </c>
      <c r="EM203" t="e">
        <f>AND('GA55 Entry'!#REF!,"AAAAAHuXn44=")</f>
        <v>#REF!</v>
      </c>
      <c r="EN203">
        <f>IF('GA55 Entry'!788:788,"AAAAAHuXn48=",0)</f>
        <v>0</v>
      </c>
      <c r="EO203" t="e">
        <f>AND('GA55 Entry'!B788,"AAAAAHuXn5A=")</f>
        <v>#VALUE!</v>
      </c>
      <c r="EP203" t="e">
        <f>AND('GA55 Entry'!#REF!,"AAAAAHuXn5E=")</f>
        <v>#REF!</v>
      </c>
      <c r="EQ203" t="e">
        <f>AND('GA55 Entry'!C788,"AAAAAHuXn5I=")</f>
        <v>#VALUE!</v>
      </c>
      <c r="ER203" t="e">
        <f>AND('GA55 Entry'!#REF!,"AAAAAHuXn5M=")</f>
        <v>#REF!</v>
      </c>
      <c r="ES203" t="e">
        <f>AND('GA55 Entry'!#REF!,"AAAAAHuXn5Q=")</f>
        <v>#REF!</v>
      </c>
      <c r="ET203" t="e">
        <f>AND('GA55 Entry'!#REF!,"AAAAAHuXn5U=")</f>
        <v>#REF!</v>
      </c>
      <c r="EU203" t="e">
        <f>AND('GA55 Entry'!#REF!,"AAAAAHuXn5Y=")</f>
        <v>#REF!</v>
      </c>
      <c r="EV203" t="e">
        <f>AND('GA55 Entry'!#REF!,"AAAAAHuXn5c=")</f>
        <v>#REF!</v>
      </c>
      <c r="EW203" t="e">
        <f>AND('GA55 Entry'!D788,"AAAAAHuXn5g=")</f>
        <v>#VALUE!</v>
      </c>
      <c r="EX203" t="e">
        <f>AND('GA55 Entry'!#REF!,"AAAAAHuXn5k=")</f>
        <v>#REF!</v>
      </c>
      <c r="EY203" t="e">
        <f>AND('GA55 Entry'!E788,"AAAAAHuXn5o=")</f>
        <v>#VALUE!</v>
      </c>
      <c r="EZ203" t="e">
        <f>AND('GA55 Entry'!F788,"AAAAAHuXn5s=")</f>
        <v>#VALUE!</v>
      </c>
      <c r="FA203" t="e">
        <f>AND('GA55 Entry'!G788,"AAAAAHuXn5w=")</f>
        <v>#VALUE!</v>
      </c>
      <c r="FB203" t="e">
        <f>AND('GA55 Entry'!H788,"AAAAAHuXn50=")</f>
        <v>#VALUE!</v>
      </c>
      <c r="FC203" t="e">
        <f>AND('GA55 Entry'!I788,"AAAAAHuXn54=")</f>
        <v>#VALUE!</v>
      </c>
      <c r="FD203" t="e">
        <f>AND('GA55 Entry'!J788,"AAAAAHuXn58=")</f>
        <v>#VALUE!</v>
      </c>
      <c r="FE203" t="e">
        <f>AND('GA55 Entry'!#REF!,"AAAAAHuXn6A=")</f>
        <v>#REF!</v>
      </c>
      <c r="FF203" t="e">
        <f>AND('GA55 Entry'!K788,"AAAAAHuXn6E=")</f>
        <v>#VALUE!</v>
      </c>
      <c r="FG203" t="e">
        <f>AND('GA55 Entry'!L788,"AAAAAHuXn6I=")</f>
        <v>#VALUE!</v>
      </c>
      <c r="FH203" t="e">
        <f>AND('GA55 Entry'!M788,"AAAAAHuXn6M=")</f>
        <v>#VALUE!</v>
      </c>
      <c r="FI203" t="e">
        <f>AND('GA55 Entry'!N788,"AAAAAHuXn6Q=")</f>
        <v>#VALUE!</v>
      </c>
      <c r="FJ203" t="e">
        <f>AND('GA55 Entry'!O788,"AAAAAHuXn6U=")</f>
        <v>#VALUE!</v>
      </c>
      <c r="FK203" t="e">
        <f>AND('GA55 Entry'!P788,"AAAAAHuXn6Y=")</f>
        <v>#VALUE!</v>
      </c>
      <c r="FL203" t="e">
        <f>AND('GA55 Entry'!Q788,"AAAAAHuXn6c=")</f>
        <v>#VALUE!</v>
      </c>
      <c r="FM203" t="e">
        <f>AND('GA55 Entry'!S788,"AAAAAHuXn6g=")</f>
        <v>#VALUE!</v>
      </c>
      <c r="FN203" t="e">
        <f>AND('GA55 Entry'!#REF!,"AAAAAHuXn6k=")</f>
        <v>#REF!</v>
      </c>
      <c r="FO203" t="e">
        <f>AND('GA55 Entry'!T788,"AAAAAHuXn6o=")</f>
        <v>#VALUE!</v>
      </c>
      <c r="FP203" t="e">
        <f>AND('GA55 Entry'!U788,"AAAAAHuXn6s=")</f>
        <v>#VALUE!</v>
      </c>
      <c r="FQ203" t="e">
        <f>AND('GA55 Entry'!V788,"AAAAAHuXn6w=")</f>
        <v>#VALUE!</v>
      </c>
      <c r="FR203" t="e">
        <f>AND('GA55 Entry'!#REF!,"AAAAAHuXn60=")</f>
        <v>#REF!</v>
      </c>
      <c r="FS203" t="e">
        <f>AND('GA55 Entry'!#REF!,"AAAAAHuXn64=")</f>
        <v>#REF!</v>
      </c>
      <c r="FT203" t="e">
        <f>AND('GA55 Entry'!X788,"AAAAAHuXn68=")</f>
        <v>#VALUE!</v>
      </c>
      <c r="FU203" t="e">
        <f>AND('GA55 Entry'!Y788,"AAAAAHuXn7A=")</f>
        <v>#VALUE!</v>
      </c>
      <c r="FV203" t="e">
        <f>AND('GA55 Entry'!#REF!,"AAAAAHuXn7E=")</f>
        <v>#REF!</v>
      </c>
      <c r="FW203" t="e">
        <f>AND('GA55 Entry'!#REF!,"AAAAAHuXn7I=")</f>
        <v>#REF!</v>
      </c>
      <c r="FX203" t="e">
        <f>AND('GA55 Entry'!#REF!,"AAAAAHuXn7M=")</f>
        <v>#REF!</v>
      </c>
      <c r="FY203" t="e">
        <f>AND('GA55 Entry'!#REF!,"AAAAAHuXn7Q=")</f>
        <v>#REF!</v>
      </c>
      <c r="FZ203" t="e">
        <f>AND('GA55 Entry'!#REF!,"AAAAAHuXn7U=")</f>
        <v>#REF!</v>
      </c>
      <c r="GA203" t="e">
        <f>AND('GA55 Entry'!#REF!,"AAAAAHuXn7Y=")</f>
        <v>#REF!</v>
      </c>
      <c r="GB203" t="e">
        <f>AND('GA55 Entry'!#REF!,"AAAAAHuXn7c=")</f>
        <v>#REF!</v>
      </c>
      <c r="GC203" t="e">
        <f>AND('GA55 Entry'!#REF!,"AAAAAHuXn7g=")</f>
        <v>#REF!</v>
      </c>
      <c r="GD203" t="e">
        <f>AND('GA55 Entry'!#REF!,"AAAAAHuXn7k=")</f>
        <v>#REF!</v>
      </c>
      <c r="GE203" t="e">
        <f>AND('GA55 Entry'!Z788,"AAAAAHuXn7o=")</f>
        <v>#VALUE!</v>
      </c>
      <c r="GF203" t="e">
        <f>AND('GA55 Entry'!AA788,"AAAAAHuXn7s=")</f>
        <v>#VALUE!</v>
      </c>
      <c r="GG203" t="e">
        <f>AND('GA55 Entry'!#REF!,"AAAAAHuXn7w=")</f>
        <v>#REF!</v>
      </c>
      <c r="GH203" t="e">
        <f>AND('GA55 Entry'!#REF!,"AAAAAHuXn70=")</f>
        <v>#REF!</v>
      </c>
      <c r="GI203" t="e">
        <f>AND('GA55 Entry'!#REF!,"AAAAAHuXn74=")</f>
        <v>#REF!</v>
      </c>
      <c r="GJ203" t="e">
        <f>AND('GA55 Entry'!AB788,"AAAAAHuXn78=")</f>
        <v>#VALUE!</v>
      </c>
      <c r="GK203" t="e">
        <f>AND('GA55 Entry'!AC788,"AAAAAHuXn8A=")</f>
        <v>#VALUE!</v>
      </c>
      <c r="GL203" t="e">
        <f>AND('GA55 Entry'!#REF!,"AAAAAHuXn8E=")</f>
        <v>#REF!</v>
      </c>
      <c r="GM203">
        <f>IF('GA55 Entry'!789:789,"AAAAAHuXn8I=",0)</f>
        <v>0</v>
      </c>
      <c r="GN203" t="e">
        <f>AND('GA55 Entry'!B789,"AAAAAHuXn8M=")</f>
        <v>#VALUE!</v>
      </c>
      <c r="GO203" t="e">
        <f>AND('GA55 Entry'!#REF!,"AAAAAHuXn8Q=")</f>
        <v>#REF!</v>
      </c>
      <c r="GP203" t="e">
        <f>AND('GA55 Entry'!C789,"AAAAAHuXn8U=")</f>
        <v>#VALUE!</v>
      </c>
      <c r="GQ203" t="e">
        <f>AND('GA55 Entry'!#REF!,"AAAAAHuXn8Y=")</f>
        <v>#REF!</v>
      </c>
      <c r="GR203" t="e">
        <f>AND('GA55 Entry'!#REF!,"AAAAAHuXn8c=")</f>
        <v>#REF!</v>
      </c>
      <c r="GS203" t="e">
        <f>AND('GA55 Entry'!#REF!,"AAAAAHuXn8g=")</f>
        <v>#REF!</v>
      </c>
      <c r="GT203" t="e">
        <f>AND('GA55 Entry'!#REF!,"AAAAAHuXn8k=")</f>
        <v>#REF!</v>
      </c>
      <c r="GU203" t="e">
        <f>AND('GA55 Entry'!#REF!,"AAAAAHuXn8o=")</f>
        <v>#REF!</v>
      </c>
      <c r="GV203" t="e">
        <f>AND('GA55 Entry'!D789,"AAAAAHuXn8s=")</f>
        <v>#VALUE!</v>
      </c>
      <c r="GW203" t="e">
        <f>AND('GA55 Entry'!#REF!,"AAAAAHuXn8w=")</f>
        <v>#REF!</v>
      </c>
      <c r="GX203" t="e">
        <f>AND('GA55 Entry'!E789,"AAAAAHuXn80=")</f>
        <v>#VALUE!</v>
      </c>
      <c r="GY203" t="e">
        <f>AND('GA55 Entry'!F789,"AAAAAHuXn84=")</f>
        <v>#VALUE!</v>
      </c>
      <c r="GZ203" t="e">
        <f>AND('GA55 Entry'!G789,"AAAAAHuXn88=")</f>
        <v>#VALUE!</v>
      </c>
      <c r="HA203" t="e">
        <f>AND('GA55 Entry'!H789,"AAAAAHuXn9A=")</f>
        <v>#VALUE!</v>
      </c>
      <c r="HB203" t="e">
        <f>AND('GA55 Entry'!I789,"AAAAAHuXn9E=")</f>
        <v>#VALUE!</v>
      </c>
      <c r="HC203" t="e">
        <f>AND('GA55 Entry'!J789,"AAAAAHuXn9I=")</f>
        <v>#VALUE!</v>
      </c>
      <c r="HD203" t="e">
        <f>AND('GA55 Entry'!#REF!,"AAAAAHuXn9M=")</f>
        <v>#REF!</v>
      </c>
      <c r="HE203" t="e">
        <f>AND('GA55 Entry'!K789,"AAAAAHuXn9Q=")</f>
        <v>#VALUE!</v>
      </c>
      <c r="HF203" t="e">
        <f>AND('GA55 Entry'!L789,"AAAAAHuXn9U=")</f>
        <v>#VALUE!</v>
      </c>
      <c r="HG203" t="e">
        <f>AND('GA55 Entry'!M789,"AAAAAHuXn9Y=")</f>
        <v>#VALUE!</v>
      </c>
      <c r="HH203" t="e">
        <f>AND('GA55 Entry'!N789,"AAAAAHuXn9c=")</f>
        <v>#VALUE!</v>
      </c>
      <c r="HI203" t="e">
        <f>AND('GA55 Entry'!O789,"AAAAAHuXn9g=")</f>
        <v>#VALUE!</v>
      </c>
      <c r="HJ203" t="e">
        <f>AND('GA55 Entry'!P789,"AAAAAHuXn9k=")</f>
        <v>#VALUE!</v>
      </c>
      <c r="HK203" t="e">
        <f>AND('GA55 Entry'!Q789,"AAAAAHuXn9o=")</f>
        <v>#VALUE!</v>
      </c>
      <c r="HL203" t="e">
        <f>AND('GA55 Entry'!S789,"AAAAAHuXn9s=")</f>
        <v>#VALUE!</v>
      </c>
      <c r="HM203" t="e">
        <f>AND('GA55 Entry'!#REF!,"AAAAAHuXn9w=")</f>
        <v>#REF!</v>
      </c>
      <c r="HN203" t="e">
        <f>AND('GA55 Entry'!T789,"AAAAAHuXn90=")</f>
        <v>#VALUE!</v>
      </c>
      <c r="HO203" t="e">
        <f>AND('GA55 Entry'!U789,"AAAAAHuXn94=")</f>
        <v>#VALUE!</v>
      </c>
      <c r="HP203" t="e">
        <f>AND('GA55 Entry'!V789,"AAAAAHuXn98=")</f>
        <v>#VALUE!</v>
      </c>
      <c r="HQ203" t="e">
        <f>AND('GA55 Entry'!#REF!,"AAAAAHuXn+A=")</f>
        <v>#REF!</v>
      </c>
      <c r="HR203" t="e">
        <f>AND('GA55 Entry'!#REF!,"AAAAAHuXn+E=")</f>
        <v>#REF!</v>
      </c>
      <c r="HS203" t="e">
        <f>AND('GA55 Entry'!X789,"AAAAAHuXn+I=")</f>
        <v>#VALUE!</v>
      </c>
      <c r="HT203" t="e">
        <f>AND('GA55 Entry'!Y789,"AAAAAHuXn+M=")</f>
        <v>#VALUE!</v>
      </c>
      <c r="HU203" t="e">
        <f>AND('GA55 Entry'!#REF!,"AAAAAHuXn+Q=")</f>
        <v>#REF!</v>
      </c>
      <c r="HV203" t="e">
        <f>AND('GA55 Entry'!#REF!,"AAAAAHuXn+U=")</f>
        <v>#REF!</v>
      </c>
      <c r="HW203" t="e">
        <f>AND('GA55 Entry'!#REF!,"AAAAAHuXn+Y=")</f>
        <v>#REF!</v>
      </c>
      <c r="HX203" t="e">
        <f>AND('GA55 Entry'!#REF!,"AAAAAHuXn+c=")</f>
        <v>#REF!</v>
      </c>
      <c r="HY203" t="e">
        <f>AND('GA55 Entry'!#REF!,"AAAAAHuXn+g=")</f>
        <v>#REF!</v>
      </c>
      <c r="HZ203" t="e">
        <f>AND('GA55 Entry'!#REF!,"AAAAAHuXn+k=")</f>
        <v>#REF!</v>
      </c>
      <c r="IA203" t="e">
        <f>AND('GA55 Entry'!#REF!,"AAAAAHuXn+o=")</f>
        <v>#REF!</v>
      </c>
      <c r="IB203" t="e">
        <f>AND('GA55 Entry'!#REF!,"AAAAAHuXn+s=")</f>
        <v>#REF!</v>
      </c>
      <c r="IC203" t="e">
        <f>AND('GA55 Entry'!#REF!,"AAAAAHuXn+w=")</f>
        <v>#REF!</v>
      </c>
      <c r="ID203" t="e">
        <f>AND('GA55 Entry'!Z789,"AAAAAHuXn+0=")</f>
        <v>#VALUE!</v>
      </c>
      <c r="IE203" t="e">
        <f>AND('GA55 Entry'!AA789,"AAAAAHuXn+4=")</f>
        <v>#VALUE!</v>
      </c>
      <c r="IF203" t="e">
        <f>AND('GA55 Entry'!#REF!,"AAAAAHuXn+8=")</f>
        <v>#REF!</v>
      </c>
      <c r="IG203" t="e">
        <f>AND('GA55 Entry'!#REF!,"AAAAAHuXn/A=")</f>
        <v>#REF!</v>
      </c>
      <c r="IH203" t="e">
        <f>AND('GA55 Entry'!#REF!,"AAAAAHuXn/E=")</f>
        <v>#REF!</v>
      </c>
      <c r="II203" t="e">
        <f>AND('GA55 Entry'!AB789,"AAAAAHuXn/I=")</f>
        <v>#VALUE!</v>
      </c>
      <c r="IJ203" t="e">
        <f>AND('GA55 Entry'!AC789,"AAAAAHuXn/M=")</f>
        <v>#VALUE!</v>
      </c>
      <c r="IK203" t="e">
        <f>AND('GA55 Entry'!#REF!,"AAAAAHuXn/Q=")</f>
        <v>#REF!</v>
      </c>
      <c r="IL203">
        <f>IF('GA55 Entry'!790:790,"AAAAAHuXn/U=",0)</f>
        <v>0</v>
      </c>
      <c r="IM203" t="e">
        <f>AND('GA55 Entry'!B790,"AAAAAHuXn/Y=")</f>
        <v>#VALUE!</v>
      </c>
      <c r="IN203" t="e">
        <f>AND('GA55 Entry'!#REF!,"AAAAAHuXn/c=")</f>
        <v>#REF!</v>
      </c>
      <c r="IO203" t="e">
        <f>AND('GA55 Entry'!C790,"AAAAAHuXn/g=")</f>
        <v>#VALUE!</v>
      </c>
      <c r="IP203" t="e">
        <f>AND('GA55 Entry'!#REF!,"AAAAAHuXn/k=")</f>
        <v>#REF!</v>
      </c>
      <c r="IQ203" t="e">
        <f>AND('GA55 Entry'!#REF!,"AAAAAHuXn/o=")</f>
        <v>#REF!</v>
      </c>
      <c r="IR203" t="e">
        <f>AND('GA55 Entry'!#REF!,"AAAAAHuXn/s=")</f>
        <v>#REF!</v>
      </c>
      <c r="IS203" t="e">
        <f>AND('GA55 Entry'!#REF!,"AAAAAHuXn/w=")</f>
        <v>#REF!</v>
      </c>
      <c r="IT203" t="e">
        <f>AND('GA55 Entry'!#REF!,"AAAAAHuXn/0=")</f>
        <v>#REF!</v>
      </c>
      <c r="IU203" t="e">
        <f>AND('GA55 Entry'!D790,"AAAAAHuXn/4=")</f>
        <v>#VALUE!</v>
      </c>
      <c r="IV203" t="e">
        <f>AND('GA55 Entry'!#REF!,"AAAAAHuXn/8=")</f>
        <v>#REF!</v>
      </c>
    </row>
    <row r="204" spans="1:256">
      <c r="A204" t="e">
        <f>AND('GA55 Entry'!E790,"AAAAAHm29wA=")</f>
        <v>#VALUE!</v>
      </c>
      <c r="B204" t="e">
        <f>AND('GA55 Entry'!F790,"AAAAAHm29wE=")</f>
        <v>#VALUE!</v>
      </c>
      <c r="C204" t="e">
        <f>AND('GA55 Entry'!G790,"AAAAAHm29wI=")</f>
        <v>#VALUE!</v>
      </c>
      <c r="D204" t="e">
        <f>AND('GA55 Entry'!H790,"AAAAAHm29wM=")</f>
        <v>#VALUE!</v>
      </c>
      <c r="E204" t="e">
        <f>AND('GA55 Entry'!I790,"AAAAAHm29wQ=")</f>
        <v>#VALUE!</v>
      </c>
      <c r="F204" t="e">
        <f>AND('GA55 Entry'!J790,"AAAAAHm29wU=")</f>
        <v>#VALUE!</v>
      </c>
      <c r="G204" t="e">
        <f>AND('GA55 Entry'!#REF!,"AAAAAHm29wY=")</f>
        <v>#REF!</v>
      </c>
      <c r="H204" t="e">
        <f>AND('GA55 Entry'!K790,"AAAAAHm29wc=")</f>
        <v>#VALUE!</v>
      </c>
      <c r="I204" t="e">
        <f>AND('GA55 Entry'!L790,"AAAAAHm29wg=")</f>
        <v>#VALUE!</v>
      </c>
      <c r="J204" t="e">
        <f>AND('GA55 Entry'!M790,"AAAAAHm29wk=")</f>
        <v>#VALUE!</v>
      </c>
      <c r="K204" t="e">
        <f>AND('GA55 Entry'!N790,"AAAAAHm29wo=")</f>
        <v>#VALUE!</v>
      </c>
      <c r="L204" t="e">
        <f>AND('GA55 Entry'!O790,"AAAAAHm29ws=")</f>
        <v>#VALUE!</v>
      </c>
      <c r="M204" t="e">
        <f>AND('GA55 Entry'!P790,"AAAAAHm29ww=")</f>
        <v>#VALUE!</v>
      </c>
      <c r="N204" t="e">
        <f>AND('GA55 Entry'!Q790,"AAAAAHm29w0=")</f>
        <v>#VALUE!</v>
      </c>
      <c r="O204" t="e">
        <f>AND('GA55 Entry'!S790,"AAAAAHm29w4=")</f>
        <v>#VALUE!</v>
      </c>
      <c r="P204" t="e">
        <f>AND('GA55 Entry'!#REF!,"AAAAAHm29w8=")</f>
        <v>#REF!</v>
      </c>
      <c r="Q204" t="e">
        <f>AND('GA55 Entry'!T790,"AAAAAHm29xA=")</f>
        <v>#VALUE!</v>
      </c>
      <c r="R204" t="e">
        <f>AND('GA55 Entry'!U790,"AAAAAHm29xE=")</f>
        <v>#VALUE!</v>
      </c>
      <c r="S204" t="e">
        <f>AND('GA55 Entry'!V790,"AAAAAHm29xI=")</f>
        <v>#VALUE!</v>
      </c>
      <c r="T204" t="e">
        <f>AND('GA55 Entry'!#REF!,"AAAAAHm29xM=")</f>
        <v>#REF!</v>
      </c>
      <c r="U204" t="e">
        <f>AND('GA55 Entry'!#REF!,"AAAAAHm29xQ=")</f>
        <v>#REF!</v>
      </c>
      <c r="V204" t="e">
        <f>AND('GA55 Entry'!X790,"AAAAAHm29xU=")</f>
        <v>#VALUE!</v>
      </c>
      <c r="W204" t="e">
        <f>AND('GA55 Entry'!Y790,"AAAAAHm29xY=")</f>
        <v>#VALUE!</v>
      </c>
      <c r="X204" t="e">
        <f>AND('GA55 Entry'!#REF!,"AAAAAHm29xc=")</f>
        <v>#REF!</v>
      </c>
      <c r="Y204" t="e">
        <f>AND('GA55 Entry'!#REF!,"AAAAAHm29xg=")</f>
        <v>#REF!</v>
      </c>
      <c r="Z204" t="e">
        <f>AND('GA55 Entry'!#REF!,"AAAAAHm29xk=")</f>
        <v>#REF!</v>
      </c>
      <c r="AA204" t="e">
        <f>AND('GA55 Entry'!#REF!,"AAAAAHm29xo=")</f>
        <v>#REF!</v>
      </c>
      <c r="AB204" t="e">
        <f>AND('GA55 Entry'!#REF!,"AAAAAHm29xs=")</f>
        <v>#REF!</v>
      </c>
      <c r="AC204" t="e">
        <f>AND('GA55 Entry'!#REF!,"AAAAAHm29xw=")</f>
        <v>#REF!</v>
      </c>
      <c r="AD204" t="e">
        <f>AND('GA55 Entry'!#REF!,"AAAAAHm29x0=")</f>
        <v>#REF!</v>
      </c>
      <c r="AE204" t="e">
        <f>AND('GA55 Entry'!#REF!,"AAAAAHm29x4=")</f>
        <v>#REF!</v>
      </c>
      <c r="AF204" t="e">
        <f>AND('GA55 Entry'!#REF!,"AAAAAHm29x8=")</f>
        <v>#REF!</v>
      </c>
      <c r="AG204" t="e">
        <f>AND('GA55 Entry'!Z790,"AAAAAHm29yA=")</f>
        <v>#VALUE!</v>
      </c>
      <c r="AH204" t="e">
        <f>AND('GA55 Entry'!AA790,"AAAAAHm29yE=")</f>
        <v>#VALUE!</v>
      </c>
      <c r="AI204" t="e">
        <f>AND('GA55 Entry'!#REF!,"AAAAAHm29yI=")</f>
        <v>#REF!</v>
      </c>
      <c r="AJ204" t="e">
        <f>AND('GA55 Entry'!#REF!,"AAAAAHm29yM=")</f>
        <v>#REF!</v>
      </c>
      <c r="AK204" t="e">
        <f>AND('GA55 Entry'!#REF!,"AAAAAHm29yQ=")</f>
        <v>#REF!</v>
      </c>
      <c r="AL204" t="e">
        <f>AND('GA55 Entry'!AB790,"AAAAAHm29yU=")</f>
        <v>#VALUE!</v>
      </c>
      <c r="AM204" t="e">
        <f>AND('GA55 Entry'!AC790,"AAAAAHm29yY=")</f>
        <v>#VALUE!</v>
      </c>
      <c r="AN204" t="e">
        <f>AND('GA55 Entry'!#REF!,"AAAAAHm29yc=")</f>
        <v>#REF!</v>
      </c>
      <c r="AO204">
        <f>IF('GA55 Entry'!791:791,"AAAAAHm29yg=",0)</f>
        <v>0</v>
      </c>
      <c r="AP204" t="e">
        <f>AND('GA55 Entry'!B791,"AAAAAHm29yk=")</f>
        <v>#VALUE!</v>
      </c>
      <c r="AQ204" t="e">
        <f>AND('GA55 Entry'!#REF!,"AAAAAHm29yo=")</f>
        <v>#REF!</v>
      </c>
      <c r="AR204" t="e">
        <f>AND('GA55 Entry'!C791,"AAAAAHm29ys=")</f>
        <v>#VALUE!</v>
      </c>
      <c r="AS204" t="e">
        <f>AND('GA55 Entry'!#REF!,"AAAAAHm29yw=")</f>
        <v>#REF!</v>
      </c>
      <c r="AT204" t="e">
        <f>AND('GA55 Entry'!#REF!,"AAAAAHm29y0=")</f>
        <v>#REF!</v>
      </c>
      <c r="AU204" t="e">
        <f>AND('GA55 Entry'!#REF!,"AAAAAHm29y4=")</f>
        <v>#REF!</v>
      </c>
      <c r="AV204" t="e">
        <f>AND('GA55 Entry'!#REF!,"AAAAAHm29y8=")</f>
        <v>#REF!</v>
      </c>
      <c r="AW204" t="e">
        <f>AND('GA55 Entry'!#REF!,"AAAAAHm29zA=")</f>
        <v>#REF!</v>
      </c>
      <c r="AX204" t="e">
        <f>AND('GA55 Entry'!D791,"AAAAAHm29zE=")</f>
        <v>#VALUE!</v>
      </c>
      <c r="AY204" t="e">
        <f>AND('GA55 Entry'!#REF!,"AAAAAHm29zI=")</f>
        <v>#REF!</v>
      </c>
      <c r="AZ204" t="e">
        <f>AND('GA55 Entry'!E791,"AAAAAHm29zM=")</f>
        <v>#VALUE!</v>
      </c>
      <c r="BA204" t="e">
        <f>AND('GA55 Entry'!F791,"AAAAAHm29zQ=")</f>
        <v>#VALUE!</v>
      </c>
      <c r="BB204" t="e">
        <f>AND('GA55 Entry'!G791,"AAAAAHm29zU=")</f>
        <v>#VALUE!</v>
      </c>
      <c r="BC204" t="e">
        <f>AND('GA55 Entry'!H791,"AAAAAHm29zY=")</f>
        <v>#VALUE!</v>
      </c>
      <c r="BD204" t="e">
        <f>AND('GA55 Entry'!I791,"AAAAAHm29zc=")</f>
        <v>#VALUE!</v>
      </c>
      <c r="BE204" t="e">
        <f>AND('GA55 Entry'!J791,"AAAAAHm29zg=")</f>
        <v>#VALUE!</v>
      </c>
      <c r="BF204" t="e">
        <f>AND('GA55 Entry'!#REF!,"AAAAAHm29zk=")</f>
        <v>#REF!</v>
      </c>
      <c r="BG204" t="e">
        <f>AND('GA55 Entry'!K791,"AAAAAHm29zo=")</f>
        <v>#VALUE!</v>
      </c>
      <c r="BH204" t="e">
        <f>AND('GA55 Entry'!L791,"AAAAAHm29zs=")</f>
        <v>#VALUE!</v>
      </c>
      <c r="BI204" t="e">
        <f>AND('GA55 Entry'!M791,"AAAAAHm29zw=")</f>
        <v>#VALUE!</v>
      </c>
      <c r="BJ204" t="e">
        <f>AND('GA55 Entry'!N791,"AAAAAHm29z0=")</f>
        <v>#VALUE!</v>
      </c>
      <c r="BK204" t="e">
        <f>AND('GA55 Entry'!O791,"AAAAAHm29z4=")</f>
        <v>#VALUE!</v>
      </c>
      <c r="BL204" t="e">
        <f>AND('GA55 Entry'!P791,"AAAAAHm29z8=")</f>
        <v>#VALUE!</v>
      </c>
      <c r="BM204" t="e">
        <f>AND('GA55 Entry'!Q791,"AAAAAHm290A=")</f>
        <v>#VALUE!</v>
      </c>
      <c r="BN204" t="e">
        <f>AND('GA55 Entry'!S791,"AAAAAHm290E=")</f>
        <v>#VALUE!</v>
      </c>
      <c r="BO204" t="e">
        <f>AND('GA55 Entry'!#REF!,"AAAAAHm290I=")</f>
        <v>#REF!</v>
      </c>
      <c r="BP204" t="e">
        <f>AND('GA55 Entry'!T791,"AAAAAHm290M=")</f>
        <v>#VALUE!</v>
      </c>
      <c r="BQ204" t="e">
        <f>AND('GA55 Entry'!U791,"AAAAAHm290Q=")</f>
        <v>#VALUE!</v>
      </c>
      <c r="BR204" t="e">
        <f>AND('GA55 Entry'!V791,"AAAAAHm290U=")</f>
        <v>#VALUE!</v>
      </c>
      <c r="BS204" t="e">
        <f>AND('GA55 Entry'!#REF!,"AAAAAHm290Y=")</f>
        <v>#REF!</v>
      </c>
      <c r="BT204" t="e">
        <f>AND('GA55 Entry'!#REF!,"AAAAAHm290c=")</f>
        <v>#REF!</v>
      </c>
      <c r="BU204" t="e">
        <f>AND('GA55 Entry'!X791,"AAAAAHm290g=")</f>
        <v>#VALUE!</v>
      </c>
      <c r="BV204" t="e">
        <f>AND('GA55 Entry'!Y791,"AAAAAHm290k=")</f>
        <v>#VALUE!</v>
      </c>
      <c r="BW204" t="e">
        <f>AND('GA55 Entry'!#REF!,"AAAAAHm290o=")</f>
        <v>#REF!</v>
      </c>
      <c r="BX204" t="e">
        <f>AND('GA55 Entry'!#REF!,"AAAAAHm290s=")</f>
        <v>#REF!</v>
      </c>
      <c r="BY204" t="e">
        <f>AND('GA55 Entry'!#REF!,"AAAAAHm290w=")</f>
        <v>#REF!</v>
      </c>
      <c r="BZ204" t="e">
        <f>AND('GA55 Entry'!#REF!,"AAAAAHm2900=")</f>
        <v>#REF!</v>
      </c>
      <c r="CA204" t="e">
        <f>AND('GA55 Entry'!#REF!,"AAAAAHm2904=")</f>
        <v>#REF!</v>
      </c>
      <c r="CB204" t="e">
        <f>AND('GA55 Entry'!#REF!,"AAAAAHm2908=")</f>
        <v>#REF!</v>
      </c>
      <c r="CC204" t="e">
        <f>AND('GA55 Entry'!#REF!,"AAAAAHm291A=")</f>
        <v>#REF!</v>
      </c>
      <c r="CD204" t="e">
        <f>AND('GA55 Entry'!#REF!,"AAAAAHm291E=")</f>
        <v>#REF!</v>
      </c>
      <c r="CE204" t="e">
        <f>AND('GA55 Entry'!#REF!,"AAAAAHm291I=")</f>
        <v>#REF!</v>
      </c>
      <c r="CF204" t="e">
        <f>AND('GA55 Entry'!Z791,"AAAAAHm291M=")</f>
        <v>#VALUE!</v>
      </c>
      <c r="CG204" t="e">
        <f>AND('GA55 Entry'!AA791,"AAAAAHm291Q=")</f>
        <v>#VALUE!</v>
      </c>
      <c r="CH204" t="e">
        <f>AND('GA55 Entry'!#REF!,"AAAAAHm291U=")</f>
        <v>#REF!</v>
      </c>
      <c r="CI204" t="e">
        <f>AND('GA55 Entry'!#REF!,"AAAAAHm291Y=")</f>
        <v>#REF!</v>
      </c>
      <c r="CJ204" t="e">
        <f>AND('GA55 Entry'!#REF!,"AAAAAHm291c=")</f>
        <v>#REF!</v>
      </c>
      <c r="CK204" t="e">
        <f>AND('GA55 Entry'!AB791,"AAAAAHm291g=")</f>
        <v>#VALUE!</v>
      </c>
      <c r="CL204" t="e">
        <f>AND('GA55 Entry'!AC791,"AAAAAHm291k=")</f>
        <v>#VALUE!</v>
      </c>
      <c r="CM204" t="e">
        <f>AND('GA55 Entry'!#REF!,"AAAAAHm291o=")</f>
        <v>#REF!</v>
      </c>
      <c r="CN204">
        <f>IF('GA55 Entry'!792:792,"AAAAAHm291s=",0)</f>
        <v>0</v>
      </c>
      <c r="CO204" t="e">
        <f>AND('GA55 Entry'!B792,"AAAAAHm291w=")</f>
        <v>#VALUE!</v>
      </c>
      <c r="CP204" t="e">
        <f>AND('GA55 Entry'!#REF!,"AAAAAHm2910=")</f>
        <v>#REF!</v>
      </c>
      <c r="CQ204" t="e">
        <f>AND('GA55 Entry'!C792,"AAAAAHm2914=")</f>
        <v>#VALUE!</v>
      </c>
      <c r="CR204" t="e">
        <f>AND('GA55 Entry'!#REF!,"AAAAAHm2918=")</f>
        <v>#REF!</v>
      </c>
      <c r="CS204" t="e">
        <f>AND('GA55 Entry'!#REF!,"AAAAAHm292A=")</f>
        <v>#REF!</v>
      </c>
      <c r="CT204" t="e">
        <f>AND('GA55 Entry'!#REF!,"AAAAAHm292E=")</f>
        <v>#REF!</v>
      </c>
      <c r="CU204" t="e">
        <f>AND('GA55 Entry'!#REF!,"AAAAAHm292I=")</f>
        <v>#REF!</v>
      </c>
      <c r="CV204" t="e">
        <f>AND('GA55 Entry'!#REF!,"AAAAAHm292M=")</f>
        <v>#REF!</v>
      </c>
      <c r="CW204" t="e">
        <f>AND('GA55 Entry'!D792,"AAAAAHm292Q=")</f>
        <v>#VALUE!</v>
      </c>
      <c r="CX204" t="e">
        <f>AND('GA55 Entry'!#REF!,"AAAAAHm292U=")</f>
        <v>#REF!</v>
      </c>
      <c r="CY204" t="e">
        <f>AND('GA55 Entry'!E792,"AAAAAHm292Y=")</f>
        <v>#VALUE!</v>
      </c>
      <c r="CZ204" t="e">
        <f>AND('GA55 Entry'!F792,"AAAAAHm292c=")</f>
        <v>#VALUE!</v>
      </c>
      <c r="DA204" t="e">
        <f>AND('GA55 Entry'!G792,"AAAAAHm292g=")</f>
        <v>#VALUE!</v>
      </c>
      <c r="DB204" t="e">
        <f>AND('GA55 Entry'!H792,"AAAAAHm292k=")</f>
        <v>#VALUE!</v>
      </c>
      <c r="DC204" t="e">
        <f>AND('GA55 Entry'!I792,"AAAAAHm292o=")</f>
        <v>#VALUE!</v>
      </c>
      <c r="DD204" t="e">
        <f>AND('GA55 Entry'!J792,"AAAAAHm292s=")</f>
        <v>#VALUE!</v>
      </c>
      <c r="DE204" t="e">
        <f>AND('GA55 Entry'!#REF!,"AAAAAHm292w=")</f>
        <v>#REF!</v>
      </c>
      <c r="DF204" t="e">
        <f>AND('GA55 Entry'!K792,"AAAAAHm2920=")</f>
        <v>#VALUE!</v>
      </c>
      <c r="DG204" t="e">
        <f>AND('GA55 Entry'!L792,"AAAAAHm2924=")</f>
        <v>#VALUE!</v>
      </c>
      <c r="DH204" t="e">
        <f>AND('GA55 Entry'!M792,"AAAAAHm2928=")</f>
        <v>#VALUE!</v>
      </c>
      <c r="DI204" t="e">
        <f>AND('GA55 Entry'!N792,"AAAAAHm293A=")</f>
        <v>#VALUE!</v>
      </c>
      <c r="DJ204" t="e">
        <f>AND('GA55 Entry'!O792,"AAAAAHm293E=")</f>
        <v>#VALUE!</v>
      </c>
      <c r="DK204" t="e">
        <f>AND('GA55 Entry'!P792,"AAAAAHm293I=")</f>
        <v>#VALUE!</v>
      </c>
      <c r="DL204" t="e">
        <f>AND('GA55 Entry'!Q792,"AAAAAHm293M=")</f>
        <v>#VALUE!</v>
      </c>
      <c r="DM204" t="e">
        <f>AND('GA55 Entry'!S792,"AAAAAHm293Q=")</f>
        <v>#VALUE!</v>
      </c>
      <c r="DN204" t="e">
        <f>AND('GA55 Entry'!#REF!,"AAAAAHm293U=")</f>
        <v>#REF!</v>
      </c>
      <c r="DO204" t="e">
        <f>AND('GA55 Entry'!T792,"AAAAAHm293Y=")</f>
        <v>#VALUE!</v>
      </c>
      <c r="DP204" t="e">
        <f>AND('GA55 Entry'!U792,"AAAAAHm293c=")</f>
        <v>#VALUE!</v>
      </c>
      <c r="DQ204" t="e">
        <f>AND('GA55 Entry'!V792,"AAAAAHm293g=")</f>
        <v>#VALUE!</v>
      </c>
      <c r="DR204" t="e">
        <f>AND('GA55 Entry'!#REF!,"AAAAAHm293k=")</f>
        <v>#REF!</v>
      </c>
      <c r="DS204" t="e">
        <f>AND('GA55 Entry'!#REF!,"AAAAAHm293o=")</f>
        <v>#REF!</v>
      </c>
      <c r="DT204" t="e">
        <f>AND('GA55 Entry'!X792,"AAAAAHm293s=")</f>
        <v>#VALUE!</v>
      </c>
      <c r="DU204" t="e">
        <f>AND('GA55 Entry'!Y792,"AAAAAHm293w=")</f>
        <v>#VALUE!</v>
      </c>
      <c r="DV204" t="e">
        <f>AND('GA55 Entry'!#REF!,"AAAAAHm2930=")</f>
        <v>#REF!</v>
      </c>
      <c r="DW204" t="e">
        <f>AND('GA55 Entry'!#REF!,"AAAAAHm2934=")</f>
        <v>#REF!</v>
      </c>
      <c r="DX204" t="e">
        <f>AND('GA55 Entry'!#REF!,"AAAAAHm2938=")</f>
        <v>#REF!</v>
      </c>
      <c r="DY204" t="e">
        <f>AND('GA55 Entry'!#REF!,"AAAAAHm294A=")</f>
        <v>#REF!</v>
      </c>
      <c r="DZ204" t="e">
        <f>AND('GA55 Entry'!#REF!,"AAAAAHm294E=")</f>
        <v>#REF!</v>
      </c>
      <c r="EA204" t="e">
        <f>AND('GA55 Entry'!#REF!,"AAAAAHm294I=")</f>
        <v>#REF!</v>
      </c>
      <c r="EB204" t="e">
        <f>AND('GA55 Entry'!#REF!,"AAAAAHm294M=")</f>
        <v>#REF!</v>
      </c>
      <c r="EC204" t="e">
        <f>AND('GA55 Entry'!#REF!,"AAAAAHm294Q=")</f>
        <v>#REF!</v>
      </c>
      <c r="ED204" t="e">
        <f>AND('GA55 Entry'!#REF!,"AAAAAHm294U=")</f>
        <v>#REF!</v>
      </c>
      <c r="EE204" t="e">
        <f>AND('GA55 Entry'!Z792,"AAAAAHm294Y=")</f>
        <v>#VALUE!</v>
      </c>
      <c r="EF204" t="e">
        <f>AND('GA55 Entry'!AA792,"AAAAAHm294c=")</f>
        <v>#VALUE!</v>
      </c>
      <c r="EG204" t="e">
        <f>AND('GA55 Entry'!#REF!,"AAAAAHm294g=")</f>
        <v>#REF!</v>
      </c>
      <c r="EH204" t="e">
        <f>AND('GA55 Entry'!#REF!,"AAAAAHm294k=")</f>
        <v>#REF!</v>
      </c>
      <c r="EI204" t="e">
        <f>AND('GA55 Entry'!#REF!,"AAAAAHm294o=")</f>
        <v>#REF!</v>
      </c>
      <c r="EJ204" t="e">
        <f>AND('GA55 Entry'!AB792,"AAAAAHm294s=")</f>
        <v>#VALUE!</v>
      </c>
      <c r="EK204" t="e">
        <f>AND('GA55 Entry'!AC792,"AAAAAHm294w=")</f>
        <v>#VALUE!</v>
      </c>
      <c r="EL204" t="e">
        <f>AND('GA55 Entry'!#REF!,"AAAAAHm2940=")</f>
        <v>#REF!</v>
      </c>
      <c r="EM204">
        <f>IF('GA55 Entry'!793:793,"AAAAAHm2944=",0)</f>
        <v>0</v>
      </c>
      <c r="EN204" t="e">
        <f>AND('GA55 Entry'!B793,"AAAAAHm2948=")</f>
        <v>#VALUE!</v>
      </c>
      <c r="EO204" t="e">
        <f>AND('GA55 Entry'!#REF!,"AAAAAHm295A=")</f>
        <v>#REF!</v>
      </c>
      <c r="EP204" t="e">
        <f>AND('GA55 Entry'!C793,"AAAAAHm295E=")</f>
        <v>#VALUE!</v>
      </c>
      <c r="EQ204" t="e">
        <f>AND('GA55 Entry'!#REF!,"AAAAAHm295I=")</f>
        <v>#REF!</v>
      </c>
      <c r="ER204" t="e">
        <f>AND('GA55 Entry'!#REF!,"AAAAAHm295M=")</f>
        <v>#REF!</v>
      </c>
      <c r="ES204" t="e">
        <f>AND('GA55 Entry'!#REF!,"AAAAAHm295Q=")</f>
        <v>#REF!</v>
      </c>
      <c r="ET204" t="e">
        <f>AND('GA55 Entry'!#REF!,"AAAAAHm295U=")</f>
        <v>#REF!</v>
      </c>
      <c r="EU204" t="e">
        <f>AND('GA55 Entry'!#REF!,"AAAAAHm295Y=")</f>
        <v>#REF!</v>
      </c>
      <c r="EV204" t="e">
        <f>AND('GA55 Entry'!D793,"AAAAAHm295c=")</f>
        <v>#VALUE!</v>
      </c>
      <c r="EW204" t="e">
        <f>AND('GA55 Entry'!#REF!,"AAAAAHm295g=")</f>
        <v>#REF!</v>
      </c>
      <c r="EX204" t="e">
        <f>AND('GA55 Entry'!E793,"AAAAAHm295k=")</f>
        <v>#VALUE!</v>
      </c>
      <c r="EY204" t="e">
        <f>AND('GA55 Entry'!F793,"AAAAAHm295o=")</f>
        <v>#VALUE!</v>
      </c>
      <c r="EZ204" t="e">
        <f>AND('GA55 Entry'!G793,"AAAAAHm295s=")</f>
        <v>#VALUE!</v>
      </c>
      <c r="FA204" t="e">
        <f>AND('GA55 Entry'!H793,"AAAAAHm295w=")</f>
        <v>#VALUE!</v>
      </c>
      <c r="FB204" t="e">
        <f>AND('GA55 Entry'!I793,"AAAAAHm2950=")</f>
        <v>#VALUE!</v>
      </c>
      <c r="FC204" t="e">
        <f>AND('GA55 Entry'!J793,"AAAAAHm2954=")</f>
        <v>#VALUE!</v>
      </c>
      <c r="FD204" t="e">
        <f>AND('GA55 Entry'!#REF!,"AAAAAHm2958=")</f>
        <v>#REF!</v>
      </c>
      <c r="FE204" t="e">
        <f>AND('GA55 Entry'!K793,"AAAAAHm296A=")</f>
        <v>#VALUE!</v>
      </c>
      <c r="FF204" t="e">
        <f>AND('GA55 Entry'!L793,"AAAAAHm296E=")</f>
        <v>#VALUE!</v>
      </c>
      <c r="FG204" t="e">
        <f>AND('GA55 Entry'!M793,"AAAAAHm296I=")</f>
        <v>#VALUE!</v>
      </c>
      <c r="FH204" t="e">
        <f>AND('GA55 Entry'!N793,"AAAAAHm296M=")</f>
        <v>#VALUE!</v>
      </c>
      <c r="FI204" t="e">
        <f>AND('GA55 Entry'!O793,"AAAAAHm296Q=")</f>
        <v>#VALUE!</v>
      </c>
      <c r="FJ204" t="e">
        <f>AND('GA55 Entry'!P793,"AAAAAHm296U=")</f>
        <v>#VALUE!</v>
      </c>
      <c r="FK204" t="e">
        <f>AND('GA55 Entry'!Q793,"AAAAAHm296Y=")</f>
        <v>#VALUE!</v>
      </c>
      <c r="FL204" t="e">
        <f>AND('GA55 Entry'!S793,"AAAAAHm296c=")</f>
        <v>#VALUE!</v>
      </c>
      <c r="FM204" t="e">
        <f>AND('GA55 Entry'!#REF!,"AAAAAHm296g=")</f>
        <v>#REF!</v>
      </c>
      <c r="FN204" t="e">
        <f>AND('GA55 Entry'!T793,"AAAAAHm296k=")</f>
        <v>#VALUE!</v>
      </c>
      <c r="FO204" t="e">
        <f>AND('GA55 Entry'!U793,"AAAAAHm296o=")</f>
        <v>#VALUE!</v>
      </c>
      <c r="FP204" t="e">
        <f>AND('GA55 Entry'!V793,"AAAAAHm296s=")</f>
        <v>#VALUE!</v>
      </c>
      <c r="FQ204" t="e">
        <f>AND('GA55 Entry'!#REF!,"AAAAAHm296w=")</f>
        <v>#REF!</v>
      </c>
      <c r="FR204" t="e">
        <f>AND('GA55 Entry'!#REF!,"AAAAAHm2960=")</f>
        <v>#REF!</v>
      </c>
      <c r="FS204" t="e">
        <f>AND('GA55 Entry'!X793,"AAAAAHm2964=")</f>
        <v>#VALUE!</v>
      </c>
      <c r="FT204" t="e">
        <f>AND('GA55 Entry'!Y793,"AAAAAHm2968=")</f>
        <v>#VALUE!</v>
      </c>
      <c r="FU204" t="e">
        <f>AND('GA55 Entry'!#REF!,"AAAAAHm297A=")</f>
        <v>#REF!</v>
      </c>
      <c r="FV204" t="e">
        <f>AND('GA55 Entry'!#REF!,"AAAAAHm297E=")</f>
        <v>#REF!</v>
      </c>
      <c r="FW204" t="e">
        <f>AND('GA55 Entry'!#REF!,"AAAAAHm297I=")</f>
        <v>#REF!</v>
      </c>
      <c r="FX204" t="e">
        <f>AND('GA55 Entry'!#REF!,"AAAAAHm297M=")</f>
        <v>#REF!</v>
      </c>
      <c r="FY204" t="e">
        <f>AND('GA55 Entry'!#REF!,"AAAAAHm297Q=")</f>
        <v>#REF!</v>
      </c>
      <c r="FZ204" t="e">
        <f>AND('GA55 Entry'!#REF!,"AAAAAHm297U=")</f>
        <v>#REF!</v>
      </c>
      <c r="GA204" t="e">
        <f>AND('GA55 Entry'!#REF!,"AAAAAHm297Y=")</f>
        <v>#REF!</v>
      </c>
      <c r="GB204" t="e">
        <f>AND('GA55 Entry'!#REF!,"AAAAAHm297c=")</f>
        <v>#REF!</v>
      </c>
      <c r="GC204" t="e">
        <f>AND('GA55 Entry'!#REF!,"AAAAAHm297g=")</f>
        <v>#REF!</v>
      </c>
      <c r="GD204" t="e">
        <f>AND('GA55 Entry'!Z793,"AAAAAHm297k=")</f>
        <v>#VALUE!</v>
      </c>
      <c r="GE204" t="e">
        <f>AND('GA55 Entry'!AA793,"AAAAAHm297o=")</f>
        <v>#VALUE!</v>
      </c>
      <c r="GF204" t="e">
        <f>AND('GA55 Entry'!#REF!,"AAAAAHm297s=")</f>
        <v>#REF!</v>
      </c>
      <c r="GG204" t="e">
        <f>AND('GA55 Entry'!#REF!,"AAAAAHm297w=")</f>
        <v>#REF!</v>
      </c>
      <c r="GH204" t="e">
        <f>AND('GA55 Entry'!#REF!,"AAAAAHm2970=")</f>
        <v>#REF!</v>
      </c>
      <c r="GI204" t="e">
        <f>AND('GA55 Entry'!AB793,"AAAAAHm2974=")</f>
        <v>#VALUE!</v>
      </c>
      <c r="GJ204" t="e">
        <f>AND('GA55 Entry'!AC793,"AAAAAHm2978=")</f>
        <v>#VALUE!</v>
      </c>
      <c r="GK204" t="e">
        <f>AND('GA55 Entry'!#REF!,"AAAAAHm298A=")</f>
        <v>#REF!</v>
      </c>
      <c r="GL204">
        <f>IF('GA55 Entry'!794:794,"AAAAAHm298E=",0)</f>
        <v>0</v>
      </c>
      <c r="GM204" t="e">
        <f>AND('GA55 Entry'!B794,"AAAAAHm298I=")</f>
        <v>#VALUE!</v>
      </c>
      <c r="GN204" t="e">
        <f>AND('GA55 Entry'!#REF!,"AAAAAHm298M=")</f>
        <v>#REF!</v>
      </c>
      <c r="GO204" t="e">
        <f>AND('GA55 Entry'!C794,"AAAAAHm298Q=")</f>
        <v>#VALUE!</v>
      </c>
      <c r="GP204" t="e">
        <f>AND('GA55 Entry'!#REF!,"AAAAAHm298U=")</f>
        <v>#REF!</v>
      </c>
      <c r="GQ204" t="e">
        <f>AND('GA55 Entry'!#REF!,"AAAAAHm298Y=")</f>
        <v>#REF!</v>
      </c>
      <c r="GR204" t="e">
        <f>AND('GA55 Entry'!#REF!,"AAAAAHm298c=")</f>
        <v>#REF!</v>
      </c>
      <c r="GS204" t="e">
        <f>AND('GA55 Entry'!#REF!,"AAAAAHm298g=")</f>
        <v>#REF!</v>
      </c>
      <c r="GT204" t="e">
        <f>AND('GA55 Entry'!#REF!,"AAAAAHm298k=")</f>
        <v>#REF!</v>
      </c>
      <c r="GU204" t="e">
        <f>AND('GA55 Entry'!D794,"AAAAAHm298o=")</f>
        <v>#VALUE!</v>
      </c>
      <c r="GV204" t="e">
        <f>AND('GA55 Entry'!#REF!,"AAAAAHm298s=")</f>
        <v>#REF!</v>
      </c>
      <c r="GW204" t="e">
        <f>AND('GA55 Entry'!E794,"AAAAAHm298w=")</f>
        <v>#VALUE!</v>
      </c>
      <c r="GX204" t="e">
        <f>AND('GA55 Entry'!F794,"AAAAAHm2980=")</f>
        <v>#VALUE!</v>
      </c>
      <c r="GY204" t="e">
        <f>AND('GA55 Entry'!G794,"AAAAAHm2984=")</f>
        <v>#VALUE!</v>
      </c>
      <c r="GZ204" t="e">
        <f>AND('GA55 Entry'!H794,"AAAAAHm2988=")</f>
        <v>#VALUE!</v>
      </c>
      <c r="HA204" t="e">
        <f>AND('GA55 Entry'!I794,"AAAAAHm299A=")</f>
        <v>#VALUE!</v>
      </c>
      <c r="HB204" t="e">
        <f>AND('GA55 Entry'!J794,"AAAAAHm299E=")</f>
        <v>#VALUE!</v>
      </c>
      <c r="HC204" t="e">
        <f>AND('GA55 Entry'!#REF!,"AAAAAHm299I=")</f>
        <v>#REF!</v>
      </c>
      <c r="HD204" t="e">
        <f>AND('GA55 Entry'!K794,"AAAAAHm299M=")</f>
        <v>#VALUE!</v>
      </c>
      <c r="HE204" t="e">
        <f>AND('GA55 Entry'!L794,"AAAAAHm299Q=")</f>
        <v>#VALUE!</v>
      </c>
      <c r="HF204" t="e">
        <f>AND('GA55 Entry'!M794,"AAAAAHm299U=")</f>
        <v>#VALUE!</v>
      </c>
      <c r="HG204" t="e">
        <f>AND('GA55 Entry'!N794,"AAAAAHm299Y=")</f>
        <v>#VALUE!</v>
      </c>
      <c r="HH204" t="e">
        <f>AND('GA55 Entry'!O794,"AAAAAHm299c=")</f>
        <v>#VALUE!</v>
      </c>
      <c r="HI204" t="e">
        <f>AND('GA55 Entry'!P794,"AAAAAHm299g=")</f>
        <v>#VALUE!</v>
      </c>
      <c r="HJ204" t="e">
        <f>AND('GA55 Entry'!Q794,"AAAAAHm299k=")</f>
        <v>#VALUE!</v>
      </c>
      <c r="HK204" t="e">
        <f>AND('GA55 Entry'!S794,"AAAAAHm299o=")</f>
        <v>#VALUE!</v>
      </c>
      <c r="HL204" t="e">
        <f>AND('GA55 Entry'!#REF!,"AAAAAHm299s=")</f>
        <v>#REF!</v>
      </c>
      <c r="HM204" t="e">
        <f>AND('GA55 Entry'!T794,"AAAAAHm299w=")</f>
        <v>#VALUE!</v>
      </c>
      <c r="HN204" t="e">
        <f>AND('GA55 Entry'!U794,"AAAAAHm2990=")</f>
        <v>#VALUE!</v>
      </c>
      <c r="HO204" t="e">
        <f>AND('GA55 Entry'!V794,"AAAAAHm2994=")</f>
        <v>#VALUE!</v>
      </c>
      <c r="HP204" t="e">
        <f>AND('GA55 Entry'!#REF!,"AAAAAHm2998=")</f>
        <v>#REF!</v>
      </c>
      <c r="HQ204" t="e">
        <f>AND('GA55 Entry'!#REF!,"AAAAAHm29+A=")</f>
        <v>#REF!</v>
      </c>
      <c r="HR204" t="e">
        <f>AND('GA55 Entry'!X794,"AAAAAHm29+E=")</f>
        <v>#VALUE!</v>
      </c>
      <c r="HS204" t="e">
        <f>AND('GA55 Entry'!Y794,"AAAAAHm29+I=")</f>
        <v>#VALUE!</v>
      </c>
      <c r="HT204" t="e">
        <f>AND('GA55 Entry'!#REF!,"AAAAAHm29+M=")</f>
        <v>#REF!</v>
      </c>
      <c r="HU204" t="e">
        <f>AND('GA55 Entry'!#REF!,"AAAAAHm29+Q=")</f>
        <v>#REF!</v>
      </c>
      <c r="HV204" t="e">
        <f>AND('GA55 Entry'!#REF!,"AAAAAHm29+U=")</f>
        <v>#REF!</v>
      </c>
      <c r="HW204" t="e">
        <f>AND('GA55 Entry'!#REF!,"AAAAAHm29+Y=")</f>
        <v>#REF!</v>
      </c>
      <c r="HX204" t="e">
        <f>AND('GA55 Entry'!#REF!,"AAAAAHm29+c=")</f>
        <v>#REF!</v>
      </c>
      <c r="HY204" t="e">
        <f>AND('GA55 Entry'!#REF!,"AAAAAHm29+g=")</f>
        <v>#REF!</v>
      </c>
      <c r="HZ204" t="e">
        <f>AND('GA55 Entry'!#REF!,"AAAAAHm29+k=")</f>
        <v>#REF!</v>
      </c>
      <c r="IA204" t="e">
        <f>AND('GA55 Entry'!#REF!,"AAAAAHm29+o=")</f>
        <v>#REF!</v>
      </c>
      <c r="IB204" t="e">
        <f>AND('GA55 Entry'!#REF!,"AAAAAHm29+s=")</f>
        <v>#REF!</v>
      </c>
      <c r="IC204" t="e">
        <f>AND('GA55 Entry'!Z794,"AAAAAHm29+w=")</f>
        <v>#VALUE!</v>
      </c>
      <c r="ID204" t="e">
        <f>AND('GA55 Entry'!AA794,"AAAAAHm29+0=")</f>
        <v>#VALUE!</v>
      </c>
      <c r="IE204" t="e">
        <f>AND('GA55 Entry'!#REF!,"AAAAAHm29+4=")</f>
        <v>#REF!</v>
      </c>
      <c r="IF204" t="e">
        <f>AND('GA55 Entry'!#REF!,"AAAAAHm29+8=")</f>
        <v>#REF!</v>
      </c>
      <c r="IG204" t="e">
        <f>AND('GA55 Entry'!#REF!,"AAAAAHm29/A=")</f>
        <v>#REF!</v>
      </c>
      <c r="IH204" t="e">
        <f>AND('GA55 Entry'!AB794,"AAAAAHm29/E=")</f>
        <v>#VALUE!</v>
      </c>
      <c r="II204" t="e">
        <f>AND('GA55 Entry'!AC794,"AAAAAHm29/I=")</f>
        <v>#VALUE!</v>
      </c>
      <c r="IJ204" t="e">
        <f>AND('GA55 Entry'!#REF!,"AAAAAHm29/M=")</f>
        <v>#REF!</v>
      </c>
      <c r="IK204">
        <f>IF('GA55 Entry'!795:795,"AAAAAHm29/Q=",0)</f>
        <v>0</v>
      </c>
      <c r="IL204" t="e">
        <f>AND('GA55 Entry'!B795,"AAAAAHm29/U=")</f>
        <v>#VALUE!</v>
      </c>
      <c r="IM204" t="e">
        <f>AND('GA55 Entry'!#REF!,"AAAAAHm29/Y=")</f>
        <v>#REF!</v>
      </c>
      <c r="IN204" t="e">
        <f>AND('GA55 Entry'!C795,"AAAAAHm29/c=")</f>
        <v>#VALUE!</v>
      </c>
      <c r="IO204" t="e">
        <f>AND('GA55 Entry'!#REF!,"AAAAAHm29/g=")</f>
        <v>#REF!</v>
      </c>
      <c r="IP204" t="e">
        <f>AND('GA55 Entry'!#REF!,"AAAAAHm29/k=")</f>
        <v>#REF!</v>
      </c>
      <c r="IQ204" t="e">
        <f>AND('GA55 Entry'!#REF!,"AAAAAHm29/o=")</f>
        <v>#REF!</v>
      </c>
      <c r="IR204" t="e">
        <f>AND('GA55 Entry'!#REF!,"AAAAAHm29/s=")</f>
        <v>#REF!</v>
      </c>
      <c r="IS204" t="e">
        <f>AND('GA55 Entry'!#REF!,"AAAAAHm29/w=")</f>
        <v>#REF!</v>
      </c>
      <c r="IT204" t="e">
        <f>AND('GA55 Entry'!D795,"AAAAAHm29/0=")</f>
        <v>#VALUE!</v>
      </c>
      <c r="IU204" t="e">
        <f>AND('GA55 Entry'!#REF!,"AAAAAHm29/4=")</f>
        <v>#REF!</v>
      </c>
      <c r="IV204" t="e">
        <f>AND('GA55 Entry'!E795,"AAAAAHm29/8=")</f>
        <v>#VALUE!</v>
      </c>
    </row>
    <row r="205" spans="1:256">
      <c r="A205" t="e">
        <f>AND('GA55 Entry'!F795,"AAAAAFdj7wA=")</f>
        <v>#VALUE!</v>
      </c>
      <c r="B205" t="e">
        <f>AND('GA55 Entry'!G795,"AAAAAFdj7wE=")</f>
        <v>#VALUE!</v>
      </c>
      <c r="C205" t="e">
        <f>AND('GA55 Entry'!H795,"AAAAAFdj7wI=")</f>
        <v>#VALUE!</v>
      </c>
      <c r="D205" t="e">
        <f>AND('GA55 Entry'!I795,"AAAAAFdj7wM=")</f>
        <v>#VALUE!</v>
      </c>
      <c r="E205" t="e">
        <f>AND('GA55 Entry'!J795,"AAAAAFdj7wQ=")</f>
        <v>#VALUE!</v>
      </c>
      <c r="F205" t="e">
        <f>AND('GA55 Entry'!#REF!,"AAAAAFdj7wU=")</f>
        <v>#REF!</v>
      </c>
      <c r="G205" t="e">
        <f>AND('GA55 Entry'!K795,"AAAAAFdj7wY=")</f>
        <v>#VALUE!</v>
      </c>
      <c r="H205" t="e">
        <f>AND('GA55 Entry'!L795,"AAAAAFdj7wc=")</f>
        <v>#VALUE!</v>
      </c>
      <c r="I205" t="e">
        <f>AND('GA55 Entry'!M795,"AAAAAFdj7wg=")</f>
        <v>#VALUE!</v>
      </c>
      <c r="J205" t="e">
        <f>AND('GA55 Entry'!N795,"AAAAAFdj7wk=")</f>
        <v>#VALUE!</v>
      </c>
      <c r="K205" t="e">
        <f>AND('GA55 Entry'!O795,"AAAAAFdj7wo=")</f>
        <v>#VALUE!</v>
      </c>
      <c r="L205" t="e">
        <f>AND('GA55 Entry'!P795,"AAAAAFdj7ws=")</f>
        <v>#VALUE!</v>
      </c>
      <c r="M205" t="e">
        <f>AND('GA55 Entry'!Q795,"AAAAAFdj7ww=")</f>
        <v>#VALUE!</v>
      </c>
      <c r="N205" t="e">
        <f>AND('GA55 Entry'!S795,"AAAAAFdj7w0=")</f>
        <v>#VALUE!</v>
      </c>
      <c r="O205" t="e">
        <f>AND('GA55 Entry'!#REF!,"AAAAAFdj7w4=")</f>
        <v>#REF!</v>
      </c>
      <c r="P205" t="e">
        <f>AND('GA55 Entry'!T795,"AAAAAFdj7w8=")</f>
        <v>#VALUE!</v>
      </c>
      <c r="Q205" t="e">
        <f>AND('GA55 Entry'!U795,"AAAAAFdj7xA=")</f>
        <v>#VALUE!</v>
      </c>
      <c r="R205" t="e">
        <f>AND('GA55 Entry'!V795,"AAAAAFdj7xE=")</f>
        <v>#VALUE!</v>
      </c>
      <c r="S205" t="e">
        <f>AND('GA55 Entry'!#REF!,"AAAAAFdj7xI=")</f>
        <v>#REF!</v>
      </c>
      <c r="T205" t="e">
        <f>AND('GA55 Entry'!#REF!,"AAAAAFdj7xM=")</f>
        <v>#REF!</v>
      </c>
      <c r="U205" t="e">
        <f>AND('GA55 Entry'!X795,"AAAAAFdj7xQ=")</f>
        <v>#VALUE!</v>
      </c>
      <c r="V205" t="e">
        <f>AND('GA55 Entry'!Y795,"AAAAAFdj7xU=")</f>
        <v>#VALUE!</v>
      </c>
      <c r="W205" t="e">
        <f>AND('GA55 Entry'!#REF!,"AAAAAFdj7xY=")</f>
        <v>#REF!</v>
      </c>
      <c r="X205" t="e">
        <f>AND('GA55 Entry'!#REF!,"AAAAAFdj7xc=")</f>
        <v>#REF!</v>
      </c>
      <c r="Y205" t="e">
        <f>AND('GA55 Entry'!#REF!,"AAAAAFdj7xg=")</f>
        <v>#REF!</v>
      </c>
      <c r="Z205" t="e">
        <f>AND('GA55 Entry'!#REF!,"AAAAAFdj7xk=")</f>
        <v>#REF!</v>
      </c>
      <c r="AA205" t="e">
        <f>AND('GA55 Entry'!#REF!,"AAAAAFdj7xo=")</f>
        <v>#REF!</v>
      </c>
      <c r="AB205" t="e">
        <f>AND('GA55 Entry'!#REF!,"AAAAAFdj7xs=")</f>
        <v>#REF!</v>
      </c>
      <c r="AC205" t="e">
        <f>AND('GA55 Entry'!#REF!,"AAAAAFdj7xw=")</f>
        <v>#REF!</v>
      </c>
      <c r="AD205" t="e">
        <f>AND('GA55 Entry'!#REF!,"AAAAAFdj7x0=")</f>
        <v>#REF!</v>
      </c>
      <c r="AE205" t="e">
        <f>AND('GA55 Entry'!#REF!,"AAAAAFdj7x4=")</f>
        <v>#REF!</v>
      </c>
      <c r="AF205" t="e">
        <f>AND('GA55 Entry'!Z795,"AAAAAFdj7x8=")</f>
        <v>#VALUE!</v>
      </c>
      <c r="AG205" t="e">
        <f>AND('GA55 Entry'!AA795,"AAAAAFdj7yA=")</f>
        <v>#VALUE!</v>
      </c>
      <c r="AH205" t="e">
        <f>AND('GA55 Entry'!#REF!,"AAAAAFdj7yE=")</f>
        <v>#REF!</v>
      </c>
      <c r="AI205" t="e">
        <f>AND('GA55 Entry'!#REF!,"AAAAAFdj7yI=")</f>
        <v>#REF!</v>
      </c>
      <c r="AJ205" t="e">
        <f>AND('GA55 Entry'!#REF!,"AAAAAFdj7yM=")</f>
        <v>#REF!</v>
      </c>
      <c r="AK205" t="e">
        <f>AND('GA55 Entry'!AB795,"AAAAAFdj7yQ=")</f>
        <v>#VALUE!</v>
      </c>
      <c r="AL205" t="e">
        <f>AND('GA55 Entry'!AC795,"AAAAAFdj7yU=")</f>
        <v>#VALUE!</v>
      </c>
      <c r="AM205" t="e">
        <f>AND('GA55 Entry'!#REF!,"AAAAAFdj7yY=")</f>
        <v>#REF!</v>
      </c>
      <c r="AN205">
        <f>IF('GA55 Entry'!796:796,"AAAAAFdj7yc=",0)</f>
        <v>0</v>
      </c>
      <c r="AO205" t="e">
        <f>AND('GA55 Entry'!B796,"AAAAAFdj7yg=")</f>
        <v>#VALUE!</v>
      </c>
      <c r="AP205" t="e">
        <f>AND('GA55 Entry'!#REF!,"AAAAAFdj7yk=")</f>
        <v>#REF!</v>
      </c>
      <c r="AQ205" t="e">
        <f>AND('GA55 Entry'!C796,"AAAAAFdj7yo=")</f>
        <v>#VALUE!</v>
      </c>
      <c r="AR205" t="e">
        <f>AND('GA55 Entry'!#REF!,"AAAAAFdj7ys=")</f>
        <v>#REF!</v>
      </c>
      <c r="AS205" t="e">
        <f>AND('GA55 Entry'!#REF!,"AAAAAFdj7yw=")</f>
        <v>#REF!</v>
      </c>
      <c r="AT205" t="e">
        <f>AND('GA55 Entry'!#REF!,"AAAAAFdj7y0=")</f>
        <v>#REF!</v>
      </c>
      <c r="AU205" t="e">
        <f>AND('GA55 Entry'!#REF!,"AAAAAFdj7y4=")</f>
        <v>#REF!</v>
      </c>
      <c r="AV205" t="e">
        <f>AND('GA55 Entry'!#REF!,"AAAAAFdj7y8=")</f>
        <v>#REF!</v>
      </c>
      <c r="AW205" t="e">
        <f>AND('GA55 Entry'!D796,"AAAAAFdj7zA=")</f>
        <v>#VALUE!</v>
      </c>
      <c r="AX205" t="e">
        <f>AND('GA55 Entry'!#REF!,"AAAAAFdj7zE=")</f>
        <v>#REF!</v>
      </c>
      <c r="AY205" t="e">
        <f>AND('GA55 Entry'!E796,"AAAAAFdj7zI=")</f>
        <v>#VALUE!</v>
      </c>
      <c r="AZ205" t="e">
        <f>AND('GA55 Entry'!F796,"AAAAAFdj7zM=")</f>
        <v>#VALUE!</v>
      </c>
      <c r="BA205" t="e">
        <f>AND('GA55 Entry'!G796,"AAAAAFdj7zQ=")</f>
        <v>#VALUE!</v>
      </c>
      <c r="BB205" t="e">
        <f>AND('GA55 Entry'!H796,"AAAAAFdj7zU=")</f>
        <v>#VALUE!</v>
      </c>
      <c r="BC205" t="e">
        <f>AND('GA55 Entry'!I796,"AAAAAFdj7zY=")</f>
        <v>#VALUE!</v>
      </c>
      <c r="BD205" t="e">
        <f>AND('GA55 Entry'!J796,"AAAAAFdj7zc=")</f>
        <v>#VALUE!</v>
      </c>
      <c r="BE205" t="e">
        <f>AND('GA55 Entry'!#REF!,"AAAAAFdj7zg=")</f>
        <v>#REF!</v>
      </c>
      <c r="BF205" t="e">
        <f>AND('GA55 Entry'!K796,"AAAAAFdj7zk=")</f>
        <v>#VALUE!</v>
      </c>
      <c r="BG205" t="e">
        <f>AND('GA55 Entry'!L796,"AAAAAFdj7zo=")</f>
        <v>#VALUE!</v>
      </c>
      <c r="BH205" t="e">
        <f>AND('GA55 Entry'!M796,"AAAAAFdj7zs=")</f>
        <v>#VALUE!</v>
      </c>
      <c r="BI205" t="e">
        <f>AND('GA55 Entry'!N796,"AAAAAFdj7zw=")</f>
        <v>#VALUE!</v>
      </c>
      <c r="BJ205" t="e">
        <f>AND('GA55 Entry'!O796,"AAAAAFdj7z0=")</f>
        <v>#VALUE!</v>
      </c>
      <c r="BK205" t="e">
        <f>AND('GA55 Entry'!P796,"AAAAAFdj7z4=")</f>
        <v>#VALUE!</v>
      </c>
      <c r="BL205" t="e">
        <f>AND('GA55 Entry'!Q796,"AAAAAFdj7z8=")</f>
        <v>#VALUE!</v>
      </c>
      <c r="BM205" t="e">
        <f>AND('GA55 Entry'!S796,"AAAAAFdj70A=")</f>
        <v>#VALUE!</v>
      </c>
      <c r="BN205" t="e">
        <f>AND('GA55 Entry'!#REF!,"AAAAAFdj70E=")</f>
        <v>#REF!</v>
      </c>
      <c r="BO205" t="e">
        <f>AND('GA55 Entry'!T796,"AAAAAFdj70I=")</f>
        <v>#VALUE!</v>
      </c>
      <c r="BP205" t="e">
        <f>AND('GA55 Entry'!U796,"AAAAAFdj70M=")</f>
        <v>#VALUE!</v>
      </c>
      <c r="BQ205" t="e">
        <f>AND('GA55 Entry'!V796,"AAAAAFdj70Q=")</f>
        <v>#VALUE!</v>
      </c>
      <c r="BR205" t="e">
        <f>AND('GA55 Entry'!#REF!,"AAAAAFdj70U=")</f>
        <v>#REF!</v>
      </c>
      <c r="BS205" t="e">
        <f>AND('GA55 Entry'!#REF!,"AAAAAFdj70Y=")</f>
        <v>#REF!</v>
      </c>
      <c r="BT205" t="e">
        <f>AND('GA55 Entry'!X796,"AAAAAFdj70c=")</f>
        <v>#VALUE!</v>
      </c>
      <c r="BU205" t="e">
        <f>AND('GA55 Entry'!Y796,"AAAAAFdj70g=")</f>
        <v>#VALUE!</v>
      </c>
      <c r="BV205" t="e">
        <f>AND('GA55 Entry'!#REF!,"AAAAAFdj70k=")</f>
        <v>#REF!</v>
      </c>
      <c r="BW205" t="e">
        <f>AND('GA55 Entry'!#REF!,"AAAAAFdj70o=")</f>
        <v>#REF!</v>
      </c>
      <c r="BX205" t="e">
        <f>AND('GA55 Entry'!#REF!,"AAAAAFdj70s=")</f>
        <v>#REF!</v>
      </c>
      <c r="BY205" t="e">
        <f>AND('GA55 Entry'!#REF!,"AAAAAFdj70w=")</f>
        <v>#REF!</v>
      </c>
      <c r="BZ205" t="e">
        <f>AND('GA55 Entry'!#REF!,"AAAAAFdj700=")</f>
        <v>#REF!</v>
      </c>
      <c r="CA205" t="e">
        <f>AND('GA55 Entry'!#REF!,"AAAAAFdj704=")</f>
        <v>#REF!</v>
      </c>
      <c r="CB205" t="e">
        <f>AND('GA55 Entry'!#REF!,"AAAAAFdj708=")</f>
        <v>#REF!</v>
      </c>
      <c r="CC205" t="e">
        <f>AND('GA55 Entry'!#REF!,"AAAAAFdj71A=")</f>
        <v>#REF!</v>
      </c>
      <c r="CD205" t="e">
        <f>AND('GA55 Entry'!#REF!,"AAAAAFdj71E=")</f>
        <v>#REF!</v>
      </c>
      <c r="CE205" t="e">
        <f>AND('GA55 Entry'!Z796,"AAAAAFdj71I=")</f>
        <v>#VALUE!</v>
      </c>
      <c r="CF205" t="e">
        <f>AND('GA55 Entry'!AA796,"AAAAAFdj71M=")</f>
        <v>#VALUE!</v>
      </c>
      <c r="CG205" t="e">
        <f>AND('GA55 Entry'!#REF!,"AAAAAFdj71Q=")</f>
        <v>#REF!</v>
      </c>
      <c r="CH205" t="e">
        <f>AND('GA55 Entry'!#REF!,"AAAAAFdj71U=")</f>
        <v>#REF!</v>
      </c>
      <c r="CI205" t="e">
        <f>AND('GA55 Entry'!#REF!,"AAAAAFdj71Y=")</f>
        <v>#REF!</v>
      </c>
      <c r="CJ205" t="e">
        <f>AND('GA55 Entry'!AB796,"AAAAAFdj71c=")</f>
        <v>#VALUE!</v>
      </c>
      <c r="CK205" t="e">
        <f>AND('GA55 Entry'!AC796,"AAAAAFdj71g=")</f>
        <v>#VALUE!</v>
      </c>
      <c r="CL205" t="e">
        <f>AND('GA55 Entry'!#REF!,"AAAAAFdj71k=")</f>
        <v>#REF!</v>
      </c>
      <c r="CM205">
        <f>IF('GA55 Entry'!797:797,"AAAAAFdj71o=",0)</f>
        <v>0</v>
      </c>
      <c r="CN205" t="e">
        <f>AND('GA55 Entry'!B797,"AAAAAFdj71s=")</f>
        <v>#VALUE!</v>
      </c>
      <c r="CO205" t="e">
        <f>AND('GA55 Entry'!#REF!,"AAAAAFdj71w=")</f>
        <v>#REF!</v>
      </c>
      <c r="CP205" t="e">
        <f>AND('GA55 Entry'!C797,"AAAAAFdj710=")</f>
        <v>#VALUE!</v>
      </c>
      <c r="CQ205" t="e">
        <f>AND('GA55 Entry'!#REF!,"AAAAAFdj714=")</f>
        <v>#REF!</v>
      </c>
      <c r="CR205" t="e">
        <f>AND('GA55 Entry'!#REF!,"AAAAAFdj718=")</f>
        <v>#REF!</v>
      </c>
      <c r="CS205" t="e">
        <f>AND('GA55 Entry'!#REF!,"AAAAAFdj72A=")</f>
        <v>#REF!</v>
      </c>
      <c r="CT205" t="e">
        <f>AND('GA55 Entry'!#REF!,"AAAAAFdj72E=")</f>
        <v>#REF!</v>
      </c>
      <c r="CU205" t="e">
        <f>AND('GA55 Entry'!#REF!,"AAAAAFdj72I=")</f>
        <v>#REF!</v>
      </c>
      <c r="CV205" t="e">
        <f>AND('GA55 Entry'!D797,"AAAAAFdj72M=")</f>
        <v>#VALUE!</v>
      </c>
      <c r="CW205" t="e">
        <f>AND('GA55 Entry'!#REF!,"AAAAAFdj72Q=")</f>
        <v>#REF!</v>
      </c>
      <c r="CX205" t="e">
        <f>AND('GA55 Entry'!E797,"AAAAAFdj72U=")</f>
        <v>#VALUE!</v>
      </c>
      <c r="CY205" t="e">
        <f>AND('GA55 Entry'!F797,"AAAAAFdj72Y=")</f>
        <v>#VALUE!</v>
      </c>
      <c r="CZ205" t="e">
        <f>AND('GA55 Entry'!G797,"AAAAAFdj72c=")</f>
        <v>#VALUE!</v>
      </c>
      <c r="DA205" t="e">
        <f>AND('GA55 Entry'!H797,"AAAAAFdj72g=")</f>
        <v>#VALUE!</v>
      </c>
      <c r="DB205" t="e">
        <f>AND('GA55 Entry'!I797,"AAAAAFdj72k=")</f>
        <v>#VALUE!</v>
      </c>
      <c r="DC205" t="e">
        <f>AND('GA55 Entry'!J797,"AAAAAFdj72o=")</f>
        <v>#VALUE!</v>
      </c>
      <c r="DD205" t="e">
        <f>AND('GA55 Entry'!#REF!,"AAAAAFdj72s=")</f>
        <v>#REF!</v>
      </c>
      <c r="DE205" t="e">
        <f>AND('GA55 Entry'!K797,"AAAAAFdj72w=")</f>
        <v>#VALUE!</v>
      </c>
      <c r="DF205" t="e">
        <f>AND('GA55 Entry'!L797,"AAAAAFdj720=")</f>
        <v>#VALUE!</v>
      </c>
      <c r="DG205" t="e">
        <f>AND('GA55 Entry'!M797,"AAAAAFdj724=")</f>
        <v>#VALUE!</v>
      </c>
      <c r="DH205" t="e">
        <f>AND('GA55 Entry'!N797,"AAAAAFdj728=")</f>
        <v>#VALUE!</v>
      </c>
      <c r="DI205" t="e">
        <f>AND('GA55 Entry'!O797,"AAAAAFdj73A=")</f>
        <v>#VALUE!</v>
      </c>
      <c r="DJ205" t="e">
        <f>AND('GA55 Entry'!P797,"AAAAAFdj73E=")</f>
        <v>#VALUE!</v>
      </c>
      <c r="DK205" t="e">
        <f>AND('GA55 Entry'!Q797,"AAAAAFdj73I=")</f>
        <v>#VALUE!</v>
      </c>
      <c r="DL205" t="e">
        <f>AND('GA55 Entry'!S797,"AAAAAFdj73M=")</f>
        <v>#VALUE!</v>
      </c>
      <c r="DM205" t="e">
        <f>AND('GA55 Entry'!#REF!,"AAAAAFdj73Q=")</f>
        <v>#REF!</v>
      </c>
      <c r="DN205" t="e">
        <f>AND('GA55 Entry'!T797,"AAAAAFdj73U=")</f>
        <v>#VALUE!</v>
      </c>
      <c r="DO205" t="e">
        <f>AND('GA55 Entry'!U797,"AAAAAFdj73Y=")</f>
        <v>#VALUE!</v>
      </c>
      <c r="DP205" t="e">
        <f>AND('GA55 Entry'!V797,"AAAAAFdj73c=")</f>
        <v>#VALUE!</v>
      </c>
      <c r="DQ205" t="e">
        <f>AND('GA55 Entry'!#REF!,"AAAAAFdj73g=")</f>
        <v>#REF!</v>
      </c>
      <c r="DR205" t="e">
        <f>AND('GA55 Entry'!#REF!,"AAAAAFdj73k=")</f>
        <v>#REF!</v>
      </c>
      <c r="DS205" t="e">
        <f>AND('GA55 Entry'!X797,"AAAAAFdj73o=")</f>
        <v>#VALUE!</v>
      </c>
      <c r="DT205" t="e">
        <f>AND('GA55 Entry'!Y797,"AAAAAFdj73s=")</f>
        <v>#VALUE!</v>
      </c>
      <c r="DU205" t="e">
        <f>AND('GA55 Entry'!#REF!,"AAAAAFdj73w=")</f>
        <v>#REF!</v>
      </c>
      <c r="DV205" t="e">
        <f>AND('GA55 Entry'!#REF!,"AAAAAFdj730=")</f>
        <v>#REF!</v>
      </c>
      <c r="DW205" t="e">
        <f>AND('GA55 Entry'!#REF!,"AAAAAFdj734=")</f>
        <v>#REF!</v>
      </c>
      <c r="DX205" t="e">
        <f>AND('GA55 Entry'!#REF!,"AAAAAFdj738=")</f>
        <v>#REF!</v>
      </c>
      <c r="DY205" t="e">
        <f>AND('GA55 Entry'!#REF!,"AAAAAFdj74A=")</f>
        <v>#REF!</v>
      </c>
      <c r="DZ205" t="e">
        <f>AND('GA55 Entry'!#REF!,"AAAAAFdj74E=")</f>
        <v>#REF!</v>
      </c>
      <c r="EA205" t="e">
        <f>AND('GA55 Entry'!#REF!,"AAAAAFdj74I=")</f>
        <v>#REF!</v>
      </c>
      <c r="EB205" t="e">
        <f>AND('GA55 Entry'!#REF!,"AAAAAFdj74M=")</f>
        <v>#REF!</v>
      </c>
      <c r="EC205" t="e">
        <f>AND('GA55 Entry'!#REF!,"AAAAAFdj74Q=")</f>
        <v>#REF!</v>
      </c>
      <c r="ED205" t="e">
        <f>AND('GA55 Entry'!Z797,"AAAAAFdj74U=")</f>
        <v>#VALUE!</v>
      </c>
      <c r="EE205" t="e">
        <f>AND('GA55 Entry'!AA797,"AAAAAFdj74Y=")</f>
        <v>#VALUE!</v>
      </c>
      <c r="EF205" t="e">
        <f>AND('GA55 Entry'!#REF!,"AAAAAFdj74c=")</f>
        <v>#REF!</v>
      </c>
      <c r="EG205" t="e">
        <f>AND('GA55 Entry'!#REF!,"AAAAAFdj74g=")</f>
        <v>#REF!</v>
      </c>
      <c r="EH205" t="e">
        <f>AND('GA55 Entry'!#REF!,"AAAAAFdj74k=")</f>
        <v>#REF!</v>
      </c>
      <c r="EI205" t="e">
        <f>AND('GA55 Entry'!AB797,"AAAAAFdj74o=")</f>
        <v>#VALUE!</v>
      </c>
      <c r="EJ205" t="e">
        <f>AND('GA55 Entry'!AC797,"AAAAAFdj74s=")</f>
        <v>#VALUE!</v>
      </c>
      <c r="EK205" t="e">
        <f>AND('GA55 Entry'!#REF!,"AAAAAFdj74w=")</f>
        <v>#REF!</v>
      </c>
      <c r="EL205">
        <f>IF('GA55 Entry'!798:798,"AAAAAFdj740=",0)</f>
        <v>0</v>
      </c>
      <c r="EM205" t="e">
        <f>AND('GA55 Entry'!B798,"AAAAAFdj744=")</f>
        <v>#VALUE!</v>
      </c>
      <c r="EN205" t="e">
        <f>AND('GA55 Entry'!#REF!,"AAAAAFdj748=")</f>
        <v>#REF!</v>
      </c>
      <c r="EO205" t="e">
        <f>AND('GA55 Entry'!C798,"AAAAAFdj75A=")</f>
        <v>#VALUE!</v>
      </c>
      <c r="EP205" t="e">
        <f>AND('GA55 Entry'!#REF!,"AAAAAFdj75E=")</f>
        <v>#REF!</v>
      </c>
      <c r="EQ205" t="e">
        <f>AND('GA55 Entry'!#REF!,"AAAAAFdj75I=")</f>
        <v>#REF!</v>
      </c>
      <c r="ER205" t="e">
        <f>AND('GA55 Entry'!#REF!,"AAAAAFdj75M=")</f>
        <v>#REF!</v>
      </c>
      <c r="ES205" t="e">
        <f>AND('GA55 Entry'!#REF!,"AAAAAFdj75Q=")</f>
        <v>#REF!</v>
      </c>
      <c r="ET205" t="e">
        <f>AND('GA55 Entry'!#REF!,"AAAAAFdj75U=")</f>
        <v>#REF!</v>
      </c>
      <c r="EU205" t="e">
        <f>AND('GA55 Entry'!D798,"AAAAAFdj75Y=")</f>
        <v>#VALUE!</v>
      </c>
      <c r="EV205" t="e">
        <f>AND('GA55 Entry'!#REF!,"AAAAAFdj75c=")</f>
        <v>#REF!</v>
      </c>
      <c r="EW205" t="e">
        <f>AND('GA55 Entry'!E798,"AAAAAFdj75g=")</f>
        <v>#VALUE!</v>
      </c>
      <c r="EX205" t="e">
        <f>AND('GA55 Entry'!F798,"AAAAAFdj75k=")</f>
        <v>#VALUE!</v>
      </c>
      <c r="EY205" t="e">
        <f>AND('GA55 Entry'!G798,"AAAAAFdj75o=")</f>
        <v>#VALUE!</v>
      </c>
      <c r="EZ205" t="e">
        <f>AND('GA55 Entry'!H798,"AAAAAFdj75s=")</f>
        <v>#VALUE!</v>
      </c>
      <c r="FA205" t="e">
        <f>AND('GA55 Entry'!I798,"AAAAAFdj75w=")</f>
        <v>#VALUE!</v>
      </c>
      <c r="FB205" t="e">
        <f>AND('GA55 Entry'!J798,"AAAAAFdj750=")</f>
        <v>#VALUE!</v>
      </c>
      <c r="FC205" t="e">
        <f>AND('GA55 Entry'!#REF!,"AAAAAFdj754=")</f>
        <v>#REF!</v>
      </c>
      <c r="FD205" t="e">
        <f>AND('GA55 Entry'!K798,"AAAAAFdj758=")</f>
        <v>#VALUE!</v>
      </c>
      <c r="FE205" t="e">
        <f>AND('GA55 Entry'!L798,"AAAAAFdj76A=")</f>
        <v>#VALUE!</v>
      </c>
      <c r="FF205" t="e">
        <f>AND('GA55 Entry'!M798,"AAAAAFdj76E=")</f>
        <v>#VALUE!</v>
      </c>
      <c r="FG205" t="e">
        <f>AND('GA55 Entry'!N798,"AAAAAFdj76I=")</f>
        <v>#VALUE!</v>
      </c>
      <c r="FH205" t="e">
        <f>AND('GA55 Entry'!O798,"AAAAAFdj76M=")</f>
        <v>#VALUE!</v>
      </c>
      <c r="FI205" t="e">
        <f>AND('GA55 Entry'!P798,"AAAAAFdj76Q=")</f>
        <v>#VALUE!</v>
      </c>
      <c r="FJ205" t="e">
        <f>AND('GA55 Entry'!Q798,"AAAAAFdj76U=")</f>
        <v>#VALUE!</v>
      </c>
      <c r="FK205" t="e">
        <f>AND('GA55 Entry'!S798,"AAAAAFdj76Y=")</f>
        <v>#VALUE!</v>
      </c>
      <c r="FL205" t="e">
        <f>AND('GA55 Entry'!#REF!,"AAAAAFdj76c=")</f>
        <v>#REF!</v>
      </c>
      <c r="FM205" t="e">
        <f>AND('GA55 Entry'!T798,"AAAAAFdj76g=")</f>
        <v>#VALUE!</v>
      </c>
      <c r="FN205" t="e">
        <f>AND('GA55 Entry'!U798,"AAAAAFdj76k=")</f>
        <v>#VALUE!</v>
      </c>
      <c r="FO205" t="e">
        <f>AND('GA55 Entry'!V798,"AAAAAFdj76o=")</f>
        <v>#VALUE!</v>
      </c>
      <c r="FP205" t="e">
        <f>AND('GA55 Entry'!#REF!,"AAAAAFdj76s=")</f>
        <v>#REF!</v>
      </c>
      <c r="FQ205" t="e">
        <f>AND('GA55 Entry'!#REF!,"AAAAAFdj76w=")</f>
        <v>#REF!</v>
      </c>
      <c r="FR205" t="e">
        <f>AND('GA55 Entry'!X798,"AAAAAFdj760=")</f>
        <v>#VALUE!</v>
      </c>
      <c r="FS205" t="e">
        <f>AND('GA55 Entry'!Y798,"AAAAAFdj764=")</f>
        <v>#VALUE!</v>
      </c>
      <c r="FT205" t="e">
        <f>AND('GA55 Entry'!#REF!,"AAAAAFdj768=")</f>
        <v>#REF!</v>
      </c>
      <c r="FU205" t="e">
        <f>AND('GA55 Entry'!#REF!,"AAAAAFdj77A=")</f>
        <v>#REF!</v>
      </c>
      <c r="FV205" t="e">
        <f>AND('GA55 Entry'!#REF!,"AAAAAFdj77E=")</f>
        <v>#REF!</v>
      </c>
      <c r="FW205" t="e">
        <f>AND('GA55 Entry'!#REF!,"AAAAAFdj77I=")</f>
        <v>#REF!</v>
      </c>
      <c r="FX205" t="e">
        <f>AND('GA55 Entry'!#REF!,"AAAAAFdj77M=")</f>
        <v>#REF!</v>
      </c>
      <c r="FY205" t="e">
        <f>AND('GA55 Entry'!#REF!,"AAAAAFdj77Q=")</f>
        <v>#REF!</v>
      </c>
      <c r="FZ205" t="e">
        <f>AND('GA55 Entry'!#REF!,"AAAAAFdj77U=")</f>
        <v>#REF!</v>
      </c>
      <c r="GA205" t="e">
        <f>AND('GA55 Entry'!#REF!,"AAAAAFdj77Y=")</f>
        <v>#REF!</v>
      </c>
      <c r="GB205" t="e">
        <f>AND('GA55 Entry'!#REF!,"AAAAAFdj77c=")</f>
        <v>#REF!</v>
      </c>
      <c r="GC205" t="e">
        <f>AND('GA55 Entry'!Z798,"AAAAAFdj77g=")</f>
        <v>#VALUE!</v>
      </c>
      <c r="GD205" t="e">
        <f>AND('GA55 Entry'!AA798,"AAAAAFdj77k=")</f>
        <v>#VALUE!</v>
      </c>
      <c r="GE205" t="e">
        <f>AND('GA55 Entry'!#REF!,"AAAAAFdj77o=")</f>
        <v>#REF!</v>
      </c>
      <c r="GF205" t="e">
        <f>AND('GA55 Entry'!#REF!,"AAAAAFdj77s=")</f>
        <v>#REF!</v>
      </c>
      <c r="GG205" t="e">
        <f>AND('GA55 Entry'!#REF!,"AAAAAFdj77w=")</f>
        <v>#REF!</v>
      </c>
      <c r="GH205" t="e">
        <f>AND('GA55 Entry'!AB798,"AAAAAFdj770=")</f>
        <v>#VALUE!</v>
      </c>
      <c r="GI205" t="e">
        <f>AND('GA55 Entry'!AC798,"AAAAAFdj774=")</f>
        <v>#VALUE!</v>
      </c>
      <c r="GJ205" t="e">
        <f>AND('GA55 Entry'!#REF!,"AAAAAFdj778=")</f>
        <v>#REF!</v>
      </c>
      <c r="GK205">
        <f>IF('GA55 Entry'!799:799,"AAAAAFdj78A=",0)</f>
        <v>0</v>
      </c>
      <c r="GL205" t="e">
        <f>AND('GA55 Entry'!B799,"AAAAAFdj78E=")</f>
        <v>#VALUE!</v>
      </c>
      <c r="GM205" t="e">
        <f>AND('GA55 Entry'!#REF!,"AAAAAFdj78I=")</f>
        <v>#REF!</v>
      </c>
      <c r="GN205" t="e">
        <f>AND('GA55 Entry'!C799,"AAAAAFdj78M=")</f>
        <v>#VALUE!</v>
      </c>
      <c r="GO205" t="e">
        <f>AND('GA55 Entry'!#REF!,"AAAAAFdj78Q=")</f>
        <v>#REF!</v>
      </c>
      <c r="GP205" t="e">
        <f>AND('GA55 Entry'!#REF!,"AAAAAFdj78U=")</f>
        <v>#REF!</v>
      </c>
      <c r="GQ205" t="e">
        <f>AND('GA55 Entry'!#REF!,"AAAAAFdj78Y=")</f>
        <v>#REF!</v>
      </c>
      <c r="GR205" t="e">
        <f>AND('GA55 Entry'!#REF!,"AAAAAFdj78c=")</f>
        <v>#REF!</v>
      </c>
      <c r="GS205" t="e">
        <f>AND('GA55 Entry'!#REF!,"AAAAAFdj78g=")</f>
        <v>#REF!</v>
      </c>
      <c r="GT205" t="e">
        <f>AND('GA55 Entry'!D799,"AAAAAFdj78k=")</f>
        <v>#VALUE!</v>
      </c>
      <c r="GU205" t="e">
        <f>AND('GA55 Entry'!#REF!,"AAAAAFdj78o=")</f>
        <v>#REF!</v>
      </c>
      <c r="GV205" t="e">
        <f>AND('GA55 Entry'!E799,"AAAAAFdj78s=")</f>
        <v>#VALUE!</v>
      </c>
      <c r="GW205" t="e">
        <f>AND('GA55 Entry'!F799,"AAAAAFdj78w=")</f>
        <v>#VALUE!</v>
      </c>
      <c r="GX205" t="e">
        <f>AND('GA55 Entry'!G799,"AAAAAFdj780=")</f>
        <v>#VALUE!</v>
      </c>
      <c r="GY205" t="e">
        <f>AND('GA55 Entry'!H799,"AAAAAFdj784=")</f>
        <v>#VALUE!</v>
      </c>
      <c r="GZ205" t="e">
        <f>AND('GA55 Entry'!I799,"AAAAAFdj788=")</f>
        <v>#VALUE!</v>
      </c>
      <c r="HA205" t="e">
        <f>AND('GA55 Entry'!J799,"AAAAAFdj79A=")</f>
        <v>#VALUE!</v>
      </c>
      <c r="HB205" t="e">
        <f>AND('GA55 Entry'!#REF!,"AAAAAFdj79E=")</f>
        <v>#REF!</v>
      </c>
      <c r="HC205" t="e">
        <f>AND('GA55 Entry'!K799,"AAAAAFdj79I=")</f>
        <v>#VALUE!</v>
      </c>
      <c r="HD205" t="e">
        <f>AND('GA55 Entry'!L799,"AAAAAFdj79M=")</f>
        <v>#VALUE!</v>
      </c>
      <c r="HE205" t="e">
        <f>AND('GA55 Entry'!M799,"AAAAAFdj79Q=")</f>
        <v>#VALUE!</v>
      </c>
      <c r="HF205" t="e">
        <f>AND('GA55 Entry'!N799,"AAAAAFdj79U=")</f>
        <v>#VALUE!</v>
      </c>
      <c r="HG205" t="e">
        <f>AND('GA55 Entry'!O799,"AAAAAFdj79Y=")</f>
        <v>#VALUE!</v>
      </c>
      <c r="HH205" t="e">
        <f>AND('GA55 Entry'!P799,"AAAAAFdj79c=")</f>
        <v>#VALUE!</v>
      </c>
      <c r="HI205" t="e">
        <f>AND('GA55 Entry'!Q799,"AAAAAFdj79g=")</f>
        <v>#VALUE!</v>
      </c>
      <c r="HJ205" t="e">
        <f>AND('GA55 Entry'!S799,"AAAAAFdj79k=")</f>
        <v>#VALUE!</v>
      </c>
      <c r="HK205" t="e">
        <f>AND('GA55 Entry'!#REF!,"AAAAAFdj79o=")</f>
        <v>#REF!</v>
      </c>
      <c r="HL205" t="e">
        <f>AND('GA55 Entry'!T799,"AAAAAFdj79s=")</f>
        <v>#VALUE!</v>
      </c>
      <c r="HM205" t="e">
        <f>AND('GA55 Entry'!U799,"AAAAAFdj79w=")</f>
        <v>#VALUE!</v>
      </c>
      <c r="HN205" t="e">
        <f>AND('GA55 Entry'!V799,"AAAAAFdj790=")</f>
        <v>#VALUE!</v>
      </c>
      <c r="HO205" t="e">
        <f>AND('GA55 Entry'!#REF!,"AAAAAFdj794=")</f>
        <v>#REF!</v>
      </c>
      <c r="HP205" t="e">
        <f>AND('GA55 Entry'!#REF!,"AAAAAFdj798=")</f>
        <v>#REF!</v>
      </c>
      <c r="HQ205" t="e">
        <f>AND('GA55 Entry'!X799,"AAAAAFdj7+A=")</f>
        <v>#VALUE!</v>
      </c>
      <c r="HR205" t="e">
        <f>AND('GA55 Entry'!Y799,"AAAAAFdj7+E=")</f>
        <v>#VALUE!</v>
      </c>
      <c r="HS205" t="e">
        <f>AND('GA55 Entry'!#REF!,"AAAAAFdj7+I=")</f>
        <v>#REF!</v>
      </c>
      <c r="HT205" t="e">
        <f>AND('GA55 Entry'!#REF!,"AAAAAFdj7+M=")</f>
        <v>#REF!</v>
      </c>
      <c r="HU205" t="e">
        <f>AND('GA55 Entry'!#REF!,"AAAAAFdj7+Q=")</f>
        <v>#REF!</v>
      </c>
      <c r="HV205" t="e">
        <f>AND('GA55 Entry'!#REF!,"AAAAAFdj7+U=")</f>
        <v>#REF!</v>
      </c>
      <c r="HW205" t="e">
        <f>AND('GA55 Entry'!#REF!,"AAAAAFdj7+Y=")</f>
        <v>#REF!</v>
      </c>
      <c r="HX205" t="e">
        <f>AND('GA55 Entry'!#REF!,"AAAAAFdj7+c=")</f>
        <v>#REF!</v>
      </c>
      <c r="HY205" t="e">
        <f>AND('GA55 Entry'!#REF!,"AAAAAFdj7+g=")</f>
        <v>#REF!</v>
      </c>
      <c r="HZ205" t="e">
        <f>AND('GA55 Entry'!#REF!,"AAAAAFdj7+k=")</f>
        <v>#REF!</v>
      </c>
      <c r="IA205" t="e">
        <f>AND('GA55 Entry'!#REF!,"AAAAAFdj7+o=")</f>
        <v>#REF!</v>
      </c>
      <c r="IB205" t="e">
        <f>AND('GA55 Entry'!Z799,"AAAAAFdj7+s=")</f>
        <v>#VALUE!</v>
      </c>
      <c r="IC205" t="e">
        <f>AND('GA55 Entry'!AA799,"AAAAAFdj7+w=")</f>
        <v>#VALUE!</v>
      </c>
      <c r="ID205" t="e">
        <f>AND('GA55 Entry'!#REF!,"AAAAAFdj7+0=")</f>
        <v>#REF!</v>
      </c>
      <c r="IE205" t="e">
        <f>AND('GA55 Entry'!#REF!,"AAAAAFdj7+4=")</f>
        <v>#REF!</v>
      </c>
      <c r="IF205" t="e">
        <f>AND('GA55 Entry'!#REF!,"AAAAAFdj7+8=")</f>
        <v>#REF!</v>
      </c>
      <c r="IG205" t="e">
        <f>AND('GA55 Entry'!AB799,"AAAAAFdj7/A=")</f>
        <v>#VALUE!</v>
      </c>
      <c r="IH205" t="e">
        <f>AND('GA55 Entry'!AC799,"AAAAAFdj7/E=")</f>
        <v>#VALUE!</v>
      </c>
      <c r="II205" t="e">
        <f>AND('GA55 Entry'!#REF!,"AAAAAFdj7/I=")</f>
        <v>#REF!</v>
      </c>
      <c r="IJ205">
        <f>IF('GA55 Entry'!800:800,"AAAAAFdj7/M=",0)</f>
        <v>0</v>
      </c>
      <c r="IK205" t="e">
        <f>AND('GA55 Entry'!B800,"AAAAAFdj7/Q=")</f>
        <v>#VALUE!</v>
      </c>
      <c r="IL205" t="e">
        <f>AND('GA55 Entry'!#REF!,"AAAAAFdj7/U=")</f>
        <v>#REF!</v>
      </c>
      <c r="IM205" t="e">
        <f>AND('GA55 Entry'!C800,"AAAAAFdj7/Y=")</f>
        <v>#VALUE!</v>
      </c>
      <c r="IN205" t="e">
        <f>AND('GA55 Entry'!#REF!,"AAAAAFdj7/c=")</f>
        <v>#REF!</v>
      </c>
      <c r="IO205" t="e">
        <f>AND('GA55 Entry'!#REF!,"AAAAAFdj7/g=")</f>
        <v>#REF!</v>
      </c>
      <c r="IP205" t="e">
        <f>AND('GA55 Entry'!#REF!,"AAAAAFdj7/k=")</f>
        <v>#REF!</v>
      </c>
      <c r="IQ205" t="e">
        <f>AND('GA55 Entry'!#REF!,"AAAAAFdj7/o=")</f>
        <v>#REF!</v>
      </c>
      <c r="IR205" t="e">
        <f>AND('GA55 Entry'!#REF!,"AAAAAFdj7/s=")</f>
        <v>#REF!</v>
      </c>
      <c r="IS205" t="e">
        <f>AND('GA55 Entry'!D800,"AAAAAFdj7/w=")</f>
        <v>#VALUE!</v>
      </c>
      <c r="IT205" t="e">
        <f>AND('GA55 Entry'!#REF!,"AAAAAFdj7/0=")</f>
        <v>#REF!</v>
      </c>
      <c r="IU205" t="e">
        <f>AND('GA55 Entry'!E800,"AAAAAFdj7/4=")</f>
        <v>#VALUE!</v>
      </c>
      <c r="IV205" t="e">
        <f>AND('GA55 Entry'!F800,"AAAAAFdj7/8=")</f>
        <v>#VALUE!</v>
      </c>
    </row>
    <row r="206" spans="1:256">
      <c r="A206" t="e">
        <f>AND('GA55 Entry'!G800,"AAAAAB/YewA=")</f>
        <v>#VALUE!</v>
      </c>
      <c r="B206" t="e">
        <f>AND('GA55 Entry'!H800,"AAAAAB/YewE=")</f>
        <v>#VALUE!</v>
      </c>
      <c r="C206" t="e">
        <f>AND('GA55 Entry'!I800,"AAAAAB/YewI=")</f>
        <v>#VALUE!</v>
      </c>
      <c r="D206" t="e">
        <f>AND('GA55 Entry'!J800,"AAAAAB/YewM=")</f>
        <v>#VALUE!</v>
      </c>
      <c r="E206" t="e">
        <f>AND('GA55 Entry'!#REF!,"AAAAAB/YewQ=")</f>
        <v>#REF!</v>
      </c>
      <c r="F206" t="e">
        <f>AND('GA55 Entry'!K800,"AAAAAB/YewU=")</f>
        <v>#VALUE!</v>
      </c>
      <c r="G206" t="e">
        <f>AND('GA55 Entry'!L800,"AAAAAB/YewY=")</f>
        <v>#VALUE!</v>
      </c>
      <c r="H206" t="e">
        <f>AND('GA55 Entry'!M800,"AAAAAB/Yewc=")</f>
        <v>#VALUE!</v>
      </c>
      <c r="I206" t="e">
        <f>AND('GA55 Entry'!N800,"AAAAAB/Yewg=")</f>
        <v>#VALUE!</v>
      </c>
      <c r="J206" t="e">
        <f>AND('GA55 Entry'!O800,"AAAAAB/Yewk=")</f>
        <v>#VALUE!</v>
      </c>
      <c r="K206" t="e">
        <f>AND('GA55 Entry'!P800,"AAAAAB/Yewo=")</f>
        <v>#VALUE!</v>
      </c>
      <c r="L206" t="e">
        <f>AND('GA55 Entry'!Q800,"AAAAAB/Yews=")</f>
        <v>#VALUE!</v>
      </c>
      <c r="M206" t="e">
        <f>AND('GA55 Entry'!S800,"AAAAAB/Yeww=")</f>
        <v>#VALUE!</v>
      </c>
      <c r="N206" t="e">
        <f>AND('GA55 Entry'!#REF!,"AAAAAB/Yew0=")</f>
        <v>#REF!</v>
      </c>
      <c r="O206" t="e">
        <f>AND('GA55 Entry'!T800,"AAAAAB/Yew4=")</f>
        <v>#VALUE!</v>
      </c>
      <c r="P206" t="e">
        <f>AND('GA55 Entry'!U800,"AAAAAB/Yew8=")</f>
        <v>#VALUE!</v>
      </c>
      <c r="Q206" t="e">
        <f>AND('GA55 Entry'!V800,"AAAAAB/YexA=")</f>
        <v>#VALUE!</v>
      </c>
      <c r="R206" t="e">
        <f>AND('GA55 Entry'!#REF!,"AAAAAB/YexE=")</f>
        <v>#REF!</v>
      </c>
      <c r="S206" t="e">
        <f>AND('GA55 Entry'!#REF!,"AAAAAB/YexI=")</f>
        <v>#REF!</v>
      </c>
      <c r="T206" t="e">
        <f>AND('GA55 Entry'!X800,"AAAAAB/YexM=")</f>
        <v>#VALUE!</v>
      </c>
      <c r="U206" t="e">
        <f>AND('GA55 Entry'!Y800,"AAAAAB/YexQ=")</f>
        <v>#VALUE!</v>
      </c>
      <c r="V206" t="e">
        <f>AND('GA55 Entry'!#REF!,"AAAAAB/YexU=")</f>
        <v>#REF!</v>
      </c>
      <c r="W206" t="e">
        <f>AND('GA55 Entry'!#REF!,"AAAAAB/YexY=")</f>
        <v>#REF!</v>
      </c>
      <c r="X206" t="e">
        <f>AND('GA55 Entry'!#REF!,"AAAAAB/Yexc=")</f>
        <v>#REF!</v>
      </c>
      <c r="Y206" t="e">
        <f>AND('GA55 Entry'!#REF!,"AAAAAB/Yexg=")</f>
        <v>#REF!</v>
      </c>
      <c r="Z206" t="e">
        <f>AND('GA55 Entry'!#REF!,"AAAAAB/Yexk=")</f>
        <v>#REF!</v>
      </c>
      <c r="AA206" t="e">
        <f>AND('GA55 Entry'!#REF!,"AAAAAB/Yexo=")</f>
        <v>#REF!</v>
      </c>
      <c r="AB206" t="e">
        <f>AND('GA55 Entry'!#REF!,"AAAAAB/Yexs=")</f>
        <v>#REF!</v>
      </c>
      <c r="AC206" t="e">
        <f>AND('GA55 Entry'!#REF!,"AAAAAB/Yexw=")</f>
        <v>#REF!</v>
      </c>
      <c r="AD206" t="e">
        <f>AND('GA55 Entry'!#REF!,"AAAAAB/Yex0=")</f>
        <v>#REF!</v>
      </c>
      <c r="AE206" t="e">
        <f>AND('GA55 Entry'!Z800,"AAAAAB/Yex4=")</f>
        <v>#VALUE!</v>
      </c>
      <c r="AF206" t="e">
        <f>AND('GA55 Entry'!AA800,"AAAAAB/Yex8=")</f>
        <v>#VALUE!</v>
      </c>
      <c r="AG206" t="e">
        <f>AND('GA55 Entry'!#REF!,"AAAAAB/YeyA=")</f>
        <v>#REF!</v>
      </c>
      <c r="AH206" t="e">
        <f>AND('GA55 Entry'!#REF!,"AAAAAB/YeyE=")</f>
        <v>#REF!</v>
      </c>
      <c r="AI206" t="e">
        <f>AND('GA55 Entry'!#REF!,"AAAAAB/YeyI=")</f>
        <v>#REF!</v>
      </c>
      <c r="AJ206" t="e">
        <f>AND('GA55 Entry'!AB800,"AAAAAB/YeyM=")</f>
        <v>#VALUE!</v>
      </c>
      <c r="AK206" t="e">
        <f>AND('GA55 Entry'!AC800,"AAAAAB/YeyQ=")</f>
        <v>#VALUE!</v>
      </c>
      <c r="AL206" t="e">
        <f>AND('GA55 Entry'!#REF!,"AAAAAB/YeyU=")</f>
        <v>#REF!</v>
      </c>
      <c r="AM206">
        <f>IF('GA55 Entry'!801:801,"AAAAAB/YeyY=",0)</f>
        <v>0</v>
      </c>
      <c r="AN206" t="e">
        <f>AND('GA55 Entry'!B801,"AAAAAB/Yeyc=")</f>
        <v>#VALUE!</v>
      </c>
      <c r="AO206" t="e">
        <f>AND('GA55 Entry'!#REF!,"AAAAAB/Yeyg=")</f>
        <v>#REF!</v>
      </c>
      <c r="AP206" t="e">
        <f>AND('GA55 Entry'!C801,"AAAAAB/Yeyk=")</f>
        <v>#VALUE!</v>
      </c>
      <c r="AQ206" t="e">
        <f>AND('GA55 Entry'!#REF!,"AAAAAB/Yeyo=")</f>
        <v>#REF!</v>
      </c>
      <c r="AR206" t="e">
        <f>AND('GA55 Entry'!#REF!,"AAAAAB/Yeys=")</f>
        <v>#REF!</v>
      </c>
      <c r="AS206" t="e">
        <f>AND('GA55 Entry'!#REF!,"AAAAAB/Yeyw=")</f>
        <v>#REF!</v>
      </c>
      <c r="AT206" t="e">
        <f>AND('GA55 Entry'!#REF!,"AAAAAB/Yey0=")</f>
        <v>#REF!</v>
      </c>
      <c r="AU206" t="e">
        <f>AND('GA55 Entry'!#REF!,"AAAAAB/Yey4=")</f>
        <v>#REF!</v>
      </c>
      <c r="AV206" t="e">
        <f>AND('GA55 Entry'!D801,"AAAAAB/Yey8=")</f>
        <v>#VALUE!</v>
      </c>
      <c r="AW206" t="e">
        <f>AND('GA55 Entry'!#REF!,"AAAAAB/YezA=")</f>
        <v>#REF!</v>
      </c>
      <c r="AX206" t="e">
        <f>AND('GA55 Entry'!E801,"AAAAAB/YezE=")</f>
        <v>#VALUE!</v>
      </c>
      <c r="AY206" t="e">
        <f>AND('GA55 Entry'!F801,"AAAAAB/YezI=")</f>
        <v>#VALUE!</v>
      </c>
      <c r="AZ206" t="e">
        <f>AND('GA55 Entry'!G801,"AAAAAB/YezM=")</f>
        <v>#VALUE!</v>
      </c>
      <c r="BA206" t="e">
        <f>AND('GA55 Entry'!H801,"AAAAAB/YezQ=")</f>
        <v>#VALUE!</v>
      </c>
      <c r="BB206" t="e">
        <f>AND('GA55 Entry'!I801,"AAAAAB/YezU=")</f>
        <v>#VALUE!</v>
      </c>
      <c r="BC206" t="e">
        <f>AND('GA55 Entry'!J801,"AAAAAB/YezY=")</f>
        <v>#VALUE!</v>
      </c>
      <c r="BD206" t="e">
        <f>AND('GA55 Entry'!#REF!,"AAAAAB/Yezc=")</f>
        <v>#REF!</v>
      </c>
      <c r="BE206" t="e">
        <f>AND('GA55 Entry'!K801,"AAAAAB/Yezg=")</f>
        <v>#VALUE!</v>
      </c>
      <c r="BF206" t="e">
        <f>AND('GA55 Entry'!L801,"AAAAAB/Yezk=")</f>
        <v>#VALUE!</v>
      </c>
      <c r="BG206" t="e">
        <f>AND('GA55 Entry'!M801,"AAAAAB/Yezo=")</f>
        <v>#VALUE!</v>
      </c>
      <c r="BH206" t="e">
        <f>AND('GA55 Entry'!N801,"AAAAAB/Yezs=")</f>
        <v>#VALUE!</v>
      </c>
      <c r="BI206" t="e">
        <f>AND('GA55 Entry'!O801,"AAAAAB/Yezw=")</f>
        <v>#VALUE!</v>
      </c>
      <c r="BJ206" t="e">
        <f>AND('GA55 Entry'!P801,"AAAAAB/Yez0=")</f>
        <v>#VALUE!</v>
      </c>
      <c r="BK206" t="e">
        <f>AND('GA55 Entry'!Q801,"AAAAAB/Yez4=")</f>
        <v>#VALUE!</v>
      </c>
      <c r="BL206" t="e">
        <f>AND('GA55 Entry'!S801,"AAAAAB/Yez8=")</f>
        <v>#VALUE!</v>
      </c>
      <c r="BM206" t="e">
        <f>AND('GA55 Entry'!#REF!,"AAAAAB/Ye0A=")</f>
        <v>#REF!</v>
      </c>
      <c r="BN206" t="e">
        <f>AND('GA55 Entry'!T801,"AAAAAB/Ye0E=")</f>
        <v>#VALUE!</v>
      </c>
      <c r="BO206" t="e">
        <f>AND('GA55 Entry'!U801,"AAAAAB/Ye0I=")</f>
        <v>#VALUE!</v>
      </c>
      <c r="BP206" t="e">
        <f>AND('GA55 Entry'!V801,"AAAAAB/Ye0M=")</f>
        <v>#VALUE!</v>
      </c>
      <c r="BQ206" t="e">
        <f>AND('GA55 Entry'!#REF!,"AAAAAB/Ye0Q=")</f>
        <v>#REF!</v>
      </c>
      <c r="BR206" t="e">
        <f>AND('GA55 Entry'!#REF!,"AAAAAB/Ye0U=")</f>
        <v>#REF!</v>
      </c>
      <c r="BS206" t="e">
        <f>AND('GA55 Entry'!X801,"AAAAAB/Ye0Y=")</f>
        <v>#VALUE!</v>
      </c>
      <c r="BT206" t="e">
        <f>AND('GA55 Entry'!Y801,"AAAAAB/Ye0c=")</f>
        <v>#VALUE!</v>
      </c>
      <c r="BU206" t="e">
        <f>AND('GA55 Entry'!#REF!,"AAAAAB/Ye0g=")</f>
        <v>#REF!</v>
      </c>
      <c r="BV206" t="e">
        <f>AND('GA55 Entry'!#REF!,"AAAAAB/Ye0k=")</f>
        <v>#REF!</v>
      </c>
      <c r="BW206" t="e">
        <f>AND('GA55 Entry'!#REF!,"AAAAAB/Ye0o=")</f>
        <v>#REF!</v>
      </c>
      <c r="BX206" t="e">
        <f>AND('GA55 Entry'!#REF!,"AAAAAB/Ye0s=")</f>
        <v>#REF!</v>
      </c>
      <c r="BY206" t="e">
        <f>AND('GA55 Entry'!#REF!,"AAAAAB/Ye0w=")</f>
        <v>#REF!</v>
      </c>
      <c r="BZ206" t="e">
        <f>AND('GA55 Entry'!#REF!,"AAAAAB/Ye00=")</f>
        <v>#REF!</v>
      </c>
      <c r="CA206" t="e">
        <f>AND('GA55 Entry'!#REF!,"AAAAAB/Ye04=")</f>
        <v>#REF!</v>
      </c>
      <c r="CB206" t="e">
        <f>AND('GA55 Entry'!#REF!,"AAAAAB/Ye08=")</f>
        <v>#REF!</v>
      </c>
      <c r="CC206" t="e">
        <f>AND('GA55 Entry'!#REF!,"AAAAAB/Ye1A=")</f>
        <v>#REF!</v>
      </c>
      <c r="CD206" t="e">
        <f>AND('GA55 Entry'!Z801,"AAAAAB/Ye1E=")</f>
        <v>#VALUE!</v>
      </c>
      <c r="CE206" t="e">
        <f>AND('GA55 Entry'!AA801,"AAAAAB/Ye1I=")</f>
        <v>#VALUE!</v>
      </c>
      <c r="CF206" t="e">
        <f>AND('GA55 Entry'!#REF!,"AAAAAB/Ye1M=")</f>
        <v>#REF!</v>
      </c>
      <c r="CG206" t="e">
        <f>AND('GA55 Entry'!#REF!,"AAAAAB/Ye1Q=")</f>
        <v>#REF!</v>
      </c>
      <c r="CH206" t="e">
        <f>AND('GA55 Entry'!#REF!,"AAAAAB/Ye1U=")</f>
        <v>#REF!</v>
      </c>
      <c r="CI206" t="e">
        <f>AND('GA55 Entry'!AB801,"AAAAAB/Ye1Y=")</f>
        <v>#VALUE!</v>
      </c>
      <c r="CJ206" t="e">
        <f>AND('GA55 Entry'!AC801,"AAAAAB/Ye1c=")</f>
        <v>#VALUE!</v>
      </c>
      <c r="CK206" t="e">
        <f>AND('GA55 Entry'!#REF!,"AAAAAB/Ye1g=")</f>
        <v>#REF!</v>
      </c>
      <c r="CL206">
        <f>IF('GA55 Entry'!802:802,"AAAAAB/Ye1k=",0)</f>
        <v>0</v>
      </c>
      <c r="CM206" t="e">
        <f>AND('GA55 Entry'!B802,"AAAAAB/Ye1o=")</f>
        <v>#VALUE!</v>
      </c>
      <c r="CN206" t="e">
        <f>AND('GA55 Entry'!#REF!,"AAAAAB/Ye1s=")</f>
        <v>#REF!</v>
      </c>
      <c r="CO206" t="e">
        <f>AND('GA55 Entry'!C802,"AAAAAB/Ye1w=")</f>
        <v>#VALUE!</v>
      </c>
      <c r="CP206" t="e">
        <f>AND('GA55 Entry'!#REF!,"AAAAAB/Ye10=")</f>
        <v>#REF!</v>
      </c>
      <c r="CQ206" t="e">
        <f>AND('GA55 Entry'!#REF!,"AAAAAB/Ye14=")</f>
        <v>#REF!</v>
      </c>
      <c r="CR206" t="e">
        <f>AND('GA55 Entry'!#REF!,"AAAAAB/Ye18=")</f>
        <v>#REF!</v>
      </c>
      <c r="CS206" t="e">
        <f>AND('GA55 Entry'!#REF!,"AAAAAB/Ye2A=")</f>
        <v>#REF!</v>
      </c>
      <c r="CT206" t="e">
        <f>AND('GA55 Entry'!#REF!,"AAAAAB/Ye2E=")</f>
        <v>#REF!</v>
      </c>
      <c r="CU206" t="e">
        <f>AND('GA55 Entry'!D802,"AAAAAB/Ye2I=")</f>
        <v>#VALUE!</v>
      </c>
      <c r="CV206" t="e">
        <f>AND('GA55 Entry'!#REF!,"AAAAAB/Ye2M=")</f>
        <v>#REF!</v>
      </c>
      <c r="CW206" t="e">
        <f>AND('GA55 Entry'!E802,"AAAAAB/Ye2Q=")</f>
        <v>#VALUE!</v>
      </c>
      <c r="CX206" t="e">
        <f>AND('GA55 Entry'!F802,"AAAAAB/Ye2U=")</f>
        <v>#VALUE!</v>
      </c>
      <c r="CY206" t="e">
        <f>AND('GA55 Entry'!G802,"AAAAAB/Ye2Y=")</f>
        <v>#VALUE!</v>
      </c>
      <c r="CZ206" t="e">
        <f>AND('GA55 Entry'!H802,"AAAAAB/Ye2c=")</f>
        <v>#VALUE!</v>
      </c>
      <c r="DA206" t="e">
        <f>AND('GA55 Entry'!I802,"AAAAAB/Ye2g=")</f>
        <v>#VALUE!</v>
      </c>
      <c r="DB206" t="e">
        <f>AND('GA55 Entry'!J802,"AAAAAB/Ye2k=")</f>
        <v>#VALUE!</v>
      </c>
      <c r="DC206" t="e">
        <f>AND('GA55 Entry'!#REF!,"AAAAAB/Ye2o=")</f>
        <v>#REF!</v>
      </c>
      <c r="DD206" t="e">
        <f>AND('GA55 Entry'!K802,"AAAAAB/Ye2s=")</f>
        <v>#VALUE!</v>
      </c>
      <c r="DE206" t="e">
        <f>AND('GA55 Entry'!L802,"AAAAAB/Ye2w=")</f>
        <v>#VALUE!</v>
      </c>
      <c r="DF206" t="e">
        <f>AND('GA55 Entry'!M802,"AAAAAB/Ye20=")</f>
        <v>#VALUE!</v>
      </c>
      <c r="DG206" t="e">
        <f>AND('GA55 Entry'!N802,"AAAAAB/Ye24=")</f>
        <v>#VALUE!</v>
      </c>
      <c r="DH206" t="e">
        <f>AND('GA55 Entry'!O802,"AAAAAB/Ye28=")</f>
        <v>#VALUE!</v>
      </c>
      <c r="DI206" t="e">
        <f>AND('GA55 Entry'!P802,"AAAAAB/Ye3A=")</f>
        <v>#VALUE!</v>
      </c>
      <c r="DJ206" t="e">
        <f>AND('GA55 Entry'!Q802,"AAAAAB/Ye3E=")</f>
        <v>#VALUE!</v>
      </c>
      <c r="DK206" t="e">
        <f>AND('GA55 Entry'!S802,"AAAAAB/Ye3I=")</f>
        <v>#VALUE!</v>
      </c>
      <c r="DL206" t="e">
        <f>AND('GA55 Entry'!#REF!,"AAAAAB/Ye3M=")</f>
        <v>#REF!</v>
      </c>
      <c r="DM206" t="e">
        <f>AND('GA55 Entry'!T802,"AAAAAB/Ye3Q=")</f>
        <v>#VALUE!</v>
      </c>
      <c r="DN206" t="e">
        <f>AND('GA55 Entry'!U802,"AAAAAB/Ye3U=")</f>
        <v>#VALUE!</v>
      </c>
      <c r="DO206" t="e">
        <f>AND('GA55 Entry'!V802,"AAAAAB/Ye3Y=")</f>
        <v>#VALUE!</v>
      </c>
      <c r="DP206" t="e">
        <f>AND('GA55 Entry'!#REF!,"AAAAAB/Ye3c=")</f>
        <v>#REF!</v>
      </c>
      <c r="DQ206" t="e">
        <f>AND('GA55 Entry'!#REF!,"AAAAAB/Ye3g=")</f>
        <v>#REF!</v>
      </c>
      <c r="DR206" t="e">
        <f>AND('GA55 Entry'!X802,"AAAAAB/Ye3k=")</f>
        <v>#VALUE!</v>
      </c>
      <c r="DS206" t="e">
        <f>AND('GA55 Entry'!Y802,"AAAAAB/Ye3o=")</f>
        <v>#VALUE!</v>
      </c>
      <c r="DT206" t="e">
        <f>AND('GA55 Entry'!#REF!,"AAAAAB/Ye3s=")</f>
        <v>#REF!</v>
      </c>
      <c r="DU206" t="e">
        <f>AND('GA55 Entry'!#REF!,"AAAAAB/Ye3w=")</f>
        <v>#REF!</v>
      </c>
      <c r="DV206" t="e">
        <f>AND('GA55 Entry'!#REF!,"AAAAAB/Ye30=")</f>
        <v>#REF!</v>
      </c>
      <c r="DW206" t="e">
        <f>AND('GA55 Entry'!#REF!,"AAAAAB/Ye34=")</f>
        <v>#REF!</v>
      </c>
      <c r="DX206" t="e">
        <f>AND('GA55 Entry'!#REF!,"AAAAAB/Ye38=")</f>
        <v>#REF!</v>
      </c>
      <c r="DY206" t="e">
        <f>AND('GA55 Entry'!#REF!,"AAAAAB/Ye4A=")</f>
        <v>#REF!</v>
      </c>
      <c r="DZ206" t="e">
        <f>AND('GA55 Entry'!#REF!,"AAAAAB/Ye4E=")</f>
        <v>#REF!</v>
      </c>
      <c r="EA206" t="e">
        <f>AND('GA55 Entry'!#REF!,"AAAAAB/Ye4I=")</f>
        <v>#REF!</v>
      </c>
      <c r="EB206" t="e">
        <f>AND('GA55 Entry'!#REF!,"AAAAAB/Ye4M=")</f>
        <v>#REF!</v>
      </c>
      <c r="EC206" t="e">
        <f>AND('GA55 Entry'!Z802,"AAAAAB/Ye4Q=")</f>
        <v>#VALUE!</v>
      </c>
      <c r="ED206" t="e">
        <f>AND('GA55 Entry'!AA802,"AAAAAB/Ye4U=")</f>
        <v>#VALUE!</v>
      </c>
      <c r="EE206" t="e">
        <f>AND('GA55 Entry'!#REF!,"AAAAAB/Ye4Y=")</f>
        <v>#REF!</v>
      </c>
      <c r="EF206" t="e">
        <f>AND('GA55 Entry'!#REF!,"AAAAAB/Ye4c=")</f>
        <v>#REF!</v>
      </c>
      <c r="EG206" t="e">
        <f>AND('GA55 Entry'!#REF!,"AAAAAB/Ye4g=")</f>
        <v>#REF!</v>
      </c>
      <c r="EH206" t="e">
        <f>AND('GA55 Entry'!AB802,"AAAAAB/Ye4k=")</f>
        <v>#VALUE!</v>
      </c>
      <c r="EI206" t="e">
        <f>AND('GA55 Entry'!AC802,"AAAAAB/Ye4o=")</f>
        <v>#VALUE!</v>
      </c>
      <c r="EJ206" t="e">
        <f>AND('GA55 Entry'!#REF!,"AAAAAB/Ye4s=")</f>
        <v>#REF!</v>
      </c>
      <c r="EK206">
        <f>IF('GA55 Entry'!803:803,"AAAAAB/Ye4w=",0)</f>
        <v>0</v>
      </c>
      <c r="EL206" t="e">
        <f>AND('GA55 Entry'!B803,"AAAAAB/Ye40=")</f>
        <v>#VALUE!</v>
      </c>
      <c r="EM206" t="e">
        <f>AND('GA55 Entry'!#REF!,"AAAAAB/Ye44=")</f>
        <v>#REF!</v>
      </c>
      <c r="EN206" t="e">
        <f>AND('GA55 Entry'!C803,"AAAAAB/Ye48=")</f>
        <v>#VALUE!</v>
      </c>
      <c r="EO206" t="e">
        <f>AND('GA55 Entry'!#REF!,"AAAAAB/Ye5A=")</f>
        <v>#REF!</v>
      </c>
      <c r="EP206" t="e">
        <f>AND('GA55 Entry'!#REF!,"AAAAAB/Ye5E=")</f>
        <v>#REF!</v>
      </c>
      <c r="EQ206" t="e">
        <f>AND('GA55 Entry'!#REF!,"AAAAAB/Ye5I=")</f>
        <v>#REF!</v>
      </c>
      <c r="ER206" t="e">
        <f>AND('GA55 Entry'!#REF!,"AAAAAB/Ye5M=")</f>
        <v>#REF!</v>
      </c>
      <c r="ES206" t="e">
        <f>AND('GA55 Entry'!#REF!,"AAAAAB/Ye5Q=")</f>
        <v>#REF!</v>
      </c>
      <c r="ET206" t="e">
        <f>AND('GA55 Entry'!D803,"AAAAAB/Ye5U=")</f>
        <v>#VALUE!</v>
      </c>
      <c r="EU206" t="e">
        <f>AND('GA55 Entry'!#REF!,"AAAAAB/Ye5Y=")</f>
        <v>#REF!</v>
      </c>
      <c r="EV206" t="e">
        <f>AND('GA55 Entry'!E803,"AAAAAB/Ye5c=")</f>
        <v>#VALUE!</v>
      </c>
      <c r="EW206" t="e">
        <f>AND('GA55 Entry'!F803,"AAAAAB/Ye5g=")</f>
        <v>#VALUE!</v>
      </c>
      <c r="EX206" t="e">
        <f>AND('GA55 Entry'!G803,"AAAAAB/Ye5k=")</f>
        <v>#VALUE!</v>
      </c>
      <c r="EY206" t="e">
        <f>AND('GA55 Entry'!H803,"AAAAAB/Ye5o=")</f>
        <v>#VALUE!</v>
      </c>
      <c r="EZ206" t="e">
        <f>AND('GA55 Entry'!I803,"AAAAAB/Ye5s=")</f>
        <v>#VALUE!</v>
      </c>
      <c r="FA206" t="e">
        <f>AND('GA55 Entry'!J803,"AAAAAB/Ye5w=")</f>
        <v>#VALUE!</v>
      </c>
      <c r="FB206" t="e">
        <f>AND('GA55 Entry'!#REF!,"AAAAAB/Ye50=")</f>
        <v>#REF!</v>
      </c>
      <c r="FC206" t="e">
        <f>AND('GA55 Entry'!K803,"AAAAAB/Ye54=")</f>
        <v>#VALUE!</v>
      </c>
      <c r="FD206" t="e">
        <f>AND('GA55 Entry'!L803,"AAAAAB/Ye58=")</f>
        <v>#VALUE!</v>
      </c>
      <c r="FE206" t="e">
        <f>AND('GA55 Entry'!M803,"AAAAAB/Ye6A=")</f>
        <v>#VALUE!</v>
      </c>
      <c r="FF206" t="e">
        <f>AND('GA55 Entry'!N803,"AAAAAB/Ye6E=")</f>
        <v>#VALUE!</v>
      </c>
      <c r="FG206" t="e">
        <f>AND('GA55 Entry'!O803,"AAAAAB/Ye6I=")</f>
        <v>#VALUE!</v>
      </c>
      <c r="FH206" t="e">
        <f>AND('GA55 Entry'!P803,"AAAAAB/Ye6M=")</f>
        <v>#VALUE!</v>
      </c>
      <c r="FI206" t="e">
        <f>AND('GA55 Entry'!Q803,"AAAAAB/Ye6Q=")</f>
        <v>#VALUE!</v>
      </c>
      <c r="FJ206" t="e">
        <f>AND('GA55 Entry'!S803,"AAAAAB/Ye6U=")</f>
        <v>#VALUE!</v>
      </c>
      <c r="FK206" t="e">
        <f>AND('GA55 Entry'!#REF!,"AAAAAB/Ye6Y=")</f>
        <v>#REF!</v>
      </c>
      <c r="FL206" t="e">
        <f>AND('GA55 Entry'!T803,"AAAAAB/Ye6c=")</f>
        <v>#VALUE!</v>
      </c>
      <c r="FM206" t="e">
        <f>AND('GA55 Entry'!U803,"AAAAAB/Ye6g=")</f>
        <v>#VALUE!</v>
      </c>
      <c r="FN206" t="e">
        <f>AND('GA55 Entry'!V803,"AAAAAB/Ye6k=")</f>
        <v>#VALUE!</v>
      </c>
      <c r="FO206" t="e">
        <f>AND('GA55 Entry'!#REF!,"AAAAAB/Ye6o=")</f>
        <v>#REF!</v>
      </c>
      <c r="FP206" t="e">
        <f>AND('GA55 Entry'!#REF!,"AAAAAB/Ye6s=")</f>
        <v>#REF!</v>
      </c>
      <c r="FQ206" t="e">
        <f>AND('GA55 Entry'!X803,"AAAAAB/Ye6w=")</f>
        <v>#VALUE!</v>
      </c>
      <c r="FR206" t="e">
        <f>AND('GA55 Entry'!Y803,"AAAAAB/Ye60=")</f>
        <v>#VALUE!</v>
      </c>
      <c r="FS206" t="e">
        <f>AND('GA55 Entry'!#REF!,"AAAAAB/Ye64=")</f>
        <v>#REF!</v>
      </c>
      <c r="FT206" t="e">
        <f>AND('GA55 Entry'!#REF!,"AAAAAB/Ye68=")</f>
        <v>#REF!</v>
      </c>
      <c r="FU206" t="e">
        <f>AND('GA55 Entry'!#REF!,"AAAAAB/Ye7A=")</f>
        <v>#REF!</v>
      </c>
      <c r="FV206" t="e">
        <f>AND('GA55 Entry'!#REF!,"AAAAAB/Ye7E=")</f>
        <v>#REF!</v>
      </c>
      <c r="FW206" t="e">
        <f>AND('GA55 Entry'!#REF!,"AAAAAB/Ye7I=")</f>
        <v>#REF!</v>
      </c>
      <c r="FX206" t="e">
        <f>AND('GA55 Entry'!#REF!,"AAAAAB/Ye7M=")</f>
        <v>#REF!</v>
      </c>
      <c r="FY206" t="e">
        <f>AND('GA55 Entry'!#REF!,"AAAAAB/Ye7Q=")</f>
        <v>#REF!</v>
      </c>
      <c r="FZ206" t="e">
        <f>AND('GA55 Entry'!#REF!,"AAAAAB/Ye7U=")</f>
        <v>#REF!</v>
      </c>
      <c r="GA206" t="e">
        <f>AND('GA55 Entry'!#REF!,"AAAAAB/Ye7Y=")</f>
        <v>#REF!</v>
      </c>
      <c r="GB206" t="e">
        <f>AND('GA55 Entry'!Z803,"AAAAAB/Ye7c=")</f>
        <v>#VALUE!</v>
      </c>
      <c r="GC206" t="e">
        <f>AND('GA55 Entry'!AA803,"AAAAAB/Ye7g=")</f>
        <v>#VALUE!</v>
      </c>
      <c r="GD206" t="e">
        <f>AND('GA55 Entry'!#REF!,"AAAAAB/Ye7k=")</f>
        <v>#REF!</v>
      </c>
      <c r="GE206" t="e">
        <f>AND('GA55 Entry'!#REF!,"AAAAAB/Ye7o=")</f>
        <v>#REF!</v>
      </c>
      <c r="GF206" t="e">
        <f>AND('GA55 Entry'!#REF!,"AAAAAB/Ye7s=")</f>
        <v>#REF!</v>
      </c>
      <c r="GG206" t="e">
        <f>AND('GA55 Entry'!AB803,"AAAAAB/Ye7w=")</f>
        <v>#VALUE!</v>
      </c>
      <c r="GH206" t="e">
        <f>AND('GA55 Entry'!AC803,"AAAAAB/Ye70=")</f>
        <v>#VALUE!</v>
      </c>
      <c r="GI206" t="e">
        <f>AND('GA55 Entry'!#REF!,"AAAAAB/Ye74=")</f>
        <v>#REF!</v>
      </c>
      <c r="GJ206">
        <f>IF('GA55 Entry'!804:804,"AAAAAB/Ye78=",0)</f>
        <v>0</v>
      </c>
      <c r="GK206" t="e">
        <f>AND('GA55 Entry'!B804,"AAAAAB/Ye8A=")</f>
        <v>#VALUE!</v>
      </c>
      <c r="GL206" t="e">
        <f>AND('GA55 Entry'!#REF!,"AAAAAB/Ye8E=")</f>
        <v>#REF!</v>
      </c>
      <c r="GM206" t="e">
        <f>AND('GA55 Entry'!C804,"AAAAAB/Ye8I=")</f>
        <v>#VALUE!</v>
      </c>
      <c r="GN206" t="e">
        <f>AND('GA55 Entry'!#REF!,"AAAAAB/Ye8M=")</f>
        <v>#REF!</v>
      </c>
      <c r="GO206" t="e">
        <f>AND('GA55 Entry'!#REF!,"AAAAAB/Ye8Q=")</f>
        <v>#REF!</v>
      </c>
      <c r="GP206" t="e">
        <f>AND('GA55 Entry'!#REF!,"AAAAAB/Ye8U=")</f>
        <v>#REF!</v>
      </c>
      <c r="GQ206" t="e">
        <f>AND('GA55 Entry'!#REF!,"AAAAAB/Ye8Y=")</f>
        <v>#REF!</v>
      </c>
      <c r="GR206" t="e">
        <f>AND('GA55 Entry'!#REF!,"AAAAAB/Ye8c=")</f>
        <v>#REF!</v>
      </c>
      <c r="GS206" t="e">
        <f>AND('GA55 Entry'!D804,"AAAAAB/Ye8g=")</f>
        <v>#VALUE!</v>
      </c>
      <c r="GT206" t="e">
        <f>AND('GA55 Entry'!#REF!,"AAAAAB/Ye8k=")</f>
        <v>#REF!</v>
      </c>
      <c r="GU206" t="e">
        <f>AND('GA55 Entry'!E804,"AAAAAB/Ye8o=")</f>
        <v>#VALUE!</v>
      </c>
      <c r="GV206" t="e">
        <f>AND('GA55 Entry'!F804,"AAAAAB/Ye8s=")</f>
        <v>#VALUE!</v>
      </c>
      <c r="GW206" t="e">
        <f>AND('GA55 Entry'!G804,"AAAAAB/Ye8w=")</f>
        <v>#VALUE!</v>
      </c>
      <c r="GX206" t="e">
        <f>AND('GA55 Entry'!H804,"AAAAAB/Ye80=")</f>
        <v>#VALUE!</v>
      </c>
      <c r="GY206" t="e">
        <f>AND('GA55 Entry'!I804,"AAAAAB/Ye84=")</f>
        <v>#VALUE!</v>
      </c>
      <c r="GZ206" t="e">
        <f>AND('GA55 Entry'!J804,"AAAAAB/Ye88=")</f>
        <v>#VALUE!</v>
      </c>
      <c r="HA206" t="e">
        <f>AND('GA55 Entry'!#REF!,"AAAAAB/Ye9A=")</f>
        <v>#REF!</v>
      </c>
      <c r="HB206" t="e">
        <f>AND('GA55 Entry'!K804,"AAAAAB/Ye9E=")</f>
        <v>#VALUE!</v>
      </c>
      <c r="HC206" t="e">
        <f>AND('GA55 Entry'!L804,"AAAAAB/Ye9I=")</f>
        <v>#VALUE!</v>
      </c>
      <c r="HD206" t="e">
        <f>AND('GA55 Entry'!M804,"AAAAAB/Ye9M=")</f>
        <v>#VALUE!</v>
      </c>
      <c r="HE206" t="e">
        <f>AND('GA55 Entry'!N804,"AAAAAB/Ye9Q=")</f>
        <v>#VALUE!</v>
      </c>
      <c r="HF206" t="e">
        <f>AND('GA55 Entry'!O804,"AAAAAB/Ye9U=")</f>
        <v>#VALUE!</v>
      </c>
      <c r="HG206" t="e">
        <f>AND('GA55 Entry'!P804,"AAAAAB/Ye9Y=")</f>
        <v>#VALUE!</v>
      </c>
      <c r="HH206" t="e">
        <f>AND('GA55 Entry'!Q804,"AAAAAB/Ye9c=")</f>
        <v>#VALUE!</v>
      </c>
      <c r="HI206" t="e">
        <f>AND('GA55 Entry'!S804,"AAAAAB/Ye9g=")</f>
        <v>#VALUE!</v>
      </c>
      <c r="HJ206" t="e">
        <f>AND('GA55 Entry'!#REF!,"AAAAAB/Ye9k=")</f>
        <v>#REF!</v>
      </c>
      <c r="HK206" t="e">
        <f>AND('GA55 Entry'!T804,"AAAAAB/Ye9o=")</f>
        <v>#VALUE!</v>
      </c>
      <c r="HL206" t="e">
        <f>AND('GA55 Entry'!U804,"AAAAAB/Ye9s=")</f>
        <v>#VALUE!</v>
      </c>
      <c r="HM206" t="e">
        <f>AND('GA55 Entry'!V804,"AAAAAB/Ye9w=")</f>
        <v>#VALUE!</v>
      </c>
      <c r="HN206" t="e">
        <f>AND('GA55 Entry'!#REF!,"AAAAAB/Ye90=")</f>
        <v>#REF!</v>
      </c>
      <c r="HO206" t="e">
        <f>AND('GA55 Entry'!#REF!,"AAAAAB/Ye94=")</f>
        <v>#REF!</v>
      </c>
      <c r="HP206" t="e">
        <f>AND('GA55 Entry'!X804,"AAAAAB/Ye98=")</f>
        <v>#VALUE!</v>
      </c>
      <c r="HQ206" t="e">
        <f>AND('GA55 Entry'!Y804,"AAAAAB/Ye+A=")</f>
        <v>#VALUE!</v>
      </c>
      <c r="HR206" t="e">
        <f>AND('GA55 Entry'!#REF!,"AAAAAB/Ye+E=")</f>
        <v>#REF!</v>
      </c>
      <c r="HS206" t="e">
        <f>AND('GA55 Entry'!#REF!,"AAAAAB/Ye+I=")</f>
        <v>#REF!</v>
      </c>
      <c r="HT206" t="e">
        <f>AND('GA55 Entry'!#REF!,"AAAAAB/Ye+M=")</f>
        <v>#REF!</v>
      </c>
      <c r="HU206" t="e">
        <f>AND('GA55 Entry'!#REF!,"AAAAAB/Ye+Q=")</f>
        <v>#REF!</v>
      </c>
      <c r="HV206" t="e">
        <f>AND('GA55 Entry'!#REF!,"AAAAAB/Ye+U=")</f>
        <v>#REF!</v>
      </c>
      <c r="HW206" t="e">
        <f>AND('GA55 Entry'!#REF!,"AAAAAB/Ye+Y=")</f>
        <v>#REF!</v>
      </c>
      <c r="HX206" t="e">
        <f>AND('GA55 Entry'!#REF!,"AAAAAB/Ye+c=")</f>
        <v>#REF!</v>
      </c>
      <c r="HY206" t="e">
        <f>AND('GA55 Entry'!#REF!,"AAAAAB/Ye+g=")</f>
        <v>#REF!</v>
      </c>
      <c r="HZ206" t="e">
        <f>AND('GA55 Entry'!#REF!,"AAAAAB/Ye+k=")</f>
        <v>#REF!</v>
      </c>
      <c r="IA206" t="e">
        <f>AND('GA55 Entry'!Z804,"AAAAAB/Ye+o=")</f>
        <v>#VALUE!</v>
      </c>
      <c r="IB206" t="e">
        <f>AND('GA55 Entry'!AA804,"AAAAAB/Ye+s=")</f>
        <v>#VALUE!</v>
      </c>
      <c r="IC206" t="e">
        <f>AND('GA55 Entry'!#REF!,"AAAAAB/Ye+w=")</f>
        <v>#REF!</v>
      </c>
      <c r="ID206" t="e">
        <f>AND('GA55 Entry'!#REF!,"AAAAAB/Ye+0=")</f>
        <v>#REF!</v>
      </c>
      <c r="IE206" t="e">
        <f>AND('GA55 Entry'!#REF!,"AAAAAB/Ye+4=")</f>
        <v>#REF!</v>
      </c>
      <c r="IF206" t="e">
        <f>AND('GA55 Entry'!AB804,"AAAAAB/Ye+8=")</f>
        <v>#VALUE!</v>
      </c>
      <c r="IG206" t="e">
        <f>AND('GA55 Entry'!AC804,"AAAAAB/Ye/A=")</f>
        <v>#VALUE!</v>
      </c>
      <c r="IH206" t="e">
        <f>AND('GA55 Entry'!#REF!,"AAAAAB/Ye/E=")</f>
        <v>#REF!</v>
      </c>
      <c r="II206">
        <f>IF('GA55 Entry'!805:805,"AAAAAB/Ye/I=",0)</f>
        <v>0</v>
      </c>
      <c r="IJ206" t="e">
        <f>AND('GA55 Entry'!B805,"AAAAAB/Ye/M=")</f>
        <v>#VALUE!</v>
      </c>
      <c r="IK206" t="e">
        <f>AND('GA55 Entry'!#REF!,"AAAAAB/Ye/Q=")</f>
        <v>#REF!</v>
      </c>
      <c r="IL206" t="e">
        <f>AND('GA55 Entry'!C805,"AAAAAB/Ye/U=")</f>
        <v>#VALUE!</v>
      </c>
      <c r="IM206" t="e">
        <f>AND('GA55 Entry'!#REF!,"AAAAAB/Ye/Y=")</f>
        <v>#REF!</v>
      </c>
      <c r="IN206" t="e">
        <f>AND('GA55 Entry'!#REF!,"AAAAAB/Ye/c=")</f>
        <v>#REF!</v>
      </c>
      <c r="IO206" t="e">
        <f>AND('GA55 Entry'!#REF!,"AAAAAB/Ye/g=")</f>
        <v>#REF!</v>
      </c>
      <c r="IP206" t="e">
        <f>AND('GA55 Entry'!#REF!,"AAAAAB/Ye/k=")</f>
        <v>#REF!</v>
      </c>
      <c r="IQ206" t="e">
        <f>AND('GA55 Entry'!#REF!,"AAAAAB/Ye/o=")</f>
        <v>#REF!</v>
      </c>
      <c r="IR206" t="e">
        <f>AND('GA55 Entry'!D805,"AAAAAB/Ye/s=")</f>
        <v>#VALUE!</v>
      </c>
      <c r="IS206" t="e">
        <f>AND('GA55 Entry'!#REF!,"AAAAAB/Ye/w=")</f>
        <v>#REF!</v>
      </c>
      <c r="IT206" t="e">
        <f>AND('GA55 Entry'!E805,"AAAAAB/Ye/0=")</f>
        <v>#VALUE!</v>
      </c>
      <c r="IU206" t="e">
        <f>AND('GA55 Entry'!F805,"AAAAAB/Ye/4=")</f>
        <v>#VALUE!</v>
      </c>
      <c r="IV206" t="e">
        <f>AND('GA55 Entry'!G805,"AAAAAB/Ye/8=")</f>
        <v>#VALUE!</v>
      </c>
    </row>
    <row r="207" spans="1:256">
      <c r="A207" t="e">
        <f>AND('GA55 Entry'!H805,"AAAAAHa7/QA=")</f>
        <v>#VALUE!</v>
      </c>
      <c r="B207" t="e">
        <f>AND('GA55 Entry'!I805,"AAAAAHa7/QE=")</f>
        <v>#VALUE!</v>
      </c>
      <c r="C207" t="e">
        <f>AND('GA55 Entry'!J805,"AAAAAHa7/QI=")</f>
        <v>#VALUE!</v>
      </c>
      <c r="D207" t="e">
        <f>AND('GA55 Entry'!#REF!,"AAAAAHa7/QM=")</f>
        <v>#REF!</v>
      </c>
      <c r="E207" t="e">
        <f>AND('GA55 Entry'!K805,"AAAAAHa7/QQ=")</f>
        <v>#VALUE!</v>
      </c>
      <c r="F207" t="e">
        <f>AND('GA55 Entry'!L805,"AAAAAHa7/QU=")</f>
        <v>#VALUE!</v>
      </c>
      <c r="G207" t="e">
        <f>AND('GA55 Entry'!M805,"AAAAAHa7/QY=")</f>
        <v>#VALUE!</v>
      </c>
      <c r="H207" t="e">
        <f>AND('GA55 Entry'!N805,"AAAAAHa7/Qc=")</f>
        <v>#VALUE!</v>
      </c>
      <c r="I207" t="e">
        <f>AND('GA55 Entry'!O805,"AAAAAHa7/Qg=")</f>
        <v>#VALUE!</v>
      </c>
      <c r="J207" t="e">
        <f>AND('GA55 Entry'!P805,"AAAAAHa7/Qk=")</f>
        <v>#VALUE!</v>
      </c>
      <c r="K207" t="e">
        <f>AND('GA55 Entry'!Q805,"AAAAAHa7/Qo=")</f>
        <v>#VALUE!</v>
      </c>
      <c r="L207" t="e">
        <f>AND('GA55 Entry'!S805,"AAAAAHa7/Qs=")</f>
        <v>#VALUE!</v>
      </c>
      <c r="M207" t="e">
        <f>AND('GA55 Entry'!#REF!,"AAAAAHa7/Qw=")</f>
        <v>#REF!</v>
      </c>
      <c r="N207" t="e">
        <f>AND('GA55 Entry'!T805,"AAAAAHa7/Q0=")</f>
        <v>#VALUE!</v>
      </c>
      <c r="O207" t="e">
        <f>AND('GA55 Entry'!U805,"AAAAAHa7/Q4=")</f>
        <v>#VALUE!</v>
      </c>
      <c r="P207" t="e">
        <f>AND('GA55 Entry'!V805,"AAAAAHa7/Q8=")</f>
        <v>#VALUE!</v>
      </c>
      <c r="Q207" t="e">
        <f>AND('GA55 Entry'!#REF!,"AAAAAHa7/RA=")</f>
        <v>#REF!</v>
      </c>
      <c r="R207" t="e">
        <f>AND('GA55 Entry'!#REF!,"AAAAAHa7/RE=")</f>
        <v>#REF!</v>
      </c>
      <c r="S207" t="e">
        <f>AND('GA55 Entry'!X805,"AAAAAHa7/RI=")</f>
        <v>#VALUE!</v>
      </c>
      <c r="T207" t="e">
        <f>AND('GA55 Entry'!Y805,"AAAAAHa7/RM=")</f>
        <v>#VALUE!</v>
      </c>
      <c r="U207" t="e">
        <f>AND('GA55 Entry'!#REF!,"AAAAAHa7/RQ=")</f>
        <v>#REF!</v>
      </c>
      <c r="V207" t="e">
        <f>AND('GA55 Entry'!#REF!,"AAAAAHa7/RU=")</f>
        <v>#REF!</v>
      </c>
      <c r="W207" t="e">
        <f>AND('GA55 Entry'!#REF!,"AAAAAHa7/RY=")</f>
        <v>#REF!</v>
      </c>
      <c r="X207" t="e">
        <f>AND('GA55 Entry'!#REF!,"AAAAAHa7/Rc=")</f>
        <v>#REF!</v>
      </c>
      <c r="Y207" t="e">
        <f>AND('GA55 Entry'!#REF!,"AAAAAHa7/Rg=")</f>
        <v>#REF!</v>
      </c>
      <c r="Z207" t="e">
        <f>AND('GA55 Entry'!#REF!,"AAAAAHa7/Rk=")</f>
        <v>#REF!</v>
      </c>
      <c r="AA207" t="e">
        <f>AND('GA55 Entry'!#REF!,"AAAAAHa7/Ro=")</f>
        <v>#REF!</v>
      </c>
      <c r="AB207" t="e">
        <f>AND('GA55 Entry'!#REF!,"AAAAAHa7/Rs=")</f>
        <v>#REF!</v>
      </c>
      <c r="AC207" t="e">
        <f>AND('GA55 Entry'!#REF!,"AAAAAHa7/Rw=")</f>
        <v>#REF!</v>
      </c>
      <c r="AD207" t="e">
        <f>AND('GA55 Entry'!Z805,"AAAAAHa7/R0=")</f>
        <v>#VALUE!</v>
      </c>
      <c r="AE207" t="e">
        <f>AND('GA55 Entry'!AA805,"AAAAAHa7/R4=")</f>
        <v>#VALUE!</v>
      </c>
      <c r="AF207" t="e">
        <f>AND('GA55 Entry'!#REF!,"AAAAAHa7/R8=")</f>
        <v>#REF!</v>
      </c>
      <c r="AG207" t="e">
        <f>AND('GA55 Entry'!#REF!,"AAAAAHa7/SA=")</f>
        <v>#REF!</v>
      </c>
      <c r="AH207" t="e">
        <f>AND('GA55 Entry'!#REF!,"AAAAAHa7/SE=")</f>
        <v>#REF!</v>
      </c>
      <c r="AI207" t="e">
        <f>AND('GA55 Entry'!AB805,"AAAAAHa7/SI=")</f>
        <v>#VALUE!</v>
      </c>
      <c r="AJ207" t="e">
        <f>AND('GA55 Entry'!AC805,"AAAAAHa7/SM=")</f>
        <v>#VALUE!</v>
      </c>
      <c r="AK207" t="e">
        <f>AND('GA55 Entry'!#REF!,"AAAAAHa7/SQ=")</f>
        <v>#REF!</v>
      </c>
      <c r="AL207">
        <f>IF('GA55 Entry'!806:806,"AAAAAHa7/SU=",0)</f>
        <v>0</v>
      </c>
      <c r="AM207" t="e">
        <f>AND('GA55 Entry'!B806,"AAAAAHa7/SY=")</f>
        <v>#VALUE!</v>
      </c>
      <c r="AN207" t="e">
        <f>AND('GA55 Entry'!#REF!,"AAAAAHa7/Sc=")</f>
        <v>#REF!</v>
      </c>
      <c r="AO207" t="e">
        <f>AND('GA55 Entry'!C806,"AAAAAHa7/Sg=")</f>
        <v>#VALUE!</v>
      </c>
      <c r="AP207" t="e">
        <f>AND('GA55 Entry'!#REF!,"AAAAAHa7/Sk=")</f>
        <v>#REF!</v>
      </c>
      <c r="AQ207" t="e">
        <f>AND('GA55 Entry'!#REF!,"AAAAAHa7/So=")</f>
        <v>#REF!</v>
      </c>
      <c r="AR207" t="e">
        <f>AND('GA55 Entry'!#REF!,"AAAAAHa7/Ss=")</f>
        <v>#REF!</v>
      </c>
      <c r="AS207" t="e">
        <f>AND('GA55 Entry'!#REF!,"AAAAAHa7/Sw=")</f>
        <v>#REF!</v>
      </c>
      <c r="AT207" t="e">
        <f>AND('GA55 Entry'!#REF!,"AAAAAHa7/S0=")</f>
        <v>#REF!</v>
      </c>
      <c r="AU207" t="e">
        <f>AND('GA55 Entry'!D806,"AAAAAHa7/S4=")</f>
        <v>#VALUE!</v>
      </c>
      <c r="AV207" t="e">
        <f>AND('GA55 Entry'!#REF!,"AAAAAHa7/S8=")</f>
        <v>#REF!</v>
      </c>
      <c r="AW207" t="e">
        <f>AND('GA55 Entry'!E806,"AAAAAHa7/TA=")</f>
        <v>#VALUE!</v>
      </c>
      <c r="AX207" t="e">
        <f>AND('GA55 Entry'!F806,"AAAAAHa7/TE=")</f>
        <v>#VALUE!</v>
      </c>
      <c r="AY207" t="e">
        <f>AND('GA55 Entry'!G806,"AAAAAHa7/TI=")</f>
        <v>#VALUE!</v>
      </c>
      <c r="AZ207" t="e">
        <f>AND('GA55 Entry'!H806,"AAAAAHa7/TM=")</f>
        <v>#VALUE!</v>
      </c>
      <c r="BA207" t="e">
        <f>AND('GA55 Entry'!I806,"AAAAAHa7/TQ=")</f>
        <v>#VALUE!</v>
      </c>
      <c r="BB207" t="e">
        <f>AND('GA55 Entry'!J806,"AAAAAHa7/TU=")</f>
        <v>#VALUE!</v>
      </c>
      <c r="BC207" t="e">
        <f>AND('GA55 Entry'!#REF!,"AAAAAHa7/TY=")</f>
        <v>#REF!</v>
      </c>
      <c r="BD207" t="e">
        <f>AND('GA55 Entry'!K806,"AAAAAHa7/Tc=")</f>
        <v>#VALUE!</v>
      </c>
      <c r="BE207" t="e">
        <f>AND('GA55 Entry'!L806,"AAAAAHa7/Tg=")</f>
        <v>#VALUE!</v>
      </c>
      <c r="BF207" t="e">
        <f>AND('GA55 Entry'!M806,"AAAAAHa7/Tk=")</f>
        <v>#VALUE!</v>
      </c>
      <c r="BG207" t="e">
        <f>AND('GA55 Entry'!N806,"AAAAAHa7/To=")</f>
        <v>#VALUE!</v>
      </c>
      <c r="BH207" t="e">
        <f>AND('GA55 Entry'!O806,"AAAAAHa7/Ts=")</f>
        <v>#VALUE!</v>
      </c>
      <c r="BI207" t="e">
        <f>AND('GA55 Entry'!P806,"AAAAAHa7/Tw=")</f>
        <v>#VALUE!</v>
      </c>
      <c r="BJ207" t="e">
        <f>AND('GA55 Entry'!Q806,"AAAAAHa7/T0=")</f>
        <v>#VALUE!</v>
      </c>
      <c r="BK207" t="e">
        <f>AND('GA55 Entry'!S806,"AAAAAHa7/T4=")</f>
        <v>#VALUE!</v>
      </c>
      <c r="BL207" t="e">
        <f>AND('GA55 Entry'!#REF!,"AAAAAHa7/T8=")</f>
        <v>#REF!</v>
      </c>
      <c r="BM207" t="e">
        <f>AND('GA55 Entry'!T806,"AAAAAHa7/UA=")</f>
        <v>#VALUE!</v>
      </c>
      <c r="BN207" t="e">
        <f>AND('GA55 Entry'!U806,"AAAAAHa7/UE=")</f>
        <v>#VALUE!</v>
      </c>
      <c r="BO207" t="e">
        <f>AND('GA55 Entry'!V806,"AAAAAHa7/UI=")</f>
        <v>#VALUE!</v>
      </c>
      <c r="BP207" t="e">
        <f>AND('GA55 Entry'!#REF!,"AAAAAHa7/UM=")</f>
        <v>#REF!</v>
      </c>
      <c r="BQ207" t="e">
        <f>AND('GA55 Entry'!#REF!,"AAAAAHa7/UQ=")</f>
        <v>#REF!</v>
      </c>
      <c r="BR207" t="e">
        <f>AND('GA55 Entry'!X806,"AAAAAHa7/UU=")</f>
        <v>#VALUE!</v>
      </c>
      <c r="BS207" t="e">
        <f>AND('GA55 Entry'!Y806,"AAAAAHa7/UY=")</f>
        <v>#VALUE!</v>
      </c>
      <c r="BT207" t="e">
        <f>AND('GA55 Entry'!#REF!,"AAAAAHa7/Uc=")</f>
        <v>#REF!</v>
      </c>
      <c r="BU207" t="e">
        <f>AND('GA55 Entry'!#REF!,"AAAAAHa7/Ug=")</f>
        <v>#REF!</v>
      </c>
      <c r="BV207" t="e">
        <f>AND('GA55 Entry'!#REF!,"AAAAAHa7/Uk=")</f>
        <v>#REF!</v>
      </c>
      <c r="BW207" t="e">
        <f>AND('GA55 Entry'!#REF!,"AAAAAHa7/Uo=")</f>
        <v>#REF!</v>
      </c>
      <c r="BX207" t="e">
        <f>AND('GA55 Entry'!#REF!,"AAAAAHa7/Us=")</f>
        <v>#REF!</v>
      </c>
      <c r="BY207" t="e">
        <f>AND('GA55 Entry'!#REF!,"AAAAAHa7/Uw=")</f>
        <v>#REF!</v>
      </c>
      <c r="BZ207" t="e">
        <f>AND('GA55 Entry'!#REF!,"AAAAAHa7/U0=")</f>
        <v>#REF!</v>
      </c>
      <c r="CA207" t="e">
        <f>AND('GA55 Entry'!#REF!,"AAAAAHa7/U4=")</f>
        <v>#REF!</v>
      </c>
      <c r="CB207" t="e">
        <f>AND('GA55 Entry'!#REF!,"AAAAAHa7/U8=")</f>
        <v>#REF!</v>
      </c>
      <c r="CC207" t="e">
        <f>AND('GA55 Entry'!Z806,"AAAAAHa7/VA=")</f>
        <v>#VALUE!</v>
      </c>
      <c r="CD207" t="e">
        <f>AND('GA55 Entry'!AA806,"AAAAAHa7/VE=")</f>
        <v>#VALUE!</v>
      </c>
      <c r="CE207" t="e">
        <f>AND('GA55 Entry'!#REF!,"AAAAAHa7/VI=")</f>
        <v>#REF!</v>
      </c>
      <c r="CF207" t="e">
        <f>AND('GA55 Entry'!#REF!,"AAAAAHa7/VM=")</f>
        <v>#REF!</v>
      </c>
      <c r="CG207" t="e">
        <f>AND('GA55 Entry'!#REF!,"AAAAAHa7/VQ=")</f>
        <v>#REF!</v>
      </c>
      <c r="CH207" t="e">
        <f>AND('GA55 Entry'!AB806,"AAAAAHa7/VU=")</f>
        <v>#VALUE!</v>
      </c>
      <c r="CI207" t="e">
        <f>AND('GA55 Entry'!AC806,"AAAAAHa7/VY=")</f>
        <v>#VALUE!</v>
      </c>
      <c r="CJ207" t="e">
        <f>AND('GA55 Entry'!#REF!,"AAAAAHa7/Vc=")</f>
        <v>#REF!</v>
      </c>
      <c r="CK207">
        <f>IF('GA55 Entry'!807:807,"AAAAAHa7/Vg=",0)</f>
        <v>0</v>
      </c>
      <c r="CL207" t="e">
        <f>AND('GA55 Entry'!B807,"AAAAAHa7/Vk=")</f>
        <v>#VALUE!</v>
      </c>
      <c r="CM207" t="e">
        <f>AND('GA55 Entry'!#REF!,"AAAAAHa7/Vo=")</f>
        <v>#REF!</v>
      </c>
      <c r="CN207" t="e">
        <f>AND('GA55 Entry'!C807,"AAAAAHa7/Vs=")</f>
        <v>#VALUE!</v>
      </c>
      <c r="CO207" t="e">
        <f>AND('GA55 Entry'!#REF!,"AAAAAHa7/Vw=")</f>
        <v>#REF!</v>
      </c>
      <c r="CP207" t="e">
        <f>AND('GA55 Entry'!#REF!,"AAAAAHa7/V0=")</f>
        <v>#REF!</v>
      </c>
      <c r="CQ207" t="e">
        <f>AND('GA55 Entry'!#REF!,"AAAAAHa7/V4=")</f>
        <v>#REF!</v>
      </c>
      <c r="CR207" t="e">
        <f>AND('GA55 Entry'!#REF!,"AAAAAHa7/V8=")</f>
        <v>#REF!</v>
      </c>
      <c r="CS207" t="e">
        <f>AND('GA55 Entry'!#REF!,"AAAAAHa7/WA=")</f>
        <v>#REF!</v>
      </c>
      <c r="CT207" t="e">
        <f>AND('GA55 Entry'!D807,"AAAAAHa7/WE=")</f>
        <v>#VALUE!</v>
      </c>
      <c r="CU207" t="e">
        <f>AND('GA55 Entry'!#REF!,"AAAAAHa7/WI=")</f>
        <v>#REF!</v>
      </c>
      <c r="CV207" t="e">
        <f>AND('GA55 Entry'!E807,"AAAAAHa7/WM=")</f>
        <v>#VALUE!</v>
      </c>
      <c r="CW207" t="e">
        <f>AND('GA55 Entry'!F807,"AAAAAHa7/WQ=")</f>
        <v>#VALUE!</v>
      </c>
      <c r="CX207" t="e">
        <f>AND('GA55 Entry'!G807,"AAAAAHa7/WU=")</f>
        <v>#VALUE!</v>
      </c>
      <c r="CY207" t="e">
        <f>AND('GA55 Entry'!H807,"AAAAAHa7/WY=")</f>
        <v>#VALUE!</v>
      </c>
      <c r="CZ207" t="e">
        <f>AND('GA55 Entry'!I807,"AAAAAHa7/Wc=")</f>
        <v>#VALUE!</v>
      </c>
      <c r="DA207" t="e">
        <f>AND('GA55 Entry'!J807,"AAAAAHa7/Wg=")</f>
        <v>#VALUE!</v>
      </c>
      <c r="DB207" t="e">
        <f>AND('GA55 Entry'!#REF!,"AAAAAHa7/Wk=")</f>
        <v>#REF!</v>
      </c>
      <c r="DC207" t="e">
        <f>AND('GA55 Entry'!K807,"AAAAAHa7/Wo=")</f>
        <v>#VALUE!</v>
      </c>
      <c r="DD207" t="e">
        <f>AND('GA55 Entry'!L807,"AAAAAHa7/Ws=")</f>
        <v>#VALUE!</v>
      </c>
      <c r="DE207" t="e">
        <f>AND('GA55 Entry'!M807,"AAAAAHa7/Ww=")</f>
        <v>#VALUE!</v>
      </c>
      <c r="DF207" t="e">
        <f>AND('GA55 Entry'!N807,"AAAAAHa7/W0=")</f>
        <v>#VALUE!</v>
      </c>
      <c r="DG207" t="e">
        <f>AND('GA55 Entry'!O807,"AAAAAHa7/W4=")</f>
        <v>#VALUE!</v>
      </c>
      <c r="DH207" t="e">
        <f>AND('GA55 Entry'!P807,"AAAAAHa7/W8=")</f>
        <v>#VALUE!</v>
      </c>
      <c r="DI207" t="e">
        <f>AND('GA55 Entry'!Q807,"AAAAAHa7/XA=")</f>
        <v>#VALUE!</v>
      </c>
      <c r="DJ207" t="e">
        <f>AND('GA55 Entry'!S807,"AAAAAHa7/XE=")</f>
        <v>#VALUE!</v>
      </c>
      <c r="DK207" t="e">
        <f>AND('GA55 Entry'!#REF!,"AAAAAHa7/XI=")</f>
        <v>#REF!</v>
      </c>
      <c r="DL207" t="e">
        <f>AND('GA55 Entry'!T807,"AAAAAHa7/XM=")</f>
        <v>#VALUE!</v>
      </c>
      <c r="DM207" t="e">
        <f>AND('GA55 Entry'!U807,"AAAAAHa7/XQ=")</f>
        <v>#VALUE!</v>
      </c>
      <c r="DN207" t="e">
        <f>AND('GA55 Entry'!V807,"AAAAAHa7/XU=")</f>
        <v>#VALUE!</v>
      </c>
      <c r="DO207" t="e">
        <f>AND('GA55 Entry'!#REF!,"AAAAAHa7/XY=")</f>
        <v>#REF!</v>
      </c>
      <c r="DP207" t="e">
        <f>AND('GA55 Entry'!#REF!,"AAAAAHa7/Xc=")</f>
        <v>#REF!</v>
      </c>
      <c r="DQ207" t="e">
        <f>AND('GA55 Entry'!X807,"AAAAAHa7/Xg=")</f>
        <v>#VALUE!</v>
      </c>
      <c r="DR207" t="e">
        <f>AND('GA55 Entry'!Y807,"AAAAAHa7/Xk=")</f>
        <v>#VALUE!</v>
      </c>
      <c r="DS207" t="e">
        <f>AND('GA55 Entry'!#REF!,"AAAAAHa7/Xo=")</f>
        <v>#REF!</v>
      </c>
      <c r="DT207" t="e">
        <f>AND('GA55 Entry'!#REF!,"AAAAAHa7/Xs=")</f>
        <v>#REF!</v>
      </c>
      <c r="DU207" t="e">
        <f>AND('GA55 Entry'!#REF!,"AAAAAHa7/Xw=")</f>
        <v>#REF!</v>
      </c>
      <c r="DV207" t="e">
        <f>AND('GA55 Entry'!#REF!,"AAAAAHa7/X0=")</f>
        <v>#REF!</v>
      </c>
      <c r="DW207" t="e">
        <f>AND('GA55 Entry'!#REF!,"AAAAAHa7/X4=")</f>
        <v>#REF!</v>
      </c>
      <c r="DX207" t="e">
        <f>AND('GA55 Entry'!#REF!,"AAAAAHa7/X8=")</f>
        <v>#REF!</v>
      </c>
      <c r="DY207" t="e">
        <f>AND('GA55 Entry'!#REF!,"AAAAAHa7/YA=")</f>
        <v>#REF!</v>
      </c>
      <c r="DZ207" t="e">
        <f>AND('GA55 Entry'!#REF!,"AAAAAHa7/YE=")</f>
        <v>#REF!</v>
      </c>
      <c r="EA207" t="e">
        <f>AND('GA55 Entry'!#REF!,"AAAAAHa7/YI=")</f>
        <v>#REF!</v>
      </c>
      <c r="EB207" t="e">
        <f>AND('GA55 Entry'!Z807,"AAAAAHa7/YM=")</f>
        <v>#VALUE!</v>
      </c>
      <c r="EC207" t="e">
        <f>AND('GA55 Entry'!AA807,"AAAAAHa7/YQ=")</f>
        <v>#VALUE!</v>
      </c>
      <c r="ED207" t="e">
        <f>AND('GA55 Entry'!#REF!,"AAAAAHa7/YU=")</f>
        <v>#REF!</v>
      </c>
      <c r="EE207" t="e">
        <f>AND('GA55 Entry'!#REF!,"AAAAAHa7/YY=")</f>
        <v>#REF!</v>
      </c>
      <c r="EF207" t="e">
        <f>AND('GA55 Entry'!#REF!,"AAAAAHa7/Yc=")</f>
        <v>#REF!</v>
      </c>
      <c r="EG207" t="e">
        <f>AND('GA55 Entry'!AB807,"AAAAAHa7/Yg=")</f>
        <v>#VALUE!</v>
      </c>
      <c r="EH207" t="e">
        <f>AND('GA55 Entry'!AC807,"AAAAAHa7/Yk=")</f>
        <v>#VALUE!</v>
      </c>
      <c r="EI207" t="e">
        <f>AND('GA55 Entry'!#REF!,"AAAAAHa7/Yo=")</f>
        <v>#REF!</v>
      </c>
      <c r="EJ207">
        <f>IF('GA55 Entry'!808:808,"AAAAAHa7/Ys=",0)</f>
        <v>0</v>
      </c>
      <c r="EK207" t="e">
        <f>AND('GA55 Entry'!B808,"AAAAAHa7/Yw=")</f>
        <v>#VALUE!</v>
      </c>
      <c r="EL207" t="e">
        <f>AND('GA55 Entry'!#REF!,"AAAAAHa7/Y0=")</f>
        <v>#REF!</v>
      </c>
      <c r="EM207" t="e">
        <f>AND('GA55 Entry'!C808,"AAAAAHa7/Y4=")</f>
        <v>#VALUE!</v>
      </c>
      <c r="EN207" t="e">
        <f>AND('GA55 Entry'!#REF!,"AAAAAHa7/Y8=")</f>
        <v>#REF!</v>
      </c>
      <c r="EO207" t="e">
        <f>AND('GA55 Entry'!#REF!,"AAAAAHa7/ZA=")</f>
        <v>#REF!</v>
      </c>
      <c r="EP207" t="e">
        <f>AND('GA55 Entry'!#REF!,"AAAAAHa7/ZE=")</f>
        <v>#REF!</v>
      </c>
      <c r="EQ207" t="e">
        <f>AND('GA55 Entry'!#REF!,"AAAAAHa7/ZI=")</f>
        <v>#REF!</v>
      </c>
      <c r="ER207" t="e">
        <f>AND('GA55 Entry'!#REF!,"AAAAAHa7/ZM=")</f>
        <v>#REF!</v>
      </c>
      <c r="ES207" t="e">
        <f>AND('GA55 Entry'!D808,"AAAAAHa7/ZQ=")</f>
        <v>#VALUE!</v>
      </c>
      <c r="ET207" t="e">
        <f>AND('GA55 Entry'!#REF!,"AAAAAHa7/ZU=")</f>
        <v>#REF!</v>
      </c>
      <c r="EU207" t="e">
        <f>AND('GA55 Entry'!E808,"AAAAAHa7/ZY=")</f>
        <v>#VALUE!</v>
      </c>
      <c r="EV207" t="e">
        <f>AND('GA55 Entry'!F808,"AAAAAHa7/Zc=")</f>
        <v>#VALUE!</v>
      </c>
      <c r="EW207" t="e">
        <f>AND('GA55 Entry'!G808,"AAAAAHa7/Zg=")</f>
        <v>#VALUE!</v>
      </c>
      <c r="EX207" t="e">
        <f>AND('GA55 Entry'!H808,"AAAAAHa7/Zk=")</f>
        <v>#VALUE!</v>
      </c>
      <c r="EY207" t="e">
        <f>AND('GA55 Entry'!I808,"AAAAAHa7/Zo=")</f>
        <v>#VALUE!</v>
      </c>
      <c r="EZ207" t="e">
        <f>AND('GA55 Entry'!J808,"AAAAAHa7/Zs=")</f>
        <v>#VALUE!</v>
      </c>
      <c r="FA207" t="e">
        <f>AND('GA55 Entry'!#REF!,"AAAAAHa7/Zw=")</f>
        <v>#REF!</v>
      </c>
      <c r="FB207" t="e">
        <f>AND('GA55 Entry'!K808,"AAAAAHa7/Z0=")</f>
        <v>#VALUE!</v>
      </c>
      <c r="FC207" t="e">
        <f>AND('GA55 Entry'!L808,"AAAAAHa7/Z4=")</f>
        <v>#VALUE!</v>
      </c>
      <c r="FD207" t="e">
        <f>AND('GA55 Entry'!M808,"AAAAAHa7/Z8=")</f>
        <v>#VALUE!</v>
      </c>
      <c r="FE207" t="e">
        <f>AND('GA55 Entry'!N808,"AAAAAHa7/aA=")</f>
        <v>#VALUE!</v>
      </c>
      <c r="FF207" t="e">
        <f>AND('GA55 Entry'!O808,"AAAAAHa7/aE=")</f>
        <v>#VALUE!</v>
      </c>
      <c r="FG207" t="e">
        <f>AND('GA55 Entry'!P808,"AAAAAHa7/aI=")</f>
        <v>#VALUE!</v>
      </c>
      <c r="FH207" t="e">
        <f>AND('GA55 Entry'!Q808,"AAAAAHa7/aM=")</f>
        <v>#VALUE!</v>
      </c>
      <c r="FI207" t="e">
        <f>AND('GA55 Entry'!S808,"AAAAAHa7/aQ=")</f>
        <v>#VALUE!</v>
      </c>
      <c r="FJ207" t="e">
        <f>AND('GA55 Entry'!#REF!,"AAAAAHa7/aU=")</f>
        <v>#REF!</v>
      </c>
      <c r="FK207" t="e">
        <f>AND('GA55 Entry'!T808,"AAAAAHa7/aY=")</f>
        <v>#VALUE!</v>
      </c>
      <c r="FL207" t="e">
        <f>AND('GA55 Entry'!U808,"AAAAAHa7/ac=")</f>
        <v>#VALUE!</v>
      </c>
      <c r="FM207" t="e">
        <f>AND('GA55 Entry'!V808,"AAAAAHa7/ag=")</f>
        <v>#VALUE!</v>
      </c>
      <c r="FN207" t="e">
        <f>AND('GA55 Entry'!#REF!,"AAAAAHa7/ak=")</f>
        <v>#REF!</v>
      </c>
      <c r="FO207" t="e">
        <f>AND('GA55 Entry'!#REF!,"AAAAAHa7/ao=")</f>
        <v>#REF!</v>
      </c>
      <c r="FP207" t="e">
        <f>AND('GA55 Entry'!X808,"AAAAAHa7/as=")</f>
        <v>#VALUE!</v>
      </c>
      <c r="FQ207" t="e">
        <f>AND('GA55 Entry'!Y808,"AAAAAHa7/aw=")</f>
        <v>#VALUE!</v>
      </c>
      <c r="FR207" t="e">
        <f>AND('GA55 Entry'!#REF!,"AAAAAHa7/a0=")</f>
        <v>#REF!</v>
      </c>
      <c r="FS207" t="e">
        <f>AND('GA55 Entry'!#REF!,"AAAAAHa7/a4=")</f>
        <v>#REF!</v>
      </c>
      <c r="FT207" t="e">
        <f>AND('GA55 Entry'!#REF!,"AAAAAHa7/a8=")</f>
        <v>#REF!</v>
      </c>
      <c r="FU207" t="e">
        <f>AND('GA55 Entry'!#REF!,"AAAAAHa7/bA=")</f>
        <v>#REF!</v>
      </c>
      <c r="FV207" t="e">
        <f>AND('GA55 Entry'!#REF!,"AAAAAHa7/bE=")</f>
        <v>#REF!</v>
      </c>
      <c r="FW207" t="e">
        <f>AND('GA55 Entry'!#REF!,"AAAAAHa7/bI=")</f>
        <v>#REF!</v>
      </c>
      <c r="FX207" t="e">
        <f>AND('GA55 Entry'!#REF!,"AAAAAHa7/bM=")</f>
        <v>#REF!</v>
      </c>
      <c r="FY207" t="e">
        <f>AND('GA55 Entry'!#REF!,"AAAAAHa7/bQ=")</f>
        <v>#REF!</v>
      </c>
      <c r="FZ207" t="e">
        <f>AND('GA55 Entry'!#REF!,"AAAAAHa7/bU=")</f>
        <v>#REF!</v>
      </c>
      <c r="GA207" t="e">
        <f>AND('GA55 Entry'!Z808,"AAAAAHa7/bY=")</f>
        <v>#VALUE!</v>
      </c>
      <c r="GB207" t="e">
        <f>AND('GA55 Entry'!AA808,"AAAAAHa7/bc=")</f>
        <v>#VALUE!</v>
      </c>
      <c r="GC207" t="e">
        <f>AND('GA55 Entry'!#REF!,"AAAAAHa7/bg=")</f>
        <v>#REF!</v>
      </c>
      <c r="GD207" t="e">
        <f>AND('GA55 Entry'!#REF!,"AAAAAHa7/bk=")</f>
        <v>#REF!</v>
      </c>
      <c r="GE207" t="e">
        <f>AND('GA55 Entry'!#REF!,"AAAAAHa7/bo=")</f>
        <v>#REF!</v>
      </c>
      <c r="GF207" t="e">
        <f>AND('GA55 Entry'!AB808,"AAAAAHa7/bs=")</f>
        <v>#VALUE!</v>
      </c>
      <c r="GG207" t="e">
        <f>AND('GA55 Entry'!AC808,"AAAAAHa7/bw=")</f>
        <v>#VALUE!</v>
      </c>
      <c r="GH207" t="e">
        <f>AND('GA55 Entry'!#REF!,"AAAAAHa7/b0=")</f>
        <v>#REF!</v>
      </c>
      <c r="GI207">
        <f>IF('GA55 Entry'!809:809,"AAAAAHa7/b4=",0)</f>
        <v>0</v>
      </c>
      <c r="GJ207" t="e">
        <f>AND('GA55 Entry'!B809,"AAAAAHa7/b8=")</f>
        <v>#VALUE!</v>
      </c>
      <c r="GK207" t="e">
        <f>AND('GA55 Entry'!#REF!,"AAAAAHa7/cA=")</f>
        <v>#REF!</v>
      </c>
      <c r="GL207" t="e">
        <f>AND('GA55 Entry'!C809,"AAAAAHa7/cE=")</f>
        <v>#VALUE!</v>
      </c>
      <c r="GM207" t="e">
        <f>AND('GA55 Entry'!#REF!,"AAAAAHa7/cI=")</f>
        <v>#REF!</v>
      </c>
      <c r="GN207" t="e">
        <f>AND('GA55 Entry'!#REF!,"AAAAAHa7/cM=")</f>
        <v>#REF!</v>
      </c>
      <c r="GO207" t="e">
        <f>AND('GA55 Entry'!#REF!,"AAAAAHa7/cQ=")</f>
        <v>#REF!</v>
      </c>
      <c r="GP207" t="e">
        <f>AND('GA55 Entry'!#REF!,"AAAAAHa7/cU=")</f>
        <v>#REF!</v>
      </c>
      <c r="GQ207" t="e">
        <f>AND('GA55 Entry'!#REF!,"AAAAAHa7/cY=")</f>
        <v>#REF!</v>
      </c>
      <c r="GR207" t="e">
        <f>AND('GA55 Entry'!D809,"AAAAAHa7/cc=")</f>
        <v>#VALUE!</v>
      </c>
      <c r="GS207" t="e">
        <f>AND('GA55 Entry'!#REF!,"AAAAAHa7/cg=")</f>
        <v>#REF!</v>
      </c>
      <c r="GT207" t="e">
        <f>AND('GA55 Entry'!E809,"AAAAAHa7/ck=")</f>
        <v>#VALUE!</v>
      </c>
      <c r="GU207" t="e">
        <f>AND('GA55 Entry'!F809,"AAAAAHa7/co=")</f>
        <v>#VALUE!</v>
      </c>
      <c r="GV207" t="e">
        <f>AND('GA55 Entry'!G809,"AAAAAHa7/cs=")</f>
        <v>#VALUE!</v>
      </c>
      <c r="GW207" t="e">
        <f>AND('GA55 Entry'!H809,"AAAAAHa7/cw=")</f>
        <v>#VALUE!</v>
      </c>
      <c r="GX207" t="e">
        <f>AND('GA55 Entry'!I809,"AAAAAHa7/c0=")</f>
        <v>#VALUE!</v>
      </c>
      <c r="GY207" t="e">
        <f>AND('GA55 Entry'!J809,"AAAAAHa7/c4=")</f>
        <v>#VALUE!</v>
      </c>
      <c r="GZ207" t="e">
        <f>AND('GA55 Entry'!#REF!,"AAAAAHa7/c8=")</f>
        <v>#REF!</v>
      </c>
      <c r="HA207" t="e">
        <f>AND('GA55 Entry'!K809,"AAAAAHa7/dA=")</f>
        <v>#VALUE!</v>
      </c>
      <c r="HB207" t="e">
        <f>AND('GA55 Entry'!L809,"AAAAAHa7/dE=")</f>
        <v>#VALUE!</v>
      </c>
      <c r="HC207" t="e">
        <f>AND('GA55 Entry'!M809,"AAAAAHa7/dI=")</f>
        <v>#VALUE!</v>
      </c>
      <c r="HD207" t="e">
        <f>AND('GA55 Entry'!N809,"AAAAAHa7/dM=")</f>
        <v>#VALUE!</v>
      </c>
      <c r="HE207" t="e">
        <f>AND('GA55 Entry'!O809,"AAAAAHa7/dQ=")</f>
        <v>#VALUE!</v>
      </c>
      <c r="HF207" t="e">
        <f>AND('GA55 Entry'!P809,"AAAAAHa7/dU=")</f>
        <v>#VALUE!</v>
      </c>
      <c r="HG207" t="e">
        <f>AND('GA55 Entry'!Q809,"AAAAAHa7/dY=")</f>
        <v>#VALUE!</v>
      </c>
      <c r="HH207" t="e">
        <f>AND('GA55 Entry'!S809,"AAAAAHa7/dc=")</f>
        <v>#VALUE!</v>
      </c>
      <c r="HI207" t="e">
        <f>AND('GA55 Entry'!#REF!,"AAAAAHa7/dg=")</f>
        <v>#REF!</v>
      </c>
      <c r="HJ207" t="e">
        <f>AND('GA55 Entry'!T809,"AAAAAHa7/dk=")</f>
        <v>#VALUE!</v>
      </c>
      <c r="HK207" t="e">
        <f>AND('GA55 Entry'!U809,"AAAAAHa7/do=")</f>
        <v>#VALUE!</v>
      </c>
      <c r="HL207" t="e">
        <f>AND('GA55 Entry'!V809,"AAAAAHa7/ds=")</f>
        <v>#VALUE!</v>
      </c>
      <c r="HM207" t="e">
        <f>AND('GA55 Entry'!#REF!,"AAAAAHa7/dw=")</f>
        <v>#REF!</v>
      </c>
      <c r="HN207" t="e">
        <f>AND('GA55 Entry'!#REF!,"AAAAAHa7/d0=")</f>
        <v>#REF!</v>
      </c>
      <c r="HO207" t="e">
        <f>AND('GA55 Entry'!X809,"AAAAAHa7/d4=")</f>
        <v>#VALUE!</v>
      </c>
      <c r="HP207" t="e">
        <f>AND('GA55 Entry'!Y809,"AAAAAHa7/d8=")</f>
        <v>#VALUE!</v>
      </c>
      <c r="HQ207" t="e">
        <f>AND('GA55 Entry'!#REF!,"AAAAAHa7/eA=")</f>
        <v>#REF!</v>
      </c>
      <c r="HR207" t="e">
        <f>AND('GA55 Entry'!#REF!,"AAAAAHa7/eE=")</f>
        <v>#REF!</v>
      </c>
      <c r="HS207" t="e">
        <f>AND('GA55 Entry'!#REF!,"AAAAAHa7/eI=")</f>
        <v>#REF!</v>
      </c>
      <c r="HT207" t="e">
        <f>AND('GA55 Entry'!#REF!,"AAAAAHa7/eM=")</f>
        <v>#REF!</v>
      </c>
      <c r="HU207" t="e">
        <f>AND('GA55 Entry'!#REF!,"AAAAAHa7/eQ=")</f>
        <v>#REF!</v>
      </c>
      <c r="HV207" t="e">
        <f>AND('GA55 Entry'!#REF!,"AAAAAHa7/eU=")</f>
        <v>#REF!</v>
      </c>
      <c r="HW207" t="e">
        <f>AND('GA55 Entry'!#REF!,"AAAAAHa7/eY=")</f>
        <v>#REF!</v>
      </c>
      <c r="HX207" t="e">
        <f>AND('GA55 Entry'!#REF!,"AAAAAHa7/ec=")</f>
        <v>#REF!</v>
      </c>
      <c r="HY207" t="e">
        <f>AND('GA55 Entry'!#REF!,"AAAAAHa7/eg=")</f>
        <v>#REF!</v>
      </c>
      <c r="HZ207" t="e">
        <f>AND('GA55 Entry'!Z809,"AAAAAHa7/ek=")</f>
        <v>#VALUE!</v>
      </c>
      <c r="IA207" t="e">
        <f>AND('GA55 Entry'!AA809,"AAAAAHa7/eo=")</f>
        <v>#VALUE!</v>
      </c>
      <c r="IB207" t="e">
        <f>AND('GA55 Entry'!#REF!,"AAAAAHa7/es=")</f>
        <v>#REF!</v>
      </c>
      <c r="IC207" t="e">
        <f>AND('GA55 Entry'!#REF!,"AAAAAHa7/ew=")</f>
        <v>#REF!</v>
      </c>
      <c r="ID207" t="e">
        <f>AND('GA55 Entry'!#REF!,"AAAAAHa7/e0=")</f>
        <v>#REF!</v>
      </c>
      <c r="IE207" t="e">
        <f>AND('GA55 Entry'!AB809,"AAAAAHa7/e4=")</f>
        <v>#VALUE!</v>
      </c>
      <c r="IF207" t="e">
        <f>AND('GA55 Entry'!AC809,"AAAAAHa7/e8=")</f>
        <v>#VALUE!</v>
      </c>
      <c r="IG207" t="e">
        <f>AND('GA55 Entry'!#REF!,"AAAAAHa7/fA=")</f>
        <v>#REF!</v>
      </c>
      <c r="IH207">
        <f>IF('GA55 Entry'!810:810,"AAAAAHa7/fE=",0)</f>
        <v>0</v>
      </c>
      <c r="II207" t="e">
        <f>AND('GA55 Entry'!B810,"AAAAAHa7/fI=")</f>
        <v>#VALUE!</v>
      </c>
      <c r="IJ207" t="e">
        <f>AND('GA55 Entry'!#REF!,"AAAAAHa7/fM=")</f>
        <v>#REF!</v>
      </c>
      <c r="IK207" t="e">
        <f>AND('GA55 Entry'!C810,"AAAAAHa7/fQ=")</f>
        <v>#VALUE!</v>
      </c>
      <c r="IL207" t="e">
        <f>AND('GA55 Entry'!#REF!,"AAAAAHa7/fU=")</f>
        <v>#REF!</v>
      </c>
      <c r="IM207" t="e">
        <f>AND('GA55 Entry'!#REF!,"AAAAAHa7/fY=")</f>
        <v>#REF!</v>
      </c>
      <c r="IN207" t="e">
        <f>AND('GA55 Entry'!#REF!,"AAAAAHa7/fc=")</f>
        <v>#REF!</v>
      </c>
      <c r="IO207" t="e">
        <f>AND('GA55 Entry'!#REF!,"AAAAAHa7/fg=")</f>
        <v>#REF!</v>
      </c>
      <c r="IP207" t="e">
        <f>AND('GA55 Entry'!#REF!,"AAAAAHa7/fk=")</f>
        <v>#REF!</v>
      </c>
      <c r="IQ207" t="e">
        <f>AND('GA55 Entry'!D810,"AAAAAHa7/fo=")</f>
        <v>#VALUE!</v>
      </c>
      <c r="IR207" t="e">
        <f>AND('GA55 Entry'!#REF!,"AAAAAHa7/fs=")</f>
        <v>#REF!</v>
      </c>
      <c r="IS207" t="e">
        <f>AND('GA55 Entry'!E810,"AAAAAHa7/fw=")</f>
        <v>#VALUE!</v>
      </c>
      <c r="IT207" t="e">
        <f>AND('GA55 Entry'!F810,"AAAAAHa7/f0=")</f>
        <v>#VALUE!</v>
      </c>
      <c r="IU207" t="e">
        <f>AND('GA55 Entry'!G810,"AAAAAHa7/f4=")</f>
        <v>#VALUE!</v>
      </c>
      <c r="IV207" t="e">
        <f>AND('GA55 Entry'!H810,"AAAAAHa7/f8=")</f>
        <v>#VALUE!</v>
      </c>
    </row>
    <row r="208" spans="1:256">
      <c r="A208" t="e">
        <f>AND('GA55 Entry'!I810,"AAAAAE+ztQA=")</f>
        <v>#VALUE!</v>
      </c>
      <c r="B208" t="e">
        <f>AND('GA55 Entry'!J810,"AAAAAE+ztQE=")</f>
        <v>#VALUE!</v>
      </c>
      <c r="C208" t="e">
        <f>AND('GA55 Entry'!#REF!,"AAAAAE+ztQI=")</f>
        <v>#REF!</v>
      </c>
      <c r="D208" t="e">
        <f>AND('GA55 Entry'!K810,"AAAAAE+ztQM=")</f>
        <v>#VALUE!</v>
      </c>
      <c r="E208" t="e">
        <f>AND('GA55 Entry'!L810,"AAAAAE+ztQQ=")</f>
        <v>#VALUE!</v>
      </c>
      <c r="F208" t="e">
        <f>AND('GA55 Entry'!M810,"AAAAAE+ztQU=")</f>
        <v>#VALUE!</v>
      </c>
      <c r="G208" t="e">
        <f>AND('GA55 Entry'!N810,"AAAAAE+ztQY=")</f>
        <v>#VALUE!</v>
      </c>
      <c r="H208" t="e">
        <f>AND('GA55 Entry'!O810,"AAAAAE+ztQc=")</f>
        <v>#VALUE!</v>
      </c>
      <c r="I208" t="e">
        <f>AND('GA55 Entry'!P810,"AAAAAE+ztQg=")</f>
        <v>#VALUE!</v>
      </c>
      <c r="J208" t="e">
        <f>AND('GA55 Entry'!Q810,"AAAAAE+ztQk=")</f>
        <v>#VALUE!</v>
      </c>
      <c r="K208" t="e">
        <f>AND('GA55 Entry'!S810,"AAAAAE+ztQo=")</f>
        <v>#VALUE!</v>
      </c>
      <c r="L208" t="e">
        <f>AND('GA55 Entry'!#REF!,"AAAAAE+ztQs=")</f>
        <v>#REF!</v>
      </c>
      <c r="M208" t="e">
        <f>AND('GA55 Entry'!T810,"AAAAAE+ztQw=")</f>
        <v>#VALUE!</v>
      </c>
      <c r="N208" t="e">
        <f>AND('GA55 Entry'!U810,"AAAAAE+ztQ0=")</f>
        <v>#VALUE!</v>
      </c>
      <c r="O208" t="e">
        <f>AND('GA55 Entry'!V810,"AAAAAE+ztQ4=")</f>
        <v>#VALUE!</v>
      </c>
      <c r="P208" t="e">
        <f>AND('GA55 Entry'!#REF!,"AAAAAE+ztQ8=")</f>
        <v>#REF!</v>
      </c>
      <c r="Q208" t="e">
        <f>AND('GA55 Entry'!#REF!,"AAAAAE+ztRA=")</f>
        <v>#REF!</v>
      </c>
      <c r="R208" t="e">
        <f>AND('GA55 Entry'!X810,"AAAAAE+ztRE=")</f>
        <v>#VALUE!</v>
      </c>
      <c r="S208" t="e">
        <f>AND('GA55 Entry'!Y810,"AAAAAE+ztRI=")</f>
        <v>#VALUE!</v>
      </c>
      <c r="T208" t="e">
        <f>AND('GA55 Entry'!#REF!,"AAAAAE+ztRM=")</f>
        <v>#REF!</v>
      </c>
      <c r="U208" t="e">
        <f>AND('GA55 Entry'!#REF!,"AAAAAE+ztRQ=")</f>
        <v>#REF!</v>
      </c>
      <c r="V208" t="e">
        <f>AND('GA55 Entry'!#REF!,"AAAAAE+ztRU=")</f>
        <v>#REF!</v>
      </c>
      <c r="W208" t="e">
        <f>AND('GA55 Entry'!#REF!,"AAAAAE+ztRY=")</f>
        <v>#REF!</v>
      </c>
      <c r="X208" t="e">
        <f>AND('GA55 Entry'!#REF!,"AAAAAE+ztRc=")</f>
        <v>#REF!</v>
      </c>
      <c r="Y208" t="e">
        <f>AND('GA55 Entry'!#REF!,"AAAAAE+ztRg=")</f>
        <v>#REF!</v>
      </c>
      <c r="Z208" t="e">
        <f>AND('GA55 Entry'!#REF!,"AAAAAE+ztRk=")</f>
        <v>#REF!</v>
      </c>
      <c r="AA208" t="e">
        <f>AND('GA55 Entry'!#REF!,"AAAAAE+ztRo=")</f>
        <v>#REF!</v>
      </c>
      <c r="AB208" t="e">
        <f>AND('GA55 Entry'!#REF!,"AAAAAE+ztRs=")</f>
        <v>#REF!</v>
      </c>
      <c r="AC208" t="e">
        <f>AND('GA55 Entry'!Z810,"AAAAAE+ztRw=")</f>
        <v>#VALUE!</v>
      </c>
      <c r="AD208" t="e">
        <f>AND('GA55 Entry'!AA810,"AAAAAE+ztR0=")</f>
        <v>#VALUE!</v>
      </c>
      <c r="AE208" t="e">
        <f>AND('GA55 Entry'!#REF!,"AAAAAE+ztR4=")</f>
        <v>#REF!</v>
      </c>
      <c r="AF208" t="e">
        <f>AND('GA55 Entry'!#REF!,"AAAAAE+ztR8=")</f>
        <v>#REF!</v>
      </c>
      <c r="AG208" t="e">
        <f>AND('GA55 Entry'!#REF!,"AAAAAE+ztSA=")</f>
        <v>#REF!</v>
      </c>
      <c r="AH208" t="e">
        <f>AND('GA55 Entry'!AB810,"AAAAAE+ztSE=")</f>
        <v>#VALUE!</v>
      </c>
      <c r="AI208" t="e">
        <f>AND('GA55 Entry'!AC810,"AAAAAE+ztSI=")</f>
        <v>#VALUE!</v>
      </c>
      <c r="AJ208" t="e">
        <f>AND('GA55 Entry'!#REF!,"AAAAAE+ztSM=")</f>
        <v>#REF!</v>
      </c>
      <c r="AK208">
        <f>IF('GA55 Entry'!811:811,"AAAAAE+ztSQ=",0)</f>
        <v>0</v>
      </c>
      <c r="AL208" t="e">
        <f>AND('GA55 Entry'!B811,"AAAAAE+ztSU=")</f>
        <v>#VALUE!</v>
      </c>
      <c r="AM208" t="e">
        <f>AND('GA55 Entry'!#REF!,"AAAAAE+ztSY=")</f>
        <v>#REF!</v>
      </c>
      <c r="AN208" t="e">
        <f>AND('GA55 Entry'!C811,"AAAAAE+ztSc=")</f>
        <v>#VALUE!</v>
      </c>
      <c r="AO208" t="e">
        <f>AND('GA55 Entry'!#REF!,"AAAAAE+ztSg=")</f>
        <v>#REF!</v>
      </c>
      <c r="AP208" t="e">
        <f>AND('GA55 Entry'!#REF!,"AAAAAE+ztSk=")</f>
        <v>#REF!</v>
      </c>
      <c r="AQ208" t="e">
        <f>AND('GA55 Entry'!#REF!,"AAAAAE+ztSo=")</f>
        <v>#REF!</v>
      </c>
      <c r="AR208" t="e">
        <f>AND('GA55 Entry'!#REF!,"AAAAAE+ztSs=")</f>
        <v>#REF!</v>
      </c>
      <c r="AS208" t="e">
        <f>AND('GA55 Entry'!#REF!,"AAAAAE+ztSw=")</f>
        <v>#REF!</v>
      </c>
      <c r="AT208" t="e">
        <f>AND('GA55 Entry'!D811,"AAAAAE+ztS0=")</f>
        <v>#VALUE!</v>
      </c>
      <c r="AU208" t="e">
        <f>AND('GA55 Entry'!#REF!,"AAAAAE+ztS4=")</f>
        <v>#REF!</v>
      </c>
      <c r="AV208" t="e">
        <f>AND('GA55 Entry'!E811,"AAAAAE+ztS8=")</f>
        <v>#VALUE!</v>
      </c>
      <c r="AW208" t="e">
        <f>AND('GA55 Entry'!F811,"AAAAAE+ztTA=")</f>
        <v>#VALUE!</v>
      </c>
      <c r="AX208" t="e">
        <f>AND('GA55 Entry'!G811,"AAAAAE+ztTE=")</f>
        <v>#VALUE!</v>
      </c>
      <c r="AY208" t="e">
        <f>AND('GA55 Entry'!H811,"AAAAAE+ztTI=")</f>
        <v>#VALUE!</v>
      </c>
      <c r="AZ208" t="e">
        <f>AND('GA55 Entry'!I811,"AAAAAE+ztTM=")</f>
        <v>#VALUE!</v>
      </c>
      <c r="BA208" t="e">
        <f>AND('GA55 Entry'!J811,"AAAAAE+ztTQ=")</f>
        <v>#VALUE!</v>
      </c>
      <c r="BB208" t="e">
        <f>AND('GA55 Entry'!#REF!,"AAAAAE+ztTU=")</f>
        <v>#REF!</v>
      </c>
      <c r="BC208" t="e">
        <f>AND('GA55 Entry'!K811,"AAAAAE+ztTY=")</f>
        <v>#VALUE!</v>
      </c>
      <c r="BD208" t="e">
        <f>AND('GA55 Entry'!L811,"AAAAAE+ztTc=")</f>
        <v>#VALUE!</v>
      </c>
      <c r="BE208" t="e">
        <f>AND('GA55 Entry'!M811,"AAAAAE+ztTg=")</f>
        <v>#VALUE!</v>
      </c>
      <c r="BF208" t="e">
        <f>AND('GA55 Entry'!N811,"AAAAAE+ztTk=")</f>
        <v>#VALUE!</v>
      </c>
      <c r="BG208" t="e">
        <f>AND('GA55 Entry'!O811,"AAAAAE+ztTo=")</f>
        <v>#VALUE!</v>
      </c>
      <c r="BH208" t="e">
        <f>AND('GA55 Entry'!P811,"AAAAAE+ztTs=")</f>
        <v>#VALUE!</v>
      </c>
      <c r="BI208" t="e">
        <f>AND('GA55 Entry'!Q811,"AAAAAE+ztTw=")</f>
        <v>#VALUE!</v>
      </c>
      <c r="BJ208" t="e">
        <f>AND('GA55 Entry'!S811,"AAAAAE+ztT0=")</f>
        <v>#VALUE!</v>
      </c>
      <c r="BK208" t="e">
        <f>AND('GA55 Entry'!#REF!,"AAAAAE+ztT4=")</f>
        <v>#REF!</v>
      </c>
      <c r="BL208" t="e">
        <f>AND('GA55 Entry'!T811,"AAAAAE+ztT8=")</f>
        <v>#VALUE!</v>
      </c>
      <c r="BM208" t="e">
        <f>AND('GA55 Entry'!U811,"AAAAAE+ztUA=")</f>
        <v>#VALUE!</v>
      </c>
      <c r="BN208" t="e">
        <f>AND('GA55 Entry'!V811,"AAAAAE+ztUE=")</f>
        <v>#VALUE!</v>
      </c>
      <c r="BO208" t="e">
        <f>AND('GA55 Entry'!#REF!,"AAAAAE+ztUI=")</f>
        <v>#REF!</v>
      </c>
      <c r="BP208" t="e">
        <f>AND('GA55 Entry'!#REF!,"AAAAAE+ztUM=")</f>
        <v>#REF!</v>
      </c>
      <c r="BQ208" t="e">
        <f>AND('GA55 Entry'!X811,"AAAAAE+ztUQ=")</f>
        <v>#VALUE!</v>
      </c>
      <c r="BR208" t="e">
        <f>AND('GA55 Entry'!Y811,"AAAAAE+ztUU=")</f>
        <v>#VALUE!</v>
      </c>
      <c r="BS208" t="e">
        <f>AND('GA55 Entry'!#REF!,"AAAAAE+ztUY=")</f>
        <v>#REF!</v>
      </c>
      <c r="BT208" t="e">
        <f>AND('GA55 Entry'!#REF!,"AAAAAE+ztUc=")</f>
        <v>#REF!</v>
      </c>
      <c r="BU208" t="e">
        <f>AND('GA55 Entry'!#REF!,"AAAAAE+ztUg=")</f>
        <v>#REF!</v>
      </c>
      <c r="BV208" t="e">
        <f>AND('GA55 Entry'!#REF!,"AAAAAE+ztUk=")</f>
        <v>#REF!</v>
      </c>
      <c r="BW208" t="e">
        <f>AND('GA55 Entry'!#REF!,"AAAAAE+ztUo=")</f>
        <v>#REF!</v>
      </c>
      <c r="BX208" t="e">
        <f>AND('GA55 Entry'!#REF!,"AAAAAE+ztUs=")</f>
        <v>#REF!</v>
      </c>
      <c r="BY208" t="e">
        <f>AND('GA55 Entry'!#REF!,"AAAAAE+ztUw=")</f>
        <v>#REF!</v>
      </c>
      <c r="BZ208" t="e">
        <f>AND('GA55 Entry'!#REF!,"AAAAAE+ztU0=")</f>
        <v>#REF!</v>
      </c>
      <c r="CA208" t="e">
        <f>AND('GA55 Entry'!#REF!,"AAAAAE+ztU4=")</f>
        <v>#REF!</v>
      </c>
      <c r="CB208" t="e">
        <f>AND('GA55 Entry'!Z811,"AAAAAE+ztU8=")</f>
        <v>#VALUE!</v>
      </c>
      <c r="CC208" t="e">
        <f>AND('GA55 Entry'!AA811,"AAAAAE+ztVA=")</f>
        <v>#VALUE!</v>
      </c>
      <c r="CD208" t="e">
        <f>AND('GA55 Entry'!#REF!,"AAAAAE+ztVE=")</f>
        <v>#REF!</v>
      </c>
      <c r="CE208" t="e">
        <f>AND('GA55 Entry'!#REF!,"AAAAAE+ztVI=")</f>
        <v>#REF!</v>
      </c>
      <c r="CF208" t="e">
        <f>AND('GA55 Entry'!#REF!,"AAAAAE+ztVM=")</f>
        <v>#REF!</v>
      </c>
      <c r="CG208" t="e">
        <f>AND('GA55 Entry'!AB811,"AAAAAE+ztVQ=")</f>
        <v>#VALUE!</v>
      </c>
      <c r="CH208" t="e">
        <f>AND('GA55 Entry'!AC811,"AAAAAE+ztVU=")</f>
        <v>#VALUE!</v>
      </c>
      <c r="CI208" t="e">
        <f>AND('GA55 Entry'!#REF!,"AAAAAE+ztVY=")</f>
        <v>#REF!</v>
      </c>
      <c r="CJ208">
        <f>IF('GA55 Entry'!812:812,"AAAAAE+ztVc=",0)</f>
        <v>0</v>
      </c>
      <c r="CK208" t="e">
        <f>AND('GA55 Entry'!B812,"AAAAAE+ztVg=")</f>
        <v>#VALUE!</v>
      </c>
      <c r="CL208" t="e">
        <f>AND('GA55 Entry'!#REF!,"AAAAAE+ztVk=")</f>
        <v>#REF!</v>
      </c>
      <c r="CM208" t="e">
        <f>AND('GA55 Entry'!C812,"AAAAAE+ztVo=")</f>
        <v>#VALUE!</v>
      </c>
      <c r="CN208" t="e">
        <f>AND('GA55 Entry'!#REF!,"AAAAAE+ztVs=")</f>
        <v>#REF!</v>
      </c>
      <c r="CO208" t="e">
        <f>AND('GA55 Entry'!#REF!,"AAAAAE+ztVw=")</f>
        <v>#REF!</v>
      </c>
      <c r="CP208" t="e">
        <f>AND('GA55 Entry'!#REF!,"AAAAAE+ztV0=")</f>
        <v>#REF!</v>
      </c>
      <c r="CQ208" t="e">
        <f>AND('GA55 Entry'!#REF!,"AAAAAE+ztV4=")</f>
        <v>#REF!</v>
      </c>
      <c r="CR208" t="e">
        <f>AND('GA55 Entry'!#REF!,"AAAAAE+ztV8=")</f>
        <v>#REF!</v>
      </c>
      <c r="CS208" t="e">
        <f>AND('GA55 Entry'!D812,"AAAAAE+ztWA=")</f>
        <v>#VALUE!</v>
      </c>
      <c r="CT208" t="e">
        <f>AND('GA55 Entry'!#REF!,"AAAAAE+ztWE=")</f>
        <v>#REF!</v>
      </c>
      <c r="CU208" t="e">
        <f>AND('GA55 Entry'!E812,"AAAAAE+ztWI=")</f>
        <v>#VALUE!</v>
      </c>
      <c r="CV208" t="e">
        <f>AND('GA55 Entry'!F812,"AAAAAE+ztWM=")</f>
        <v>#VALUE!</v>
      </c>
      <c r="CW208" t="e">
        <f>AND('GA55 Entry'!G812,"AAAAAE+ztWQ=")</f>
        <v>#VALUE!</v>
      </c>
      <c r="CX208" t="e">
        <f>AND('GA55 Entry'!H812,"AAAAAE+ztWU=")</f>
        <v>#VALUE!</v>
      </c>
      <c r="CY208" t="e">
        <f>AND('GA55 Entry'!I812,"AAAAAE+ztWY=")</f>
        <v>#VALUE!</v>
      </c>
      <c r="CZ208" t="e">
        <f>AND('GA55 Entry'!J812,"AAAAAE+ztWc=")</f>
        <v>#VALUE!</v>
      </c>
      <c r="DA208" t="e">
        <f>AND('GA55 Entry'!#REF!,"AAAAAE+ztWg=")</f>
        <v>#REF!</v>
      </c>
      <c r="DB208" t="e">
        <f>AND('GA55 Entry'!K812,"AAAAAE+ztWk=")</f>
        <v>#VALUE!</v>
      </c>
      <c r="DC208" t="e">
        <f>AND('GA55 Entry'!L812,"AAAAAE+ztWo=")</f>
        <v>#VALUE!</v>
      </c>
      <c r="DD208" t="e">
        <f>AND('GA55 Entry'!M812,"AAAAAE+ztWs=")</f>
        <v>#VALUE!</v>
      </c>
      <c r="DE208" t="e">
        <f>AND('GA55 Entry'!N812,"AAAAAE+ztWw=")</f>
        <v>#VALUE!</v>
      </c>
      <c r="DF208" t="e">
        <f>AND('GA55 Entry'!O812,"AAAAAE+ztW0=")</f>
        <v>#VALUE!</v>
      </c>
      <c r="DG208" t="e">
        <f>AND('GA55 Entry'!P812,"AAAAAE+ztW4=")</f>
        <v>#VALUE!</v>
      </c>
      <c r="DH208" t="e">
        <f>AND('GA55 Entry'!Q812,"AAAAAE+ztW8=")</f>
        <v>#VALUE!</v>
      </c>
      <c r="DI208" t="e">
        <f>AND('GA55 Entry'!S812,"AAAAAE+ztXA=")</f>
        <v>#VALUE!</v>
      </c>
      <c r="DJ208" t="e">
        <f>AND('GA55 Entry'!#REF!,"AAAAAE+ztXE=")</f>
        <v>#REF!</v>
      </c>
      <c r="DK208" t="e">
        <f>AND('GA55 Entry'!T812,"AAAAAE+ztXI=")</f>
        <v>#VALUE!</v>
      </c>
      <c r="DL208" t="e">
        <f>AND('GA55 Entry'!U812,"AAAAAE+ztXM=")</f>
        <v>#VALUE!</v>
      </c>
      <c r="DM208" t="e">
        <f>AND('GA55 Entry'!V812,"AAAAAE+ztXQ=")</f>
        <v>#VALUE!</v>
      </c>
      <c r="DN208" t="e">
        <f>AND('GA55 Entry'!#REF!,"AAAAAE+ztXU=")</f>
        <v>#REF!</v>
      </c>
      <c r="DO208" t="e">
        <f>AND('GA55 Entry'!#REF!,"AAAAAE+ztXY=")</f>
        <v>#REF!</v>
      </c>
      <c r="DP208" t="e">
        <f>AND('GA55 Entry'!X812,"AAAAAE+ztXc=")</f>
        <v>#VALUE!</v>
      </c>
      <c r="DQ208" t="e">
        <f>AND('GA55 Entry'!Y812,"AAAAAE+ztXg=")</f>
        <v>#VALUE!</v>
      </c>
      <c r="DR208" t="e">
        <f>AND('GA55 Entry'!#REF!,"AAAAAE+ztXk=")</f>
        <v>#REF!</v>
      </c>
      <c r="DS208" t="e">
        <f>AND('GA55 Entry'!#REF!,"AAAAAE+ztXo=")</f>
        <v>#REF!</v>
      </c>
      <c r="DT208" t="e">
        <f>AND('GA55 Entry'!#REF!,"AAAAAE+ztXs=")</f>
        <v>#REF!</v>
      </c>
      <c r="DU208" t="e">
        <f>AND('GA55 Entry'!#REF!,"AAAAAE+ztXw=")</f>
        <v>#REF!</v>
      </c>
      <c r="DV208" t="e">
        <f>AND('GA55 Entry'!#REF!,"AAAAAE+ztX0=")</f>
        <v>#REF!</v>
      </c>
      <c r="DW208" t="e">
        <f>AND('GA55 Entry'!#REF!,"AAAAAE+ztX4=")</f>
        <v>#REF!</v>
      </c>
      <c r="DX208" t="e">
        <f>AND('GA55 Entry'!#REF!,"AAAAAE+ztX8=")</f>
        <v>#REF!</v>
      </c>
      <c r="DY208" t="e">
        <f>AND('GA55 Entry'!#REF!,"AAAAAE+ztYA=")</f>
        <v>#REF!</v>
      </c>
      <c r="DZ208" t="e">
        <f>AND('GA55 Entry'!#REF!,"AAAAAE+ztYE=")</f>
        <v>#REF!</v>
      </c>
      <c r="EA208" t="e">
        <f>AND('GA55 Entry'!Z812,"AAAAAE+ztYI=")</f>
        <v>#VALUE!</v>
      </c>
      <c r="EB208" t="e">
        <f>AND('GA55 Entry'!AA812,"AAAAAE+ztYM=")</f>
        <v>#VALUE!</v>
      </c>
      <c r="EC208" t="e">
        <f>AND('GA55 Entry'!#REF!,"AAAAAE+ztYQ=")</f>
        <v>#REF!</v>
      </c>
      <c r="ED208" t="e">
        <f>AND('GA55 Entry'!#REF!,"AAAAAE+ztYU=")</f>
        <v>#REF!</v>
      </c>
      <c r="EE208" t="e">
        <f>AND('GA55 Entry'!#REF!,"AAAAAE+ztYY=")</f>
        <v>#REF!</v>
      </c>
      <c r="EF208" t="e">
        <f>AND('GA55 Entry'!AB812,"AAAAAE+ztYc=")</f>
        <v>#VALUE!</v>
      </c>
      <c r="EG208" t="e">
        <f>AND('GA55 Entry'!AC812,"AAAAAE+ztYg=")</f>
        <v>#VALUE!</v>
      </c>
      <c r="EH208" t="e">
        <f>AND('GA55 Entry'!#REF!,"AAAAAE+ztYk=")</f>
        <v>#REF!</v>
      </c>
      <c r="EI208">
        <f>IF('GA55 Entry'!813:813,"AAAAAE+ztYo=",0)</f>
        <v>0</v>
      </c>
      <c r="EJ208" t="e">
        <f>AND('GA55 Entry'!B813,"AAAAAE+ztYs=")</f>
        <v>#VALUE!</v>
      </c>
      <c r="EK208" t="e">
        <f>AND('GA55 Entry'!#REF!,"AAAAAE+ztYw=")</f>
        <v>#REF!</v>
      </c>
      <c r="EL208" t="e">
        <f>AND('GA55 Entry'!C813,"AAAAAE+ztY0=")</f>
        <v>#VALUE!</v>
      </c>
      <c r="EM208" t="e">
        <f>AND('GA55 Entry'!#REF!,"AAAAAE+ztY4=")</f>
        <v>#REF!</v>
      </c>
      <c r="EN208" t="e">
        <f>AND('GA55 Entry'!#REF!,"AAAAAE+ztY8=")</f>
        <v>#REF!</v>
      </c>
      <c r="EO208" t="e">
        <f>AND('GA55 Entry'!#REF!,"AAAAAE+ztZA=")</f>
        <v>#REF!</v>
      </c>
      <c r="EP208" t="e">
        <f>AND('GA55 Entry'!#REF!,"AAAAAE+ztZE=")</f>
        <v>#REF!</v>
      </c>
      <c r="EQ208" t="e">
        <f>AND('GA55 Entry'!#REF!,"AAAAAE+ztZI=")</f>
        <v>#REF!</v>
      </c>
      <c r="ER208" t="e">
        <f>AND('GA55 Entry'!D813,"AAAAAE+ztZM=")</f>
        <v>#VALUE!</v>
      </c>
      <c r="ES208" t="e">
        <f>AND('GA55 Entry'!#REF!,"AAAAAE+ztZQ=")</f>
        <v>#REF!</v>
      </c>
      <c r="ET208" t="e">
        <f>AND('GA55 Entry'!E813,"AAAAAE+ztZU=")</f>
        <v>#VALUE!</v>
      </c>
      <c r="EU208" t="e">
        <f>AND('GA55 Entry'!F813,"AAAAAE+ztZY=")</f>
        <v>#VALUE!</v>
      </c>
      <c r="EV208" t="e">
        <f>AND('GA55 Entry'!G813,"AAAAAE+ztZc=")</f>
        <v>#VALUE!</v>
      </c>
      <c r="EW208" t="e">
        <f>AND('GA55 Entry'!H813,"AAAAAE+ztZg=")</f>
        <v>#VALUE!</v>
      </c>
      <c r="EX208" t="e">
        <f>AND('GA55 Entry'!I813,"AAAAAE+ztZk=")</f>
        <v>#VALUE!</v>
      </c>
      <c r="EY208" t="e">
        <f>AND('GA55 Entry'!J813,"AAAAAE+ztZo=")</f>
        <v>#VALUE!</v>
      </c>
      <c r="EZ208" t="e">
        <f>AND('GA55 Entry'!#REF!,"AAAAAE+ztZs=")</f>
        <v>#REF!</v>
      </c>
      <c r="FA208" t="e">
        <f>AND('GA55 Entry'!K813,"AAAAAE+ztZw=")</f>
        <v>#VALUE!</v>
      </c>
      <c r="FB208" t="e">
        <f>AND('GA55 Entry'!L813,"AAAAAE+ztZ0=")</f>
        <v>#VALUE!</v>
      </c>
      <c r="FC208" t="e">
        <f>AND('GA55 Entry'!M813,"AAAAAE+ztZ4=")</f>
        <v>#VALUE!</v>
      </c>
      <c r="FD208" t="e">
        <f>AND('GA55 Entry'!N813,"AAAAAE+ztZ8=")</f>
        <v>#VALUE!</v>
      </c>
      <c r="FE208" t="e">
        <f>AND('GA55 Entry'!O813,"AAAAAE+ztaA=")</f>
        <v>#VALUE!</v>
      </c>
      <c r="FF208" t="e">
        <f>AND('GA55 Entry'!P813,"AAAAAE+ztaE=")</f>
        <v>#VALUE!</v>
      </c>
      <c r="FG208" t="e">
        <f>AND('GA55 Entry'!Q813,"AAAAAE+ztaI=")</f>
        <v>#VALUE!</v>
      </c>
      <c r="FH208" t="e">
        <f>AND('GA55 Entry'!S813,"AAAAAE+ztaM=")</f>
        <v>#VALUE!</v>
      </c>
      <c r="FI208" t="e">
        <f>AND('GA55 Entry'!#REF!,"AAAAAE+ztaQ=")</f>
        <v>#REF!</v>
      </c>
      <c r="FJ208" t="e">
        <f>AND('GA55 Entry'!T813,"AAAAAE+ztaU=")</f>
        <v>#VALUE!</v>
      </c>
      <c r="FK208" t="e">
        <f>AND('GA55 Entry'!U813,"AAAAAE+ztaY=")</f>
        <v>#VALUE!</v>
      </c>
      <c r="FL208" t="e">
        <f>AND('GA55 Entry'!V813,"AAAAAE+ztac=")</f>
        <v>#VALUE!</v>
      </c>
      <c r="FM208" t="e">
        <f>AND('GA55 Entry'!#REF!,"AAAAAE+ztag=")</f>
        <v>#REF!</v>
      </c>
      <c r="FN208" t="e">
        <f>AND('GA55 Entry'!#REF!,"AAAAAE+ztak=")</f>
        <v>#REF!</v>
      </c>
      <c r="FO208" t="e">
        <f>AND('GA55 Entry'!X813,"AAAAAE+ztao=")</f>
        <v>#VALUE!</v>
      </c>
      <c r="FP208" t="e">
        <f>AND('GA55 Entry'!Y813,"AAAAAE+ztas=")</f>
        <v>#VALUE!</v>
      </c>
      <c r="FQ208" t="e">
        <f>AND('GA55 Entry'!#REF!,"AAAAAE+ztaw=")</f>
        <v>#REF!</v>
      </c>
      <c r="FR208" t="e">
        <f>AND('GA55 Entry'!#REF!,"AAAAAE+zta0=")</f>
        <v>#REF!</v>
      </c>
      <c r="FS208" t="e">
        <f>AND('GA55 Entry'!#REF!,"AAAAAE+zta4=")</f>
        <v>#REF!</v>
      </c>
      <c r="FT208" t="e">
        <f>AND('GA55 Entry'!#REF!,"AAAAAE+zta8=")</f>
        <v>#REF!</v>
      </c>
      <c r="FU208" t="e">
        <f>AND('GA55 Entry'!#REF!,"AAAAAE+ztbA=")</f>
        <v>#REF!</v>
      </c>
      <c r="FV208" t="e">
        <f>AND('GA55 Entry'!#REF!,"AAAAAE+ztbE=")</f>
        <v>#REF!</v>
      </c>
      <c r="FW208" t="e">
        <f>AND('GA55 Entry'!#REF!,"AAAAAE+ztbI=")</f>
        <v>#REF!</v>
      </c>
      <c r="FX208" t="e">
        <f>AND('GA55 Entry'!#REF!,"AAAAAE+ztbM=")</f>
        <v>#REF!</v>
      </c>
      <c r="FY208" t="e">
        <f>AND('GA55 Entry'!#REF!,"AAAAAE+ztbQ=")</f>
        <v>#REF!</v>
      </c>
      <c r="FZ208" t="e">
        <f>AND('GA55 Entry'!Z813,"AAAAAE+ztbU=")</f>
        <v>#VALUE!</v>
      </c>
      <c r="GA208" t="e">
        <f>AND('GA55 Entry'!AA813,"AAAAAE+ztbY=")</f>
        <v>#VALUE!</v>
      </c>
      <c r="GB208" t="e">
        <f>AND('GA55 Entry'!#REF!,"AAAAAE+ztbc=")</f>
        <v>#REF!</v>
      </c>
      <c r="GC208" t="e">
        <f>AND('GA55 Entry'!#REF!,"AAAAAE+ztbg=")</f>
        <v>#REF!</v>
      </c>
      <c r="GD208" t="e">
        <f>AND('GA55 Entry'!#REF!,"AAAAAE+ztbk=")</f>
        <v>#REF!</v>
      </c>
      <c r="GE208" t="e">
        <f>AND('GA55 Entry'!AB813,"AAAAAE+ztbo=")</f>
        <v>#VALUE!</v>
      </c>
      <c r="GF208" t="e">
        <f>AND('GA55 Entry'!AC813,"AAAAAE+ztbs=")</f>
        <v>#VALUE!</v>
      </c>
      <c r="GG208" t="e">
        <f>AND('GA55 Entry'!#REF!,"AAAAAE+ztbw=")</f>
        <v>#REF!</v>
      </c>
      <c r="GH208">
        <f>IF('GA55 Entry'!814:814,"AAAAAE+ztb0=",0)</f>
        <v>0</v>
      </c>
      <c r="GI208" t="e">
        <f>AND('GA55 Entry'!B814,"AAAAAE+ztb4=")</f>
        <v>#VALUE!</v>
      </c>
      <c r="GJ208" t="e">
        <f>AND('GA55 Entry'!#REF!,"AAAAAE+ztb8=")</f>
        <v>#REF!</v>
      </c>
      <c r="GK208" t="e">
        <f>AND('GA55 Entry'!C814,"AAAAAE+ztcA=")</f>
        <v>#VALUE!</v>
      </c>
      <c r="GL208" t="e">
        <f>AND('GA55 Entry'!#REF!,"AAAAAE+ztcE=")</f>
        <v>#REF!</v>
      </c>
      <c r="GM208" t="e">
        <f>AND('GA55 Entry'!#REF!,"AAAAAE+ztcI=")</f>
        <v>#REF!</v>
      </c>
      <c r="GN208" t="e">
        <f>AND('GA55 Entry'!#REF!,"AAAAAE+ztcM=")</f>
        <v>#REF!</v>
      </c>
      <c r="GO208" t="e">
        <f>AND('GA55 Entry'!#REF!,"AAAAAE+ztcQ=")</f>
        <v>#REF!</v>
      </c>
      <c r="GP208" t="e">
        <f>AND('GA55 Entry'!#REF!,"AAAAAE+ztcU=")</f>
        <v>#REF!</v>
      </c>
      <c r="GQ208" t="e">
        <f>AND('GA55 Entry'!D814,"AAAAAE+ztcY=")</f>
        <v>#VALUE!</v>
      </c>
      <c r="GR208" t="e">
        <f>AND('GA55 Entry'!#REF!,"AAAAAE+ztcc=")</f>
        <v>#REF!</v>
      </c>
      <c r="GS208" t="e">
        <f>AND('GA55 Entry'!E814,"AAAAAE+ztcg=")</f>
        <v>#VALUE!</v>
      </c>
      <c r="GT208" t="e">
        <f>AND('GA55 Entry'!F814,"AAAAAE+ztck=")</f>
        <v>#VALUE!</v>
      </c>
      <c r="GU208" t="e">
        <f>AND('GA55 Entry'!G814,"AAAAAE+ztco=")</f>
        <v>#VALUE!</v>
      </c>
      <c r="GV208" t="e">
        <f>AND('GA55 Entry'!H814,"AAAAAE+ztcs=")</f>
        <v>#VALUE!</v>
      </c>
      <c r="GW208" t="e">
        <f>AND('GA55 Entry'!I814,"AAAAAE+ztcw=")</f>
        <v>#VALUE!</v>
      </c>
      <c r="GX208" t="e">
        <f>AND('GA55 Entry'!J814,"AAAAAE+ztc0=")</f>
        <v>#VALUE!</v>
      </c>
      <c r="GY208" t="e">
        <f>AND('GA55 Entry'!#REF!,"AAAAAE+ztc4=")</f>
        <v>#REF!</v>
      </c>
      <c r="GZ208" t="e">
        <f>AND('GA55 Entry'!K814,"AAAAAE+ztc8=")</f>
        <v>#VALUE!</v>
      </c>
      <c r="HA208" t="e">
        <f>AND('GA55 Entry'!L814,"AAAAAE+ztdA=")</f>
        <v>#VALUE!</v>
      </c>
      <c r="HB208" t="e">
        <f>AND('GA55 Entry'!M814,"AAAAAE+ztdE=")</f>
        <v>#VALUE!</v>
      </c>
      <c r="HC208" t="e">
        <f>AND('GA55 Entry'!N814,"AAAAAE+ztdI=")</f>
        <v>#VALUE!</v>
      </c>
      <c r="HD208" t="e">
        <f>AND('GA55 Entry'!O814,"AAAAAE+ztdM=")</f>
        <v>#VALUE!</v>
      </c>
      <c r="HE208" t="e">
        <f>AND('GA55 Entry'!P814,"AAAAAE+ztdQ=")</f>
        <v>#VALUE!</v>
      </c>
      <c r="HF208" t="e">
        <f>AND('GA55 Entry'!Q814,"AAAAAE+ztdU=")</f>
        <v>#VALUE!</v>
      </c>
      <c r="HG208" t="e">
        <f>AND('GA55 Entry'!S814,"AAAAAE+ztdY=")</f>
        <v>#VALUE!</v>
      </c>
      <c r="HH208" t="e">
        <f>AND('GA55 Entry'!#REF!,"AAAAAE+ztdc=")</f>
        <v>#REF!</v>
      </c>
      <c r="HI208" t="e">
        <f>AND('GA55 Entry'!T814,"AAAAAE+ztdg=")</f>
        <v>#VALUE!</v>
      </c>
      <c r="HJ208" t="e">
        <f>AND('GA55 Entry'!U814,"AAAAAE+ztdk=")</f>
        <v>#VALUE!</v>
      </c>
      <c r="HK208" t="e">
        <f>AND('GA55 Entry'!V814,"AAAAAE+ztdo=")</f>
        <v>#VALUE!</v>
      </c>
      <c r="HL208" t="e">
        <f>AND('GA55 Entry'!#REF!,"AAAAAE+ztds=")</f>
        <v>#REF!</v>
      </c>
      <c r="HM208" t="e">
        <f>AND('GA55 Entry'!#REF!,"AAAAAE+ztdw=")</f>
        <v>#REF!</v>
      </c>
      <c r="HN208" t="e">
        <f>AND('GA55 Entry'!X814,"AAAAAE+ztd0=")</f>
        <v>#VALUE!</v>
      </c>
      <c r="HO208" t="e">
        <f>AND('GA55 Entry'!Y814,"AAAAAE+ztd4=")</f>
        <v>#VALUE!</v>
      </c>
      <c r="HP208" t="e">
        <f>AND('GA55 Entry'!#REF!,"AAAAAE+ztd8=")</f>
        <v>#REF!</v>
      </c>
      <c r="HQ208" t="e">
        <f>AND('GA55 Entry'!#REF!,"AAAAAE+zteA=")</f>
        <v>#REF!</v>
      </c>
      <c r="HR208" t="e">
        <f>AND('GA55 Entry'!#REF!,"AAAAAE+zteE=")</f>
        <v>#REF!</v>
      </c>
      <c r="HS208" t="e">
        <f>AND('GA55 Entry'!#REF!,"AAAAAE+zteI=")</f>
        <v>#REF!</v>
      </c>
      <c r="HT208" t="e">
        <f>AND('GA55 Entry'!#REF!,"AAAAAE+zteM=")</f>
        <v>#REF!</v>
      </c>
      <c r="HU208" t="e">
        <f>AND('GA55 Entry'!#REF!,"AAAAAE+zteQ=")</f>
        <v>#REF!</v>
      </c>
      <c r="HV208" t="e">
        <f>AND('GA55 Entry'!#REF!,"AAAAAE+zteU=")</f>
        <v>#REF!</v>
      </c>
      <c r="HW208" t="e">
        <f>AND('GA55 Entry'!#REF!,"AAAAAE+zteY=")</f>
        <v>#REF!</v>
      </c>
      <c r="HX208" t="e">
        <f>AND('GA55 Entry'!#REF!,"AAAAAE+ztec=")</f>
        <v>#REF!</v>
      </c>
      <c r="HY208" t="e">
        <f>AND('GA55 Entry'!Z814,"AAAAAE+zteg=")</f>
        <v>#VALUE!</v>
      </c>
      <c r="HZ208" t="e">
        <f>AND('GA55 Entry'!AA814,"AAAAAE+ztek=")</f>
        <v>#VALUE!</v>
      </c>
      <c r="IA208" t="e">
        <f>AND('GA55 Entry'!#REF!,"AAAAAE+zteo=")</f>
        <v>#REF!</v>
      </c>
      <c r="IB208" t="e">
        <f>AND('GA55 Entry'!#REF!,"AAAAAE+ztes=")</f>
        <v>#REF!</v>
      </c>
      <c r="IC208" t="e">
        <f>AND('GA55 Entry'!#REF!,"AAAAAE+ztew=")</f>
        <v>#REF!</v>
      </c>
      <c r="ID208" t="e">
        <f>AND('GA55 Entry'!AB814,"AAAAAE+zte0=")</f>
        <v>#VALUE!</v>
      </c>
      <c r="IE208" t="e">
        <f>AND('GA55 Entry'!AC814,"AAAAAE+zte4=")</f>
        <v>#VALUE!</v>
      </c>
      <c r="IF208" t="e">
        <f>AND('GA55 Entry'!#REF!,"AAAAAE+zte8=")</f>
        <v>#REF!</v>
      </c>
      <c r="IG208">
        <f>IF('GA55 Entry'!815:815,"AAAAAE+ztfA=",0)</f>
        <v>0</v>
      </c>
      <c r="IH208" t="e">
        <f>AND('GA55 Entry'!B815,"AAAAAE+ztfE=")</f>
        <v>#VALUE!</v>
      </c>
      <c r="II208" t="e">
        <f>AND('GA55 Entry'!#REF!,"AAAAAE+ztfI=")</f>
        <v>#REF!</v>
      </c>
      <c r="IJ208" t="e">
        <f>AND('GA55 Entry'!C815,"AAAAAE+ztfM=")</f>
        <v>#VALUE!</v>
      </c>
      <c r="IK208" t="e">
        <f>AND('GA55 Entry'!#REF!,"AAAAAE+ztfQ=")</f>
        <v>#REF!</v>
      </c>
      <c r="IL208" t="e">
        <f>AND('GA55 Entry'!#REF!,"AAAAAE+ztfU=")</f>
        <v>#REF!</v>
      </c>
      <c r="IM208" t="e">
        <f>AND('GA55 Entry'!#REF!,"AAAAAE+ztfY=")</f>
        <v>#REF!</v>
      </c>
      <c r="IN208" t="e">
        <f>AND('GA55 Entry'!#REF!,"AAAAAE+ztfc=")</f>
        <v>#REF!</v>
      </c>
      <c r="IO208" t="e">
        <f>AND('GA55 Entry'!#REF!,"AAAAAE+ztfg=")</f>
        <v>#REF!</v>
      </c>
      <c r="IP208" t="e">
        <f>AND('GA55 Entry'!D815,"AAAAAE+ztfk=")</f>
        <v>#VALUE!</v>
      </c>
      <c r="IQ208" t="e">
        <f>AND('GA55 Entry'!#REF!,"AAAAAE+ztfo=")</f>
        <v>#REF!</v>
      </c>
      <c r="IR208" t="e">
        <f>AND('GA55 Entry'!E815,"AAAAAE+ztfs=")</f>
        <v>#VALUE!</v>
      </c>
      <c r="IS208" t="e">
        <f>AND('GA55 Entry'!F815,"AAAAAE+ztfw=")</f>
        <v>#VALUE!</v>
      </c>
      <c r="IT208" t="e">
        <f>AND('GA55 Entry'!G815,"AAAAAE+ztf0=")</f>
        <v>#VALUE!</v>
      </c>
      <c r="IU208" t="e">
        <f>AND('GA55 Entry'!H815,"AAAAAE+ztf4=")</f>
        <v>#VALUE!</v>
      </c>
      <c r="IV208" t="e">
        <f>AND('GA55 Entry'!I815,"AAAAAE+ztf8=")</f>
        <v>#VALUE!</v>
      </c>
    </row>
    <row r="209" spans="1:256">
      <c r="A209" t="e">
        <f>AND('GA55 Entry'!J815,"AAAAAF3+5wA=")</f>
        <v>#VALUE!</v>
      </c>
      <c r="B209" t="e">
        <f>AND('GA55 Entry'!#REF!,"AAAAAF3+5wE=")</f>
        <v>#REF!</v>
      </c>
      <c r="C209" t="e">
        <f>AND('GA55 Entry'!K815,"AAAAAF3+5wI=")</f>
        <v>#VALUE!</v>
      </c>
      <c r="D209" t="e">
        <f>AND('GA55 Entry'!L815,"AAAAAF3+5wM=")</f>
        <v>#VALUE!</v>
      </c>
      <c r="E209" t="e">
        <f>AND('GA55 Entry'!M815,"AAAAAF3+5wQ=")</f>
        <v>#VALUE!</v>
      </c>
      <c r="F209" t="e">
        <f>AND('GA55 Entry'!N815,"AAAAAF3+5wU=")</f>
        <v>#VALUE!</v>
      </c>
      <c r="G209" t="e">
        <f>AND('GA55 Entry'!O815,"AAAAAF3+5wY=")</f>
        <v>#VALUE!</v>
      </c>
      <c r="H209" t="e">
        <f>AND('GA55 Entry'!P815,"AAAAAF3+5wc=")</f>
        <v>#VALUE!</v>
      </c>
      <c r="I209" t="e">
        <f>AND('GA55 Entry'!Q815,"AAAAAF3+5wg=")</f>
        <v>#VALUE!</v>
      </c>
      <c r="J209" t="e">
        <f>AND('GA55 Entry'!S815,"AAAAAF3+5wk=")</f>
        <v>#VALUE!</v>
      </c>
      <c r="K209" t="e">
        <f>AND('GA55 Entry'!#REF!,"AAAAAF3+5wo=")</f>
        <v>#REF!</v>
      </c>
      <c r="L209" t="e">
        <f>AND('GA55 Entry'!T815,"AAAAAF3+5ws=")</f>
        <v>#VALUE!</v>
      </c>
      <c r="M209" t="e">
        <f>AND('GA55 Entry'!U815,"AAAAAF3+5ww=")</f>
        <v>#VALUE!</v>
      </c>
      <c r="N209" t="e">
        <f>AND('GA55 Entry'!V815,"AAAAAF3+5w0=")</f>
        <v>#VALUE!</v>
      </c>
      <c r="O209" t="e">
        <f>AND('GA55 Entry'!#REF!,"AAAAAF3+5w4=")</f>
        <v>#REF!</v>
      </c>
      <c r="P209" t="e">
        <f>AND('GA55 Entry'!#REF!,"AAAAAF3+5w8=")</f>
        <v>#REF!</v>
      </c>
      <c r="Q209" t="e">
        <f>AND('GA55 Entry'!X815,"AAAAAF3+5xA=")</f>
        <v>#VALUE!</v>
      </c>
      <c r="R209" t="e">
        <f>AND('GA55 Entry'!Y815,"AAAAAF3+5xE=")</f>
        <v>#VALUE!</v>
      </c>
      <c r="S209" t="e">
        <f>AND('GA55 Entry'!#REF!,"AAAAAF3+5xI=")</f>
        <v>#REF!</v>
      </c>
      <c r="T209" t="e">
        <f>AND('GA55 Entry'!#REF!,"AAAAAF3+5xM=")</f>
        <v>#REF!</v>
      </c>
      <c r="U209" t="e">
        <f>AND('GA55 Entry'!#REF!,"AAAAAF3+5xQ=")</f>
        <v>#REF!</v>
      </c>
      <c r="V209" t="e">
        <f>AND('GA55 Entry'!#REF!,"AAAAAF3+5xU=")</f>
        <v>#REF!</v>
      </c>
      <c r="W209" t="e">
        <f>AND('GA55 Entry'!#REF!,"AAAAAF3+5xY=")</f>
        <v>#REF!</v>
      </c>
      <c r="X209" t="e">
        <f>AND('GA55 Entry'!#REF!,"AAAAAF3+5xc=")</f>
        <v>#REF!</v>
      </c>
      <c r="Y209" t="e">
        <f>AND('GA55 Entry'!#REF!,"AAAAAF3+5xg=")</f>
        <v>#REF!</v>
      </c>
      <c r="Z209" t="e">
        <f>AND('GA55 Entry'!#REF!,"AAAAAF3+5xk=")</f>
        <v>#REF!</v>
      </c>
      <c r="AA209" t="e">
        <f>AND('GA55 Entry'!#REF!,"AAAAAF3+5xo=")</f>
        <v>#REF!</v>
      </c>
      <c r="AB209" t="e">
        <f>AND('GA55 Entry'!Z815,"AAAAAF3+5xs=")</f>
        <v>#VALUE!</v>
      </c>
      <c r="AC209" t="e">
        <f>AND('GA55 Entry'!AA815,"AAAAAF3+5xw=")</f>
        <v>#VALUE!</v>
      </c>
      <c r="AD209" t="e">
        <f>AND('GA55 Entry'!#REF!,"AAAAAF3+5x0=")</f>
        <v>#REF!</v>
      </c>
      <c r="AE209" t="e">
        <f>AND('GA55 Entry'!#REF!,"AAAAAF3+5x4=")</f>
        <v>#REF!</v>
      </c>
      <c r="AF209" t="e">
        <f>AND('GA55 Entry'!#REF!,"AAAAAF3+5x8=")</f>
        <v>#REF!</v>
      </c>
      <c r="AG209" t="e">
        <f>AND('GA55 Entry'!AB815,"AAAAAF3+5yA=")</f>
        <v>#VALUE!</v>
      </c>
      <c r="AH209" t="e">
        <f>AND('GA55 Entry'!AC815,"AAAAAF3+5yE=")</f>
        <v>#VALUE!</v>
      </c>
      <c r="AI209" t="e">
        <f>AND('GA55 Entry'!#REF!,"AAAAAF3+5yI=")</f>
        <v>#REF!</v>
      </c>
      <c r="AJ209">
        <f>IF('GA55 Entry'!816:816,"AAAAAF3+5yM=",0)</f>
        <v>0</v>
      </c>
      <c r="AK209" t="e">
        <f>AND('GA55 Entry'!B816,"AAAAAF3+5yQ=")</f>
        <v>#VALUE!</v>
      </c>
      <c r="AL209" t="e">
        <f>AND('GA55 Entry'!#REF!,"AAAAAF3+5yU=")</f>
        <v>#REF!</v>
      </c>
      <c r="AM209" t="e">
        <f>AND('GA55 Entry'!C816,"AAAAAF3+5yY=")</f>
        <v>#VALUE!</v>
      </c>
      <c r="AN209" t="e">
        <f>AND('GA55 Entry'!#REF!,"AAAAAF3+5yc=")</f>
        <v>#REF!</v>
      </c>
      <c r="AO209" t="e">
        <f>AND('GA55 Entry'!#REF!,"AAAAAF3+5yg=")</f>
        <v>#REF!</v>
      </c>
      <c r="AP209" t="e">
        <f>AND('GA55 Entry'!#REF!,"AAAAAF3+5yk=")</f>
        <v>#REF!</v>
      </c>
      <c r="AQ209" t="e">
        <f>AND('GA55 Entry'!#REF!,"AAAAAF3+5yo=")</f>
        <v>#REF!</v>
      </c>
      <c r="AR209" t="e">
        <f>AND('GA55 Entry'!#REF!,"AAAAAF3+5ys=")</f>
        <v>#REF!</v>
      </c>
      <c r="AS209" t="e">
        <f>AND('GA55 Entry'!D816,"AAAAAF3+5yw=")</f>
        <v>#VALUE!</v>
      </c>
      <c r="AT209" t="e">
        <f>AND('GA55 Entry'!#REF!,"AAAAAF3+5y0=")</f>
        <v>#REF!</v>
      </c>
      <c r="AU209" t="e">
        <f>AND('GA55 Entry'!E816,"AAAAAF3+5y4=")</f>
        <v>#VALUE!</v>
      </c>
      <c r="AV209" t="e">
        <f>AND('GA55 Entry'!F816,"AAAAAF3+5y8=")</f>
        <v>#VALUE!</v>
      </c>
      <c r="AW209" t="e">
        <f>AND('GA55 Entry'!G816,"AAAAAF3+5zA=")</f>
        <v>#VALUE!</v>
      </c>
      <c r="AX209" t="e">
        <f>AND('GA55 Entry'!H816,"AAAAAF3+5zE=")</f>
        <v>#VALUE!</v>
      </c>
      <c r="AY209" t="e">
        <f>AND('GA55 Entry'!I816,"AAAAAF3+5zI=")</f>
        <v>#VALUE!</v>
      </c>
      <c r="AZ209" t="e">
        <f>AND('GA55 Entry'!J816,"AAAAAF3+5zM=")</f>
        <v>#VALUE!</v>
      </c>
      <c r="BA209" t="e">
        <f>AND('GA55 Entry'!#REF!,"AAAAAF3+5zQ=")</f>
        <v>#REF!</v>
      </c>
      <c r="BB209" t="e">
        <f>AND('GA55 Entry'!K816,"AAAAAF3+5zU=")</f>
        <v>#VALUE!</v>
      </c>
      <c r="BC209" t="e">
        <f>AND('GA55 Entry'!L816,"AAAAAF3+5zY=")</f>
        <v>#VALUE!</v>
      </c>
      <c r="BD209" t="e">
        <f>AND('GA55 Entry'!M816,"AAAAAF3+5zc=")</f>
        <v>#VALUE!</v>
      </c>
      <c r="BE209" t="e">
        <f>AND('GA55 Entry'!N816,"AAAAAF3+5zg=")</f>
        <v>#VALUE!</v>
      </c>
      <c r="BF209" t="e">
        <f>AND('GA55 Entry'!O816,"AAAAAF3+5zk=")</f>
        <v>#VALUE!</v>
      </c>
      <c r="BG209" t="e">
        <f>AND('GA55 Entry'!P816,"AAAAAF3+5zo=")</f>
        <v>#VALUE!</v>
      </c>
      <c r="BH209" t="e">
        <f>AND('GA55 Entry'!Q816,"AAAAAF3+5zs=")</f>
        <v>#VALUE!</v>
      </c>
      <c r="BI209" t="e">
        <f>AND('GA55 Entry'!S816,"AAAAAF3+5zw=")</f>
        <v>#VALUE!</v>
      </c>
      <c r="BJ209" t="e">
        <f>AND('GA55 Entry'!#REF!,"AAAAAF3+5z0=")</f>
        <v>#REF!</v>
      </c>
      <c r="BK209" t="e">
        <f>AND('GA55 Entry'!T816,"AAAAAF3+5z4=")</f>
        <v>#VALUE!</v>
      </c>
      <c r="BL209" t="e">
        <f>AND('GA55 Entry'!U816,"AAAAAF3+5z8=")</f>
        <v>#VALUE!</v>
      </c>
      <c r="BM209" t="e">
        <f>AND('GA55 Entry'!V816,"AAAAAF3+50A=")</f>
        <v>#VALUE!</v>
      </c>
      <c r="BN209" t="e">
        <f>AND('GA55 Entry'!#REF!,"AAAAAF3+50E=")</f>
        <v>#REF!</v>
      </c>
      <c r="BO209" t="e">
        <f>AND('GA55 Entry'!#REF!,"AAAAAF3+50I=")</f>
        <v>#REF!</v>
      </c>
      <c r="BP209" t="e">
        <f>AND('GA55 Entry'!X816,"AAAAAF3+50M=")</f>
        <v>#VALUE!</v>
      </c>
      <c r="BQ209" t="e">
        <f>AND('GA55 Entry'!Y816,"AAAAAF3+50Q=")</f>
        <v>#VALUE!</v>
      </c>
      <c r="BR209" t="e">
        <f>AND('GA55 Entry'!#REF!,"AAAAAF3+50U=")</f>
        <v>#REF!</v>
      </c>
      <c r="BS209" t="e">
        <f>AND('GA55 Entry'!#REF!,"AAAAAF3+50Y=")</f>
        <v>#REF!</v>
      </c>
      <c r="BT209" t="e">
        <f>AND('GA55 Entry'!#REF!,"AAAAAF3+50c=")</f>
        <v>#REF!</v>
      </c>
      <c r="BU209" t="e">
        <f>AND('GA55 Entry'!#REF!,"AAAAAF3+50g=")</f>
        <v>#REF!</v>
      </c>
      <c r="BV209" t="e">
        <f>AND('GA55 Entry'!#REF!,"AAAAAF3+50k=")</f>
        <v>#REF!</v>
      </c>
      <c r="BW209" t="e">
        <f>AND('GA55 Entry'!#REF!,"AAAAAF3+50o=")</f>
        <v>#REF!</v>
      </c>
      <c r="BX209" t="e">
        <f>AND('GA55 Entry'!#REF!,"AAAAAF3+50s=")</f>
        <v>#REF!</v>
      </c>
      <c r="BY209" t="e">
        <f>AND('GA55 Entry'!#REF!,"AAAAAF3+50w=")</f>
        <v>#REF!</v>
      </c>
      <c r="BZ209" t="e">
        <f>AND('GA55 Entry'!#REF!,"AAAAAF3+500=")</f>
        <v>#REF!</v>
      </c>
      <c r="CA209" t="e">
        <f>AND('GA55 Entry'!Z816,"AAAAAF3+504=")</f>
        <v>#VALUE!</v>
      </c>
      <c r="CB209" t="e">
        <f>AND('GA55 Entry'!AA816,"AAAAAF3+508=")</f>
        <v>#VALUE!</v>
      </c>
      <c r="CC209" t="e">
        <f>AND('GA55 Entry'!#REF!,"AAAAAF3+51A=")</f>
        <v>#REF!</v>
      </c>
      <c r="CD209" t="e">
        <f>AND('GA55 Entry'!#REF!,"AAAAAF3+51E=")</f>
        <v>#REF!</v>
      </c>
      <c r="CE209" t="e">
        <f>AND('GA55 Entry'!#REF!,"AAAAAF3+51I=")</f>
        <v>#REF!</v>
      </c>
      <c r="CF209" t="e">
        <f>AND('GA55 Entry'!AB816,"AAAAAF3+51M=")</f>
        <v>#VALUE!</v>
      </c>
      <c r="CG209" t="e">
        <f>AND('GA55 Entry'!AC816,"AAAAAF3+51Q=")</f>
        <v>#VALUE!</v>
      </c>
      <c r="CH209" t="e">
        <f>AND('GA55 Entry'!#REF!,"AAAAAF3+51U=")</f>
        <v>#REF!</v>
      </c>
      <c r="CI209">
        <f>IF('GA55 Entry'!817:817,"AAAAAF3+51Y=",0)</f>
        <v>0</v>
      </c>
      <c r="CJ209" t="e">
        <f>AND('GA55 Entry'!B817,"AAAAAF3+51c=")</f>
        <v>#VALUE!</v>
      </c>
      <c r="CK209" t="e">
        <f>AND('GA55 Entry'!#REF!,"AAAAAF3+51g=")</f>
        <v>#REF!</v>
      </c>
      <c r="CL209" t="e">
        <f>AND('GA55 Entry'!C817,"AAAAAF3+51k=")</f>
        <v>#VALUE!</v>
      </c>
      <c r="CM209" t="e">
        <f>AND('GA55 Entry'!#REF!,"AAAAAF3+51o=")</f>
        <v>#REF!</v>
      </c>
      <c r="CN209" t="e">
        <f>AND('GA55 Entry'!#REF!,"AAAAAF3+51s=")</f>
        <v>#REF!</v>
      </c>
      <c r="CO209" t="e">
        <f>AND('GA55 Entry'!#REF!,"AAAAAF3+51w=")</f>
        <v>#REF!</v>
      </c>
      <c r="CP209" t="e">
        <f>AND('GA55 Entry'!#REF!,"AAAAAF3+510=")</f>
        <v>#REF!</v>
      </c>
      <c r="CQ209" t="e">
        <f>AND('GA55 Entry'!#REF!,"AAAAAF3+514=")</f>
        <v>#REF!</v>
      </c>
      <c r="CR209" t="e">
        <f>AND('GA55 Entry'!D817,"AAAAAF3+518=")</f>
        <v>#VALUE!</v>
      </c>
      <c r="CS209" t="e">
        <f>AND('GA55 Entry'!#REF!,"AAAAAF3+52A=")</f>
        <v>#REF!</v>
      </c>
      <c r="CT209" t="e">
        <f>AND('GA55 Entry'!E817,"AAAAAF3+52E=")</f>
        <v>#VALUE!</v>
      </c>
      <c r="CU209" t="e">
        <f>AND('GA55 Entry'!F817,"AAAAAF3+52I=")</f>
        <v>#VALUE!</v>
      </c>
      <c r="CV209" t="e">
        <f>AND('GA55 Entry'!G817,"AAAAAF3+52M=")</f>
        <v>#VALUE!</v>
      </c>
      <c r="CW209" t="e">
        <f>AND('GA55 Entry'!H817,"AAAAAF3+52Q=")</f>
        <v>#VALUE!</v>
      </c>
      <c r="CX209" t="e">
        <f>AND('GA55 Entry'!I817,"AAAAAF3+52U=")</f>
        <v>#VALUE!</v>
      </c>
      <c r="CY209" t="e">
        <f>AND('GA55 Entry'!J817,"AAAAAF3+52Y=")</f>
        <v>#VALUE!</v>
      </c>
      <c r="CZ209" t="e">
        <f>AND('GA55 Entry'!#REF!,"AAAAAF3+52c=")</f>
        <v>#REF!</v>
      </c>
      <c r="DA209" t="e">
        <f>AND('GA55 Entry'!K817,"AAAAAF3+52g=")</f>
        <v>#VALUE!</v>
      </c>
      <c r="DB209" t="e">
        <f>AND('GA55 Entry'!L817,"AAAAAF3+52k=")</f>
        <v>#VALUE!</v>
      </c>
      <c r="DC209" t="e">
        <f>AND('GA55 Entry'!M817,"AAAAAF3+52o=")</f>
        <v>#VALUE!</v>
      </c>
      <c r="DD209" t="e">
        <f>AND('GA55 Entry'!N817,"AAAAAF3+52s=")</f>
        <v>#VALUE!</v>
      </c>
      <c r="DE209" t="e">
        <f>AND('GA55 Entry'!O817,"AAAAAF3+52w=")</f>
        <v>#VALUE!</v>
      </c>
      <c r="DF209" t="e">
        <f>AND('GA55 Entry'!P817,"AAAAAF3+520=")</f>
        <v>#VALUE!</v>
      </c>
      <c r="DG209" t="e">
        <f>AND('GA55 Entry'!Q817,"AAAAAF3+524=")</f>
        <v>#VALUE!</v>
      </c>
      <c r="DH209" t="e">
        <f>AND('GA55 Entry'!S817,"AAAAAF3+528=")</f>
        <v>#VALUE!</v>
      </c>
      <c r="DI209" t="e">
        <f>AND('GA55 Entry'!#REF!,"AAAAAF3+53A=")</f>
        <v>#REF!</v>
      </c>
      <c r="DJ209" t="e">
        <f>AND('GA55 Entry'!T817,"AAAAAF3+53E=")</f>
        <v>#VALUE!</v>
      </c>
      <c r="DK209" t="e">
        <f>AND('GA55 Entry'!U817,"AAAAAF3+53I=")</f>
        <v>#VALUE!</v>
      </c>
      <c r="DL209" t="e">
        <f>AND('GA55 Entry'!V817,"AAAAAF3+53M=")</f>
        <v>#VALUE!</v>
      </c>
      <c r="DM209" t="e">
        <f>AND('GA55 Entry'!#REF!,"AAAAAF3+53Q=")</f>
        <v>#REF!</v>
      </c>
      <c r="DN209" t="e">
        <f>AND('GA55 Entry'!#REF!,"AAAAAF3+53U=")</f>
        <v>#REF!</v>
      </c>
      <c r="DO209" t="e">
        <f>AND('GA55 Entry'!X817,"AAAAAF3+53Y=")</f>
        <v>#VALUE!</v>
      </c>
      <c r="DP209" t="e">
        <f>AND('GA55 Entry'!Y817,"AAAAAF3+53c=")</f>
        <v>#VALUE!</v>
      </c>
      <c r="DQ209" t="e">
        <f>AND('GA55 Entry'!#REF!,"AAAAAF3+53g=")</f>
        <v>#REF!</v>
      </c>
      <c r="DR209" t="e">
        <f>AND('GA55 Entry'!#REF!,"AAAAAF3+53k=")</f>
        <v>#REF!</v>
      </c>
      <c r="DS209" t="e">
        <f>AND('GA55 Entry'!#REF!,"AAAAAF3+53o=")</f>
        <v>#REF!</v>
      </c>
      <c r="DT209" t="e">
        <f>AND('GA55 Entry'!#REF!,"AAAAAF3+53s=")</f>
        <v>#REF!</v>
      </c>
      <c r="DU209" t="e">
        <f>AND('GA55 Entry'!#REF!,"AAAAAF3+53w=")</f>
        <v>#REF!</v>
      </c>
      <c r="DV209" t="e">
        <f>AND('GA55 Entry'!#REF!,"AAAAAF3+530=")</f>
        <v>#REF!</v>
      </c>
      <c r="DW209" t="e">
        <f>AND('GA55 Entry'!#REF!,"AAAAAF3+534=")</f>
        <v>#REF!</v>
      </c>
      <c r="DX209" t="e">
        <f>AND('GA55 Entry'!#REF!,"AAAAAF3+538=")</f>
        <v>#REF!</v>
      </c>
      <c r="DY209" t="e">
        <f>AND('GA55 Entry'!#REF!,"AAAAAF3+54A=")</f>
        <v>#REF!</v>
      </c>
      <c r="DZ209" t="e">
        <f>AND('GA55 Entry'!Z817,"AAAAAF3+54E=")</f>
        <v>#VALUE!</v>
      </c>
      <c r="EA209" t="e">
        <f>AND('GA55 Entry'!AA817,"AAAAAF3+54I=")</f>
        <v>#VALUE!</v>
      </c>
      <c r="EB209" t="e">
        <f>AND('GA55 Entry'!#REF!,"AAAAAF3+54M=")</f>
        <v>#REF!</v>
      </c>
      <c r="EC209" t="e">
        <f>AND('GA55 Entry'!#REF!,"AAAAAF3+54Q=")</f>
        <v>#REF!</v>
      </c>
      <c r="ED209" t="e">
        <f>AND('GA55 Entry'!#REF!,"AAAAAF3+54U=")</f>
        <v>#REF!</v>
      </c>
      <c r="EE209" t="e">
        <f>AND('GA55 Entry'!AB817,"AAAAAF3+54Y=")</f>
        <v>#VALUE!</v>
      </c>
      <c r="EF209" t="e">
        <f>AND('GA55 Entry'!AC817,"AAAAAF3+54c=")</f>
        <v>#VALUE!</v>
      </c>
      <c r="EG209" t="e">
        <f>AND('GA55 Entry'!#REF!,"AAAAAF3+54g=")</f>
        <v>#REF!</v>
      </c>
      <c r="EH209">
        <f>IF('GA55 Entry'!818:818,"AAAAAF3+54k=",0)</f>
        <v>0</v>
      </c>
      <c r="EI209" t="e">
        <f>AND('GA55 Entry'!B818,"AAAAAF3+54o=")</f>
        <v>#VALUE!</v>
      </c>
      <c r="EJ209" t="e">
        <f>AND('GA55 Entry'!#REF!,"AAAAAF3+54s=")</f>
        <v>#REF!</v>
      </c>
      <c r="EK209" t="e">
        <f>AND('GA55 Entry'!C818,"AAAAAF3+54w=")</f>
        <v>#VALUE!</v>
      </c>
      <c r="EL209" t="e">
        <f>AND('GA55 Entry'!#REF!,"AAAAAF3+540=")</f>
        <v>#REF!</v>
      </c>
      <c r="EM209" t="e">
        <f>AND('GA55 Entry'!#REF!,"AAAAAF3+544=")</f>
        <v>#REF!</v>
      </c>
      <c r="EN209" t="e">
        <f>AND('GA55 Entry'!#REF!,"AAAAAF3+548=")</f>
        <v>#REF!</v>
      </c>
      <c r="EO209" t="e">
        <f>AND('GA55 Entry'!#REF!,"AAAAAF3+55A=")</f>
        <v>#REF!</v>
      </c>
      <c r="EP209" t="e">
        <f>AND('GA55 Entry'!#REF!,"AAAAAF3+55E=")</f>
        <v>#REF!</v>
      </c>
      <c r="EQ209" t="e">
        <f>AND('GA55 Entry'!D818,"AAAAAF3+55I=")</f>
        <v>#VALUE!</v>
      </c>
      <c r="ER209" t="e">
        <f>AND('GA55 Entry'!#REF!,"AAAAAF3+55M=")</f>
        <v>#REF!</v>
      </c>
      <c r="ES209" t="e">
        <f>AND('GA55 Entry'!E818,"AAAAAF3+55Q=")</f>
        <v>#VALUE!</v>
      </c>
      <c r="ET209" t="e">
        <f>AND('GA55 Entry'!F818,"AAAAAF3+55U=")</f>
        <v>#VALUE!</v>
      </c>
      <c r="EU209" t="e">
        <f>AND('GA55 Entry'!G818,"AAAAAF3+55Y=")</f>
        <v>#VALUE!</v>
      </c>
      <c r="EV209" t="e">
        <f>AND('GA55 Entry'!H818,"AAAAAF3+55c=")</f>
        <v>#VALUE!</v>
      </c>
      <c r="EW209" t="e">
        <f>AND('GA55 Entry'!I818,"AAAAAF3+55g=")</f>
        <v>#VALUE!</v>
      </c>
      <c r="EX209" t="e">
        <f>AND('GA55 Entry'!J818,"AAAAAF3+55k=")</f>
        <v>#VALUE!</v>
      </c>
      <c r="EY209" t="e">
        <f>AND('GA55 Entry'!#REF!,"AAAAAF3+55o=")</f>
        <v>#REF!</v>
      </c>
      <c r="EZ209" t="e">
        <f>AND('GA55 Entry'!K818,"AAAAAF3+55s=")</f>
        <v>#VALUE!</v>
      </c>
      <c r="FA209" t="e">
        <f>AND('GA55 Entry'!L818,"AAAAAF3+55w=")</f>
        <v>#VALUE!</v>
      </c>
      <c r="FB209" t="e">
        <f>AND('GA55 Entry'!M818,"AAAAAF3+550=")</f>
        <v>#VALUE!</v>
      </c>
      <c r="FC209" t="e">
        <f>AND('GA55 Entry'!N818,"AAAAAF3+554=")</f>
        <v>#VALUE!</v>
      </c>
      <c r="FD209" t="e">
        <f>AND('GA55 Entry'!O818,"AAAAAF3+558=")</f>
        <v>#VALUE!</v>
      </c>
      <c r="FE209" t="e">
        <f>AND('GA55 Entry'!P818,"AAAAAF3+56A=")</f>
        <v>#VALUE!</v>
      </c>
      <c r="FF209" t="e">
        <f>AND('GA55 Entry'!Q818,"AAAAAF3+56E=")</f>
        <v>#VALUE!</v>
      </c>
      <c r="FG209" t="e">
        <f>AND('GA55 Entry'!S818,"AAAAAF3+56I=")</f>
        <v>#VALUE!</v>
      </c>
      <c r="FH209" t="e">
        <f>AND('GA55 Entry'!#REF!,"AAAAAF3+56M=")</f>
        <v>#REF!</v>
      </c>
      <c r="FI209" t="e">
        <f>AND('GA55 Entry'!T818,"AAAAAF3+56Q=")</f>
        <v>#VALUE!</v>
      </c>
      <c r="FJ209" t="e">
        <f>AND('GA55 Entry'!U818,"AAAAAF3+56U=")</f>
        <v>#VALUE!</v>
      </c>
      <c r="FK209" t="e">
        <f>AND('GA55 Entry'!V818,"AAAAAF3+56Y=")</f>
        <v>#VALUE!</v>
      </c>
      <c r="FL209" t="e">
        <f>AND('GA55 Entry'!#REF!,"AAAAAF3+56c=")</f>
        <v>#REF!</v>
      </c>
      <c r="FM209" t="e">
        <f>AND('GA55 Entry'!#REF!,"AAAAAF3+56g=")</f>
        <v>#REF!</v>
      </c>
      <c r="FN209" t="e">
        <f>AND('GA55 Entry'!X818,"AAAAAF3+56k=")</f>
        <v>#VALUE!</v>
      </c>
      <c r="FO209" t="e">
        <f>AND('GA55 Entry'!Y818,"AAAAAF3+56o=")</f>
        <v>#VALUE!</v>
      </c>
      <c r="FP209" t="e">
        <f>AND('GA55 Entry'!#REF!,"AAAAAF3+56s=")</f>
        <v>#REF!</v>
      </c>
      <c r="FQ209" t="e">
        <f>AND('GA55 Entry'!#REF!,"AAAAAF3+56w=")</f>
        <v>#REF!</v>
      </c>
      <c r="FR209" t="e">
        <f>AND('GA55 Entry'!#REF!,"AAAAAF3+560=")</f>
        <v>#REF!</v>
      </c>
      <c r="FS209" t="e">
        <f>AND('GA55 Entry'!#REF!,"AAAAAF3+564=")</f>
        <v>#REF!</v>
      </c>
      <c r="FT209" t="e">
        <f>AND('GA55 Entry'!#REF!,"AAAAAF3+568=")</f>
        <v>#REF!</v>
      </c>
      <c r="FU209" t="e">
        <f>AND('GA55 Entry'!#REF!,"AAAAAF3+57A=")</f>
        <v>#REF!</v>
      </c>
      <c r="FV209" t="e">
        <f>AND('GA55 Entry'!#REF!,"AAAAAF3+57E=")</f>
        <v>#REF!</v>
      </c>
      <c r="FW209" t="e">
        <f>AND('GA55 Entry'!#REF!,"AAAAAF3+57I=")</f>
        <v>#REF!</v>
      </c>
      <c r="FX209" t="e">
        <f>AND('GA55 Entry'!#REF!,"AAAAAF3+57M=")</f>
        <v>#REF!</v>
      </c>
      <c r="FY209" t="e">
        <f>AND('GA55 Entry'!Z818,"AAAAAF3+57Q=")</f>
        <v>#VALUE!</v>
      </c>
      <c r="FZ209" t="e">
        <f>AND('GA55 Entry'!AA818,"AAAAAF3+57U=")</f>
        <v>#VALUE!</v>
      </c>
      <c r="GA209" t="e">
        <f>AND('GA55 Entry'!#REF!,"AAAAAF3+57Y=")</f>
        <v>#REF!</v>
      </c>
      <c r="GB209" t="e">
        <f>AND('GA55 Entry'!#REF!,"AAAAAF3+57c=")</f>
        <v>#REF!</v>
      </c>
      <c r="GC209" t="e">
        <f>AND('GA55 Entry'!#REF!,"AAAAAF3+57g=")</f>
        <v>#REF!</v>
      </c>
      <c r="GD209" t="e">
        <f>AND('GA55 Entry'!AB818,"AAAAAF3+57k=")</f>
        <v>#VALUE!</v>
      </c>
      <c r="GE209" t="e">
        <f>AND('GA55 Entry'!AC818,"AAAAAF3+57o=")</f>
        <v>#VALUE!</v>
      </c>
      <c r="GF209" t="e">
        <f>AND('GA55 Entry'!#REF!,"AAAAAF3+57s=")</f>
        <v>#REF!</v>
      </c>
      <c r="GG209">
        <f>IF('GA55 Entry'!819:819,"AAAAAF3+57w=",0)</f>
        <v>0</v>
      </c>
      <c r="GH209" t="e">
        <f>AND('GA55 Entry'!B819,"AAAAAF3+570=")</f>
        <v>#VALUE!</v>
      </c>
      <c r="GI209" t="e">
        <f>AND('GA55 Entry'!#REF!,"AAAAAF3+574=")</f>
        <v>#REF!</v>
      </c>
      <c r="GJ209" t="e">
        <f>AND('GA55 Entry'!C819,"AAAAAF3+578=")</f>
        <v>#VALUE!</v>
      </c>
      <c r="GK209" t="e">
        <f>AND('GA55 Entry'!#REF!,"AAAAAF3+58A=")</f>
        <v>#REF!</v>
      </c>
      <c r="GL209" t="e">
        <f>AND('GA55 Entry'!#REF!,"AAAAAF3+58E=")</f>
        <v>#REF!</v>
      </c>
      <c r="GM209" t="e">
        <f>AND('GA55 Entry'!#REF!,"AAAAAF3+58I=")</f>
        <v>#REF!</v>
      </c>
      <c r="GN209" t="e">
        <f>AND('GA55 Entry'!#REF!,"AAAAAF3+58M=")</f>
        <v>#REF!</v>
      </c>
      <c r="GO209" t="e">
        <f>AND('GA55 Entry'!#REF!,"AAAAAF3+58Q=")</f>
        <v>#REF!</v>
      </c>
      <c r="GP209" t="e">
        <f>AND('GA55 Entry'!D819,"AAAAAF3+58U=")</f>
        <v>#VALUE!</v>
      </c>
      <c r="GQ209" t="e">
        <f>AND('GA55 Entry'!#REF!,"AAAAAF3+58Y=")</f>
        <v>#REF!</v>
      </c>
      <c r="GR209" t="e">
        <f>AND('GA55 Entry'!E819,"AAAAAF3+58c=")</f>
        <v>#VALUE!</v>
      </c>
      <c r="GS209" t="e">
        <f>AND('GA55 Entry'!F819,"AAAAAF3+58g=")</f>
        <v>#VALUE!</v>
      </c>
      <c r="GT209" t="e">
        <f>AND('GA55 Entry'!G819,"AAAAAF3+58k=")</f>
        <v>#VALUE!</v>
      </c>
      <c r="GU209" t="e">
        <f>AND('GA55 Entry'!H819,"AAAAAF3+58o=")</f>
        <v>#VALUE!</v>
      </c>
      <c r="GV209" t="e">
        <f>AND('GA55 Entry'!I819,"AAAAAF3+58s=")</f>
        <v>#VALUE!</v>
      </c>
      <c r="GW209" t="e">
        <f>AND('GA55 Entry'!J819,"AAAAAF3+58w=")</f>
        <v>#VALUE!</v>
      </c>
      <c r="GX209" t="e">
        <f>AND('GA55 Entry'!#REF!,"AAAAAF3+580=")</f>
        <v>#REF!</v>
      </c>
      <c r="GY209" t="e">
        <f>AND('GA55 Entry'!K819,"AAAAAF3+584=")</f>
        <v>#VALUE!</v>
      </c>
      <c r="GZ209" t="e">
        <f>AND('GA55 Entry'!L819,"AAAAAF3+588=")</f>
        <v>#VALUE!</v>
      </c>
      <c r="HA209" t="e">
        <f>AND('GA55 Entry'!M819,"AAAAAF3+59A=")</f>
        <v>#VALUE!</v>
      </c>
      <c r="HB209" t="e">
        <f>AND('GA55 Entry'!N819,"AAAAAF3+59E=")</f>
        <v>#VALUE!</v>
      </c>
      <c r="HC209" t="e">
        <f>AND('GA55 Entry'!O819,"AAAAAF3+59I=")</f>
        <v>#VALUE!</v>
      </c>
      <c r="HD209" t="e">
        <f>AND('GA55 Entry'!P819,"AAAAAF3+59M=")</f>
        <v>#VALUE!</v>
      </c>
      <c r="HE209" t="e">
        <f>AND('GA55 Entry'!Q819,"AAAAAF3+59Q=")</f>
        <v>#VALUE!</v>
      </c>
      <c r="HF209" t="e">
        <f>AND('GA55 Entry'!S819,"AAAAAF3+59U=")</f>
        <v>#VALUE!</v>
      </c>
      <c r="HG209" t="e">
        <f>AND('GA55 Entry'!#REF!,"AAAAAF3+59Y=")</f>
        <v>#REF!</v>
      </c>
      <c r="HH209" t="e">
        <f>AND('GA55 Entry'!T819,"AAAAAF3+59c=")</f>
        <v>#VALUE!</v>
      </c>
      <c r="HI209" t="e">
        <f>AND('GA55 Entry'!U819,"AAAAAF3+59g=")</f>
        <v>#VALUE!</v>
      </c>
      <c r="HJ209" t="e">
        <f>AND('GA55 Entry'!V819,"AAAAAF3+59k=")</f>
        <v>#VALUE!</v>
      </c>
      <c r="HK209" t="e">
        <f>AND('GA55 Entry'!#REF!,"AAAAAF3+59o=")</f>
        <v>#REF!</v>
      </c>
      <c r="HL209" t="e">
        <f>AND('GA55 Entry'!#REF!,"AAAAAF3+59s=")</f>
        <v>#REF!</v>
      </c>
      <c r="HM209" t="e">
        <f>AND('GA55 Entry'!X819,"AAAAAF3+59w=")</f>
        <v>#VALUE!</v>
      </c>
      <c r="HN209" t="e">
        <f>AND('GA55 Entry'!Y819,"AAAAAF3+590=")</f>
        <v>#VALUE!</v>
      </c>
      <c r="HO209" t="e">
        <f>AND('GA55 Entry'!#REF!,"AAAAAF3+594=")</f>
        <v>#REF!</v>
      </c>
      <c r="HP209" t="e">
        <f>AND('GA55 Entry'!#REF!,"AAAAAF3+598=")</f>
        <v>#REF!</v>
      </c>
      <c r="HQ209" t="e">
        <f>AND('GA55 Entry'!#REF!,"AAAAAF3+5+A=")</f>
        <v>#REF!</v>
      </c>
      <c r="HR209" t="e">
        <f>AND('GA55 Entry'!#REF!,"AAAAAF3+5+E=")</f>
        <v>#REF!</v>
      </c>
      <c r="HS209" t="e">
        <f>AND('GA55 Entry'!#REF!,"AAAAAF3+5+I=")</f>
        <v>#REF!</v>
      </c>
      <c r="HT209" t="e">
        <f>AND('GA55 Entry'!#REF!,"AAAAAF3+5+M=")</f>
        <v>#REF!</v>
      </c>
      <c r="HU209" t="e">
        <f>AND('GA55 Entry'!#REF!,"AAAAAF3+5+Q=")</f>
        <v>#REF!</v>
      </c>
      <c r="HV209" t="e">
        <f>AND('GA55 Entry'!#REF!,"AAAAAF3+5+U=")</f>
        <v>#REF!</v>
      </c>
      <c r="HW209" t="e">
        <f>AND('GA55 Entry'!#REF!,"AAAAAF3+5+Y=")</f>
        <v>#REF!</v>
      </c>
      <c r="HX209" t="e">
        <f>AND('GA55 Entry'!Z819,"AAAAAF3+5+c=")</f>
        <v>#VALUE!</v>
      </c>
      <c r="HY209" t="e">
        <f>AND('GA55 Entry'!AA819,"AAAAAF3+5+g=")</f>
        <v>#VALUE!</v>
      </c>
      <c r="HZ209" t="e">
        <f>AND('GA55 Entry'!#REF!,"AAAAAF3+5+k=")</f>
        <v>#REF!</v>
      </c>
      <c r="IA209" t="e">
        <f>AND('GA55 Entry'!#REF!,"AAAAAF3+5+o=")</f>
        <v>#REF!</v>
      </c>
      <c r="IB209" t="e">
        <f>AND('GA55 Entry'!#REF!,"AAAAAF3+5+s=")</f>
        <v>#REF!</v>
      </c>
      <c r="IC209" t="e">
        <f>AND('GA55 Entry'!AB819,"AAAAAF3+5+w=")</f>
        <v>#VALUE!</v>
      </c>
      <c r="ID209" t="e">
        <f>AND('GA55 Entry'!AC819,"AAAAAF3+5+0=")</f>
        <v>#VALUE!</v>
      </c>
      <c r="IE209" t="e">
        <f>AND('GA55 Entry'!#REF!,"AAAAAF3+5+4=")</f>
        <v>#REF!</v>
      </c>
      <c r="IF209">
        <f>IF('GA55 Entry'!820:820,"AAAAAF3+5+8=",0)</f>
        <v>0</v>
      </c>
      <c r="IG209" t="e">
        <f>AND('GA55 Entry'!B820,"AAAAAF3+5/A=")</f>
        <v>#VALUE!</v>
      </c>
      <c r="IH209" t="e">
        <f>AND('GA55 Entry'!#REF!,"AAAAAF3+5/E=")</f>
        <v>#REF!</v>
      </c>
      <c r="II209" t="e">
        <f>AND('GA55 Entry'!C820,"AAAAAF3+5/I=")</f>
        <v>#VALUE!</v>
      </c>
      <c r="IJ209" t="e">
        <f>AND('GA55 Entry'!#REF!,"AAAAAF3+5/M=")</f>
        <v>#REF!</v>
      </c>
      <c r="IK209" t="e">
        <f>AND('GA55 Entry'!#REF!,"AAAAAF3+5/Q=")</f>
        <v>#REF!</v>
      </c>
      <c r="IL209" t="e">
        <f>AND('GA55 Entry'!#REF!,"AAAAAF3+5/U=")</f>
        <v>#REF!</v>
      </c>
      <c r="IM209" t="e">
        <f>AND('GA55 Entry'!#REF!,"AAAAAF3+5/Y=")</f>
        <v>#REF!</v>
      </c>
      <c r="IN209" t="e">
        <f>AND('GA55 Entry'!#REF!,"AAAAAF3+5/c=")</f>
        <v>#REF!</v>
      </c>
      <c r="IO209" t="e">
        <f>AND('GA55 Entry'!D820,"AAAAAF3+5/g=")</f>
        <v>#VALUE!</v>
      </c>
      <c r="IP209" t="e">
        <f>AND('GA55 Entry'!#REF!,"AAAAAF3+5/k=")</f>
        <v>#REF!</v>
      </c>
      <c r="IQ209" t="e">
        <f>AND('GA55 Entry'!E820,"AAAAAF3+5/o=")</f>
        <v>#VALUE!</v>
      </c>
      <c r="IR209" t="e">
        <f>AND('GA55 Entry'!F820,"AAAAAF3+5/s=")</f>
        <v>#VALUE!</v>
      </c>
      <c r="IS209" t="e">
        <f>AND('GA55 Entry'!G820,"AAAAAF3+5/w=")</f>
        <v>#VALUE!</v>
      </c>
      <c r="IT209" t="e">
        <f>AND('GA55 Entry'!H820,"AAAAAF3+5/0=")</f>
        <v>#VALUE!</v>
      </c>
      <c r="IU209" t="e">
        <f>AND('GA55 Entry'!I820,"AAAAAF3+5/4=")</f>
        <v>#VALUE!</v>
      </c>
      <c r="IV209" t="e">
        <f>AND('GA55 Entry'!J820,"AAAAAF3+5/8=")</f>
        <v>#VALUE!</v>
      </c>
    </row>
    <row r="210" spans="1:256">
      <c r="A210" t="e">
        <f>AND('GA55 Entry'!#REF!,"AAAAAF3V3QA=")</f>
        <v>#REF!</v>
      </c>
      <c r="B210" t="e">
        <f>AND('GA55 Entry'!K820,"AAAAAF3V3QE=")</f>
        <v>#VALUE!</v>
      </c>
      <c r="C210" t="e">
        <f>AND('GA55 Entry'!L820,"AAAAAF3V3QI=")</f>
        <v>#VALUE!</v>
      </c>
      <c r="D210" t="e">
        <f>AND('GA55 Entry'!M820,"AAAAAF3V3QM=")</f>
        <v>#VALUE!</v>
      </c>
      <c r="E210" t="e">
        <f>AND('GA55 Entry'!N820,"AAAAAF3V3QQ=")</f>
        <v>#VALUE!</v>
      </c>
      <c r="F210" t="e">
        <f>AND('GA55 Entry'!O820,"AAAAAF3V3QU=")</f>
        <v>#VALUE!</v>
      </c>
      <c r="G210" t="e">
        <f>AND('GA55 Entry'!P820,"AAAAAF3V3QY=")</f>
        <v>#VALUE!</v>
      </c>
      <c r="H210" t="e">
        <f>AND('GA55 Entry'!Q820,"AAAAAF3V3Qc=")</f>
        <v>#VALUE!</v>
      </c>
      <c r="I210" t="e">
        <f>AND('GA55 Entry'!S820,"AAAAAF3V3Qg=")</f>
        <v>#VALUE!</v>
      </c>
      <c r="J210" t="e">
        <f>AND('GA55 Entry'!#REF!,"AAAAAF3V3Qk=")</f>
        <v>#REF!</v>
      </c>
      <c r="K210" t="e">
        <f>AND('GA55 Entry'!T820,"AAAAAF3V3Qo=")</f>
        <v>#VALUE!</v>
      </c>
      <c r="L210" t="e">
        <f>AND('GA55 Entry'!U820,"AAAAAF3V3Qs=")</f>
        <v>#VALUE!</v>
      </c>
      <c r="M210" t="e">
        <f>AND('GA55 Entry'!V820,"AAAAAF3V3Qw=")</f>
        <v>#VALUE!</v>
      </c>
      <c r="N210" t="e">
        <f>AND('GA55 Entry'!#REF!,"AAAAAF3V3Q0=")</f>
        <v>#REF!</v>
      </c>
      <c r="O210" t="e">
        <f>AND('GA55 Entry'!#REF!,"AAAAAF3V3Q4=")</f>
        <v>#REF!</v>
      </c>
      <c r="P210" t="e">
        <f>AND('GA55 Entry'!X820,"AAAAAF3V3Q8=")</f>
        <v>#VALUE!</v>
      </c>
      <c r="Q210" t="e">
        <f>AND('GA55 Entry'!Y820,"AAAAAF3V3RA=")</f>
        <v>#VALUE!</v>
      </c>
      <c r="R210" t="e">
        <f>AND('GA55 Entry'!#REF!,"AAAAAF3V3RE=")</f>
        <v>#REF!</v>
      </c>
      <c r="S210" t="e">
        <f>AND('GA55 Entry'!#REF!,"AAAAAF3V3RI=")</f>
        <v>#REF!</v>
      </c>
      <c r="T210" t="e">
        <f>AND('GA55 Entry'!#REF!,"AAAAAF3V3RM=")</f>
        <v>#REF!</v>
      </c>
      <c r="U210" t="e">
        <f>AND('GA55 Entry'!#REF!,"AAAAAF3V3RQ=")</f>
        <v>#REF!</v>
      </c>
      <c r="V210" t="e">
        <f>AND('GA55 Entry'!#REF!,"AAAAAF3V3RU=")</f>
        <v>#REF!</v>
      </c>
      <c r="W210" t="e">
        <f>AND('GA55 Entry'!#REF!,"AAAAAF3V3RY=")</f>
        <v>#REF!</v>
      </c>
      <c r="X210" t="e">
        <f>AND('GA55 Entry'!#REF!,"AAAAAF3V3Rc=")</f>
        <v>#REF!</v>
      </c>
      <c r="Y210" t="e">
        <f>AND('GA55 Entry'!#REF!,"AAAAAF3V3Rg=")</f>
        <v>#REF!</v>
      </c>
      <c r="Z210" t="e">
        <f>AND('GA55 Entry'!#REF!,"AAAAAF3V3Rk=")</f>
        <v>#REF!</v>
      </c>
      <c r="AA210" t="e">
        <f>AND('GA55 Entry'!Z820,"AAAAAF3V3Ro=")</f>
        <v>#VALUE!</v>
      </c>
      <c r="AB210" t="e">
        <f>AND('GA55 Entry'!AA820,"AAAAAF3V3Rs=")</f>
        <v>#VALUE!</v>
      </c>
      <c r="AC210" t="e">
        <f>AND('GA55 Entry'!#REF!,"AAAAAF3V3Rw=")</f>
        <v>#REF!</v>
      </c>
      <c r="AD210" t="e">
        <f>AND('GA55 Entry'!#REF!,"AAAAAF3V3R0=")</f>
        <v>#REF!</v>
      </c>
      <c r="AE210" t="e">
        <f>AND('GA55 Entry'!#REF!,"AAAAAF3V3R4=")</f>
        <v>#REF!</v>
      </c>
      <c r="AF210" t="e">
        <f>AND('GA55 Entry'!AB820,"AAAAAF3V3R8=")</f>
        <v>#VALUE!</v>
      </c>
      <c r="AG210" t="e">
        <f>AND('GA55 Entry'!AC820,"AAAAAF3V3SA=")</f>
        <v>#VALUE!</v>
      </c>
      <c r="AH210" t="e">
        <f>AND('GA55 Entry'!#REF!,"AAAAAF3V3SE=")</f>
        <v>#REF!</v>
      </c>
      <c r="AI210">
        <f>IF('GA55 Entry'!821:821,"AAAAAF3V3SI=",0)</f>
        <v>0</v>
      </c>
      <c r="AJ210" t="e">
        <f>AND('GA55 Entry'!B821,"AAAAAF3V3SM=")</f>
        <v>#VALUE!</v>
      </c>
      <c r="AK210" t="e">
        <f>AND('GA55 Entry'!#REF!,"AAAAAF3V3SQ=")</f>
        <v>#REF!</v>
      </c>
      <c r="AL210" t="e">
        <f>AND('GA55 Entry'!C821,"AAAAAF3V3SU=")</f>
        <v>#VALUE!</v>
      </c>
      <c r="AM210" t="e">
        <f>AND('GA55 Entry'!#REF!,"AAAAAF3V3SY=")</f>
        <v>#REF!</v>
      </c>
      <c r="AN210" t="e">
        <f>AND('GA55 Entry'!#REF!,"AAAAAF3V3Sc=")</f>
        <v>#REF!</v>
      </c>
      <c r="AO210" t="e">
        <f>AND('GA55 Entry'!#REF!,"AAAAAF3V3Sg=")</f>
        <v>#REF!</v>
      </c>
      <c r="AP210" t="e">
        <f>AND('GA55 Entry'!#REF!,"AAAAAF3V3Sk=")</f>
        <v>#REF!</v>
      </c>
      <c r="AQ210" t="e">
        <f>AND('GA55 Entry'!#REF!,"AAAAAF3V3So=")</f>
        <v>#REF!</v>
      </c>
      <c r="AR210" t="e">
        <f>AND('GA55 Entry'!D821,"AAAAAF3V3Ss=")</f>
        <v>#VALUE!</v>
      </c>
      <c r="AS210" t="e">
        <f>AND('GA55 Entry'!#REF!,"AAAAAF3V3Sw=")</f>
        <v>#REF!</v>
      </c>
      <c r="AT210" t="e">
        <f>AND('GA55 Entry'!E821,"AAAAAF3V3S0=")</f>
        <v>#VALUE!</v>
      </c>
      <c r="AU210" t="e">
        <f>AND('GA55 Entry'!F821,"AAAAAF3V3S4=")</f>
        <v>#VALUE!</v>
      </c>
      <c r="AV210" t="e">
        <f>AND('GA55 Entry'!G821,"AAAAAF3V3S8=")</f>
        <v>#VALUE!</v>
      </c>
      <c r="AW210" t="e">
        <f>AND('GA55 Entry'!H821,"AAAAAF3V3TA=")</f>
        <v>#VALUE!</v>
      </c>
      <c r="AX210" t="e">
        <f>AND('GA55 Entry'!I821,"AAAAAF3V3TE=")</f>
        <v>#VALUE!</v>
      </c>
      <c r="AY210" t="e">
        <f>AND('GA55 Entry'!J821,"AAAAAF3V3TI=")</f>
        <v>#VALUE!</v>
      </c>
      <c r="AZ210" t="e">
        <f>AND('GA55 Entry'!#REF!,"AAAAAF3V3TM=")</f>
        <v>#REF!</v>
      </c>
      <c r="BA210" t="e">
        <f>AND('GA55 Entry'!K821,"AAAAAF3V3TQ=")</f>
        <v>#VALUE!</v>
      </c>
      <c r="BB210" t="e">
        <f>AND('GA55 Entry'!L821,"AAAAAF3V3TU=")</f>
        <v>#VALUE!</v>
      </c>
      <c r="BC210" t="e">
        <f>AND('GA55 Entry'!M821,"AAAAAF3V3TY=")</f>
        <v>#VALUE!</v>
      </c>
      <c r="BD210" t="e">
        <f>AND('GA55 Entry'!N821,"AAAAAF3V3Tc=")</f>
        <v>#VALUE!</v>
      </c>
      <c r="BE210" t="e">
        <f>AND('GA55 Entry'!O821,"AAAAAF3V3Tg=")</f>
        <v>#VALUE!</v>
      </c>
      <c r="BF210" t="e">
        <f>AND('GA55 Entry'!P821,"AAAAAF3V3Tk=")</f>
        <v>#VALUE!</v>
      </c>
      <c r="BG210" t="e">
        <f>AND('GA55 Entry'!Q821,"AAAAAF3V3To=")</f>
        <v>#VALUE!</v>
      </c>
      <c r="BH210" t="e">
        <f>AND('GA55 Entry'!S821,"AAAAAF3V3Ts=")</f>
        <v>#VALUE!</v>
      </c>
      <c r="BI210" t="e">
        <f>AND('GA55 Entry'!#REF!,"AAAAAF3V3Tw=")</f>
        <v>#REF!</v>
      </c>
      <c r="BJ210" t="e">
        <f>AND('GA55 Entry'!T821,"AAAAAF3V3T0=")</f>
        <v>#VALUE!</v>
      </c>
      <c r="BK210" t="e">
        <f>AND('GA55 Entry'!U821,"AAAAAF3V3T4=")</f>
        <v>#VALUE!</v>
      </c>
      <c r="BL210" t="e">
        <f>AND('GA55 Entry'!V821,"AAAAAF3V3T8=")</f>
        <v>#VALUE!</v>
      </c>
      <c r="BM210" t="e">
        <f>AND('GA55 Entry'!#REF!,"AAAAAF3V3UA=")</f>
        <v>#REF!</v>
      </c>
      <c r="BN210" t="e">
        <f>AND('GA55 Entry'!#REF!,"AAAAAF3V3UE=")</f>
        <v>#REF!</v>
      </c>
      <c r="BO210" t="e">
        <f>AND('GA55 Entry'!X821,"AAAAAF3V3UI=")</f>
        <v>#VALUE!</v>
      </c>
      <c r="BP210" t="e">
        <f>AND('GA55 Entry'!Y821,"AAAAAF3V3UM=")</f>
        <v>#VALUE!</v>
      </c>
      <c r="BQ210" t="e">
        <f>AND('GA55 Entry'!#REF!,"AAAAAF3V3UQ=")</f>
        <v>#REF!</v>
      </c>
      <c r="BR210" t="e">
        <f>AND('GA55 Entry'!#REF!,"AAAAAF3V3UU=")</f>
        <v>#REF!</v>
      </c>
      <c r="BS210" t="e">
        <f>AND('GA55 Entry'!#REF!,"AAAAAF3V3UY=")</f>
        <v>#REF!</v>
      </c>
      <c r="BT210" t="e">
        <f>AND('GA55 Entry'!#REF!,"AAAAAF3V3Uc=")</f>
        <v>#REF!</v>
      </c>
      <c r="BU210" t="e">
        <f>AND('GA55 Entry'!#REF!,"AAAAAF3V3Ug=")</f>
        <v>#REF!</v>
      </c>
      <c r="BV210" t="e">
        <f>AND('GA55 Entry'!#REF!,"AAAAAF3V3Uk=")</f>
        <v>#REF!</v>
      </c>
      <c r="BW210" t="e">
        <f>AND('GA55 Entry'!#REF!,"AAAAAF3V3Uo=")</f>
        <v>#REF!</v>
      </c>
      <c r="BX210" t="e">
        <f>AND('GA55 Entry'!#REF!,"AAAAAF3V3Us=")</f>
        <v>#REF!</v>
      </c>
      <c r="BY210" t="e">
        <f>AND('GA55 Entry'!#REF!,"AAAAAF3V3Uw=")</f>
        <v>#REF!</v>
      </c>
      <c r="BZ210" t="e">
        <f>AND('GA55 Entry'!Z821,"AAAAAF3V3U0=")</f>
        <v>#VALUE!</v>
      </c>
      <c r="CA210" t="e">
        <f>AND('GA55 Entry'!AA821,"AAAAAF3V3U4=")</f>
        <v>#VALUE!</v>
      </c>
      <c r="CB210" t="e">
        <f>AND('GA55 Entry'!#REF!,"AAAAAF3V3U8=")</f>
        <v>#REF!</v>
      </c>
      <c r="CC210" t="e">
        <f>AND('GA55 Entry'!#REF!,"AAAAAF3V3VA=")</f>
        <v>#REF!</v>
      </c>
      <c r="CD210" t="e">
        <f>AND('GA55 Entry'!#REF!,"AAAAAF3V3VE=")</f>
        <v>#REF!</v>
      </c>
      <c r="CE210" t="e">
        <f>AND('GA55 Entry'!AB821,"AAAAAF3V3VI=")</f>
        <v>#VALUE!</v>
      </c>
      <c r="CF210" t="e">
        <f>AND('GA55 Entry'!AC821,"AAAAAF3V3VM=")</f>
        <v>#VALUE!</v>
      </c>
      <c r="CG210" t="e">
        <f>AND('GA55 Entry'!#REF!,"AAAAAF3V3VQ=")</f>
        <v>#REF!</v>
      </c>
      <c r="CH210">
        <f>IF('GA55 Entry'!822:822,"AAAAAF3V3VU=",0)</f>
        <v>0</v>
      </c>
      <c r="CI210" t="e">
        <f>AND('GA55 Entry'!B822,"AAAAAF3V3VY=")</f>
        <v>#VALUE!</v>
      </c>
      <c r="CJ210" t="e">
        <f>AND('GA55 Entry'!#REF!,"AAAAAF3V3Vc=")</f>
        <v>#REF!</v>
      </c>
      <c r="CK210" t="e">
        <f>AND('GA55 Entry'!C822,"AAAAAF3V3Vg=")</f>
        <v>#VALUE!</v>
      </c>
      <c r="CL210" t="e">
        <f>AND('GA55 Entry'!#REF!,"AAAAAF3V3Vk=")</f>
        <v>#REF!</v>
      </c>
      <c r="CM210" t="e">
        <f>AND('GA55 Entry'!#REF!,"AAAAAF3V3Vo=")</f>
        <v>#REF!</v>
      </c>
      <c r="CN210" t="e">
        <f>AND('GA55 Entry'!#REF!,"AAAAAF3V3Vs=")</f>
        <v>#REF!</v>
      </c>
      <c r="CO210" t="e">
        <f>AND('GA55 Entry'!#REF!,"AAAAAF3V3Vw=")</f>
        <v>#REF!</v>
      </c>
      <c r="CP210" t="e">
        <f>AND('GA55 Entry'!#REF!,"AAAAAF3V3V0=")</f>
        <v>#REF!</v>
      </c>
      <c r="CQ210" t="e">
        <f>AND('GA55 Entry'!D822,"AAAAAF3V3V4=")</f>
        <v>#VALUE!</v>
      </c>
      <c r="CR210" t="e">
        <f>AND('GA55 Entry'!#REF!,"AAAAAF3V3V8=")</f>
        <v>#REF!</v>
      </c>
      <c r="CS210" t="e">
        <f>AND('GA55 Entry'!E822,"AAAAAF3V3WA=")</f>
        <v>#VALUE!</v>
      </c>
      <c r="CT210" t="e">
        <f>AND('GA55 Entry'!F822,"AAAAAF3V3WE=")</f>
        <v>#VALUE!</v>
      </c>
      <c r="CU210" t="e">
        <f>AND('GA55 Entry'!G822,"AAAAAF3V3WI=")</f>
        <v>#VALUE!</v>
      </c>
      <c r="CV210" t="e">
        <f>AND('GA55 Entry'!H822,"AAAAAF3V3WM=")</f>
        <v>#VALUE!</v>
      </c>
      <c r="CW210" t="e">
        <f>AND('GA55 Entry'!I822,"AAAAAF3V3WQ=")</f>
        <v>#VALUE!</v>
      </c>
      <c r="CX210" t="e">
        <f>AND('GA55 Entry'!J822,"AAAAAF3V3WU=")</f>
        <v>#VALUE!</v>
      </c>
      <c r="CY210" t="e">
        <f>AND('GA55 Entry'!#REF!,"AAAAAF3V3WY=")</f>
        <v>#REF!</v>
      </c>
      <c r="CZ210" t="e">
        <f>AND('GA55 Entry'!K822,"AAAAAF3V3Wc=")</f>
        <v>#VALUE!</v>
      </c>
      <c r="DA210" t="e">
        <f>AND('GA55 Entry'!L822,"AAAAAF3V3Wg=")</f>
        <v>#VALUE!</v>
      </c>
      <c r="DB210" t="e">
        <f>AND('GA55 Entry'!M822,"AAAAAF3V3Wk=")</f>
        <v>#VALUE!</v>
      </c>
      <c r="DC210" t="e">
        <f>AND('GA55 Entry'!N822,"AAAAAF3V3Wo=")</f>
        <v>#VALUE!</v>
      </c>
      <c r="DD210" t="e">
        <f>AND('GA55 Entry'!O822,"AAAAAF3V3Ws=")</f>
        <v>#VALUE!</v>
      </c>
      <c r="DE210" t="e">
        <f>AND('GA55 Entry'!P822,"AAAAAF3V3Ww=")</f>
        <v>#VALUE!</v>
      </c>
      <c r="DF210" t="e">
        <f>AND('GA55 Entry'!Q822,"AAAAAF3V3W0=")</f>
        <v>#VALUE!</v>
      </c>
      <c r="DG210" t="e">
        <f>AND('GA55 Entry'!S822,"AAAAAF3V3W4=")</f>
        <v>#VALUE!</v>
      </c>
      <c r="DH210" t="e">
        <f>AND('GA55 Entry'!#REF!,"AAAAAF3V3W8=")</f>
        <v>#REF!</v>
      </c>
      <c r="DI210" t="e">
        <f>AND('GA55 Entry'!T822,"AAAAAF3V3XA=")</f>
        <v>#VALUE!</v>
      </c>
      <c r="DJ210" t="e">
        <f>AND('GA55 Entry'!U822,"AAAAAF3V3XE=")</f>
        <v>#VALUE!</v>
      </c>
      <c r="DK210" t="e">
        <f>AND('GA55 Entry'!V822,"AAAAAF3V3XI=")</f>
        <v>#VALUE!</v>
      </c>
      <c r="DL210" t="e">
        <f>AND('GA55 Entry'!#REF!,"AAAAAF3V3XM=")</f>
        <v>#REF!</v>
      </c>
      <c r="DM210" t="e">
        <f>AND('GA55 Entry'!#REF!,"AAAAAF3V3XQ=")</f>
        <v>#REF!</v>
      </c>
      <c r="DN210" t="e">
        <f>AND('GA55 Entry'!X822,"AAAAAF3V3XU=")</f>
        <v>#VALUE!</v>
      </c>
      <c r="DO210" t="e">
        <f>AND('GA55 Entry'!Y822,"AAAAAF3V3XY=")</f>
        <v>#VALUE!</v>
      </c>
      <c r="DP210" t="e">
        <f>AND('GA55 Entry'!#REF!,"AAAAAF3V3Xc=")</f>
        <v>#REF!</v>
      </c>
      <c r="DQ210" t="e">
        <f>AND('GA55 Entry'!#REF!,"AAAAAF3V3Xg=")</f>
        <v>#REF!</v>
      </c>
      <c r="DR210" t="e">
        <f>AND('GA55 Entry'!#REF!,"AAAAAF3V3Xk=")</f>
        <v>#REF!</v>
      </c>
      <c r="DS210" t="e">
        <f>AND('GA55 Entry'!#REF!,"AAAAAF3V3Xo=")</f>
        <v>#REF!</v>
      </c>
      <c r="DT210" t="e">
        <f>AND('GA55 Entry'!#REF!,"AAAAAF3V3Xs=")</f>
        <v>#REF!</v>
      </c>
      <c r="DU210" t="e">
        <f>AND('GA55 Entry'!#REF!,"AAAAAF3V3Xw=")</f>
        <v>#REF!</v>
      </c>
      <c r="DV210" t="e">
        <f>AND('GA55 Entry'!#REF!,"AAAAAF3V3X0=")</f>
        <v>#REF!</v>
      </c>
      <c r="DW210" t="e">
        <f>AND('GA55 Entry'!#REF!,"AAAAAF3V3X4=")</f>
        <v>#REF!</v>
      </c>
      <c r="DX210" t="e">
        <f>AND('GA55 Entry'!#REF!,"AAAAAF3V3X8=")</f>
        <v>#REF!</v>
      </c>
      <c r="DY210" t="e">
        <f>AND('GA55 Entry'!Z822,"AAAAAF3V3YA=")</f>
        <v>#VALUE!</v>
      </c>
      <c r="DZ210" t="e">
        <f>AND('GA55 Entry'!AA822,"AAAAAF3V3YE=")</f>
        <v>#VALUE!</v>
      </c>
      <c r="EA210" t="e">
        <f>AND('GA55 Entry'!#REF!,"AAAAAF3V3YI=")</f>
        <v>#REF!</v>
      </c>
      <c r="EB210" t="e">
        <f>AND('GA55 Entry'!#REF!,"AAAAAF3V3YM=")</f>
        <v>#REF!</v>
      </c>
      <c r="EC210" t="e">
        <f>AND('GA55 Entry'!#REF!,"AAAAAF3V3YQ=")</f>
        <v>#REF!</v>
      </c>
      <c r="ED210" t="e">
        <f>AND('GA55 Entry'!AB822,"AAAAAF3V3YU=")</f>
        <v>#VALUE!</v>
      </c>
      <c r="EE210" t="e">
        <f>AND('GA55 Entry'!AC822,"AAAAAF3V3YY=")</f>
        <v>#VALUE!</v>
      </c>
      <c r="EF210" t="e">
        <f>AND('GA55 Entry'!#REF!,"AAAAAF3V3Yc=")</f>
        <v>#REF!</v>
      </c>
      <c r="EG210">
        <f>IF('GA55 Entry'!823:823,"AAAAAF3V3Yg=",0)</f>
        <v>0</v>
      </c>
      <c r="EH210" t="e">
        <f>AND('GA55 Entry'!B823,"AAAAAF3V3Yk=")</f>
        <v>#VALUE!</v>
      </c>
      <c r="EI210" t="e">
        <f>AND('GA55 Entry'!#REF!,"AAAAAF3V3Yo=")</f>
        <v>#REF!</v>
      </c>
      <c r="EJ210" t="e">
        <f>AND('GA55 Entry'!C823,"AAAAAF3V3Ys=")</f>
        <v>#VALUE!</v>
      </c>
      <c r="EK210" t="e">
        <f>AND('GA55 Entry'!#REF!,"AAAAAF3V3Yw=")</f>
        <v>#REF!</v>
      </c>
      <c r="EL210" t="e">
        <f>AND('GA55 Entry'!#REF!,"AAAAAF3V3Y0=")</f>
        <v>#REF!</v>
      </c>
      <c r="EM210" t="e">
        <f>AND('GA55 Entry'!#REF!,"AAAAAF3V3Y4=")</f>
        <v>#REF!</v>
      </c>
      <c r="EN210" t="e">
        <f>AND('GA55 Entry'!#REF!,"AAAAAF3V3Y8=")</f>
        <v>#REF!</v>
      </c>
      <c r="EO210" t="e">
        <f>AND('GA55 Entry'!#REF!,"AAAAAF3V3ZA=")</f>
        <v>#REF!</v>
      </c>
      <c r="EP210" t="e">
        <f>AND('GA55 Entry'!D823,"AAAAAF3V3ZE=")</f>
        <v>#VALUE!</v>
      </c>
      <c r="EQ210" t="e">
        <f>AND('GA55 Entry'!#REF!,"AAAAAF3V3ZI=")</f>
        <v>#REF!</v>
      </c>
      <c r="ER210" t="e">
        <f>AND('GA55 Entry'!E823,"AAAAAF3V3ZM=")</f>
        <v>#VALUE!</v>
      </c>
      <c r="ES210" t="e">
        <f>AND('GA55 Entry'!F823,"AAAAAF3V3ZQ=")</f>
        <v>#VALUE!</v>
      </c>
      <c r="ET210" t="e">
        <f>AND('GA55 Entry'!G823,"AAAAAF3V3ZU=")</f>
        <v>#VALUE!</v>
      </c>
      <c r="EU210" t="e">
        <f>AND('GA55 Entry'!H823,"AAAAAF3V3ZY=")</f>
        <v>#VALUE!</v>
      </c>
      <c r="EV210" t="e">
        <f>AND('GA55 Entry'!I823,"AAAAAF3V3Zc=")</f>
        <v>#VALUE!</v>
      </c>
      <c r="EW210" t="e">
        <f>AND('GA55 Entry'!J823,"AAAAAF3V3Zg=")</f>
        <v>#VALUE!</v>
      </c>
      <c r="EX210" t="e">
        <f>AND('GA55 Entry'!#REF!,"AAAAAF3V3Zk=")</f>
        <v>#REF!</v>
      </c>
      <c r="EY210" t="e">
        <f>AND('GA55 Entry'!K823,"AAAAAF3V3Zo=")</f>
        <v>#VALUE!</v>
      </c>
      <c r="EZ210" t="e">
        <f>AND('GA55 Entry'!L823,"AAAAAF3V3Zs=")</f>
        <v>#VALUE!</v>
      </c>
      <c r="FA210" t="e">
        <f>AND('GA55 Entry'!M823,"AAAAAF3V3Zw=")</f>
        <v>#VALUE!</v>
      </c>
      <c r="FB210" t="e">
        <f>AND('GA55 Entry'!N823,"AAAAAF3V3Z0=")</f>
        <v>#VALUE!</v>
      </c>
      <c r="FC210" t="e">
        <f>AND('GA55 Entry'!O823,"AAAAAF3V3Z4=")</f>
        <v>#VALUE!</v>
      </c>
      <c r="FD210" t="e">
        <f>AND('GA55 Entry'!P823,"AAAAAF3V3Z8=")</f>
        <v>#VALUE!</v>
      </c>
      <c r="FE210" t="e">
        <f>AND('GA55 Entry'!Q823,"AAAAAF3V3aA=")</f>
        <v>#VALUE!</v>
      </c>
      <c r="FF210" t="e">
        <f>AND('GA55 Entry'!S823,"AAAAAF3V3aE=")</f>
        <v>#VALUE!</v>
      </c>
      <c r="FG210" t="e">
        <f>AND('GA55 Entry'!#REF!,"AAAAAF3V3aI=")</f>
        <v>#REF!</v>
      </c>
      <c r="FH210" t="e">
        <f>AND('GA55 Entry'!T823,"AAAAAF3V3aM=")</f>
        <v>#VALUE!</v>
      </c>
      <c r="FI210" t="e">
        <f>AND('GA55 Entry'!U823,"AAAAAF3V3aQ=")</f>
        <v>#VALUE!</v>
      </c>
      <c r="FJ210" t="e">
        <f>AND('GA55 Entry'!V823,"AAAAAF3V3aU=")</f>
        <v>#VALUE!</v>
      </c>
      <c r="FK210" t="e">
        <f>AND('GA55 Entry'!#REF!,"AAAAAF3V3aY=")</f>
        <v>#REF!</v>
      </c>
      <c r="FL210" t="e">
        <f>AND('GA55 Entry'!#REF!,"AAAAAF3V3ac=")</f>
        <v>#REF!</v>
      </c>
      <c r="FM210" t="e">
        <f>AND('GA55 Entry'!X823,"AAAAAF3V3ag=")</f>
        <v>#VALUE!</v>
      </c>
      <c r="FN210" t="e">
        <f>AND('GA55 Entry'!Y823,"AAAAAF3V3ak=")</f>
        <v>#VALUE!</v>
      </c>
      <c r="FO210" t="e">
        <f>AND('GA55 Entry'!#REF!,"AAAAAF3V3ao=")</f>
        <v>#REF!</v>
      </c>
      <c r="FP210" t="e">
        <f>AND('GA55 Entry'!#REF!,"AAAAAF3V3as=")</f>
        <v>#REF!</v>
      </c>
      <c r="FQ210" t="e">
        <f>AND('GA55 Entry'!#REF!,"AAAAAF3V3aw=")</f>
        <v>#REF!</v>
      </c>
      <c r="FR210" t="e">
        <f>AND('GA55 Entry'!#REF!,"AAAAAF3V3a0=")</f>
        <v>#REF!</v>
      </c>
      <c r="FS210" t="e">
        <f>AND('GA55 Entry'!#REF!,"AAAAAF3V3a4=")</f>
        <v>#REF!</v>
      </c>
      <c r="FT210" t="e">
        <f>AND('GA55 Entry'!#REF!,"AAAAAF3V3a8=")</f>
        <v>#REF!</v>
      </c>
      <c r="FU210" t="e">
        <f>AND('GA55 Entry'!#REF!,"AAAAAF3V3bA=")</f>
        <v>#REF!</v>
      </c>
      <c r="FV210" t="e">
        <f>AND('GA55 Entry'!#REF!,"AAAAAF3V3bE=")</f>
        <v>#REF!</v>
      </c>
      <c r="FW210" t="e">
        <f>AND('GA55 Entry'!#REF!,"AAAAAF3V3bI=")</f>
        <v>#REF!</v>
      </c>
      <c r="FX210" t="e">
        <f>AND('GA55 Entry'!Z823,"AAAAAF3V3bM=")</f>
        <v>#VALUE!</v>
      </c>
      <c r="FY210" t="e">
        <f>AND('GA55 Entry'!AA823,"AAAAAF3V3bQ=")</f>
        <v>#VALUE!</v>
      </c>
      <c r="FZ210" t="e">
        <f>AND('GA55 Entry'!#REF!,"AAAAAF3V3bU=")</f>
        <v>#REF!</v>
      </c>
      <c r="GA210" t="e">
        <f>AND('GA55 Entry'!#REF!,"AAAAAF3V3bY=")</f>
        <v>#REF!</v>
      </c>
      <c r="GB210" t="e">
        <f>AND('GA55 Entry'!#REF!,"AAAAAF3V3bc=")</f>
        <v>#REF!</v>
      </c>
      <c r="GC210" t="e">
        <f>AND('GA55 Entry'!AB823,"AAAAAF3V3bg=")</f>
        <v>#VALUE!</v>
      </c>
      <c r="GD210" t="e">
        <f>AND('GA55 Entry'!AC823,"AAAAAF3V3bk=")</f>
        <v>#VALUE!</v>
      </c>
      <c r="GE210" t="e">
        <f>AND('GA55 Entry'!#REF!,"AAAAAF3V3bo=")</f>
        <v>#REF!</v>
      </c>
      <c r="GF210">
        <f>IF('GA55 Entry'!824:824,"AAAAAF3V3bs=",0)</f>
        <v>0</v>
      </c>
      <c r="GG210" t="e">
        <f>AND('GA55 Entry'!B824,"AAAAAF3V3bw=")</f>
        <v>#VALUE!</v>
      </c>
      <c r="GH210" t="e">
        <f>AND('GA55 Entry'!#REF!,"AAAAAF3V3b0=")</f>
        <v>#REF!</v>
      </c>
      <c r="GI210" t="e">
        <f>AND('GA55 Entry'!C824,"AAAAAF3V3b4=")</f>
        <v>#VALUE!</v>
      </c>
      <c r="GJ210" t="e">
        <f>AND('GA55 Entry'!#REF!,"AAAAAF3V3b8=")</f>
        <v>#REF!</v>
      </c>
      <c r="GK210" t="e">
        <f>AND('GA55 Entry'!#REF!,"AAAAAF3V3cA=")</f>
        <v>#REF!</v>
      </c>
      <c r="GL210" t="e">
        <f>AND('GA55 Entry'!#REF!,"AAAAAF3V3cE=")</f>
        <v>#REF!</v>
      </c>
      <c r="GM210" t="e">
        <f>AND('GA55 Entry'!#REF!,"AAAAAF3V3cI=")</f>
        <v>#REF!</v>
      </c>
      <c r="GN210" t="e">
        <f>AND('GA55 Entry'!#REF!,"AAAAAF3V3cM=")</f>
        <v>#REF!</v>
      </c>
      <c r="GO210" t="e">
        <f>AND('GA55 Entry'!D824,"AAAAAF3V3cQ=")</f>
        <v>#VALUE!</v>
      </c>
      <c r="GP210" t="e">
        <f>AND('GA55 Entry'!#REF!,"AAAAAF3V3cU=")</f>
        <v>#REF!</v>
      </c>
      <c r="GQ210" t="e">
        <f>AND('GA55 Entry'!E824,"AAAAAF3V3cY=")</f>
        <v>#VALUE!</v>
      </c>
      <c r="GR210" t="e">
        <f>AND('GA55 Entry'!F824,"AAAAAF3V3cc=")</f>
        <v>#VALUE!</v>
      </c>
      <c r="GS210" t="e">
        <f>AND('GA55 Entry'!G824,"AAAAAF3V3cg=")</f>
        <v>#VALUE!</v>
      </c>
      <c r="GT210" t="e">
        <f>AND('GA55 Entry'!H824,"AAAAAF3V3ck=")</f>
        <v>#VALUE!</v>
      </c>
      <c r="GU210" t="e">
        <f>AND('GA55 Entry'!I824,"AAAAAF3V3co=")</f>
        <v>#VALUE!</v>
      </c>
      <c r="GV210" t="e">
        <f>AND('GA55 Entry'!J824,"AAAAAF3V3cs=")</f>
        <v>#VALUE!</v>
      </c>
      <c r="GW210" t="e">
        <f>AND('GA55 Entry'!#REF!,"AAAAAF3V3cw=")</f>
        <v>#REF!</v>
      </c>
      <c r="GX210" t="e">
        <f>AND('GA55 Entry'!K824,"AAAAAF3V3c0=")</f>
        <v>#VALUE!</v>
      </c>
      <c r="GY210" t="e">
        <f>AND('GA55 Entry'!L824,"AAAAAF3V3c4=")</f>
        <v>#VALUE!</v>
      </c>
      <c r="GZ210" t="e">
        <f>AND('GA55 Entry'!M824,"AAAAAF3V3c8=")</f>
        <v>#VALUE!</v>
      </c>
      <c r="HA210" t="e">
        <f>AND('GA55 Entry'!N824,"AAAAAF3V3dA=")</f>
        <v>#VALUE!</v>
      </c>
      <c r="HB210" t="e">
        <f>AND('GA55 Entry'!O824,"AAAAAF3V3dE=")</f>
        <v>#VALUE!</v>
      </c>
      <c r="HC210" t="e">
        <f>AND('GA55 Entry'!P824,"AAAAAF3V3dI=")</f>
        <v>#VALUE!</v>
      </c>
      <c r="HD210" t="e">
        <f>AND('GA55 Entry'!Q824,"AAAAAF3V3dM=")</f>
        <v>#VALUE!</v>
      </c>
      <c r="HE210" t="e">
        <f>AND('GA55 Entry'!S824,"AAAAAF3V3dQ=")</f>
        <v>#VALUE!</v>
      </c>
      <c r="HF210" t="e">
        <f>AND('GA55 Entry'!#REF!,"AAAAAF3V3dU=")</f>
        <v>#REF!</v>
      </c>
      <c r="HG210" t="e">
        <f>AND('GA55 Entry'!T824,"AAAAAF3V3dY=")</f>
        <v>#VALUE!</v>
      </c>
      <c r="HH210" t="e">
        <f>AND('GA55 Entry'!U824,"AAAAAF3V3dc=")</f>
        <v>#VALUE!</v>
      </c>
      <c r="HI210" t="e">
        <f>AND('GA55 Entry'!V824,"AAAAAF3V3dg=")</f>
        <v>#VALUE!</v>
      </c>
      <c r="HJ210" t="e">
        <f>AND('GA55 Entry'!#REF!,"AAAAAF3V3dk=")</f>
        <v>#REF!</v>
      </c>
      <c r="HK210" t="e">
        <f>AND('GA55 Entry'!#REF!,"AAAAAF3V3do=")</f>
        <v>#REF!</v>
      </c>
      <c r="HL210" t="e">
        <f>AND('GA55 Entry'!X824,"AAAAAF3V3ds=")</f>
        <v>#VALUE!</v>
      </c>
      <c r="HM210" t="e">
        <f>AND('GA55 Entry'!Y824,"AAAAAF3V3dw=")</f>
        <v>#VALUE!</v>
      </c>
      <c r="HN210" t="e">
        <f>AND('GA55 Entry'!#REF!,"AAAAAF3V3d0=")</f>
        <v>#REF!</v>
      </c>
      <c r="HO210" t="e">
        <f>AND('GA55 Entry'!#REF!,"AAAAAF3V3d4=")</f>
        <v>#REF!</v>
      </c>
      <c r="HP210" t="e">
        <f>AND('GA55 Entry'!#REF!,"AAAAAF3V3d8=")</f>
        <v>#REF!</v>
      </c>
      <c r="HQ210" t="e">
        <f>AND('GA55 Entry'!#REF!,"AAAAAF3V3eA=")</f>
        <v>#REF!</v>
      </c>
      <c r="HR210" t="e">
        <f>AND('GA55 Entry'!#REF!,"AAAAAF3V3eE=")</f>
        <v>#REF!</v>
      </c>
      <c r="HS210" t="e">
        <f>AND('GA55 Entry'!#REF!,"AAAAAF3V3eI=")</f>
        <v>#REF!</v>
      </c>
      <c r="HT210" t="e">
        <f>AND('GA55 Entry'!#REF!,"AAAAAF3V3eM=")</f>
        <v>#REF!</v>
      </c>
      <c r="HU210" t="e">
        <f>AND('GA55 Entry'!#REF!,"AAAAAF3V3eQ=")</f>
        <v>#REF!</v>
      </c>
      <c r="HV210" t="e">
        <f>AND('GA55 Entry'!#REF!,"AAAAAF3V3eU=")</f>
        <v>#REF!</v>
      </c>
      <c r="HW210" t="e">
        <f>AND('GA55 Entry'!Z824,"AAAAAF3V3eY=")</f>
        <v>#VALUE!</v>
      </c>
      <c r="HX210" t="e">
        <f>AND('GA55 Entry'!AA824,"AAAAAF3V3ec=")</f>
        <v>#VALUE!</v>
      </c>
      <c r="HY210" t="e">
        <f>AND('GA55 Entry'!#REF!,"AAAAAF3V3eg=")</f>
        <v>#REF!</v>
      </c>
      <c r="HZ210" t="e">
        <f>AND('GA55 Entry'!#REF!,"AAAAAF3V3ek=")</f>
        <v>#REF!</v>
      </c>
      <c r="IA210" t="e">
        <f>AND('GA55 Entry'!#REF!,"AAAAAF3V3eo=")</f>
        <v>#REF!</v>
      </c>
      <c r="IB210" t="e">
        <f>AND('GA55 Entry'!AB824,"AAAAAF3V3es=")</f>
        <v>#VALUE!</v>
      </c>
      <c r="IC210" t="e">
        <f>AND('GA55 Entry'!AC824,"AAAAAF3V3ew=")</f>
        <v>#VALUE!</v>
      </c>
      <c r="ID210" t="e">
        <f>AND('GA55 Entry'!#REF!,"AAAAAF3V3e0=")</f>
        <v>#REF!</v>
      </c>
      <c r="IE210">
        <f>IF('GA55 Entry'!825:825,"AAAAAF3V3e4=",0)</f>
        <v>0</v>
      </c>
      <c r="IF210" t="e">
        <f>AND('GA55 Entry'!B825,"AAAAAF3V3e8=")</f>
        <v>#VALUE!</v>
      </c>
      <c r="IG210" t="e">
        <f>AND('GA55 Entry'!#REF!,"AAAAAF3V3fA=")</f>
        <v>#REF!</v>
      </c>
      <c r="IH210" t="e">
        <f>AND('GA55 Entry'!C825,"AAAAAF3V3fE=")</f>
        <v>#VALUE!</v>
      </c>
      <c r="II210" t="e">
        <f>AND('GA55 Entry'!#REF!,"AAAAAF3V3fI=")</f>
        <v>#REF!</v>
      </c>
      <c r="IJ210" t="e">
        <f>AND('GA55 Entry'!#REF!,"AAAAAF3V3fM=")</f>
        <v>#REF!</v>
      </c>
      <c r="IK210" t="e">
        <f>AND('GA55 Entry'!#REF!,"AAAAAF3V3fQ=")</f>
        <v>#REF!</v>
      </c>
      <c r="IL210" t="e">
        <f>AND('GA55 Entry'!#REF!,"AAAAAF3V3fU=")</f>
        <v>#REF!</v>
      </c>
      <c r="IM210" t="e">
        <f>AND('GA55 Entry'!#REF!,"AAAAAF3V3fY=")</f>
        <v>#REF!</v>
      </c>
      <c r="IN210" t="e">
        <f>AND('GA55 Entry'!D825,"AAAAAF3V3fc=")</f>
        <v>#VALUE!</v>
      </c>
      <c r="IO210" t="e">
        <f>AND('GA55 Entry'!#REF!,"AAAAAF3V3fg=")</f>
        <v>#REF!</v>
      </c>
      <c r="IP210" t="e">
        <f>AND('GA55 Entry'!E825,"AAAAAF3V3fk=")</f>
        <v>#VALUE!</v>
      </c>
      <c r="IQ210" t="e">
        <f>AND('GA55 Entry'!F825,"AAAAAF3V3fo=")</f>
        <v>#VALUE!</v>
      </c>
      <c r="IR210" t="e">
        <f>AND('GA55 Entry'!G825,"AAAAAF3V3fs=")</f>
        <v>#VALUE!</v>
      </c>
      <c r="IS210" t="e">
        <f>AND('GA55 Entry'!H825,"AAAAAF3V3fw=")</f>
        <v>#VALUE!</v>
      </c>
      <c r="IT210" t="e">
        <f>AND('GA55 Entry'!I825,"AAAAAF3V3f0=")</f>
        <v>#VALUE!</v>
      </c>
      <c r="IU210" t="e">
        <f>AND('GA55 Entry'!J825,"AAAAAF3V3f4=")</f>
        <v>#VALUE!</v>
      </c>
      <c r="IV210" t="e">
        <f>AND('GA55 Entry'!#REF!,"AAAAAF3V3f8=")</f>
        <v>#REF!</v>
      </c>
    </row>
    <row r="211" spans="1:256">
      <c r="A211" t="e">
        <f>AND('GA55 Entry'!K825,"AAAAAH+fOwA=")</f>
        <v>#VALUE!</v>
      </c>
      <c r="B211" t="e">
        <f>AND('GA55 Entry'!L825,"AAAAAH+fOwE=")</f>
        <v>#VALUE!</v>
      </c>
      <c r="C211" t="e">
        <f>AND('GA55 Entry'!M825,"AAAAAH+fOwI=")</f>
        <v>#VALUE!</v>
      </c>
      <c r="D211" t="e">
        <f>AND('GA55 Entry'!N825,"AAAAAH+fOwM=")</f>
        <v>#VALUE!</v>
      </c>
      <c r="E211" t="e">
        <f>AND('GA55 Entry'!O825,"AAAAAH+fOwQ=")</f>
        <v>#VALUE!</v>
      </c>
      <c r="F211" t="e">
        <f>AND('GA55 Entry'!P825,"AAAAAH+fOwU=")</f>
        <v>#VALUE!</v>
      </c>
      <c r="G211" t="e">
        <f>AND('GA55 Entry'!Q825,"AAAAAH+fOwY=")</f>
        <v>#VALUE!</v>
      </c>
      <c r="H211" t="e">
        <f>AND('GA55 Entry'!S825,"AAAAAH+fOwc=")</f>
        <v>#VALUE!</v>
      </c>
      <c r="I211" t="e">
        <f>AND('GA55 Entry'!#REF!,"AAAAAH+fOwg=")</f>
        <v>#REF!</v>
      </c>
      <c r="J211" t="e">
        <f>AND('GA55 Entry'!T825,"AAAAAH+fOwk=")</f>
        <v>#VALUE!</v>
      </c>
      <c r="K211" t="e">
        <f>AND('GA55 Entry'!U825,"AAAAAH+fOwo=")</f>
        <v>#VALUE!</v>
      </c>
      <c r="L211" t="e">
        <f>AND('GA55 Entry'!V825,"AAAAAH+fOws=")</f>
        <v>#VALUE!</v>
      </c>
      <c r="M211" t="e">
        <f>AND('GA55 Entry'!#REF!,"AAAAAH+fOww=")</f>
        <v>#REF!</v>
      </c>
      <c r="N211" t="e">
        <f>AND('GA55 Entry'!#REF!,"AAAAAH+fOw0=")</f>
        <v>#REF!</v>
      </c>
      <c r="O211" t="e">
        <f>AND('GA55 Entry'!X825,"AAAAAH+fOw4=")</f>
        <v>#VALUE!</v>
      </c>
      <c r="P211" t="e">
        <f>AND('GA55 Entry'!Y825,"AAAAAH+fOw8=")</f>
        <v>#VALUE!</v>
      </c>
      <c r="Q211" t="e">
        <f>AND('GA55 Entry'!#REF!,"AAAAAH+fOxA=")</f>
        <v>#REF!</v>
      </c>
      <c r="R211" t="e">
        <f>AND('GA55 Entry'!#REF!,"AAAAAH+fOxE=")</f>
        <v>#REF!</v>
      </c>
      <c r="S211" t="e">
        <f>AND('GA55 Entry'!#REF!,"AAAAAH+fOxI=")</f>
        <v>#REF!</v>
      </c>
      <c r="T211" t="e">
        <f>AND('GA55 Entry'!#REF!,"AAAAAH+fOxM=")</f>
        <v>#REF!</v>
      </c>
      <c r="U211" t="e">
        <f>AND('GA55 Entry'!#REF!,"AAAAAH+fOxQ=")</f>
        <v>#REF!</v>
      </c>
      <c r="V211" t="e">
        <f>AND('GA55 Entry'!#REF!,"AAAAAH+fOxU=")</f>
        <v>#REF!</v>
      </c>
      <c r="W211" t="e">
        <f>AND('GA55 Entry'!#REF!,"AAAAAH+fOxY=")</f>
        <v>#REF!</v>
      </c>
      <c r="X211" t="e">
        <f>AND('GA55 Entry'!#REF!,"AAAAAH+fOxc=")</f>
        <v>#REF!</v>
      </c>
      <c r="Y211" t="e">
        <f>AND('GA55 Entry'!#REF!,"AAAAAH+fOxg=")</f>
        <v>#REF!</v>
      </c>
      <c r="Z211" t="e">
        <f>AND('GA55 Entry'!Z825,"AAAAAH+fOxk=")</f>
        <v>#VALUE!</v>
      </c>
      <c r="AA211" t="e">
        <f>AND('GA55 Entry'!AA825,"AAAAAH+fOxo=")</f>
        <v>#VALUE!</v>
      </c>
      <c r="AB211" t="e">
        <f>AND('GA55 Entry'!#REF!,"AAAAAH+fOxs=")</f>
        <v>#REF!</v>
      </c>
      <c r="AC211" t="e">
        <f>AND('GA55 Entry'!#REF!,"AAAAAH+fOxw=")</f>
        <v>#REF!</v>
      </c>
      <c r="AD211" t="e">
        <f>AND('GA55 Entry'!#REF!,"AAAAAH+fOx0=")</f>
        <v>#REF!</v>
      </c>
      <c r="AE211" t="e">
        <f>AND('GA55 Entry'!AB825,"AAAAAH+fOx4=")</f>
        <v>#VALUE!</v>
      </c>
      <c r="AF211" t="e">
        <f>AND('GA55 Entry'!AC825,"AAAAAH+fOx8=")</f>
        <v>#VALUE!</v>
      </c>
      <c r="AG211" t="e">
        <f>AND('GA55 Entry'!#REF!,"AAAAAH+fOyA=")</f>
        <v>#REF!</v>
      </c>
      <c r="AH211">
        <f>IF('GA55 Entry'!826:826,"AAAAAH+fOyE=",0)</f>
        <v>0</v>
      </c>
      <c r="AI211" t="e">
        <f>AND('GA55 Entry'!B826,"AAAAAH+fOyI=")</f>
        <v>#VALUE!</v>
      </c>
      <c r="AJ211" t="e">
        <f>AND('GA55 Entry'!#REF!,"AAAAAH+fOyM=")</f>
        <v>#REF!</v>
      </c>
      <c r="AK211" t="e">
        <f>AND('GA55 Entry'!C826,"AAAAAH+fOyQ=")</f>
        <v>#VALUE!</v>
      </c>
      <c r="AL211" t="e">
        <f>AND('GA55 Entry'!#REF!,"AAAAAH+fOyU=")</f>
        <v>#REF!</v>
      </c>
      <c r="AM211" t="e">
        <f>AND('GA55 Entry'!#REF!,"AAAAAH+fOyY=")</f>
        <v>#REF!</v>
      </c>
      <c r="AN211" t="e">
        <f>AND('GA55 Entry'!#REF!,"AAAAAH+fOyc=")</f>
        <v>#REF!</v>
      </c>
      <c r="AO211" t="e">
        <f>AND('GA55 Entry'!#REF!,"AAAAAH+fOyg=")</f>
        <v>#REF!</v>
      </c>
      <c r="AP211" t="e">
        <f>AND('GA55 Entry'!#REF!,"AAAAAH+fOyk=")</f>
        <v>#REF!</v>
      </c>
      <c r="AQ211" t="e">
        <f>AND('GA55 Entry'!D826,"AAAAAH+fOyo=")</f>
        <v>#VALUE!</v>
      </c>
      <c r="AR211" t="e">
        <f>AND('GA55 Entry'!#REF!,"AAAAAH+fOys=")</f>
        <v>#REF!</v>
      </c>
      <c r="AS211" t="e">
        <f>AND('GA55 Entry'!E826,"AAAAAH+fOyw=")</f>
        <v>#VALUE!</v>
      </c>
      <c r="AT211" t="e">
        <f>AND('GA55 Entry'!F826,"AAAAAH+fOy0=")</f>
        <v>#VALUE!</v>
      </c>
      <c r="AU211" t="e">
        <f>AND('GA55 Entry'!G826,"AAAAAH+fOy4=")</f>
        <v>#VALUE!</v>
      </c>
      <c r="AV211" t="e">
        <f>AND('GA55 Entry'!H826,"AAAAAH+fOy8=")</f>
        <v>#VALUE!</v>
      </c>
      <c r="AW211" t="e">
        <f>AND('GA55 Entry'!I826,"AAAAAH+fOzA=")</f>
        <v>#VALUE!</v>
      </c>
      <c r="AX211" t="e">
        <f>AND('GA55 Entry'!J826,"AAAAAH+fOzE=")</f>
        <v>#VALUE!</v>
      </c>
      <c r="AY211" t="e">
        <f>AND('GA55 Entry'!#REF!,"AAAAAH+fOzI=")</f>
        <v>#REF!</v>
      </c>
      <c r="AZ211" t="e">
        <f>AND('GA55 Entry'!K826,"AAAAAH+fOzM=")</f>
        <v>#VALUE!</v>
      </c>
      <c r="BA211" t="e">
        <f>AND('GA55 Entry'!L826,"AAAAAH+fOzQ=")</f>
        <v>#VALUE!</v>
      </c>
      <c r="BB211" t="e">
        <f>AND('GA55 Entry'!M826,"AAAAAH+fOzU=")</f>
        <v>#VALUE!</v>
      </c>
      <c r="BC211" t="e">
        <f>AND('GA55 Entry'!N826,"AAAAAH+fOzY=")</f>
        <v>#VALUE!</v>
      </c>
      <c r="BD211" t="e">
        <f>AND('GA55 Entry'!O826,"AAAAAH+fOzc=")</f>
        <v>#VALUE!</v>
      </c>
      <c r="BE211" t="e">
        <f>AND('GA55 Entry'!P826,"AAAAAH+fOzg=")</f>
        <v>#VALUE!</v>
      </c>
      <c r="BF211" t="e">
        <f>AND('GA55 Entry'!Q826,"AAAAAH+fOzk=")</f>
        <v>#VALUE!</v>
      </c>
      <c r="BG211" t="e">
        <f>AND('GA55 Entry'!S826,"AAAAAH+fOzo=")</f>
        <v>#VALUE!</v>
      </c>
      <c r="BH211" t="e">
        <f>AND('GA55 Entry'!#REF!,"AAAAAH+fOzs=")</f>
        <v>#REF!</v>
      </c>
      <c r="BI211" t="e">
        <f>AND('GA55 Entry'!T826,"AAAAAH+fOzw=")</f>
        <v>#VALUE!</v>
      </c>
      <c r="BJ211" t="e">
        <f>AND('GA55 Entry'!U826,"AAAAAH+fOz0=")</f>
        <v>#VALUE!</v>
      </c>
      <c r="BK211" t="e">
        <f>AND('GA55 Entry'!V826,"AAAAAH+fOz4=")</f>
        <v>#VALUE!</v>
      </c>
      <c r="BL211" t="e">
        <f>AND('GA55 Entry'!#REF!,"AAAAAH+fOz8=")</f>
        <v>#REF!</v>
      </c>
      <c r="BM211" t="e">
        <f>AND('GA55 Entry'!#REF!,"AAAAAH+fO0A=")</f>
        <v>#REF!</v>
      </c>
      <c r="BN211" t="e">
        <f>AND('GA55 Entry'!X826,"AAAAAH+fO0E=")</f>
        <v>#VALUE!</v>
      </c>
      <c r="BO211" t="e">
        <f>AND('GA55 Entry'!Y826,"AAAAAH+fO0I=")</f>
        <v>#VALUE!</v>
      </c>
      <c r="BP211" t="e">
        <f>AND('GA55 Entry'!#REF!,"AAAAAH+fO0M=")</f>
        <v>#REF!</v>
      </c>
      <c r="BQ211" t="e">
        <f>AND('GA55 Entry'!#REF!,"AAAAAH+fO0Q=")</f>
        <v>#REF!</v>
      </c>
      <c r="BR211" t="e">
        <f>AND('GA55 Entry'!#REF!,"AAAAAH+fO0U=")</f>
        <v>#REF!</v>
      </c>
      <c r="BS211" t="e">
        <f>AND('GA55 Entry'!#REF!,"AAAAAH+fO0Y=")</f>
        <v>#REF!</v>
      </c>
      <c r="BT211" t="e">
        <f>AND('GA55 Entry'!#REF!,"AAAAAH+fO0c=")</f>
        <v>#REF!</v>
      </c>
      <c r="BU211" t="e">
        <f>AND('GA55 Entry'!#REF!,"AAAAAH+fO0g=")</f>
        <v>#REF!</v>
      </c>
      <c r="BV211" t="e">
        <f>AND('GA55 Entry'!#REF!,"AAAAAH+fO0k=")</f>
        <v>#REF!</v>
      </c>
      <c r="BW211" t="e">
        <f>AND('GA55 Entry'!#REF!,"AAAAAH+fO0o=")</f>
        <v>#REF!</v>
      </c>
      <c r="BX211" t="e">
        <f>AND('GA55 Entry'!#REF!,"AAAAAH+fO0s=")</f>
        <v>#REF!</v>
      </c>
      <c r="BY211" t="e">
        <f>AND('GA55 Entry'!Z826,"AAAAAH+fO0w=")</f>
        <v>#VALUE!</v>
      </c>
      <c r="BZ211" t="e">
        <f>AND('GA55 Entry'!AA826,"AAAAAH+fO00=")</f>
        <v>#VALUE!</v>
      </c>
      <c r="CA211" t="e">
        <f>AND('GA55 Entry'!#REF!,"AAAAAH+fO04=")</f>
        <v>#REF!</v>
      </c>
      <c r="CB211" t="e">
        <f>AND('GA55 Entry'!#REF!,"AAAAAH+fO08=")</f>
        <v>#REF!</v>
      </c>
      <c r="CC211" t="e">
        <f>AND('GA55 Entry'!#REF!,"AAAAAH+fO1A=")</f>
        <v>#REF!</v>
      </c>
      <c r="CD211" t="e">
        <f>AND('GA55 Entry'!AB826,"AAAAAH+fO1E=")</f>
        <v>#VALUE!</v>
      </c>
      <c r="CE211" t="e">
        <f>AND('GA55 Entry'!AC826,"AAAAAH+fO1I=")</f>
        <v>#VALUE!</v>
      </c>
      <c r="CF211" t="e">
        <f>AND('GA55 Entry'!#REF!,"AAAAAH+fO1M=")</f>
        <v>#REF!</v>
      </c>
      <c r="CG211">
        <f>IF('GA55 Entry'!827:827,"AAAAAH+fO1Q=",0)</f>
        <v>0</v>
      </c>
      <c r="CH211" t="e">
        <f>AND('GA55 Entry'!B827,"AAAAAH+fO1U=")</f>
        <v>#VALUE!</v>
      </c>
      <c r="CI211" t="e">
        <f>AND('GA55 Entry'!#REF!,"AAAAAH+fO1Y=")</f>
        <v>#REF!</v>
      </c>
      <c r="CJ211" t="e">
        <f>AND('GA55 Entry'!C827,"AAAAAH+fO1c=")</f>
        <v>#VALUE!</v>
      </c>
      <c r="CK211" t="e">
        <f>AND('GA55 Entry'!#REF!,"AAAAAH+fO1g=")</f>
        <v>#REF!</v>
      </c>
      <c r="CL211" t="e">
        <f>AND('GA55 Entry'!#REF!,"AAAAAH+fO1k=")</f>
        <v>#REF!</v>
      </c>
      <c r="CM211" t="e">
        <f>AND('GA55 Entry'!#REF!,"AAAAAH+fO1o=")</f>
        <v>#REF!</v>
      </c>
      <c r="CN211" t="e">
        <f>AND('GA55 Entry'!#REF!,"AAAAAH+fO1s=")</f>
        <v>#REF!</v>
      </c>
      <c r="CO211" t="e">
        <f>AND('GA55 Entry'!#REF!,"AAAAAH+fO1w=")</f>
        <v>#REF!</v>
      </c>
      <c r="CP211" t="e">
        <f>AND('GA55 Entry'!D827,"AAAAAH+fO10=")</f>
        <v>#VALUE!</v>
      </c>
      <c r="CQ211" t="e">
        <f>AND('GA55 Entry'!#REF!,"AAAAAH+fO14=")</f>
        <v>#REF!</v>
      </c>
      <c r="CR211" t="e">
        <f>AND('GA55 Entry'!E827,"AAAAAH+fO18=")</f>
        <v>#VALUE!</v>
      </c>
      <c r="CS211" t="e">
        <f>AND('GA55 Entry'!F827,"AAAAAH+fO2A=")</f>
        <v>#VALUE!</v>
      </c>
      <c r="CT211" t="e">
        <f>AND('GA55 Entry'!G827,"AAAAAH+fO2E=")</f>
        <v>#VALUE!</v>
      </c>
      <c r="CU211" t="e">
        <f>AND('GA55 Entry'!H827,"AAAAAH+fO2I=")</f>
        <v>#VALUE!</v>
      </c>
      <c r="CV211" t="e">
        <f>AND('GA55 Entry'!I827,"AAAAAH+fO2M=")</f>
        <v>#VALUE!</v>
      </c>
      <c r="CW211" t="e">
        <f>AND('GA55 Entry'!J827,"AAAAAH+fO2Q=")</f>
        <v>#VALUE!</v>
      </c>
      <c r="CX211" t="e">
        <f>AND('GA55 Entry'!#REF!,"AAAAAH+fO2U=")</f>
        <v>#REF!</v>
      </c>
      <c r="CY211" t="e">
        <f>AND('GA55 Entry'!K827,"AAAAAH+fO2Y=")</f>
        <v>#VALUE!</v>
      </c>
      <c r="CZ211" t="e">
        <f>AND('GA55 Entry'!L827,"AAAAAH+fO2c=")</f>
        <v>#VALUE!</v>
      </c>
      <c r="DA211" t="e">
        <f>AND('GA55 Entry'!M827,"AAAAAH+fO2g=")</f>
        <v>#VALUE!</v>
      </c>
      <c r="DB211" t="e">
        <f>AND('GA55 Entry'!N827,"AAAAAH+fO2k=")</f>
        <v>#VALUE!</v>
      </c>
      <c r="DC211" t="e">
        <f>AND('GA55 Entry'!O827,"AAAAAH+fO2o=")</f>
        <v>#VALUE!</v>
      </c>
      <c r="DD211" t="e">
        <f>AND('GA55 Entry'!P827,"AAAAAH+fO2s=")</f>
        <v>#VALUE!</v>
      </c>
      <c r="DE211" t="e">
        <f>AND('GA55 Entry'!Q827,"AAAAAH+fO2w=")</f>
        <v>#VALUE!</v>
      </c>
      <c r="DF211" t="e">
        <f>AND('GA55 Entry'!S827,"AAAAAH+fO20=")</f>
        <v>#VALUE!</v>
      </c>
      <c r="DG211" t="e">
        <f>AND('GA55 Entry'!#REF!,"AAAAAH+fO24=")</f>
        <v>#REF!</v>
      </c>
      <c r="DH211" t="e">
        <f>AND('GA55 Entry'!T827,"AAAAAH+fO28=")</f>
        <v>#VALUE!</v>
      </c>
      <c r="DI211" t="e">
        <f>AND('GA55 Entry'!U827,"AAAAAH+fO3A=")</f>
        <v>#VALUE!</v>
      </c>
      <c r="DJ211" t="e">
        <f>AND('GA55 Entry'!V827,"AAAAAH+fO3E=")</f>
        <v>#VALUE!</v>
      </c>
      <c r="DK211" t="e">
        <f>AND('GA55 Entry'!#REF!,"AAAAAH+fO3I=")</f>
        <v>#REF!</v>
      </c>
      <c r="DL211" t="e">
        <f>AND('GA55 Entry'!#REF!,"AAAAAH+fO3M=")</f>
        <v>#REF!</v>
      </c>
      <c r="DM211" t="e">
        <f>AND('GA55 Entry'!X827,"AAAAAH+fO3Q=")</f>
        <v>#VALUE!</v>
      </c>
      <c r="DN211" t="e">
        <f>AND('GA55 Entry'!Y827,"AAAAAH+fO3U=")</f>
        <v>#VALUE!</v>
      </c>
      <c r="DO211" t="e">
        <f>AND('GA55 Entry'!#REF!,"AAAAAH+fO3Y=")</f>
        <v>#REF!</v>
      </c>
      <c r="DP211" t="e">
        <f>AND('GA55 Entry'!#REF!,"AAAAAH+fO3c=")</f>
        <v>#REF!</v>
      </c>
      <c r="DQ211" t="e">
        <f>AND('GA55 Entry'!#REF!,"AAAAAH+fO3g=")</f>
        <v>#REF!</v>
      </c>
      <c r="DR211" t="e">
        <f>AND('GA55 Entry'!#REF!,"AAAAAH+fO3k=")</f>
        <v>#REF!</v>
      </c>
      <c r="DS211" t="e">
        <f>AND('GA55 Entry'!#REF!,"AAAAAH+fO3o=")</f>
        <v>#REF!</v>
      </c>
      <c r="DT211" t="e">
        <f>AND('GA55 Entry'!#REF!,"AAAAAH+fO3s=")</f>
        <v>#REF!</v>
      </c>
      <c r="DU211" t="e">
        <f>AND('GA55 Entry'!#REF!,"AAAAAH+fO3w=")</f>
        <v>#REF!</v>
      </c>
      <c r="DV211" t="e">
        <f>AND('GA55 Entry'!#REF!,"AAAAAH+fO30=")</f>
        <v>#REF!</v>
      </c>
      <c r="DW211" t="e">
        <f>AND('GA55 Entry'!#REF!,"AAAAAH+fO34=")</f>
        <v>#REF!</v>
      </c>
      <c r="DX211" t="e">
        <f>AND('GA55 Entry'!Z827,"AAAAAH+fO38=")</f>
        <v>#VALUE!</v>
      </c>
      <c r="DY211" t="e">
        <f>AND('GA55 Entry'!AA827,"AAAAAH+fO4A=")</f>
        <v>#VALUE!</v>
      </c>
      <c r="DZ211" t="e">
        <f>AND('GA55 Entry'!#REF!,"AAAAAH+fO4E=")</f>
        <v>#REF!</v>
      </c>
      <c r="EA211" t="e">
        <f>AND('GA55 Entry'!#REF!,"AAAAAH+fO4I=")</f>
        <v>#REF!</v>
      </c>
      <c r="EB211" t="e">
        <f>AND('GA55 Entry'!#REF!,"AAAAAH+fO4M=")</f>
        <v>#REF!</v>
      </c>
      <c r="EC211" t="e">
        <f>AND('GA55 Entry'!AB827,"AAAAAH+fO4Q=")</f>
        <v>#VALUE!</v>
      </c>
      <c r="ED211" t="e">
        <f>AND('GA55 Entry'!AC827,"AAAAAH+fO4U=")</f>
        <v>#VALUE!</v>
      </c>
      <c r="EE211" t="e">
        <f>AND('GA55 Entry'!#REF!,"AAAAAH+fO4Y=")</f>
        <v>#REF!</v>
      </c>
      <c r="EF211">
        <f>IF('GA55 Entry'!828:828,"AAAAAH+fO4c=",0)</f>
        <v>0</v>
      </c>
      <c r="EG211" t="e">
        <f>AND('GA55 Entry'!B828,"AAAAAH+fO4g=")</f>
        <v>#VALUE!</v>
      </c>
      <c r="EH211" t="e">
        <f>AND('GA55 Entry'!#REF!,"AAAAAH+fO4k=")</f>
        <v>#REF!</v>
      </c>
      <c r="EI211" t="e">
        <f>AND('GA55 Entry'!C828,"AAAAAH+fO4o=")</f>
        <v>#VALUE!</v>
      </c>
      <c r="EJ211" t="e">
        <f>AND('GA55 Entry'!#REF!,"AAAAAH+fO4s=")</f>
        <v>#REF!</v>
      </c>
      <c r="EK211" t="e">
        <f>AND('GA55 Entry'!#REF!,"AAAAAH+fO4w=")</f>
        <v>#REF!</v>
      </c>
      <c r="EL211" t="e">
        <f>AND('GA55 Entry'!#REF!,"AAAAAH+fO40=")</f>
        <v>#REF!</v>
      </c>
      <c r="EM211" t="e">
        <f>AND('GA55 Entry'!#REF!,"AAAAAH+fO44=")</f>
        <v>#REF!</v>
      </c>
      <c r="EN211" t="e">
        <f>AND('GA55 Entry'!#REF!,"AAAAAH+fO48=")</f>
        <v>#REF!</v>
      </c>
      <c r="EO211" t="e">
        <f>AND('GA55 Entry'!D828,"AAAAAH+fO5A=")</f>
        <v>#VALUE!</v>
      </c>
      <c r="EP211" t="e">
        <f>AND('GA55 Entry'!#REF!,"AAAAAH+fO5E=")</f>
        <v>#REF!</v>
      </c>
      <c r="EQ211" t="e">
        <f>AND('GA55 Entry'!E828,"AAAAAH+fO5I=")</f>
        <v>#VALUE!</v>
      </c>
      <c r="ER211" t="e">
        <f>AND('GA55 Entry'!F828,"AAAAAH+fO5M=")</f>
        <v>#VALUE!</v>
      </c>
      <c r="ES211" t="e">
        <f>AND('GA55 Entry'!G828,"AAAAAH+fO5Q=")</f>
        <v>#VALUE!</v>
      </c>
      <c r="ET211" t="e">
        <f>AND('GA55 Entry'!H828,"AAAAAH+fO5U=")</f>
        <v>#VALUE!</v>
      </c>
      <c r="EU211" t="e">
        <f>AND('GA55 Entry'!I828,"AAAAAH+fO5Y=")</f>
        <v>#VALUE!</v>
      </c>
      <c r="EV211" t="e">
        <f>AND('GA55 Entry'!J828,"AAAAAH+fO5c=")</f>
        <v>#VALUE!</v>
      </c>
      <c r="EW211" t="e">
        <f>AND('GA55 Entry'!#REF!,"AAAAAH+fO5g=")</f>
        <v>#REF!</v>
      </c>
      <c r="EX211" t="e">
        <f>AND('GA55 Entry'!K828,"AAAAAH+fO5k=")</f>
        <v>#VALUE!</v>
      </c>
      <c r="EY211" t="e">
        <f>AND('GA55 Entry'!L828,"AAAAAH+fO5o=")</f>
        <v>#VALUE!</v>
      </c>
      <c r="EZ211" t="e">
        <f>AND('GA55 Entry'!M828,"AAAAAH+fO5s=")</f>
        <v>#VALUE!</v>
      </c>
      <c r="FA211" t="e">
        <f>AND('GA55 Entry'!N828,"AAAAAH+fO5w=")</f>
        <v>#VALUE!</v>
      </c>
      <c r="FB211" t="e">
        <f>AND('GA55 Entry'!O828,"AAAAAH+fO50=")</f>
        <v>#VALUE!</v>
      </c>
      <c r="FC211" t="e">
        <f>AND('GA55 Entry'!P828,"AAAAAH+fO54=")</f>
        <v>#VALUE!</v>
      </c>
      <c r="FD211" t="e">
        <f>AND('GA55 Entry'!Q828,"AAAAAH+fO58=")</f>
        <v>#VALUE!</v>
      </c>
      <c r="FE211" t="e">
        <f>AND('GA55 Entry'!S828,"AAAAAH+fO6A=")</f>
        <v>#VALUE!</v>
      </c>
      <c r="FF211" t="e">
        <f>AND('GA55 Entry'!#REF!,"AAAAAH+fO6E=")</f>
        <v>#REF!</v>
      </c>
      <c r="FG211" t="e">
        <f>AND('GA55 Entry'!T828,"AAAAAH+fO6I=")</f>
        <v>#VALUE!</v>
      </c>
      <c r="FH211" t="e">
        <f>AND('GA55 Entry'!U828,"AAAAAH+fO6M=")</f>
        <v>#VALUE!</v>
      </c>
      <c r="FI211" t="e">
        <f>AND('GA55 Entry'!V828,"AAAAAH+fO6Q=")</f>
        <v>#VALUE!</v>
      </c>
      <c r="FJ211" t="e">
        <f>AND('GA55 Entry'!#REF!,"AAAAAH+fO6U=")</f>
        <v>#REF!</v>
      </c>
      <c r="FK211" t="e">
        <f>AND('GA55 Entry'!#REF!,"AAAAAH+fO6Y=")</f>
        <v>#REF!</v>
      </c>
      <c r="FL211" t="e">
        <f>AND('GA55 Entry'!X828,"AAAAAH+fO6c=")</f>
        <v>#VALUE!</v>
      </c>
      <c r="FM211" t="e">
        <f>AND('GA55 Entry'!Y828,"AAAAAH+fO6g=")</f>
        <v>#VALUE!</v>
      </c>
      <c r="FN211" t="e">
        <f>AND('GA55 Entry'!#REF!,"AAAAAH+fO6k=")</f>
        <v>#REF!</v>
      </c>
      <c r="FO211" t="e">
        <f>AND('GA55 Entry'!#REF!,"AAAAAH+fO6o=")</f>
        <v>#REF!</v>
      </c>
      <c r="FP211" t="e">
        <f>AND('GA55 Entry'!#REF!,"AAAAAH+fO6s=")</f>
        <v>#REF!</v>
      </c>
      <c r="FQ211" t="e">
        <f>AND('GA55 Entry'!#REF!,"AAAAAH+fO6w=")</f>
        <v>#REF!</v>
      </c>
      <c r="FR211" t="e">
        <f>AND('GA55 Entry'!#REF!,"AAAAAH+fO60=")</f>
        <v>#REF!</v>
      </c>
      <c r="FS211" t="e">
        <f>AND('GA55 Entry'!#REF!,"AAAAAH+fO64=")</f>
        <v>#REF!</v>
      </c>
      <c r="FT211" t="e">
        <f>AND('GA55 Entry'!#REF!,"AAAAAH+fO68=")</f>
        <v>#REF!</v>
      </c>
      <c r="FU211" t="e">
        <f>AND('GA55 Entry'!#REF!,"AAAAAH+fO7A=")</f>
        <v>#REF!</v>
      </c>
      <c r="FV211" t="e">
        <f>AND('GA55 Entry'!#REF!,"AAAAAH+fO7E=")</f>
        <v>#REF!</v>
      </c>
      <c r="FW211" t="e">
        <f>AND('GA55 Entry'!Z828,"AAAAAH+fO7I=")</f>
        <v>#VALUE!</v>
      </c>
      <c r="FX211" t="e">
        <f>AND('GA55 Entry'!AA828,"AAAAAH+fO7M=")</f>
        <v>#VALUE!</v>
      </c>
      <c r="FY211" t="e">
        <f>AND('GA55 Entry'!#REF!,"AAAAAH+fO7Q=")</f>
        <v>#REF!</v>
      </c>
      <c r="FZ211" t="e">
        <f>AND('GA55 Entry'!#REF!,"AAAAAH+fO7U=")</f>
        <v>#REF!</v>
      </c>
      <c r="GA211" t="e">
        <f>AND('GA55 Entry'!#REF!,"AAAAAH+fO7Y=")</f>
        <v>#REF!</v>
      </c>
      <c r="GB211" t="e">
        <f>AND('GA55 Entry'!AB828,"AAAAAH+fO7c=")</f>
        <v>#VALUE!</v>
      </c>
      <c r="GC211" t="e">
        <f>AND('GA55 Entry'!AC828,"AAAAAH+fO7g=")</f>
        <v>#VALUE!</v>
      </c>
      <c r="GD211" t="e">
        <f>AND('GA55 Entry'!#REF!,"AAAAAH+fO7k=")</f>
        <v>#REF!</v>
      </c>
      <c r="GE211">
        <f>IF('GA55 Entry'!829:829,"AAAAAH+fO7o=",0)</f>
        <v>0</v>
      </c>
      <c r="GF211" t="e">
        <f>AND('GA55 Entry'!B829,"AAAAAH+fO7s=")</f>
        <v>#VALUE!</v>
      </c>
      <c r="GG211" t="e">
        <f>AND('GA55 Entry'!#REF!,"AAAAAH+fO7w=")</f>
        <v>#REF!</v>
      </c>
      <c r="GH211" t="e">
        <f>AND('GA55 Entry'!C829,"AAAAAH+fO70=")</f>
        <v>#VALUE!</v>
      </c>
      <c r="GI211" t="e">
        <f>AND('GA55 Entry'!#REF!,"AAAAAH+fO74=")</f>
        <v>#REF!</v>
      </c>
      <c r="GJ211" t="e">
        <f>AND('GA55 Entry'!#REF!,"AAAAAH+fO78=")</f>
        <v>#REF!</v>
      </c>
      <c r="GK211" t="e">
        <f>AND('GA55 Entry'!#REF!,"AAAAAH+fO8A=")</f>
        <v>#REF!</v>
      </c>
      <c r="GL211" t="e">
        <f>AND('GA55 Entry'!#REF!,"AAAAAH+fO8E=")</f>
        <v>#REF!</v>
      </c>
      <c r="GM211" t="e">
        <f>AND('GA55 Entry'!#REF!,"AAAAAH+fO8I=")</f>
        <v>#REF!</v>
      </c>
      <c r="GN211" t="e">
        <f>AND('GA55 Entry'!D829,"AAAAAH+fO8M=")</f>
        <v>#VALUE!</v>
      </c>
      <c r="GO211" t="e">
        <f>AND('GA55 Entry'!#REF!,"AAAAAH+fO8Q=")</f>
        <v>#REF!</v>
      </c>
      <c r="GP211" t="e">
        <f>AND('GA55 Entry'!E829,"AAAAAH+fO8U=")</f>
        <v>#VALUE!</v>
      </c>
      <c r="GQ211" t="e">
        <f>AND('GA55 Entry'!F829,"AAAAAH+fO8Y=")</f>
        <v>#VALUE!</v>
      </c>
      <c r="GR211" t="e">
        <f>AND('GA55 Entry'!G829,"AAAAAH+fO8c=")</f>
        <v>#VALUE!</v>
      </c>
      <c r="GS211" t="e">
        <f>AND('GA55 Entry'!H829,"AAAAAH+fO8g=")</f>
        <v>#VALUE!</v>
      </c>
      <c r="GT211" t="e">
        <f>AND('GA55 Entry'!I829,"AAAAAH+fO8k=")</f>
        <v>#VALUE!</v>
      </c>
      <c r="GU211" t="e">
        <f>AND('GA55 Entry'!J829,"AAAAAH+fO8o=")</f>
        <v>#VALUE!</v>
      </c>
      <c r="GV211" t="e">
        <f>AND('GA55 Entry'!#REF!,"AAAAAH+fO8s=")</f>
        <v>#REF!</v>
      </c>
      <c r="GW211" t="e">
        <f>AND('GA55 Entry'!K829,"AAAAAH+fO8w=")</f>
        <v>#VALUE!</v>
      </c>
      <c r="GX211" t="e">
        <f>AND('GA55 Entry'!L829,"AAAAAH+fO80=")</f>
        <v>#VALUE!</v>
      </c>
      <c r="GY211" t="e">
        <f>AND('GA55 Entry'!M829,"AAAAAH+fO84=")</f>
        <v>#VALUE!</v>
      </c>
      <c r="GZ211" t="e">
        <f>AND('GA55 Entry'!N829,"AAAAAH+fO88=")</f>
        <v>#VALUE!</v>
      </c>
      <c r="HA211" t="e">
        <f>AND('GA55 Entry'!O829,"AAAAAH+fO9A=")</f>
        <v>#VALUE!</v>
      </c>
      <c r="HB211" t="e">
        <f>AND('GA55 Entry'!P829,"AAAAAH+fO9E=")</f>
        <v>#VALUE!</v>
      </c>
      <c r="HC211" t="e">
        <f>AND('GA55 Entry'!Q829,"AAAAAH+fO9I=")</f>
        <v>#VALUE!</v>
      </c>
      <c r="HD211" t="e">
        <f>AND('GA55 Entry'!S829,"AAAAAH+fO9M=")</f>
        <v>#VALUE!</v>
      </c>
      <c r="HE211" t="e">
        <f>AND('GA55 Entry'!#REF!,"AAAAAH+fO9Q=")</f>
        <v>#REF!</v>
      </c>
      <c r="HF211" t="e">
        <f>AND('GA55 Entry'!T829,"AAAAAH+fO9U=")</f>
        <v>#VALUE!</v>
      </c>
      <c r="HG211" t="e">
        <f>AND('GA55 Entry'!U829,"AAAAAH+fO9Y=")</f>
        <v>#VALUE!</v>
      </c>
      <c r="HH211" t="e">
        <f>AND('GA55 Entry'!V829,"AAAAAH+fO9c=")</f>
        <v>#VALUE!</v>
      </c>
      <c r="HI211" t="e">
        <f>AND('GA55 Entry'!#REF!,"AAAAAH+fO9g=")</f>
        <v>#REF!</v>
      </c>
      <c r="HJ211" t="e">
        <f>AND('GA55 Entry'!#REF!,"AAAAAH+fO9k=")</f>
        <v>#REF!</v>
      </c>
      <c r="HK211" t="e">
        <f>AND('GA55 Entry'!X829,"AAAAAH+fO9o=")</f>
        <v>#VALUE!</v>
      </c>
      <c r="HL211" t="e">
        <f>AND('GA55 Entry'!Y829,"AAAAAH+fO9s=")</f>
        <v>#VALUE!</v>
      </c>
      <c r="HM211" t="e">
        <f>AND('GA55 Entry'!#REF!,"AAAAAH+fO9w=")</f>
        <v>#REF!</v>
      </c>
      <c r="HN211" t="e">
        <f>AND('GA55 Entry'!#REF!,"AAAAAH+fO90=")</f>
        <v>#REF!</v>
      </c>
      <c r="HO211" t="e">
        <f>AND('GA55 Entry'!#REF!,"AAAAAH+fO94=")</f>
        <v>#REF!</v>
      </c>
      <c r="HP211" t="e">
        <f>AND('GA55 Entry'!#REF!,"AAAAAH+fO98=")</f>
        <v>#REF!</v>
      </c>
      <c r="HQ211" t="e">
        <f>AND('GA55 Entry'!#REF!,"AAAAAH+fO+A=")</f>
        <v>#REF!</v>
      </c>
      <c r="HR211" t="e">
        <f>AND('GA55 Entry'!#REF!,"AAAAAH+fO+E=")</f>
        <v>#REF!</v>
      </c>
      <c r="HS211" t="e">
        <f>AND('GA55 Entry'!#REF!,"AAAAAH+fO+I=")</f>
        <v>#REF!</v>
      </c>
      <c r="HT211" t="e">
        <f>AND('GA55 Entry'!#REF!,"AAAAAH+fO+M=")</f>
        <v>#REF!</v>
      </c>
      <c r="HU211" t="e">
        <f>AND('GA55 Entry'!#REF!,"AAAAAH+fO+Q=")</f>
        <v>#REF!</v>
      </c>
      <c r="HV211" t="e">
        <f>AND('GA55 Entry'!Z829,"AAAAAH+fO+U=")</f>
        <v>#VALUE!</v>
      </c>
      <c r="HW211" t="e">
        <f>AND('GA55 Entry'!AA829,"AAAAAH+fO+Y=")</f>
        <v>#VALUE!</v>
      </c>
      <c r="HX211" t="e">
        <f>AND('GA55 Entry'!#REF!,"AAAAAH+fO+c=")</f>
        <v>#REF!</v>
      </c>
      <c r="HY211" t="e">
        <f>AND('GA55 Entry'!#REF!,"AAAAAH+fO+g=")</f>
        <v>#REF!</v>
      </c>
      <c r="HZ211" t="e">
        <f>AND('GA55 Entry'!#REF!,"AAAAAH+fO+k=")</f>
        <v>#REF!</v>
      </c>
      <c r="IA211" t="e">
        <f>AND('GA55 Entry'!AB829,"AAAAAH+fO+o=")</f>
        <v>#VALUE!</v>
      </c>
      <c r="IB211" t="e">
        <f>AND('GA55 Entry'!AC829,"AAAAAH+fO+s=")</f>
        <v>#VALUE!</v>
      </c>
      <c r="IC211" t="e">
        <f>AND('GA55 Entry'!#REF!,"AAAAAH+fO+w=")</f>
        <v>#REF!</v>
      </c>
      <c r="ID211">
        <f>IF('GA55 Entry'!830:830,"AAAAAH+fO+0=",0)</f>
        <v>0</v>
      </c>
      <c r="IE211" t="e">
        <f>AND('GA55 Entry'!B830,"AAAAAH+fO+4=")</f>
        <v>#VALUE!</v>
      </c>
      <c r="IF211" t="e">
        <f>AND('GA55 Entry'!#REF!,"AAAAAH+fO+8=")</f>
        <v>#REF!</v>
      </c>
      <c r="IG211" t="e">
        <f>AND('GA55 Entry'!C830,"AAAAAH+fO/A=")</f>
        <v>#VALUE!</v>
      </c>
      <c r="IH211" t="e">
        <f>AND('GA55 Entry'!#REF!,"AAAAAH+fO/E=")</f>
        <v>#REF!</v>
      </c>
      <c r="II211" t="e">
        <f>AND('GA55 Entry'!#REF!,"AAAAAH+fO/I=")</f>
        <v>#REF!</v>
      </c>
      <c r="IJ211" t="e">
        <f>AND('GA55 Entry'!#REF!,"AAAAAH+fO/M=")</f>
        <v>#REF!</v>
      </c>
      <c r="IK211" t="e">
        <f>AND('GA55 Entry'!#REF!,"AAAAAH+fO/Q=")</f>
        <v>#REF!</v>
      </c>
      <c r="IL211" t="e">
        <f>AND('GA55 Entry'!#REF!,"AAAAAH+fO/U=")</f>
        <v>#REF!</v>
      </c>
      <c r="IM211" t="e">
        <f>AND('GA55 Entry'!D830,"AAAAAH+fO/Y=")</f>
        <v>#VALUE!</v>
      </c>
      <c r="IN211" t="e">
        <f>AND('GA55 Entry'!#REF!,"AAAAAH+fO/c=")</f>
        <v>#REF!</v>
      </c>
      <c r="IO211" t="e">
        <f>AND('GA55 Entry'!E830,"AAAAAH+fO/g=")</f>
        <v>#VALUE!</v>
      </c>
      <c r="IP211" t="e">
        <f>AND('GA55 Entry'!F830,"AAAAAH+fO/k=")</f>
        <v>#VALUE!</v>
      </c>
      <c r="IQ211" t="e">
        <f>AND('GA55 Entry'!G830,"AAAAAH+fO/o=")</f>
        <v>#VALUE!</v>
      </c>
      <c r="IR211" t="e">
        <f>AND('GA55 Entry'!H830,"AAAAAH+fO/s=")</f>
        <v>#VALUE!</v>
      </c>
      <c r="IS211" t="e">
        <f>AND('GA55 Entry'!I830,"AAAAAH+fO/w=")</f>
        <v>#VALUE!</v>
      </c>
      <c r="IT211" t="e">
        <f>AND('GA55 Entry'!J830,"AAAAAH+fO/0=")</f>
        <v>#VALUE!</v>
      </c>
      <c r="IU211" t="e">
        <f>AND('GA55 Entry'!#REF!,"AAAAAH+fO/4=")</f>
        <v>#REF!</v>
      </c>
      <c r="IV211" t="e">
        <f>AND('GA55 Entry'!K830,"AAAAAH+fO/8=")</f>
        <v>#VALUE!</v>
      </c>
    </row>
    <row r="212" spans="1:256">
      <c r="A212" t="e">
        <f>AND('GA55 Entry'!L830,"AAAAAH/9vgA=")</f>
        <v>#VALUE!</v>
      </c>
      <c r="B212" t="e">
        <f>AND('GA55 Entry'!M830,"AAAAAH/9vgE=")</f>
        <v>#VALUE!</v>
      </c>
      <c r="C212" t="e">
        <f>AND('GA55 Entry'!N830,"AAAAAH/9vgI=")</f>
        <v>#VALUE!</v>
      </c>
      <c r="D212" t="e">
        <f>AND('GA55 Entry'!O830,"AAAAAH/9vgM=")</f>
        <v>#VALUE!</v>
      </c>
      <c r="E212" t="e">
        <f>AND('GA55 Entry'!P830,"AAAAAH/9vgQ=")</f>
        <v>#VALUE!</v>
      </c>
      <c r="F212" t="e">
        <f>AND('GA55 Entry'!Q830,"AAAAAH/9vgU=")</f>
        <v>#VALUE!</v>
      </c>
      <c r="G212" t="e">
        <f>AND('GA55 Entry'!S830,"AAAAAH/9vgY=")</f>
        <v>#VALUE!</v>
      </c>
      <c r="H212" t="e">
        <f>AND('GA55 Entry'!#REF!,"AAAAAH/9vgc=")</f>
        <v>#REF!</v>
      </c>
      <c r="I212" t="e">
        <f>AND('GA55 Entry'!T830,"AAAAAH/9vgg=")</f>
        <v>#VALUE!</v>
      </c>
      <c r="J212" t="e">
        <f>AND('GA55 Entry'!U830,"AAAAAH/9vgk=")</f>
        <v>#VALUE!</v>
      </c>
      <c r="K212" t="e">
        <f>AND('GA55 Entry'!V830,"AAAAAH/9vgo=")</f>
        <v>#VALUE!</v>
      </c>
      <c r="L212" t="e">
        <f>AND('GA55 Entry'!#REF!,"AAAAAH/9vgs=")</f>
        <v>#REF!</v>
      </c>
      <c r="M212" t="e">
        <f>AND('GA55 Entry'!#REF!,"AAAAAH/9vgw=")</f>
        <v>#REF!</v>
      </c>
      <c r="N212" t="e">
        <f>AND('GA55 Entry'!X830,"AAAAAH/9vg0=")</f>
        <v>#VALUE!</v>
      </c>
      <c r="O212" t="e">
        <f>AND('GA55 Entry'!Y830,"AAAAAH/9vg4=")</f>
        <v>#VALUE!</v>
      </c>
      <c r="P212" t="e">
        <f>AND('GA55 Entry'!#REF!,"AAAAAH/9vg8=")</f>
        <v>#REF!</v>
      </c>
      <c r="Q212" t="e">
        <f>AND('GA55 Entry'!#REF!,"AAAAAH/9vhA=")</f>
        <v>#REF!</v>
      </c>
      <c r="R212" t="e">
        <f>AND('GA55 Entry'!#REF!,"AAAAAH/9vhE=")</f>
        <v>#REF!</v>
      </c>
      <c r="S212" t="e">
        <f>AND('GA55 Entry'!#REF!,"AAAAAH/9vhI=")</f>
        <v>#REF!</v>
      </c>
      <c r="T212" t="e">
        <f>AND('GA55 Entry'!#REF!,"AAAAAH/9vhM=")</f>
        <v>#REF!</v>
      </c>
      <c r="U212" t="e">
        <f>AND('GA55 Entry'!#REF!,"AAAAAH/9vhQ=")</f>
        <v>#REF!</v>
      </c>
      <c r="V212" t="e">
        <f>AND('GA55 Entry'!#REF!,"AAAAAH/9vhU=")</f>
        <v>#REF!</v>
      </c>
      <c r="W212" t="e">
        <f>AND('GA55 Entry'!#REF!,"AAAAAH/9vhY=")</f>
        <v>#REF!</v>
      </c>
      <c r="X212" t="e">
        <f>AND('GA55 Entry'!#REF!,"AAAAAH/9vhc=")</f>
        <v>#REF!</v>
      </c>
      <c r="Y212" t="e">
        <f>AND('GA55 Entry'!Z830,"AAAAAH/9vhg=")</f>
        <v>#VALUE!</v>
      </c>
      <c r="Z212" t="e">
        <f>AND('GA55 Entry'!AA830,"AAAAAH/9vhk=")</f>
        <v>#VALUE!</v>
      </c>
      <c r="AA212" t="e">
        <f>AND('GA55 Entry'!#REF!,"AAAAAH/9vho=")</f>
        <v>#REF!</v>
      </c>
      <c r="AB212" t="e">
        <f>AND('GA55 Entry'!#REF!,"AAAAAH/9vhs=")</f>
        <v>#REF!</v>
      </c>
      <c r="AC212" t="e">
        <f>AND('GA55 Entry'!#REF!,"AAAAAH/9vhw=")</f>
        <v>#REF!</v>
      </c>
      <c r="AD212" t="e">
        <f>AND('GA55 Entry'!AB830,"AAAAAH/9vh0=")</f>
        <v>#VALUE!</v>
      </c>
      <c r="AE212" t="e">
        <f>AND('GA55 Entry'!AC830,"AAAAAH/9vh4=")</f>
        <v>#VALUE!</v>
      </c>
      <c r="AF212" t="e">
        <f>AND('GA55 Entry'!#REF!,"AAAAAH/9vh8=")</f>
        <v>#REF!</v>
      </c>
      <c r="AG212">
        <f>IF('GA55 Entry'!831:831,"AAAAAH/9viA=",0)</f>
        <v>0</v>
      </c>
      <c r="AH212" t="e">
        <f>AND('GA55 Entry'!B831,"AAAAAH/9viE=")</f>
        <v>#VALUE!</v>
      </c>
      <c r="AI212" t="e">
        <f>AND('GA55 Entry'!#REF!,"AAAAAH/9viI=")</f>
        <v>#REF!</v>
      </c>
      <c r="AJ212" t="e">
        <f>AND('GA55 Entry'!C831,"AAAAAH/9viM=")</f>
        <v>#VALUE!</v>
      </c>
      <c r="AK212" t="e">
        <f>AND('GA55 Entry'!#REF!,"AAAAAH/9viQ=")</f>
        <v>#REF!</v>
      </c>
      <c r="AL212" t="e">
        <f>AND('GA55 Entry'!#REF!,"AAAAAH/9viU=")</f>
        <v>#REF!</v>
      </c>
      <c r="AM212" t="e">
        <f>AND('GA55 Entry'!#REF!,"AAAAAH/9viY=")</f>
        <v>#REF!</v>
      </c>
      <c r="AN212" t="e">
        <f>AND('GA55 Entry'!#REF!,"AAAAAH/9vic=")</f>
        <v>#REF!</v>
      </c>
      <c r="AO212" t="e">
        <f>AND('GA55 Entry'!#REF!,"AAAAAH/9vig=")</f>
        <v>#REF!</v>
      </c>
      <c r="AP212" t="e">
        <f>AND('GA55 Entry'!D831,"AAAAAH/9vik=")</f>
        <v>#VALUE!</v>
      </c>
      <c r="AQ212" t="e">
        <f>AND('GA55 Entry'!#REF!,"AAAAAH/9vio=")</f>
        <v>#REF!</v>
      </c>
      <c r="AR212" t="e">
        <f>AND('GA55 Entry'!E831,"AAAAAH/9vis=")</f>
        <v>#VALUE!</v>
      </c>
      <c r="AS212" t="e">
        <f>AND('GA55 Entry'!F831,"AAAAAH/9viw=")</f>
        <v>#VALUE!</v>
      </c>
      <c r="AT212" t="e">
        <f>AND('GA55 Entry'!G831,"AAAAAH/9vi0=")</f>
        <v>#VALUE!</v>
      </c>
      <c r="AU212" t="e">
        <f>AND('GA55 Entry'!H831,"AAAAAH/9vi4=")</f>
        <v>#VALUE!</v>
      </c>
      <c r="AV212" t="e">
        <f>AND('GA55 Entry'!I831,"AAAAAH/9vi8=")</f>
        <v>#VALUE!</v>
      </c>
      <c r="AW212" t="e">
        <f>AND('GA55 Entry'!J831,"AAAAAH/9vjA=")</f>
        <v>#VALUE!</v>
      </c>
      <c r="AX212" t="e">
        <f>AND('GA55 Entry'!#REF!,"AAAAAH/9vjE=")</f>
        <v>#REF!</v>
      </c>
      <c r="AY212" t="e">
        <f>AND('GA55 Entry'!K831,"AAAAAH/9vjI=")</f>
        <v>#VALUE!</v>
      </c>
      <c r="AZ212" t="e">
        <f>AND('GA55 Entry'!L831,"AAAAAH/9vjM=")</f>
        <v>#VALUE!</v>
      </c>
      <c r="BA212" t="e">
        <f>AND('GA55 Entry'!M831,"AAAAAH/9vjQ=")</f>
        <v>#VALUE!</v>
      </c>
      <c r="BB212" t="e">
        <f>AND('GA55 Entry'!N831,"AAAAAH/9vjU=")</f>
        <v>#VALUE!</v>
      </c>
      <c r="BC212" t="e">
        <f>AND('GA55 Entry'!O831,"AAAAAH/9vjY=")</f>
        <v>#VALUE!</v>
      </c>
      <c r="BD212" t="e">
        <f>AND('GA55 Entry'!P831,"AAAAAH/9vjc=")</f>
        <v>#VALUE!</v>
      </c>
      <c r="BE212" t="e">
        <f>AND('GA55 Entry'!Q831,"AAAAAH/9vjg=")</f>
        <v>#VALUE!</v>
      </c>
      <c r="BF212" t="e">
        <f>AND('GA55 Entry'!S831,"AAAAAH/9vjk=")</f>
        <v>#VALUE!</v>
      </c>
      <c r="BG212" t="e">
        <f>AND('GA55 Entry'!#REF!,"AAAAAH/9vjo=")</f>
        <v>#REF!</v>
      </c>
      <c r="BH212" t="e">
        <f>AND('GA55 Entry'!T831,"AAAAAH/9vjs=")</f>
        <v>#VALUE!</v>
      </c>
      <c r="BI212" t="e">
        <f>AND('GA55 Entry'!U831,"AAAAAH/9vjw=")</f>
        <v>#VALUE!</v>
      </c>
      <c r="BJ212" t="e">
        <f>AND('GA55 Entry'!V831,"AAAAAH/9vj0=")</f>
        <v>#VALUE!</v>
      </c>
      <c r="BK212" t="e">
        <f>AND('GA55 Entry'!#REF!,"AAAAAH/9vj4=")</f>
        <v>#REF!</v>
      </c>
      <c r="BL212" t="e">
        <f>AND('GA55 Entry'!#REF!,"AAAAAH/9vj8=")</f>
        <v>#REF!</v>
      </c>
      <c r="BM212" t="e">
        <f>AND('GA55 Entry'!X831,"AAAAAH/9vkA=")</f>
        <v>#VALUE!</v>
      </c>
      <c r="BN212" t="e">
        <f>AND('GA55 Entry'!Y831,"AAAAAH/9vkE=")</f>
        <v>#VALUE!</v>
      </c>
      <c r="BO212" t="e">
        <f>AND('GA55 Entry'!#REF!,"AAAAAH/9vkI=")</f>
        <v>#REF!</v>
      </c>
      <c r="BP212" t="e">
        <f>AND('GA55 Entry'!#REF!,"AAAAAH/9vkM=")</f>
        <v>#REF!</v>
      </c>
      <c r="BQ212" t="e">
        <f>AND('GA55 Entry'!#REF!,"AAAAAH/9vkQ=")</f>
        <v>#REF!</v>
      </c>
      <c r="BR212" t="e">
        <f>AND('GA55 Entry'!#REF!,"AAAAAH/9vkU=")</f>
        <v>#REF!</v>
      </c>
      <c r="BS212" t="e">
        <f>AND('GA55 Entry'!#REF!,"AAAAAH/9vkY=")</f>
        <v>#REF!</v>
      </c>
      <c r="BT212" t="e">
        <f>AND('GA55 Entry'!#REF!,"AAAAAH/9vkc=")</f>
        <v>#REF!</v>
      </c>
      <c r="BU212" t="e">
        <f>AND('GA55 Entry'!#REF!,"AAAAAH/9vkg=")</f>
        <v>#REF!</v>
      </c>
      <c r="BV212" t="e">
        <f>AND('GA55 Entry'!#REF!,"AAAAAH/9vkk=")</f>
        <v>#REF!</v>
      </c>
      <c r="BW212" t="e">
        <f>AND('GA55 Entry'!#REF!,"AAAAAH/9vko=")</f>
        <v>#REF!</v>
      </c>
      <c r="BX212" t="e">
        <f>AND('GA55 Entry'!Z831,"AAAAAH/9vks=")</f>
        <v>#VALUE!</v>
      </c>
      <c r="BY212" t="e">
        <f>AND('GA55 Entry'!AA831,"AAAAAH/9vkw=")</f>
        <v>#VALUE!</v>
      </c>
      <c r="BZ212" t="e">
        <f>AND('GA55 Entry'!#REF!,"AAAAAH/9vk0=")</f>
        <v>#REF!</v>
      </c>
      <c r="CA212" t="e">
        <f>AND('GA55 Entry'!#REF!,"AAAAAH/9vk4=")</f>
        <v>#REF!</v>
      </c>
      <c r="CB212" t="e">
        <f>AND('GA55 Entry'!#REF!,"AAAAAH/9vk8=")</f>
        <v>#REF!</v>
      </c>
      <c r="CC212" t="e">
        <f>AND('GA55 Entry'!AB831,"AAAAAH/9vlA=")</f>
        <v>#VALUE!</v>
      </c>
      <c r="CD212" t="e">
        <f>AND('GA55 Entry'!AC831,"AAAAAH/9vlE=")</f>
        <v>#VALUE!</v>
      </c>
      <c r="CE212" t="e">
        <f>AND('GA55 Entry'!#REF!,"AAAAAH/9vlI=")</f>
        <v>#REF!</v>
      </c>
      <c r="CF212">
        <f>IF('GA55 Entry'!832:832,"AAAAAH/9vlM=",0)</f>
        <v>0</v>
      </c>
      <c r="CG212" t="e">
        <f>AND('GA55 Entry'!B832,"AAAAAH/9vlQ=")</f>
        <v>#VALUE!</v>
      </c>
      <c r="CH212" t="e">
        <f>AND('GA55 Entry'!#REF!,"AAAAAH/9vlU=")</f>
        <v>#REF!</v>
      </c>
      <c r="CI212" t="e">
        <f>AND('GA55 Entry'!C832,"AAAAAH/9vlY=")</f>
        <v>#VALUE!</v>
      </c>
      <c r="CJ212" t="e">
        <f>AND('GA55 Entry'!#REF!,"AAAAAH/9vlc=")</f>
        <v>#REF!</v>
      </c>
      <c r="CK212" t="e">
        <f>AND('GA55 Entry'!#REF!,"AAAAAH/9vlg=")</f>
        <v>#REF!</v>
      </c>
      <c r="CL212" t="e">
        <f>AND('GA55 Entry'!#REF!,"AAAAAH/9vlk=")</f>
        <v>#REF!</v>
      </c>
      <c r="CM212" t="e">
        <f>AND('GA55 Entry'!#REF!,"AAAAAH/9vlo=")</f>
        <v>#REF!</v>
      </c>
      <c r="CN212" t="e">
        <f>AND('GA55 Entry'!#REF!,"AAAAAH/9vls=")</f>
        <v>#REF!</v>
      </c>
      <c r="CO212" t="e">
        <f>AND('GA55 Entry'!D832,"AAAAAH/9vlw=")</f>
        <v>#VALUE!</v>
      </c>
      <c r="CP212" t="e">
        <f>AND('GA55 Entry'!#REF!,"AAAAAH/9vl0=")</f>
        <v>#REF!</v>
      </c>
      <c r="CQ212" t="e">
        <f>AND('GA55 Entry'!E832,"AAAAAH/9vl4=")</f>
        <v>#VALUE!</v>
      </c>
      <c r="CR212" t="e">
        <f>AND('GA55 Entry'!F832,"AAAAAH/9vl8=")</f>
        <v>#VALUE!</v>
      </c>
      <c r="CS212" t="e">
        <f>AND('GA55 Entry'!G832,"AAAAAH/9vmA=")</f>
        <v>#VALUE!</v>
      </c>
      <c r="CT212" t="e">
        <f>AND('GA55 Entry'!H832,"AAAAAH/9vmE=")</f>
        <v>#VALUE!</v>
      </c>
      <c r="CU212" t="e">
        <f>AND('GA55 Entry'!I832,"AAAAAH/9vmI=")</f>
        <v>#VALUE!</v>
      </c>
      <c r="CV212" t="e">
        <f>AND('GA55 Entry'!J832,"AAAAAH/9vmM=")</f>
        <v>#VALUE!</v>
      </c>
      <c r="CW212" t="e">
        <f>AND('GA55 Entry'!#REF!,"AAAAAH/9vmQ=")</f>
        <v>#REF!</v>
      </c>
      <c r="CX212" t="e">
        <f>AND('GA55 Entry'!K832,"AAAAAH/9vmU=")</f>
        <v>#VALUE!</v>
      </c>
      <c r="CY212" t="e">
        <f>AND('GA55 Entry'!L832,"AAAAAH/9vmY=")</f>
        <v>#VALUE!</v>
      </c>
      <c r="CZ212" t="e">
        <f>AND('GA55 Entry'!M832,"AAAAAH/9vmc=")</f>
        <v>#VALUE!</v>
      </c>
      <c r="DA212" t="e">
        <f>AND('GA55 Entry'!N832,"AAAAAH/9vmg=")</f>
        <v>#VALUE!</v>
      </c>
      <c r="DB212" t="e">
        <f>AND('GA55 Entry'!O832,"AAAAAH/9vmk=")</f>
        <v>#VALUE!</v>
      </c>
      <c r="DC212" t="e">
        <f>AND('GA55 Entry'!P832,"AAAAAH/9vmo=")</f>
        <v>#VALUE!</v>
      </c>
      <c r="DD212" t="e">
        <f>AND('GA55 Entry'!Q832,"AAAAAH/9vms=")</f>
        <v>#VALUE!</v>
      </c>
      <c r="DE212" t="e">
        <f>AND('GA55 Entry'!S832,"AAAAAH/9vmw=")</f>
        <v>#VALUE!</v>
      </c>
      <c r="DF212" t="e">
        <f>AND('GA55 Entry'!#REF!,"AAAAAH/9vm0=")</f>
        <v>#REF!</v>
      </c>
      <c r="DG212" t="e">
        <f>AND('GA55 Entry'!T832,"AAAAAH/9vm4=")</f>
        <v>#VALUE!</v>
      </c>
      <c r="DH212" t="e">
        <f>AND('GA55 Entry'!U832,"AAAAAH/9vm8=")</f>
        <v>#VALUE!</v>
      </c>
      <c r="DI212" t="e">
        <f>AND('GA55 Entry'!V832,"AAAAAH/9vnA=")</f>
        <v>#VALUE!</v>
      </c>
      <c r="DJ212" t="e">
        <f>AND('GA55 Entry'!#REF!,"AAAAAH/9vnE=")</f>
        <v>#REF!</v>
      </c>
      <c r="DK212" t="e">
        <f>AND('GA55 Entry'!#REF!,"AAAAAH/9vnI=")</f>
        <v>#REF!</v>
      </c>
      <c r="DL212" t="e">
        <f>AND('GA55 Entry'!X832,"AAAAAH/9vnM=")</f>
        <v>#VALUE!</v>
      </c>
      <c r="DM212" t="e">
        <f>AND('GA55 Entry'!Y832,"AAAAAH/9vnQ=")</f>
        <v>#VALUE!</v>
      </c>
      <c r="DN212" t="e">
        <f>AND('GA55 Entry'!#REF!,"AAAAAH/9vnU=")</f>
        <v>#REF!</v>
      </c>
      <c r="DO212" t="e">
        <f>AND('GA55 Entry'!#REF!,"AAAAAH/9vnY=")</f>
        <v>#REF!</v>
      </c>
      <c r="DP212" t="e">
        <f>AND('GA55 Entry'!#REF!,"AAAAAH/9vnc=")</f>
        <v>#REF!</v>
      </c>
      <c r="DQ212" t="e">
        <f>AND('GA55 Entry'!#REF!,"AAAAAH/9vng=")</f>
        <v>#REF!</v>
      </c>
      <c r="DR212" t="e">
        <f>AND('GA55 Entry'!#REF!,"AAAAAH/9vnk=")</f>
        <v>#REF!</v>
      </c>
      <c r="DS212" t="e">
        <f>AND('GA55 Entry'!#REF!,"AAAAAH/9vno=")</f>
        <v>#REF!</v>
      </c>
      <c r="DT212" t="e">
        <f>AND('GA55 Entry'!#REF!,"AAAAAH/9vns=")</f>
        <v>#REF!</v>
      </c>
      <c r="DU212" t="e">
        <f>AND('GA55 Entry'!#REF!,"AAAAAH/9vnw=")</f>
        <v>#REF!</v>
      </c>
      <c r="DV212" t="e">
        <f>AND('GA55 Entry'!#REF!,"AAAAAH/9vn0=")</f>
        <v>#REF!</v>
      </c>
      <c r="DW212" t="e">
        <f>AND('GA55 Entry'!Z832,"AAAAAH/9vn4=")</f>
        <v>#VALUE!</v>
      </c>
      <c r="DX212" t="e">
        <f>AND('GA55 Entry'!AA832,"AAAAAH/9vn8=")</f>
        <v>#VALUE!</v>
      </c>
      <c r="DY212" t="e">
        <f>AND('GA55 Entry'!#REF!,"AAAAAH/9voA=")</f>
        <v>#REF!</v>
      </c>
      <c r="DZ212" t="e">
        <f>AND('GA55 Entry'!#REF!,"AAAAAH/9voE=")</f>
        <v>#REF!</v>
      </c>
      <c r="EA212" t="e">
        <f>AND('GA55 Entry'!#REF!,"AAAAAH/9voI=")</f>
        <v>#REF!</v>
      </c>
      <c r="EB212" t="e">
        <f>AND('GA55 Entry'!AB832,"AAAAAH/9voM=")</f>
        <v>#VALUE!</v>
      </c>
      <c r="EC212" t="e">
        <f>AND('GA55 Entry'!AC832,"AAAAAH/9voQ=")</f>
        <v>#VALUE!</v>
      </c>
      <c r="ED212" t="e">
        <f>AND('GA55 Entry'!#REF!,"AAAAAH/9voU=")</f>
        <v>#REF!</v>
      </c>
      <c r="EE212">
        <f>IF('GA55 Entry'!833:833,"AAAAAH/9voY=",0)</f>
        <v>0</v>
      </c>
      <c r="EF212" t="e">
        <f>AND('GA55 Entry'!B833,"AAAAAH/9voc=")</f>
        <v>#VALUE!</v>
      </c>
      <c r="EG212" t="e">
        <f>AND('GA55 Entry'!#REF!,"AAAAAH/9vog=")</f>
        <v>#REF!</v>
      </c>
      <c r="EH212" t="e">
        <f>AND('GA55 Entry'!C833,"AAAAAH/9vok=")</f>
        <v>#VALUE!</v>
      </c>
      <c r="EI212" t="e">
        <f>AND('GA55 Entry'!#REF!,"AAAAAH/9voo=")</f>
        <v>#REF!</v>
      </c>
      <c r="EJ212" t="e">
        <f>AND('GA55 Entry'!#REF!,"AAAAAH/9vos=")</f>
        <v>#REF!</v>
      </c>
      <c r="EK212" t="e">
        <f>AND('GA55 Entry'!#REF!,"AAAAAH/9vow=")</f>
        <v>#REF!</v>
      </c>
      <c r="EL212" t="e">
        <f>AND('GA55 Entry'!#REF!,"AAAAAH/9vo0=")</f>
        <v>#REF!</v>
      </c>
      <c r="EM212" t="e">
        <f>AND('GA55 Entry'!#REF!,"AAAAAH/9vo4=")</f>
        <v>#REF!</v>
      </c>
      <c r="EN212" t="e">
        <f>AND('GA55 Entry'!D833,"AAAAAH/9vo8=")</f>
        <v>#VALUE!</v>
      </c>
      <c r="EO212" t="e">
        <f>AND('GA55 Entry'!#REF!,"AAAAAH/9vpA=")</f>
        <v>#REF!</v>
      </c>
      <c r="EP212" t="e">
        <f>AND('GA55 Entry'!E833,"AAAAAH/9vpE=")</f>
        <v>#VALUE!</v>
      </c>
      <c r="EQ212" t="e">
        <f>AND('GA55 Entry'!F833,"AAAAAH/9vpI=")</f>
        <v>#VALUE!</v>
      </c>
      <c r="ER212" t="e">
        <f>AND('GA55 Entry'!G833,"AAAAAH/9vpM=")</f>
        <v>#VALUE!</v>
      </c>
      <c r="ES212" t="e">
        <f>AND('GA55 Entry'!H833,"AAAAAH/9vpQ=")</f>
        <v>#VALUE!</v>
      </c>
      <c r="ET212" t="e">
        <f>AND('GA55 Entry'!I833,"AAAAAH/9vpU=")</f>
        <v>#VALUE!</v>
      </c>
      <c r="EU212" t="e">
        <f>AND('GA55 Entry'!J833,"AAAAAH/9vpY=")</f>
        <v>#VALUE!</v>
      </c>
      <c r="EV212" t="e">
        <f>AND('GA55 Entry'!#REF!,"AAAAAH/9vpc=")</f>
        <v>#REF!</v>
      </c>
      <c r="EW212" t="e">
        <f>AND('GA55 Entry'!K833,"AAAAAH/9vpg=")</f>
        <v>#VALUE!</v>
      </c>
      <c r="EX212" t="e">
        <f>AND('GA55 Entry'!L833,"AAAAAH/9vpk=")</f>
        <v>#VALUE!</v>
      </c>
      <c r="EY212" t="e">
        <f>AND('GA55 Entry'!M833,"AAAAAH/9vpo=")</f>
        <v>#VALUE!</v>
      </c>
      <c r="EZ212" t="e">
        <f>AND('GA55 Entry'!N833,"AAAAAH/9vps=")</f>
        <v>#VALUE!</v>
      </c>
      <c r="FA212" t="e">
        <f>AND('GA55 Entry'!O833,"AAAAAH/9vpw=")</f>
        <v>#VALUE!</v>
      </c>
      <c r="FB212" t="e">
        <f>AND('GA55 Entry'!P833,"AAAAAH/9vp0=")</f>
        <v>#VALUE!</v>
      </c>
      <c r="FC212" t="e">
        <f>AND('GA55 Entry'!Q833,"AAAAAH/9vp4=")</f>
        <v>#VALUE!</v>
      </c>
      <c r="FD212" t="e">
        <f>AND('GA55 Entry'!S833,"AAAAAH/9vp8=")</f>
        <v>#VALUE!</v>
      </c>
      <c r="FE212" t="e">
        <f>AND('GA55 Entry'!#REF!,"AAAAAH/9vqA=")</f>
        <v>#REF!</v>
      </c>
      <c r="FF212" t="e">
        <f>AND('GA55 Entry'!T833,"AAAAAH/9vqE=")</f>
        <v>#VALUE!</v>
      </c>
      <c r="FG212" t="e">
        <f>AND('GA55 Entry'!U833,"AAAAAH/9vqI=")</f>
        <v>#VALUE!</v>
      </c>
      <c r="FH212" t="e">
        <f>AND('GA55 Entry'!V833,"AAAAAH/9vqM=")</f>
        <v>#VALUE!</v>
      </c>
      <c r="FI212" t="e">
        <f>AND('GA55 Entry'!#REF!,"AAAAAH/9vqQ=")</f>
        <v>#REF!</v>
      </c>
      <c r="FJ212" t="e">
        <f>AND('GA55 Entry'!#REF!,"AAAAAH/9vqU=")</f>
        <v>#REF!</v>
      </c>
      <c r="FK212" t="e">
        <f>AND('GA55 Entry'!X833,"AAAAAH/9vqY=")</f>
        <v>#VALUE!</v>
      </c>
      <c r="FL212" t="e">
        <f>AND('GA55 Entry'!Y833,"AAAAAH/9vqc=")</f>
        <v>#VALUE!</v>
      </c>
      <c r="FM212" t="e">
        <f>AND('GA55 Entry'!#REF!,"AAAAAH/9vqg=")</f>
        <v>#REF!</v>
      </c>
      <c r="FN212" t="e">
        <f>AND('GA55 Entry'!#REF!,"AAAAAH/9vqk=")</f>
        <v>#REF!</v>
      </c>
      <c r="FO212" t="e">
        <f>AND('GA55 Entry'!#REF!,"AAAAAH/9vqo=")</f>
        <v>#REF!</v>
      </c>
      <c r="FP212" t="e">
        <f>AND('GA55 Entry'!#REF!,"AAAAAH/9vqs=")</f>
        <v>#REF!</v>
      </c>
      <c r="FQ212" t="e">
        <f>AND('GA55 Entry'!#REF!,"AAAAAH/9vqw=")</f>
        <v>#REF!</v>
      </c>
      <c r="FR212" t="e">
        <f>AND('GA55 Entry'!#REF!,"AAAAAH/9vq0=")</f>
        <v>#REF!</v>
      </c>
      <c r="FS212" t="e">
        <f>AND('GA55 Entry'!#REF!,"AAAAAH/9vq4=")</f>
        <v>#REF!</v>
      </c>
      <c r="FT212" t="e">
        <f>AND('GA55 Entry'!#REF!,"AAAAAH/9vq8=")</f>
        <v>#REF!</v>
      </c>
      <c r="FU212" t="e">
        <f>AND('GA55 Entry'!#REF!,"AAAAAH/9vrA=")</f>
        <v>#REF!</v>
      </c>
      <c r="FV212" t="e">
        <f>AND('GA55 Entry'!Z833,"AAAAAH/9vrE=")</f>
        <v>#VALUE!</v>
      </c>
      <c r="FW212" t="e">
        <f>AND('GA55 Entry'!AA833,"AAAAAH/9vrI=")</f>
        <v>#VALUE!</v>
      </c>
      <c r="FX212" t="e">
        <f>AND('GA55 Entry'!#REF!,"AAAAAH/9vrM=")</f>
        <v>#REF!</v>
      </c>
      <c r="FY212" t="e">
        <f>AND('GA55 Entry'!#REF!,"AAAAAH/9vrQ=")</f>
        <v>#REF!</v>
      </c>
      <c r="FZ212" t="e">
        <f>AND('GA55 Entry'!#REF!,"AAAAAH/9vrU=")</f>
        <v>#REF!</v>
      </c>
      <c r="GA212" t="e">
        <f>AND('GA55 Entry'!AB833,"AAAAAH/9vrY=")</f>
        <v>#VALUE!</v>
      </c>
      <c r="GB212" t="e">
        <f>AND('GA55 Entry'!AC833,"AAAAAH/9vrc=")</f>
        <v>#VALUE!</v>
      </c>
      <c r="GC212" t="e">
        <f>AND('GA55 Entry'!#REF!,"AAAAAH/9vrg=")</f>
        <v>#REF!</v>
      </c>
      <c r="GD212">
        <f>IF('GA55 Entry'!834:834,"AAAAAH/9vrk=",0)</f>
        <v>0</v>
      </c>
      <c r="GE212" t="e">
        <f>AND('GA55 Entry'!B834,"AAAAAH/9vro=")</f>
        <v>#VALUE!</v>
      </c>
      <c r="GF212" t="e">
        <f>AND('GA55 Entry'!#REF!,"AAAAAH/9vrs=")</f>
        <v>#REF!</v>
      </c>
      <c r="GG212" t="e">
        <f>AND('GA55 Entry'!C834,"AAAAAH/9vrw=")</f>
        <v>#VALUE!</v>
      </c>
      <c r="GH212" t="e">
        <f>AND('GA55 Entry'!#REF!,"AAAAAH/9vr0=")</f>
        <v>#REF!</v>
      </c>
      <c r="GI212" t="e">
        <f>AND('GA55 Entry'!#REF!,"AAAAAH/9vr4=")</f>
        <v>#REF!</v>
      </c>
      <c r="GJ212" t="e">
        <f>AND('GA55 Entry'!#REF!,"AAAAAH/9vr8=")</f>
        <v>#REF!</v>
      </c>
      <c r="GK212" t="e">
        <f>AND('GA55 Entry'!#REF!,"AAAAAH/9vsA=")</f>
        <v>#REF!</v>
      </c>
      <c r="GL212" t="e">
        <f>AND('GA55 Entry'!#REF!,"AAAAAH/9vsE=")</f>
        <v>#REF!</v>
      </c>
      <c r="GM212" t="e">
        <f>AND('GA55 Entry'!D834,"AAAAAH/9vsI=")</f>
        <v>#VALUE!</v>
      </c>
      <c r="GN212" t="e">
        <f>AND('GA55 Entry'!#REF!,"AAAAAH/9vsM=")</f>
        <v>#REF!</v>
      </c>
      <c r="GO212" t="e">
        <f>AND('GA55 Entry'!E834,"AAAAAH/9vsQ=")</f>
        <v>#VALUE!</v>
      </c>
      <c r="GP212" t="e">
        <f>AND('GA55 Entry'!F834,"AAAAAH/9vsU=")</f>
        <v>#VALUE!</v>
      </c>
      <c r="GQ212" t="e">
        <f>AND('GA55 Entry'!G834,"AAAAAH/9vsY=")</f>
        <v>#VALUE!</v>
      </c>
      <c r="GR212" t="e">
        <f>AND('GA55 Entry'!H834,"AAAAAH/9vsc=")</f>
        <v>#VALUE!</v>
      </c>
      <c r="GS212" t="e">
        <f>AND('GA55 Entry'!I834,"AAAAAH/9vsg=")</f>
        <v>#VALUE!</v>
      </c>
      <c r="GT212" t="e">
        <f>AND('GA55 Entry'!J834,"AAAAAH/9vsk=")</f>
        <v>#VALUE!</v>
      </c>
      <c r="GU212" t="e">
        <f>AND('GA55 Entry'!#REF!,"AAAAAH/9vso=")</f>
        <v>#REF!</v>
      </c>
      <c r="GV212" t="e">
        <f>AND('GA55 Entry'!K834,"AAAAAH/9vss=")</f>
        <v>#VALUE!</v>
      </c>
      <c r="GW212" t="e">
        <f>AND('GA55 Entry'!L834,"AAAAAH/9vsw=")</f>
        <v>#VALUE!</v>
      </c>
      <c r="GX212" t="e">
        <f>AND('GA55 Entry'!M834,"AAAAAH/9vs0=")</f>
        <v>#VALUE!</v>
      </c>
      <c r="GY212" t="e">
        <f>AND('GA55 Entry'!N834,"AAAAAH/9vs4=")</f>
        <v>#VALUE!</v>
      </c>
      <c r="GZ212" t="e">
        <f>AND('GA55 Entry'!O834,"AAAAAH/9vs8=")</f>
        <v>#VALUE!</v>
      </c>
      <c r="HA212" t="e">
        <f>AND('GA55 Entry'!P834,"AAAAAH/9vtA=")</f>
        <v>#VALUE!</v>
      </c>
      <c r="HB212" t="e">
        <f>AND('GA55 Entry'!Q834,"AAAAAH/9vtE=")</f>
        <v>#VALUE!</v>
      </c>
      <c r="HC212" t="e">
        <f>AND('GA55 Entry'!S834,"AAAAAH/9vtI=")</f>
        <v>#VALUE!</v>
      </c>
      <c r="HD212" t="e">
        <f>AND('GA55 Entry'!#REF!,"AAAAAH/9vtM=")</f>
        <v>#REF!</v>
      </c>
      <c r="HE212" t="e">
        <f>AND('GA55 Entry'!T834,"AAAAAH/9vtQ=")</f>
        <v>#VALUE!</v>
      </c>
      <c r="HF212" t="e">
        <f>AND('GA55 Entry'!U834,"AAAAAH/9vtU=")</f>
        <v>#VALUE!</v>
      </c>
      <c r="HG212" t="e">
        <f>AND('GA55 Entry'!V834,"AAAAAH/9vtY=")</f>
        <v>#VALUE!</v>
      </c>
      <c r="HH212" t="e">
        <f>AND('GA55 Entry'!#REF!,"AAAAAH/9vtc=")</f>
        <v>#REF!</v>
      </c>
      <c r="HI212" t="e">
        <f>AND('GA55 Entry'!#REF!,"AAAAAH/9vtg=")</f>
        <v>#REF!</v>
      </c>
      <c r="HJ212" t="e">
        <f>AND('GA55 Entry'!X834,"AAAAAH/9vtk=")</f>
        <v>#VALUE!</v>
      </c>
      <c r="HK212" t="e">
        <f>AND('GA55 Entry'!Y834,"AAAAAH/9vto=")</f>
        <v>#VALUE!</v>
      </c>
      <c r="HL212" t="e">
        <f>AND('GA55 Entry'!#REF!,"AAAAAH/9vts=")</f>
        <v>#REF!</v>
      </c>
      <c r="HM212" t="e">
        <f>AND('GA55 Entry'!#REF!,"AAAAAH/9vtw=")</f>
        <v>#REF!</v>
      </c>
      <c r="HN212" t="e">
        <f>AND('GA55 Entry'!#REF!,"AAAAAH/9vt0=")</f>
        <v>#REF!</v>
      </c>
      <c r="HO212" t="e">
        <f>AND('GA55 Entry'!#REF!,"AAAAAH/9vt4=")</f>
        <v>#REF!</v>
      </c>
      <c r="HP212" t="e">
        <f>AND('GA55 Entry'!#REF!,"AAAAAH/9vt8=")</f>
        <v>#REF!</v>
      </c>
      <c r="HQ212" t="e">
        <f>AND('GA55 Entry'!#REF!,"AAAAAH/9vuA=")</f>
        <v>#REF!</v>
      </c>
      <c r="HR212" t="e">
        <f>AND('GA55 Entry'!#REF!,"AAAAAH/9vuE=")</f>
        <v>#REF!</v>
      </c>
      <c r="HS212" t="e">
        <f>AND('GA55 Entry'!#REF!,"AAAAAH/9vuI=")</f>
        <v>#REF!</v>
      </c>
      <c r="HT212" t="e">
        <f>AND('GA55 Entry'!#REF!,"AAAAAH/9vuM=")</f>
        <v>#REF!</v>
      </c>
      <c r="HU212" t="e">
        <f>AND('GA55 Entry'!Z834,"AAAAAH/9vuQ=")</f>
        <v>#VALUE!</v>
      </c>
      <c r="HV212" t="e">
        <f>AND('GA55 Entry'!AA834,"AAAAAH/9vuU=")</f>
        <v>#VALUE!</v>
      </c>
      <c r="HW212" t="e">
        <f>AND('GA55 Entry'!#REF!,"AAAAAH/9vuY=")</f>
        <v>#REF!</v>
      </c>
      <c r="HX212" t="e">
        <f>AND('GA55 Entry'!#REF!,"AAAAAH/9vuc=")</f>
        <v>#REF!</v>
      </c>
      <c r="HY212" t="e">
        <f>AND('GA55 Entry'!#REF!,"AAAAAH/9vug=")</f>
        <v>#REF!</v>
      </c>
      <c r="HZ212" t="e">
        <f>AND('GA55 Entry'!AB834,"AAAAAH/9vuk=")</f>
        <v>#VALUE!</v>
      </c>
      <c r="IA212" t="e">
        <f>AND('GA55 Entry'!AC834,"AAAAAH/9vuo=")</f>
        <v>#VALUE!</v>
      </c>
      <c r="IB212" t="e">
        <f>AND('GA55 Entry'!#REF!,"AAAAAH/9vus=")</f>
        <v>#REF!</v>
      </c>
      <c r="IC212">
        <f>IF('GA55 Entry'!835:835,"AAAAAH/9vuw=",0)</f>
        <v>0</v>
      </c>
      <c r="ID212" t="e">
        <f>AND('GA55 Entry'!B835,"AAAAAH/9vu0=")</f>
        <v>#VALUE!</v>
      </c>
      <c r="IE212" t="e">
        <f>AND('GA55 Entry'!#REF!,"AAAAAH/9vu4=")</f>
        <v>#REF!</v>
      </c>
      <c r="IF212" t="e">
        <f>AND('GA55 Entry'!C835,"AAAAAH/9vu8=")</f>
        <v>#VALUE!</v>
      </c>
      <c r="IG212" t="e">
        <f>AND('GA55 Entry'!#REF!,"AAAAAH/9vvA=")</f>
        <v>#REF!</v>
      </c>
      <c r="IH212" t="e">
        <f>AND('GA55 Entry'!#REF!,"AAAAAH/9vvE=")</f>
        <v>#REF!</v>
      </c>
      <c r="II212" t="e">
        <f>AND('GA55 Entry'!#REF!,"AAAAAH/9vvI=")</f>
        <v>#REF!</v>
      </c>
      <c r="IJ212" t="e">
        <f>AND('GA55 Entry'!#REF!,"AAAAAH/9vvM=")</f>
        <v>#REF!</v>
      </c>
      <c r="IK212" t="e">
        <f>AND('GA55 Entry'!#REF!,"AAAAAH/9vvQ=")</f>
        <v>#REF!</v>
      </c>
      <c r="IL212" t="e">
        <f>AND('GA55 Entry'!D835,"AAAAAH/9vvU=")</f>
        <v>#VALUE!</v>
      </c>
      <c r="IM212" t="e">
        <f>AND('GA55 Entry'!#REF!,"AAAAAH/9vvY=")</f>
        <v>#REF!</v>
      </c>
      <c r="IN212" t="e">
        <f>AND('GA55 Entry'!E835,"AAAAAH/9vvc=")</f>
        <v>#VALUE!</v>
      </c>
      <c r="IO212" t="e">
        <f>AND('GA55 Entry'!F835,"AAAAAH/9vvg=")</f>
        <v>#VALUE!</v>
      </c>
      <c r="IP212" t="e">
        <f>AND('GA55 Entry'!G835,"AAAAAH/9vvk=")</f>
        <v>#VALUE!</v>
      </c>
      <c r="IQ212" t="e">
        <f>AND('GA55 Entry'!H835,"AAAAAH/9vvo=")</f>
        <v>#VALUE!</v>
      </c>
      <c r="IR212" t="e">
        <f>AND('GA55 Entry'!I835,"AAAAAH/9vvs=")</f>
        <v>#VALUE!</v>
      </c>
      <c r="IS212" t="e">
        <f>AND('GA55 Entry'!J835,"AAAAAH/9vvw=")</f>
        <v>#VALUE!</v>
      </c>
      <c r="IT212" t="e">
        <f>AND('GA55 Entry'!#REF!,"AAAAAH/9vv0=")</f>
        <v>#REF!</v>
      </c>
      <c r="IU212" t="e">
        <f>AND('GA55 Entry'!K835,"AAAAAH/9vv4=")</f>
        <v>#VALUE!</v>
      </c>
      <c r="IV212" t="e">
        <f>AND('GA55 Entry'!L835,"AAAAAH/9vv8=")</f>
        <v>#VALUE!</v>
      </c>
    </row>
    <row r="213" spans="1:256">
      <c r="A213" t="e">
        <f>AND('GA55 Entry'!M835,"AAAAAH//+gA=")</f>
        <v>#VALUE!</v>
      </c>
      <c r="B213" t="e">
        <f>AND('GA55 Entry'!N835,"AAAAAH//+gE=")</f>
        <v>#VALUE!</v>
      </c>
      <c r="C213" t="e">
        <f>AND('GA55 Entry'!O835,"AAAAAH//+gI=")</f>
        <v>#VALUE!</v>
      </c>
      <c r="D213" t="e">
        <f>AND('GA55 Entry'!P835,"AAAAAH//+gM=")</f>
        <v>#VALUE!</v>
      </c>
      <c r="E213" t="e">
        <f>AND('GA55 Entry'!Q835,"AAAAAH//+gQ=")</f>
        <v>#VALUE!</v>
      </c>
      <c r="F213" t="e">
        <f>AND('GA55 Entry'!S835,"AAAAAH//+gU=")</f>
        <v>#VALUE!</v>
      </c>
      <c r="G213" t="e">
        <f>AND('GA55 Entry'!#REF!,"AAAAAH//+gY=")</f>
        <v>#REF!</v>
      </c>
      <c r="H213" t="e">
        <f>AND('GA55 Entry'!T835,"AAAAAH//+gc=")</f>
        <v>#VALUE!</v>
      </c>
      <c r="I213" t="e">
        <f>AND('GA55 Entry'!U835,"AAAAAH//+gg=")</f>
        <v>#VALUE!</v>
      </c>
      <c r="J213" t="e">
        <f>AND('GA55 Entry'!V835,"AAAAAH//+gk=")</f>
        <v>#VALUE!</v>
      </c>
      <c r="K213" t="e">
        <f>AND('GA55 Entry'!#REF!,"AAAAAH//+go=")</f>
        <v>#REF!</v>
      </c>
      <c r="L213" t="e">
        <f>AND('GA55 Entry'!#REF!,"AAAAAH//+gs=")</f>
        <v>#REF!</v>
      </c>
      <c r="M213" t="e">
        <f>AND('GA55 Entry'!X835,"AAAAAH//+gw=")</f>
        <v>#VALUE!</v>
      </c>
      <c r="N213" t="e">
        <f>AND('GA55 Entry'!Y835,"AAAAAH//+g0=")</f>
        <v>#VALUE!</v>
      </c>
      <c r="O213" t="e">
        <f>AND('GA55 Entry'!#REF!,"AAAAAH//+g4=")</f>
        <v>#REF!</v>
      </c>
      <c r="P213" t="e">
        <f>AND('GA55 Entry'!#REF!,"AAAAAH//+g8=")</f>
        <v>#REF!</v>
      </c>
      <c r="Q213" t="e">
        <f>AND('GA55 Entry'!#REF!,"AAAAAH//+hA=")</f>
        <v>#REF!</v>
      </c>
      <c r="R213" t="e">
        <f>AND('GA55 Entry'!#REF!,"AAAAAH//+hE=")</f>
        <v>#REF!</v>
      </c>
      <c r="S213" t="e">
        <f>AND('GA55 Entry'!#REF!,"AAAAAH//+hI=")</f>
        <v>#REF!</v>
      </c>
      <c r="T213" t="e">
        <f>AND('GA55 Entry'!#REF!,"AAAAAH//+hM=")</f>
        <v>#REF!</v>
      </c>
      <c r="U213" t="e">
        <f>AND('GA55 Entry'!#REF!,"AAAAAH//+hQ=")</f>
        <v>#REF!</v>
      </c>
      <c r="V213" t="e">
        <f>AND('GA55 Entry'!#REF!,"AAAAAH//+hU=")</f>
        <v>#REF!</v>
      </c>
      <c r="W213" t="e">
        <f>AND('GA55 Entry'!#REF!,"AAAAAH//+hY=")</f>
        <v>#REF!</v>
      </c>
      <c r="X213" t="e">
        <f>AND('GA55 Entry'!Z835,"AAAAAH//+hc=")</f>
        <v>#VALUE!</v>
      </c>
      <c r="Y213" t="e">
        <f>AND('GA55 Entry'!AA835,"AAAAAH//+hg=")</f>
        <v>#VALUE!</v>
      </c>
      <c r="Z213" t="e">
        <f>AND('GA55 Entry'!#REF!,"AAAAAH//+hk=")</f>
        <v>#REF!</v>
      </c>
      <c r="AA213" t="e">
        <f>AND('GA55 Entry'!#REF!,"AAAAAH//+ho=")</f>
        <v>#REF!</v>
      </c>
      <c r="AB213" t="e">
        <f>AND('GA55 Entry'!#REF!,"AAAAAH//+hs=")</f>
        <v>#REF!</v>
      </c>
      <c r="AC213" t="e">
        <f>AND('GA55 Entry'!AB835,"AAAAAH//+hw=")</f>
        <v>#VALUE!</v>
      </c>
      <c r="AD213" t="e">
        <f>AND('GA55 Entry'!AC835,"AAAAAH//+h0=")</f>
        <v>#VALUE!</v>
      </c>
      <c r="AE213" t="e">
        <f>AND('GA55 Entry'!#REF!,"AAAAAH//+h4=")</f>
        <v>#REF!</v>
      </c>
      <c r="AF213">
        <f>IF('GA55 Entry'!836:836,"AAAAAH//+h8=",0)</f>
        <v>0</v>
      </c>
      <c r="AG213" t="e">
        <f>AND('GA55 Entry'!B836,"AAAAAH//+iA=")</f>
        <v>#VALUE!</v>
      </c>
      <c r="AH213" t="e">
        <f>AND('GA55 Entry'!#REF!,"AAAAAH//+iE=")</f>
        <v>#REF!</v>
      </c>
      <c r="AI213" t="e">
        <f>AND('GA55 Entry'!C836,"AAAAAH//+iI=")</f>
        <v>#VALUE!</v>
      </c>
      <c r="AJ213" t="e">
        <f>AND('GA55 Entry'!#REF!,"AAAAAH//+iM=")</f>
        <v>#REF!</v>
      </c>
      <c r="AK213" t="e">
        <f>AND('GA55 Entry'!#REF!,"AAAAAH//+iQ=")</f>
        <v>#REF!</v>
      </c>
      <c r="AL213" t="e">
        <f>AND('GA55 Entry'!#REF!,"AAAAAH//+iU=")</f>
        <v>#REF!</v>
      </c>
      <c r="AM213" t="e">
        <f>AND('GA55 Entry'!#REF!,"AAAAAH//+iY=")</f>
        <v>#REF!</v>
      </c>
      <c r="AN213" t="e">
        <f>AND('GA55 Entry'!#REF!,"AAAAAH//+ic=")</f>
        <v>#REF!</v>
      </c>
      <c r="AO213" t="e">
        <f>AND('GA55 Entry'!D836,"AAAAAH//+ig=")</f>
        <v>#VALUE!</v>
      </c>
      <c r="AP213" t="e">
        <f>AND('GA55 Entry'!#REF!,"AAAAAH//+ik=")</f>
        <v>#REF!</v>
      </c>
      <c r="AQ213" t="e">
        <f>AND('GA55 Entry'!E836,"AAAAAH//+io=")</f>
        <v>#VALUE!</v>
      </c>
      <c r="AR213" t="e">
        <f>AND('GA55 Entry'!F836,"AAAAAH//+is=")</f>
        <v>#VALUE!</v>
      </c>
      <c r="AS213" t="e">
        <f>AND('GA55 Entry'!G836,"AAAAAH//+iw=")</f>
        <v>#VALUE!</v>
      </c>
      <c r="AT213" t="e">
        <f>AND('GA55 Entry'!H836,"AAAAAH//+i0=")</f>
        <v>#VALUE!</v>
      </c>
      <c r="AU213" t="e">
        <f>AND('GA55 Entry'!I836,"AAAAAH//+i4=")</f>
        <v>#VALUE!</v>
      </c>
      <c r="AV213" t="e">
        <f>AND('GA55 Entry'!J836,"AAAAAH//+i8=")</f>
        <v>#VALUE!</v>
      </c>
      <c r="AW213" t="e">
        <f>AND('GA55 Entry'!#REF!,"AAAAAH//+jA=")</f>
        <v>#REF!</v>
      </c>
      <c r="AX213" t="e">
        <f>AND('GA55 Entry'!K836,"AAAAAH//+jE=")</f>
        <v>#VALUE!</v>
      </c>
      <c r="AY213" t="e">
        <f>AND('GA55 Entry'!L836,"AAAAAH//+jI=")</f>
        <v>#VALUE!</v>
      </c>
      <c r="AZ213" t="e">
        <f>AND('GA55 Entry'!M836,"AAAAAH//+jM=")</f>
        <v>#VALUE!</v>
      </c>
      <c r="BA213" t="e">
        <f>AND('GA55 Entry'!N836,"AAAAAH//+jQ=")</f>
        <v>#VALUE!</v>
      </c>
      <c r="BB213" t="e">
        <f>AND('GA55 Entry'!O836,"AAAAAH//+jU=")</f>
        <v>#VALUE!</v>
      </c>
      <c r="BC213" t="e">
        <f>AND('GA55 Entry'!P836,"AAAAAH//+jY=")</f>
        <v>#VALUE!</v>
      </c>
      <c r="BD213" t="e">
        <f>AND('GA55 Entry'!Q836,"AAAAAH//+jc=")</f>
        <v>#VALUE!</v>
      </c>
      <c r="BE213" t="e">
        <f>AND('GA55 Entry'!S836,"AAAAAH//+jg=")</f>
        <v>#VALUE!</v>
      </c>
      <c r="BF213" t="e">
        <f>AND('GA55 Entry'!#REF!,"AAAAAH//+jk=")</f>
        <v>#REF!</v>
      </c>
      <c r="BG213" t="e">
        <f>AND('GA55 Entry'!T836,"AAAAAH//+jo=")</f>
        <v>#VALUE!</v>
      </c>
      <c r="BH213" t="e">
        <f>AND('GA55 Entry'!U836,"AAAAAH//+js=")</f>
        <v>#VALUE!</v>
      </c>
      <c r="BI213" t="e">
        <f>AND('GA55 Entry'!V836,"AAAAAH//+jw=")</f>
        <v>#VALUE!</v>
      </c>
      <c r="BJ213" t="e">
        <f>AND('GA55 Entry'!#REF!,"AAAAAH//+j0=")</f>
        <v>#REF!</v>
      </c>
      <c r="BK213" t="e">
        <f>AND('GA55 Entry'!#REF!,"AAAAAH//+j4=")</f>
        <v>#REF!</v>
      </c>
      <c r="BL213" t="e">
        <f>AND('GA55 Entry'!X836,"AAAAAH//+j8=")</f>
        <v>#VALUE!</v>
      </c>
      <c r="BM213" t="e">
        <f>AND('GA55 Entry'!Y836,"AAAAAH//+kA=")</f>
        <v>#VALUE!</v>
      </c>
      <c r="BN213" t="e">
        <f>AND('GA55 Entry'!#REF!,"AAAAAH//+kE=")</f>
        <v>#REF!</v>
      </c>
      <c r="BO213" t="e">
        <f>AND('GA55 Entry'!#REF!,"AAAAAH//+kI=")</f>
        <v>#REF!</v>
      </c>
      <c r="BP213" t="e">
        <f>AND('GA55 Entry'!#REF!,"AAAAAH//+kM=")</f>
        <v>#REF!</v>
      </c>
      <c r="BQ213" t="e">
        <f>AND('GA55 Entry'!#REF!,"AAAAAH//+kQ=")</f>
        <v>#REF!</v>
      </c>
      <c r="BR213" t="e">
        <f>AND('GA55 Entry'!#REF!,"AAAAAH//+kU=")</f>
        <v>#REF!</v>
      </c>
      <c r="BS213" t="e">
        <f>AND('GA55 Entry'!#REF!,"AAAAAH//+kY=")</f>
        <v>#REF!</v>
      </c>
      <c r="BT213" t="e">
        <f>AND('GA55 Entry'!#REF!,"AAAAAH//+kc=")</f>
        <v>#REF!</v>
      </c>
      <c r="BU213" t="e">
        <f>AND('GA55 Entry'!#REF!,"AAAAAH//+kg=")</f>
        <v>#REF!</v>
      </c>
      <c r="BV213" t="e">
        <f>AND('GA55 Entry'!#REF!,"AAAAAH//+kk=")</f>
        <v>#REF!</v>
      </c>
      <c r="BW213" t="e">
        <f>AND('GA55 Entry'!Z836,"AAAAAH//+ko=")</f>
        <v>#VALUE!</v>
      </c>
      <c r="BX213" t="e">
        <f>AND('GA55 Entry'!AA836,"AAAAAH//+ks=")</f>
        <v>#VALUE!</v>
      </c>
      <c r="BY213" t="e">
        <f>AND('GA55 Entry'!#REF!,"AAAAAH//+kw=")</f>
        <v>#REF!</v>
      </c>
      <c r="BZ213" t="e">
        <f>AND('GA55 Entry'!#REF!,"AAAAAH//+k0=")</f>
        <v>#REF!</v>
      </c>
      <c r="CA213" t="e">
        <f>AND('GA55 Entry'!#REF!,"AAAAAH//+k4=")</f>
        <v>#REF!</v>
      </c>
      <c r="CB213" t="e">
        <f>AND('GA55 Entry'!AB836,"AAAAAH//+k8=")</f>
        <v>#VALUE!</v>
      </c>
      <c r="CC213" t="e">
        <f>AND('GA55 Entry'!AC836,"AAAAAH//+lA=")</f>
        <v>#VALUE!</v>
      </c>
      <c r="CD213" t="e">
        <f>AND('GA55 Entry'!#REF!,"AAAAAH//+lE=")</f>
        <v>#REF!</v>
      </c>
      <c r="CE213">
        <f>IF('GA55 Entry'!837:837,"AAAAAH//+lI=",0)</f>
        <v>0</v>
      </c>
      <c r="CF213" t="e">
        <f>AND('GA55 Entry'!B837,"AAAAAH//+lM=")</f>
        <v>#VALUE!</v>
      </c>
      <c r="CG213" t="e">
        <f>AND('GA55 Entry'!#REF!,"AAAAAH//+lQ=")</f>
        <v>#REF!</v>
      </c>
      <c r="CH213" t="e">
        <f>AND('GA55 Entry'!C837,"AAAAAH//+lU=")</f>
        <v>#VALUE!</v>
      </c>
      <c r="CI213" t="e">
        <f>AND('GA55 Entry'!#REF!,"AAAAAH//+lY=")</f>
        <v>#REF!</v>
      </c>
      <c r="CJ213" t="e">
        <f>AND('GA55 Entry'!#REF!,"AAAAAH//+lc=")</f>
        <v>#REF!</v>
      </c>
      <c r="CK213" t="e">
        <f>AND('GA55 Entry'!#REF!,"AAAAAH//+lg=")</f>
        <v>#REF!</v>
      </c>
      <c r="CL213" t="e">
        <f>AND('GA55 Entry'!#REF!,"AAAAAH//+lk=")</f>
        <v>#REF!</v>
      </c>
      <c r="CM213" t="e">
        <f>AND('GA55 Entry'!#REF!,"AAAAAH//+lo=")</f>
        <v>#REF!</v>
      </c>
      <c r="CN213" t="e">
        <f>AND('GA55 Entry'!D837,"AAAAAH//+ls=")</f>
        <v>#VALUE!</v>
      </c>
      <c r="CO213" t="e">
        <f>AND('GA55 Entry'!#REF!,"AAAAAH//+lw=")</f>
        <v>#REF!</v>
      </c>
      <c r="CP213" t="e">
        <f>AND('GA55 Entry'!E837,"AAAAAH//+l0=")</f>
        <v>#VALUE!</v>
      </c>
      <c r="CQ213" t="e">
        <f>AND('GA55 Entry'!F837,"AAAAAH//+l4=")</f>
        <v>#VALUE!</v>
      </c>
      <c r="CR213" t="e">
        <f>AND('GA55 Entry'!G837,"AAAAAH//+l8=")</f>
        <v>#VALUE!</v>
      </c>
      <c r="CS213" t="e">
        <f>AND('GA55 Entry'!H837,"AAAAAH//+mA=")</f>
        <v>#VALUE!</v>
      </c>
      <c r="CT213" t="e">
        <f>AND('GA55 Entry'!I837,"AAAAAH//+mE=")</f>
        <v>#VALUE!</v>
      </c>
      <c r="CU213" t="e">
        <f>AND('GA55 Entry'!J837,"AAAAAH//+mI=")</f>
        <v>#VALUE!</v>
      </c>
      <c r="CV213" t="e">
        <f>AND('GA55 Entry'!#REF!,"AAAAAH//+mM=")</f>
        <v>#REF!</v>
      </c>
      <c r="CW213" t="e">
        <f>AND('GA55 Entry'!K837,"AAAAAH//+mQ=")</f>
        <v>#VALUE!</v>
      </c>
      <c r="CX213" t="e">
        <f>AND('GA55 Entry'!L837,"AAAAAH//+mU=")</f>
        <v>#VALUE!</v>
      </c>
      <c r="CY213" t="e">
        <f>AND('GA55 Entry'!M837,"AAAAAH//+mY=")</f>
        <v>#VALUE!</v>
      </c>
      <c r="CZ213" t="e">
        <f>AND('GA55 Entry'!N837,"AAAAAH//+mc=")</f>
        <v>#VALUE!</v>
      </c>
      <c r="DA213" t="e">
        <f>AND('GA55 Entry'!O837,"AAAAAH//+mg=")</f>
        <v>#VALUE!</v>
      </c>
      <c r="DB213" t="e">
        <f>AND('GA55 Entry'!P837,"AAAAAH//+mk=")</f>
        <v>#VALUE!</v>
      </c>
      <c r="DC213" t="e">
        <f>AND('GA55 Entry'!Q837,"AAAAAH//+mo=")</f>
        <v>#VALUE!</v>
      </c>
      <c r="DD213" t="e">
        <f>AND('GA55 Entry'!S837,"AAAAAH//+ms=")</f>
        <v>#VALUE!</v>
      </c>
      <c r="DE213" t="e">
        <f>AND('GA55 Entry'!#REF!,"AAAAAH//+mw=")</f>
        <v>#REF!</v>
      </c>
      <c r="DF213" t="e">
        <f>AND('GA55 Entry'!T837,"AAAAAH//+m0=")</f>
        <v>#VALUE!</v>
      </c>
      <c r="DG213" t="e">
        <f>AND('GA55 Entry'!U837,"AAAAAH//+m4=")</f>
        <v>#VALUE!</v>
      </c>
      <c r="DH213" t="e">
        <f>AND('GA55 Entry'!V837,"AAAAAH//+m8=")</f>
        <v>#VALUE!</v>
      </c>
      <c r="DI213" t="e">
        <f>AND('GA55 Entry'!#REF!,"AAAAAH//+nA=")</f>
        <v>#REF!</v>
      </c>
      <c r="DJ213" t="e">
        <f>AND('GA55 Entry'!#REF!,"AAAAAH//+nE=")</f>
        <v>#REF!</v>
      </c>
      <c r="DK213" t="e">
        <f>AND('GA55 Entry'!X837,"AAAAAH//+nI=")</f>
        <v>#VALUE!</v>
      </c>
      <c r="DL213" t="e">
        <f>AND('GA55 Entry'!Y837,"AAAAAH//+nM=")</f>
        <v>#VALUE!</v>
      </c>
      <c r="DM213" t="e">
        <f>AND('GA55 Entry'!#REF!,"AAAAAH//+nQ=")</f>
        <v>#REF!</v>
      </c>
      <c r="DN213" t="e">
        <f>AND('GA55 Entry'!#REF!,"AAAAAH//+nU=")</f>
        <v>#REF!</v>
      </c>
      <c r="DO213" t="e">
        <f>AND('GA55 Entry'!#REF!,"AAAAAH//+nY=")</f>
        <v>#REF!</v>
      </c>
      <c r="DP213" t="e">
        <f>AND('GA55 Entry'!#REF!,"AAAAAH//+nc=")</f>
        <v>#REF!</v>
      </c>
      <c r="DQ213" t="e">
        <f>AND('GA55 Entry'!#REF!,"AAAAAH//+ng=")</f>
        <v>#REF!</v>
      </c>
      <c r="DR213" t="e">
        <f>AND('GA55 Entry'!#REF!,"AAAAAH//+nk=")</f>
        <v>#REF!</v>
      </c>
      <c r="DS213" t="e">
        <f>AND('GA55 Entry'!#REF!,"AAAAAH//+no=")</f>
        <v>#REF!</v>
      </c>
      <c r="DT213" t="e">
        <f>AND('GA55 Entry'!#REF!,"AAAAAH//+ns=")</f>
        <v>#REF!</v>
      </c>
      <c r="DU213" t="e">
        <f>AND('GA55 Entry'!#REF!,"AAAAAH//+nw=")</f>
        <v>#REF!</v>
      </c>
      <c r="DV213" t="e">
        <f>AND('GA55 Entry'!Z837,"AAAAAH//+n0=")</f>
        <v>#VALUE!</v>
      </c>
      <c r="DW213" t="e">
        <f>AND('GA55 Entry'!AA837,"AAAAAH//+n4=")</f>
        <v>#VALUE!</v>
      </c>
      <c r="DX213" t="e">
        <f>AND('GA55 Entry'!#REF!,"AAAAAH//+n8=")</f>
        <v>#REF!</v>
      </c>
      <c r="DY213" t="e">
        <f>AND('GA55 Entry'!#REF!,"AAAAAH//+oA=")</f>
        <v>#REF!</v>
      </c>
      <c r="DZ213" t="e">
        <f>AND('GA55 Entry'!#REF!,"AAAAAH//+oE=")</f>
        <v>#REF!</v>
      </c>
      <c r="EA213" t="e">
        <f>AND('GA55 Entry'!AB837,"AAAAAH//+oI=")</f>
        <v>#VALUE!</v>
      </c>
      <c r="EB213" t="e">
        <f>AND('GA55 Entry'!AC837,"AAAAAH//+oM=")</f>
        <v>#VALUE!</v>
      </c>
      <c r="EC213" t="e">
        <f>AND('GA55 Entry'!#REF!,"AAAAAH//+oQ=")</f>
        <v>#REF!</v>
      </c>
      <c r="ED213">
        <f>IF('GA55 Entry'!838:838,"AAAAAH//+oU=",0)</f>
        <v>0</v>
      </c>
      <c r="EE213" t="e">
        <f>AND('GA55 Entry'!B838,"AAAAAH//+oY=")</f>
        <v>#VALUE!</v>
      </c>
      <c r="EF213" t="e">
        <f>AND('GA55 Entry'!#REF!,"AAAAAH//+oc=")</f>
        <v>#REF!</v>
      </c>
      <c r="EG213" t="e">
        <f>AND('GA55 Entry'!C838,"AAAAAH//+og=")</f>
        <v>#VALUE!</v>
      </c>
      <c r="EH213" t="e">
        <f>AND('GA55 Entry'!#REF!,"AAAAAH//+ok=")</f>
        <v>#REF!</v>
      </c>
      <c r="EI213" t="e">
        <f>AND('GA55 Entry'!#REF!,"AAAAAH//+oo=")</f>
        <v>#REF!</v>
      </c>
      <c r="EJ213" t="e">
        <f>AND('GA55 Entry'!#REF!,"AAAAAH//+os=")</f>
        <v>#REF!</v>
      </c>
      <c r="EK213" t="e">
        <f>AND('GA55 Entry'!#REF!,"AAAAAH//+ow=")</f>
        <v>#REF!</v>
      </c>
      <c r="EL213" t="e">
        <f>AND('GA55 Entry'!#REF!,"AAAAAH//+o0=")</f>
        <v>#REF!</v>
      </c>
      <c r="EM213" t="e">
        <f>AND('GA55 Entry'!D838,"AAAAAH//+o4=")</f>
        <v>#VALUE!</v>
      </c>
      <c r="EN213" t="e">
        <f>AND('GA55 Entry'!#REF!,"AAAAAH//+o8=")</f>
        <v>#REF!</v>
      </c>
      <c r="EO213" t="e">
        <f>AND('GA55 Entry'!E838,"AAAAAH//+pA=")</f>
        <v>#VALUE!</v>
      </c>
      <c r="EP213" t="e">
        <f>AND('GA55 Entry'!F838,"AAAAAH//+pE=")</f>
        <v>#VALUE!</v>
      </c>
      <c r="EQ213" t="e">
        <f>AND('GA55 Entry'!G838,"AAAAAH//+pI=")</f>
        <v>#VALUE!</v>
      </c>
      <c r="ER213" t="e">
        <f>AND('GA55 Entry'!H838,"AAAAAH//+pM=")</f>
        <v>#VALUE!</v>
      </c>
      <c r="ES213" t="e">
        <f>AND('GA55 Entry'!I838,"AAAAAH//+pQ=")</f>
        <v>#VALUE!</v>
      </c>
      <c r="ET213" t="e">
        <f>AND('GA55 Entry'!J838,"AAAAAH//+pU=")</f>
        <v>#VALUE!</v>
      </c>
      <c r="EU213" t="e">
        <f>AND('GA55 Entry'!#REF!,"AAAAAH//+pY=")</f>
        <v>#REF!</v>
      </c>
      <c r="EV213" t="e">
        <f>AND('GA55 Entry'!K838,"AAAAAH//+pc=")</f>
        <v>#VALUE!</v>
      </c>
      <c r="EW213" t="e">
        <f>AND('GA55 Entry'!L838,"AAAAAH//+pg=")</f>
        <v>#VALUE!</v>
      </c>
      <c r="EX213" t="e">
        <f>AND('GA55 Entry'!M838,"AAAAAH//+pk=")</f>
        <v>#VALUE!</v>
      </c>
      <c r="EY213" t="e">
        <f>AND('GA55 Entry'!N838,"AAAAAH//+po=")</f>
        <v>#VALUE!</v>
      </c>
      <c r="EZ213" t="e">
        <f>AND('GA55 Entry'!O838,"AAAAAH//+ps=")</f>
        <v>#VALUE!</v>
      </c>
      <c r="FA213" t="e">
        <f>AND('GA55 Entry'!P838,"AAAAAH//+pw=")</f>
        <v>#VALUE!</v>
      </c>
      <c r="FB213" t="e">
        <f>AND('GA55 Entry'!Q838,"AAAAAH//+p0=")</f>
        <v>#VALUE!</v>
      </c>
      <c r="FC213" t="e">
        <f>AND('GA55 Entry'!S838,"AAAAAH//+p4=")</f>
        <v>#VALUE!</v>
      </c>
      <c r="FD213" t="e">
        <f>AND('GA55 Entry'!#REF!,"AAAAAH//+p8=")</f>
        <v>#REF!</v>
      </c>
      <c r="FE213" t="e">
        <f>AND('GA55 Entry'!T838,"AAAAAH//+qA=")</f>
        <v>#VALUE!</v>
      </c>
      <c r="FF213" t="e">
        <f>AND('GA55 Entry'!U838,"AAAAAH//+qE=")</f>
        <v>#VALUE!</v>
      </c>
      <c r="FG213" t="e">
        <f>AND('GA55 Entry'!V838,"AAAAAH//+qI=")</f>
        <v>#VALUE!</v>
      </c>
      <c r="FH213" t="e">
        <f>AND('GA55 Entry'!#REF!,"AAAAAH//+qM=")</f>
        <v>#REF!</v>
      </c>
      <c r="FI213" t="e">
        <f>AND('GA55 Entry'!#REF!,"AAAAAH//+qQ=")</f>
        <v>#REF!</v>
      </c>
      <c r="FJ213" t="e">
        <f>AND('GA55 Entry'!X838,"AAAAAH//+qU=")</f>
        <v>#VALUE!</v>
      </c>
      <c r="FK213" t="e">
        <f>AND('GA55 Entry'!Y838,"AAAAAH//+qY=")</f>
        <v>#VALUE!</v>
      </c>
      <c r="FL213" t="e">
        <f>AND('GA55 Entry'!#REF!,"AAAAAH//+qc=")</f>
        <v>#REF!</v>
      </c>
      <c r="FM213" t="e">
        <f>AND('GA55 Entry'!#REF!,"AAAAAH//+qg=")</f>
        <v>#REF!</v>
      </c>
      <c r="FN213" t="e">
        <f>AND('GA55 Entry'!#REF!,"AAAAAH//+qk=")</f>
        <v>#REF!</v>
      </c>
      <c r="FO213" t="e">
        <f>AND('GA55 Entry'!#REF!,"AAAAAH//+qo=")</f>
        <v>#REF!</v>
      </c>
      <c r="FP213" t="e">
        <f>AND('GA55 Entry'!#REF!,"AAAAAH//+qs=")</f>
        <v>#REF!</v>
      </c>
      <c r="FQ213" t="e">
        <f>AND('GA55 Entry'!#REF!,"AAAAAH//+qw=")</f>
        <v>#REF!</v>
      </c>
      <c r="FR213" t="e">
        <f>AND('GA55 Entry'!#REF!,"AAAAAH//+q0=")</f>
        <v>#REF!</v>
      </c>
      <c r="FS213" t="e">
        <f>AND('GA55 Entry'!#REF!,"AAAAAH//+q4=")</f>
        <v>#REF!</v>
      </c>
      <c r="FT213" t="e">
        <f>AND('GA55 Entry'!#REF!,"AAAAAH//+q8=")</f>
        <v>#REF!</v>
      </c>
      <c r="FU213" t="e">
        <f>AND('GA55 Entry'!Z838,"AAAAAH//+rA=")</f>
        <v>#VALUE!</v>
      </c>
      <c r="FV213" t="e">
        <f>AND('GA55 Entry'!AA838,"AAAAAH//+rE=")</f>
        <v>#VALUE!</v>
      </c>
      <c r="FW213" t="e">
        <f>AND('GA55 Entry'!#REF!,"AAAAAH//+rI=")</f>
        <v>#REF!</v>
      </c>
      <c r="FX213" t="e">
        <f>AND('GA55 Entry'!#REF!,"AAAAAH//+rM=")</f>
        <v>#REF!</v>
      </c>
      <c r="FY213" t="e">
        <f>AND('GA55 Entry'!#REF!,"AAAAAH//+rQ=")</f>
        <v>#REF!</v>
      </c>
      <c r="FZ213" t="e">
        <f>AND('GA55 Entry'!AB838,"AAAAAH//+rU=")</f>
        <v>#VALUE!</v>
      </c>
      <c r="GA213" t="e">
        <f>AND('GA55 Entry'!AC838,"AAAAAH//+rY=")</f>
        <v>#VALUE!</v>
      </c>
      <c r="GB213" t="e">
        <f>AND('GA55 Entry'!#REF!,"AAAAAH//+rc=")</f>
        <v>#REF!</v>
      </c>
      <c r="GC213">
        <f>IF('GA55 Entry'!839:839,"AAAAAH//+rg=",0)</f>
        <v>0</v>
      </c>
      <c r="GD213" t="e">
        <f>AND('GA55 Entry'!B839,"AAAAAH//+rk=")</f>
        <v>#VALUE!</v>
      </c>
      <c r="GE213" t="e">
        <f>AND('GA55 Entry'!#REF!,"AAAAAH//+ro=")</f>
        <v>#REF!</v>
      </c>
      <c r="GF213" t="e">
        <f>AND('GA55 Entry'!C839,"AAAAAH//+rs=")</f>
        <v>#VALUE!</v>
      </c>
      <c r="GG213" t="e">
        <f>AND('GA55 Entry'!#REF!,"AAAAAH//+rw=")</f>
        <v>#REF!</v>
      </c>
      <c r="GH213" t="e">
        <f>AND('GA55 Entry'!#REF!,"AAAAAH//+r0=")</f>
        <v>#REF!</v>
      </c>
      <c r="GI213" t="e">
        <f>AND('GA55 Entry'!#REF!,"AAAAAH//+r4=")</f>
        <v>#REF!</v>
      </c>
      <c r="GJ213" t="e">
        <f>AND('GA55 Entry'!#REF!,"AAAAAH//+r8=")</f>
        <v>#REF!</v>
      </c>
      <c r="GK213" t="e">
        <f>AND('GA55 Entry'!#REF!,"AAAAAH//+sA=")</f>
        <v>#REF!</v>
      </c>
      <c r="GL213" t="e">
        <f>AND('GA55 Entry'!D839,"AAAAAH//+sE=")</f>
        <v>#VALUE!</v>
      </c>
      <c r="GM213" t="e">
        <f>AND('GA55 Entry'!#REF!,"AAAAAH//+sI=")</f>
        <v>#REF!</v>
      </c>
      <c r="GN213" t="e">
        <f>AND('GA55 Entry'!E839,"AAAAAH//+sM=")</f>
        <v>#VALUE!</v>
      </c>
      <c r="GO213" t="e">
        <f>AND('GA55 Entry'!F839,"AAAAAH//+sQ=")</f>
        <v>#VALUE!</v>
      </c>
      <c r="GP213" t="e">
        <f>AND('GA55 Entry'!G839,"AAAAAH//+sU=")</f>
        <v>#VALUE!</v>
      </c>
      <c r="GQ213" t="e">
        <f>AND('GA55 Entry'!H839,"AAAAAH//+sY=")</f>
        <v>#VALUE!</v>
      </c>
      <c r="GR213" t="e">
        <f>AND('GA55 Entry'!I839,"AAAAAH//+sc=")</f>
        <v>#VALUE!</v>
      </c>
      <c r="GS213" t="e">
        <f>AND('GA55 Entry'!J839,"AAAAAH//+sg=")</f>
        <v>#VALUE!</v>
      </c>
      <c r="GT213" t="e">
        <f>AND('GA55 Entry'!#REF!,"AAAAAH//+sk=")</f>
        <v>#REF!</v>
      </c>
      <c r="GU213" t="e">
        <f>AND('GA55 Entry'!K839,"AAAAAH//+so=")</f>
        <v>#VALUE!</v>
      </c>
      <c r="GV213" t="e">
        <f>AND('GA55 Entry'!L839,"AAAAAH//+ss=")</f>
        <v>#VALUE!</v>
      </c>
      <c r="GW213" t="e">
        <f>AND('GA55 Entry'!M839,"AAAAAH//+sw=")</f>
        <v>#VALUE!</v>
      </c>
      <c r="GX213" t="e">
        <f>AND('GA55 Entry'!N839,"AAAAAH//+s0=")</f>
        <v>#VALUE!</v>
      </c>
      <c r="GY213" t="e">
        <f>AND('GA55 Entry'!O839,"AAAAAH//+s4=")</f>
        <v>#VALUE!</v>
      </c>
      <c r="GZ213" t="e">
        <f>AND('GA55 Entry'!P839,"AAAAAH//+s8=")</f>
        <v>#VALUE!</v>
      </c>
      <c r="HA213" t="e">
        <f>AND('GA55 Entry'!Q839,"AAAAAH//+tA=")</f>
        <v>#VALUE!</v>
      </c>
      <c r="HB213" t="e">
        <f>AND('GA55 Entry'!S839,"AAAAAH//+tE=")</f>
        <v>#VALUE!</v>
      </c>
      <c r="HC213" t="e">
        <f>AND('GA55 Entry'!#REF!,"AAAAAH//+tI=")</f>
        <v>#REF!</v>
      </c>
      <c r="HD213" t="e">
        <f>AND('GA55 Entry'!T839,"AAAAAH//+tM=")</f>
        <v>#VALUE!</v>
      </c>
      <c r="HE213" t="e">
        <f>AND('GA55 Entry'!U839,"AAAAAH//+tQ=")</f>
        <v>#VALUE!</v>
      </c>
      <c r="HF213" t="e">
        <f>AND('GA55 Entry'!V839,"AAAAAH//+tU=")</f>
        <v>#VALUE!</v>
      </c>
      <c r="HG213" t="e">
        <f>AND('GA55 Entry'!#REF!,"AAAAAH//+tY=")</f>
        <v>#REF!</v>
      </c>
      <c r="HH213" t="e">
        <f>AND('GA55 Entry'!#REF!,"AAAAAH//+tc=")</f>
        <v>#REF!</v>
      </c>
      <c r="HI213" t="e">
        <f>AND('GA55 Entry'!X839,"AAAAAH//+tg=")</f>
        <v>#VALUE!</v>
      </c>
      <c r="HJ213" t="e">
        <f>AND('GA55 Entry'!Y839,"AAAAAH//+tk=")</f>
        <v>#VALUE!</v>
      </c>
      <c r="HK213" t="e">
        <f>AND('GA55 Entry'!#REF!,"AAAAAH//+to=")</f>
        <v>#REF!</v>
      </c>
      <c r="HL213" t="e">
        <f>AND('GA55 Entry'!#REF!,"AAAAAH//+ts=")</f>
        <v>#REF!</v>
      </c>
      <c r="HM213" t="e">
        <f>AND('GA55 Entry'!#REF!,"AAAAAH//+tw=")</f>
        <v>#REF!</v>
      </c>
      <c r="HN213" t="e">
        <f>AND('GA55 Entry'!#REF!,"AAAAAH//+t0=")</f>
        <v>#REF!</v>
      </c>
      <c r="HO213" t="e">
        <f>AND('GA55 Entry'!#REF!,"AAAAAH//+t4=")</f>
        <v>#REF!</v>
      </c>
      <c r="HP213" t="e">
        <f>AND('GA55 Entry'!#REF!,"AAAAAH//+t8=")</f>
        <v>#REF!</v>
      </c>
      <c r="HQ213" t="e">
        <f>AND('GA55 Entry'!#REF!,"AAAAAH//+uA=")</f>
        <v>#REF!</v>
      </c>
      <c r="HR213" t="e">
        <f>AND('GA55 Entry'!#REF!,"AAAAAH//+uE=")</f>
        <v>#REF!</v>
      </c>
      <c r="HS213" t="e">
        <f>AND('GA55 Entry'!#REF!,"AAAAAH//+uI=")</f>
        <v>#REF!</v>
      </c>
      <c r="HT213" t="e">
        <f>AND('GA55 Entry'!Z839,"AAAAAH//+uM=")</f>
        <v>#VALUE!</v>
      </c>
      <c r="HU213" t="e">
        <f>AND('GA55 Entry'!AA839,"AAAAAH//+uQ=")</f>
        <v>#VALUE!</v>
      </c>
      <c r="HV213" t="e">
        <f>AND('GA55 Entry'!#REF!,"AAAAAH//+uU=")</f>
        <v>#REF!</v>
      </c>
      <c r="HW213" t="e">
        <f>AND('GA55 Entry'!#REF!,"AAAAAH//+uY=")</f>
        <v>#REF!</v>
      </c>
      <c r="HX213" t="e">
        <f>AND('GA55 Entry'!#REF!,"AAAAAH//+uc=")</f>
        <v>#REF!</v>
      </c>
      <c r="HY213" t="e">
        <f>AND('GA55 Entry'!AB839,"AAAAAH//+ug=")</f>
        <v>#VALUE!</v>
      </c>
      <c r="HZ213" t="e">
        <f>AND('GA55 Entry'!AC839,"AAAAAH//+uk=")</f>
        <v>#VALUE!</v>
      </c>
      <c r="IA213" t="e">
        <f>AND('GA55 Entry'!#REF!,"AAAAAH//+uo=")</f>
        <v>#REF!</v>
      </c>
      <c r="IB213">
        <f>IF('GA55 Entry'!840:840,"AAAAAH//+us=",0)</f>
        <v>0</v>
      </c>
      <c r="IC213" t="e">
        <f>AND('GA55 Entry'!B840,"AAAAAH//+uw=")</f>
        <v>#VALUE!</v>
      </c>
      <c r="ID213" t="e">
        <f>AND('GA55 Entry'!#REF!,"AAAAAH//+u0=")</f>
        <v>#REF!</v>
      </c>
      <c r="IE213" t="e">
        <f>AND('GA55 Entry'!C840,"AAAAAH//+u4=")</f>
        <v>#VALUE!</v>
      </c>
      <c r="IF213" t="e">
        <f>AND('GA55 Entry'!#REF!,"AAAAAH//+u8=")</f>
        <v>#REF!</v>
      </c>
      <c r="IG213" t="e">
        <f>AND('GA55 Entry'!#REF!,"AAAAAH//+vA=")</f>
        <v>#REF!</v>
      </c>
      <c r="IH213" t="e">
        <f>AND('GA55 Entry'!#REF!,"AAAAAH//+vE=")</f>
        <v>#REF!</v>
      </c>
      <c r="II213" t="e">
        <f>AND('GA55 Entry'!#REF!,"AAAAAH//+vI=")</f>
        <v>#REF!</v>
      </c>
      <c r="IJ213" t="e">
        <f>AND('GA55 Entry'!#REF!,"AAAAAH//+vM=")</f>
        <v>#REF!</v>
      </c>
      <c r="IK213" t="e">
        <f>AND('GA55 Entry'!D840,"AAAAAH//+vQ=")</f>
        <v>#VALUE!</v>
      </c>
      <c r="IL213" t="e">
        <f>AND('GA55 Entry'!#REF!,"AAAAAH//+vU=")</f>
        <v>#REF!</v>
      </c>
      <c r="IM213" t="e">
        <f>AND('GA55 Entry'!E840,"AAAAAH//+vY=")</f>
        <v>#VALUE!</v>
      </c>
      <c r="IN213" t="e">
        <f>AND('GA55 Entry'!F840,"AAAAAH//+vc=")</f>
        <v>#VALUE!</v>
      </c>
      <c r="IO213" t="e">
        <f>AND('GA55 Entry'!G840,"AAAAAH//+vg=")</f>
        <v>#VALUE!</v>
      </c>
      <c r="IP213" t="e">
        <f>AND('GA55 Entry'!H840,"AAAAAH//+vk=")</f>
        <v>#VALUE!</v>
      </c>
      <c r="IQ213" t="e">
        <f>AND('GA55 Entry'!I840,"AAAAAH//+vo=")</f>
        <v>#VALUE!</v>
      </c>
      <c r="IR213" t="e">
        <f>AND('GA55 Entry'!J840,"AAAAAH//+vs=")</f>
        <v>#VALUE!</v>
      </c>
      <c r="IS213" t="e">
        <f>AND('GA55 Entry'!#REF!,"AAAAAH//+vw=")</f>
        <v>#REF!</v>
      </c>
      <c r="IT213" t="e">
        <f>AND('GA55 Entry'!K840,"AAAAAH//+v0=")</f>
        <v>#VALUE!</v>
      </c>
      <c r="IU213" t="e">
        <f>AND('GA55 Entry'!L840,"AAAAAH//+v4=")</f>
        <v>#VALUE!</v>
      </c>
      <c r="IV213" t="e">
        <f>AND('GA55 Entry'!M840,"AAAAAH//+v8=")</f>
        <v>#VALUE!</v>
      </c>
    </row>
    <row r="214" spans="1:256">
      <c r="A214" t="e">
        <f>AND('GA55 Entry'!N840,"AAAAADf61gA=")</f>
        <v>#VALUE!</v>
      </c>
      <c r="B214" t="e">
        <f>AND('GA55 Entry'!O840,"AAAAADf61gE=")</f>
        <v>#VALUE!</v>
      </c>
      <c r="C214" t="e">
        <f>AND('GA55 Entry'!P840,"AAAAADf61gI=")</f>
        <v>#VALUE!</v>
      </c>
      <c r="D214" t="e">
        <f>AND('GA55 Entry'!Q840,"AAAAADf61gM=")</f>
        <v>#VALUE!</v>
      </c>
      <c r="E214" t="e">
        <f>AND('GA55 Entry'!S840,"AAAAADf61gQ=")</f>
        <v>#VALUE!</v>
      </c>
      <c r="F214" t="e">
        <f>AND('GA55 Entry'!#REF!,"AAAAADf61gU=")</f>
        <v>#REF!</v>
      </c>
      <c r="G214" t="e">
        <f>AND('GA55 Entry'!T840,"AAAAADf61gY=")</f>
        <v>#VALUE!</v>
      </c>
      <c r="H214" t="e">
        <f>AND('GA55 Entry'!U840,"AAAAADf61gc=")</f>
        <v>#VALUE!</v>
      </c>
      <c r="I214" t="e">
        <f>AND('GA55 Entry'!V840,"AAAAADf61gg=")</f>
        <v>#VALUE!</v>
      </c>
      <c r="J214" t="e">
        <f>AND('GA55 Entry'!#REF!,"AAAAADf61gk=")</f>
        <v>#REF!</v>
      </c>
      <c r="K214" t="e">
        <f>AND('GA55 Entry'!#REF!,"AAAAADf61go=")</f>
        <v>#REF!</v>
      </c>
      <c r="L214" t="e">
        <f>AND('GA55 Entry'!X840,"AAAAADf61gs=")</f>
        <v>#VALUE!</v>
      </c>
      <c r="M214" t="e">
        <f>AND('GA55 Entry'!Y840,"AAAAADf61gw=")</f>
        <v>#VALUE!</v>
      </c>
      <c r="N214" t="e">
        <f>AND('GA55 Entry'!#REF!,"AAAAADf61g0=")</f>
        <v>#REF!</v>
      </c>
      <c r="O214" t="e">
        <f>AND('GA55 Entry'!#REF!,"AAAAADf61g4=")</f>
        <v>#REF!</v>
      </c>
      <c r="P214" t="e">
        <f>AND('GA55 Entry'!#REF!,"AAAAADf61g8=")</f>
        <v>#REF!</v>
      </c>
      <c r="Q214" t="e">
        <f>AND('GA55 Entry'!#REF!,"AAAAADf61hA=")</f>
        <v>#REF!</v>
      </c>
      <c r="R214" t="e">
        <f>AND('GA55 Entry'!#REF!,"AAAAADf61hE=")</f>
        <v>#REF!</v>
      </c>
      <c r="S214" t="e">
        <f>AND('GA55 Entry'!#REF!,"AAAAADf61hI=")</f>
        <v>#REF!</v>
      </c>
      <c r="T214" t="e">
        <f>AND('GA55 Entry'!#REF!,"AAAAADf61hM=")</f>
        <v>#REF!</v>
      </c>
      <c r="U214" t="e">
        <f>AND('GA55 Entry'!#REF!,"AAAAADf61hQ=")</f>
        <v>#REF!</v>
      </c>
      <c r="V214" t="e">
        <f>AND('GA55 Entry'!#REF!,"AAAAADf61hU=")</f>
        <v>#REF!</v>
      </c>
      <c r="W214" t="e">
        <f>AND('GA55 Entry'!Z840,"AAAAADf61hY=")</f>
        <v>#VALUE!</v>
      </c>
      <c r="X214" t="e">
        <f>AND('GA55 Entry'!AA840,"AAAAADf61hc=")</f>
        <v>#VALUE!</v>
      </c>
      <c r="Y214" t="e">
        <f>AND('GA55 Entry'!#REF!,"AAAAADf61hg=")</f>
        <v>#REF!</v>
      </c>
      <c r="Z214" t="e">
        <f>AND('GA55 Entry'!#REF!,"AAAAADf61hk=")</f>
        <v>#REF!</v>
      </c>
      <c r="AA214" t="e">
        <f>AND('GA55 Entry'!#REF!,"AAAAADf61ho=")</f>
        <v>#REF!</v>
      </c>
      <c r="AB214" t="e">
        <f>AND('GA55 Entry'!AB840,"AAAAADf61hs=")</f>
        <v>#VALUE!</v>
      </c>
      <c r="AC214" t="e">
        <f>AND('GA55 Entry'!AC840,"AAAAADf61hw=")</f>
        <v>#VALUE!</v>
      </c>
      <c r="AD214" t="e">
        <f>AND('GA55 Entry'!#REF!,"AAAAADf61h0=")</f>
        <v>#REF!</v>
      </c>
      <c r="AE214">
        <f>IF('GA55 Entry'!841:841,"AAAAADf61h4=",0)</f>
        <v>0</v>
      </c>
      <c r="AF214" t="e">
        <f>AND('GA55 Entry'!B841,"AAAAADf61h8=")</f>
        <v>#VALUE!</v>
      </c>
      <c r="AG214" t="e">
        <f>AND('GA55 Entry'!#REF!,"AAAAADf61iA=")</f>
        <v>#REF!</v>
      </c>
      <c r="AH214" t="e">
        <f>AND('GA55 Entry'!C841,"AAAAADf61iE=")</f>
        <v>#VALUE!</v>
      </c>
      <c r="AI214" t="e">
        <f>AND('GA55 Entry'!#REF!,"AAAAADf61iI=")</f>
        <v>#REF!</v>
      </c>
      <c r="AJ214" t="e">
        <f>AND('GA55 Entry'!#REF!,"AAAAADf61iM=")</f>
        <v>#REF!</v>
      </c>
      <c r="AK214" t="e">
        <f>AND('GA55 Entry'!#REF!,"AAAAADf61iQ=")</f>
        <v>#REF!</v>
      </c>
      <c r="AL214" t="e">
        <f>AND('GA55 Entry'!#REF!,"AAAAADf61iU=")</f>
        <v>#REF!</v>
      </c>
      <c r="AM214" t="e">
        <f>AND('GA55 Entry'!#REF!,"AAAAADf61iY=")</f>
        <v>#REF!</v>
      </c>
      <c r="AN214" t="e">
        <f>AND('GA55 Entry'!D841,"AAAAADf61ic=")</f>
        <v>#VALUE!</v>
      </c>
      <c r="AO214" t="e">
        <f>AND('GA55 Entry'!#REF!,"AAAAADf61ig=")</f>
        <v>#REF!</v>
      </c>
      <c r="AP214" t="e">
        <f>AND('GA55 Entry'!E841,"AAAAADf61ik=")</f>
        <v>#VALUE!</v>
      </c>
      <c r="AQ214" t="e">
        <f>AND('GA55 Entry'!F841,"AAAAADf61io=")</f>
        <v>#VALUE!</v>
      </c>
      <c r="AR214" t="e">
        <f>AND('GA55 Entry'!G841,"AAAAADf61is=")</f>
        <v>#VALUE!</v>
      </c>
      <c r="AS214" t="e">
        <f>AND('GA55 Entry'!H841,"AAAAADf61iw=")</f>
        <v>#VALUE!</v>
      </c>
      <c r="AT214" t="e">
        <f>AND('GA55 Entry'!I841,"AAAAADf61i0=")</f>
        <v>#VALUE!</v>
      </c>
      <c r="AU214" t="e">
        <f>AND('GA55 Entry'!J841,"AAAAADf61i4=")</f>
        <v>#VALUE!</v>
      </c>
      <c r="AV214" t="e">
        <f>AND('GA55 Entry'!#REF!,"AAAAADf61i8=")</f>
        <v>#REF!</v>
      </c>
      <c r="AW214" t="e">
        <f>AND('GA55 Entry'!K841,"AAAAADf61jA=")</f>
        <v>#VALUE!</v>
      </c>
      <c r="AX214" t="e">
        <f>AND('GA55 Entry'!L841,"AAAAADf61jE=")</f>
        <v>#VALUE!</v>
      </c>
      <c r="AY214" t="e">
        <f>AND('GA55 Entry'!M841,"AAAAADf61jI=")</f>
        <v>#VALUE!</v>
      </c>
      <c r="AZ214" t="e">
        <f>AND('GA55 Entry'!N841,"AAAAADf61jM=")</f>
        <v>#VALUE!</v>
      </c>
      <c r="BA214" t="e">
        <f>AND('GA55 Entry'!O841,"AAAAADf61jQ=")</f>
        <v>#VALUE!</v>
      </c>
      <c r="BB214" t="e">
        <f>AND('GA55 Entry'!P841,"AAAAADf61jU=")</f>
        <v>#VALUE!</v>
      </c>
      <c r="BC214" t="e">
        <f>AND('GA55 Entry'!Q841,"AAAAADf61jY=")</f>
        <v>#VALUE!</v>
      </c>
      <c r="BD214" t="e">
        <f>AND('GA55 Entry'!S841,"AAAAADf61jc=")</f>
        <v>#VALUE!</v>
      </c>
      <c r="BE214" t="e">
        <f>AND('GA55 Entry'!#REF!,"AAAAADf61jg=")</f>
        <v>#REF!</v>
      </c>
      <c r="BF214" t="e">
        <f>AND('GA55 Entry'!T841,"AAAAADf61jk=")</f>
        <v>#VALUE!</v>
      </c>
      <c r="BG214" t="e">
        <f>AND('GA55 Entry'!U841,"AAAAADf61jo=")</f>
        <v>#VALUE!</v>
      </c>
      <c r="BH214" t="e">
        <f>AND('GA55 Entry'!V841,"AAAAADf61js=")</f>
        <v>#VALUE!</v>
      </c>
      <c r="BI214" t="e">
        <f>AND('GA55 Entry'!#REF!,"AAAAADf61jw=")</f>
        <v>#REF!</v>
      </c>
      <c r="BJ214" t="e">
        <f>AND('GA55 Entry'!#REF!,"AAAAADf61j0=")</f>
        <v>#REF!</v>
      </c>
      <c r="BK214" t="e">
        <f>AND('GA55 Entry'!X841,"AAAAADf61j4=")</f>
        <v>#VALUE!</v>
      </c>
      <c r="BL214" t="e">
        <f>AND('GA55 Entry'!Y841,"AAAAADf61j8=")</f>
        <v>#VALUE!</v>
      </c>
      <c r="BM214" t="e">
        <f>AND('GA55 Entry'!#REF!,"AAAAADf61kA=")</f>
        <v>#REF!</v>
      </c>
      <c r="BN214" t="e">
        <f>AND('GA55 Entry'!#REF!,"AAAAADf61kE=")</f>
        <v>#REF!</v>
      </c>
      <c r="BO214" t="e">
        <f>AND('GA55 Entry'!#REF!,"AAAAADf61kI=")</f>
        <v>#REF!</v>
      </c>
      <c r="BP214" t="e">
        <f>AND('GA55 Entry'!#REF!,"AAAAADf61kM=")</f>
        <v>#REF!</v>
      </c>
      <c r="BQ214" t="e">
        <f>AND('GA55 Entry'!#REF!,"AAAAADf61kQ=")</f>
        <v>#REF!</v>
      </c>
      <c r="BR214" t="e">
        <f>AND('GA55 Entry'!#REF!,"AAAAADf61kU=")</f>
        <v>#REF!</v>
      </c>
      <c r="BS214" t="e">
        <f>AND('GA55 Entry'!#REF!,"AAAAADf61kY=")</f>
        <v>#REF!</v>
      </c>
      <c r="BT214" t="e">
        <f>AND('GA55 Entry'!#REF!,"AAAAADf61kc=")</f>
        <v>#REF!</v>
      </c>
      <c r="BU214" t="e">
        <f>AND('GA55 Entry'!#REF!,"AAAAADf61kg=")</f>
        <v>#REF!</v>
      </c>
      <c r="BV214" t="e">
        <f>AND('GA55 Entry'!Z841,"AAAAADf61kk=")</f>
        <v>#VALUE!</v>
      </c>
      <c r="BW214" t="e">
        <f>AND('GA55 Entry'!AA841,"AAAAADf61ko=")</f>
        <v>#VALUE!</v>
      </c>
      <c r="BX214" t="e">
        <f>AND('GA55 Entry'!#REF!,"AAAAADf61ks=")</f>
        <v>#REF!</v>
      </c>
      <c r="BY214" t="e">
        <f>AND('GA55 Entry'!#REF!,"AAAAADf61kw=")</f>
        <v>#REF!</v>
      </c>
      <c r="BZ214" t="e">
        <f>AND('GA55 Entry'!#REF!,"AAAAADf61k0=")</f>
        <v>#REF!</v>
      </c>
      <c r="CA214" t="e">
        <f>AND('GA55 Entry'!AB841,"AAAAADf61k4=")</f>
        <v>#VALUE!</v>
      </c>
      <c r="CB214" t="e">
        <f>AND('GA55 Entry'!AC841,"AAAAADf61k8=")</f>
        <v>#VALUE!</v>
      </c>
      <c r="CC214" t="e">
        <f>AND('GA55 Entry'!#REF!,"AAAAADf61lA=")</f>
        <v>#REF!</v>
      </c>
      <c r="CD214">
        <f>IF('GA55 Entry'!842:842,"AAAAADf61lE=",0)</f>
        <v>0</v>
      </c>
      <c r="CE214" t="e">
        <f>AND('GA55 Entry'!B842,"AAAAADf61lI=")</f>
        <v>#VALUE!</v>
      </c>
      <c r="CF214" t="e">
        <f>AND('GA55 Entry'!#REF!,"AAAAADf61lM=")</f>
        <v>#REF!</v>
      </c>
      <c r="CG214" t="e">
        <f>AND('GA55 Entry'!C842,"AAAAADf61lQ=")</f>
        <v>#VALUE!</v>
      </c>
      <c r="CH214" t="e">
        <f>AND('GA55 Entry'!#REF!,"AAAAADf61lU=")</f>
        <v>#REF!</v>
      </c>
      <c r="CI214" t="e">
        <f>AND('GA55 Entry'!#REF!,"AAAAADf61lY=")</f>
        <v>#REF!</v>
      </c>
      <c r="CJ214" t="e">
        <f>AND('GA55 Entry'!#REF!,"AAAAADf61lc=")</f>
        <v>#REF!</v>
      </c>
      <c r="CK214" t="e">
        <f>AND('GA55 Entry'!#REF!,"AAAAADf61lg=")</f>
        <v>#REF!</v>
      </c>
      <c r="CL214" t="e">
        <f>AND('GA55 Entry'!#REF!,"AAAAADf61lk=")</f>
        <v>#REF!</v>
      </c>
      <c r="CM214" t="e">
        <f>AND('GA55 Entry'!D842,"AAAAADf61lo=")</f>
        <v>#VALUE!</v>
      </c>
      <c r="CN214" t="e">
        <f>AND('GA55 Entry'!#REF!,"AAAAADf61ls=")</f>
        <v>#REF!</v>
      </c>
      <c r="CO214" t="e">
        <f>AND('GA55 Entry'!E842,"AAAAADf61lw=")</f>
        <v>#VALUE!</v>
      </c>
      <c r="CP214" t="e">
        <f>AND('GA55 Entry'!F842,"AAAAADf61l0=")</f>
        <v>#VALUE!</v>
      </c>
      <c r="CQ214" t="e">
        <f>AND('GA55 Entry'!G842,"AAAAADf61l4=")</f>
        <v>#VALUE!</v>
      </c>
      <c r="CR214" t="e">
        <f>AND('GA55 Entry'!H842,"AAAAADf61l8=")</f>
        <v>#VALUE!</v>
      </c>
      <c r="CS214" t="e">
        <f>AND('GA55 Entry'!I842,"AAAAADf61mA=")</f>
        <v>#VALUE!</v>
      </c>
      <c r="CT214" t="e">
        <f>AND('GA55 Entry'!J842,"AAAAADf61mE=")</f>
        <v>#VALUE!</v>
      </c>
      <c r="CU214" t="e">
        <f>AND('GA55 Entry'!#REF!,"AAAAADf61mI=")</f>
        <v>#REF!</v>
      </c>
      <c r="CV214" t="e">
        <f>AND('GA55 Entry'!K842,"AAAAADf61mM=")</f>
        <v>#VALUE!</v>
      </c>
      <c r="CW214" t="e">
        <f>AND('GA55 Entry'!L842,"AAAAADf61mQ=")</f>
        <v>#VALUE!</v>
      </c>
      <c r="CX214" t="e">
        <f>AND('GA55 Entry'!M842,"AAAAADf61mU=")</f>
        <v>#VALUE!</v>
      </c>
      <c r="CY214" t="e">
        <f>AND('GA55 Entry'!N842,"AAAAADf61mY=")</f>
        <v>#VALUE!</v>
      </c>
      <c r="CZ214" t="e">
        <f>AND('GA55 Entry'!O842,"AAAAADf61mc=")</f>
        <v>#VALUE!</v>
      </c>
      <c r="DA214" t="e">
        <f>AND('GA55 Entry'!P842,"AAAAADf61mg=")</f>
        <v>#VALUE!</v>
      </c>
      <c r="DB214" t="e">
        <f>AND('GA55 Entry'!Q842,"AAAAADf61mk=")</f>
        <v>#VALUE!</v>
      </c>
      <c r="DC214" t="e">
        <f>AND('GA55 Entry'!S842,"AAAAADf61mo=")</f>
        <v>#VALUE!</v>
      </c>
      <c r="DD214" t="e">
        <f>AND('GA55 Entry'!#REF!,"AAAAADf61ms=")</f>
        <v>#REF!</v>
      </c>
      <c r="DE214" t="e">
        <f>AND('GA55 Entry'!T842,"AAAAADf61mw=")</f>
        <v>#VALUE!</v>
      </c>
      <c r="DF214" t="e">
        <f>AND('GA55 Entry'!U842,"AAAAADf61m0=")</f>
        <v>#VALUE!</v>
      </c>
      <c r="DG214" t="e">
        <f>AND('GA55 Entry'!V842,"AAAAADf61m4=")</f>
        <v>#VALUE!</v>
      </c>
      <c r="DH214" t="e">
        <f>AND('GA55 Entry'!#REF!,"AAAAADf61m8=")</f>
        <v>#REF!</v>
      </c>
      <c r="DI214" t="e">
        <f>AND('GA55 Entry'!#REF!,"AAAAADf61nA=")</f>
        <v>#REF!</v>
      </c>
      <c r="DJ214" t="e">
        <f>AND('GA55 Entry'!X842,"AAAAADf61nE=")</f>
        <v>#VALUE!</v>
      </c>
      <c r="DK214" t="e">
        <f>AND('GA55 Entry'!Y842,"AAAAADf61nI=")</f>
        <v>#VALUE!</v>
      </c>
      <c r="DL214" t="e">
        <f>AND('GA55 Entry'!#REF!,"AAAAADf61nM=")</f>
        <v>#REF!</v>
      </c>
      <c r="DM214" t="e">
        <f>AND('GA55 Entry'!#REF!,"AAAAADf61nQ=")</f>
        <v>#REF!</v>
      </c>
      <c r="DN214" t="e">
        <f>AND('GA55 Entry'!#REF!,"AAAAADf61nU=")</f>
        <v>#REF!</v>
      </c>
      <c r="DO214" t="e">
        <f>AND('GA55 Entry'!#REF!,"AAAAADf61nY=")</f>
        <v>#REF!</v>
      </c>
      <c r="DP214" t="e">
        <f>AND('GA55 Entry'!#REF!,"AAAAADf61nc=")</f>
        <v>#REF!</v>
      </c>
      <c r="DQ214" t="e">
        <f>AND('GA55 Entry'!#REF!,"AAAAADf61ng=")</f>
        <v>#REF!</v>
      </c>
      <c r="DR214" t="e">
        <f>AND('GA55 Entry'!#REF!,"AAAAADf61nk=")</f>
        <v>#REF!</v>
      </c>
      <c r="DS214" t="e">
        <f>AND('GA55 Entry'!#REF!,"AAAAADf61no=")</f>
        <v>#REF!</v>
      </c>
      <c r="DT214" t="e">
        <f>AND('GA55 Entry'!#REF!,"AAAAADf61ns=")</f>
        <v>#REF!</v>
      </c>
      <c r="DU214" t="e">
        <f>AND('GA55 Entry'!Z842,"AAAAADf61nw=")</f>
        <v>#VALUE!</v>
      </c>
      <c r="DV214" t="e">
        <f>AND('GA55 Entry'!AA842,"AAAAADf61n0=")</f>
        <v>#VALUE!</v>
      </c>
      <c r="DW214" t="e">
        <f>AND('GA55 Entry'!#REF!,"AAAAADf61n4=")</f>
        <v>#REF!</v>
      </c>
      <c r="DX214" t="e">
        <f>AND('GA55 Entry'!#REF!,"AAAAADf61n8=")</f>
        <v>#REF!</v>
      </c>
      <c r="DY214" t="e">
        <f>AND('GA55 Entry'!#REF!,"AAAAADf61oA=")</f>
        <v>#REF!</v>
      </c>
      <c r="DZ214" t="e">
        <f>AND('GA55 Entry'!AB842,"AAAAADf61oE=")</f>
        <v>#VALUE!</v>
      </c>
      <c r="EA214" t="e">
        <f>AND('GA55 Entry'!AC842,"AAAAADf61oI=")</f>
        <v>#VALUE!</v>
      </c>
      <c r="EB214" t="e">
        <f>AND('GA55 Entry'!#REF!,"AAAAADf61oM=")</f>
        <v>#REF!</v>
      </c>
      <c r="EC214">
        <f>IF('GA55 Entry'!843:843,"AAAAADf61oQ=",0)</f>
        <v>0</v>
      </c>
      <c r="ED214" t="e">
        <f>AND('GA55 Entry'!B843,"AAAAADf61oU=")</f>
        <v>#VALUE!</v>
      </c>
      <c r="EE214" t="e">
        <f>AND('GA55 Entry'!#REF!,"AAAAADf61oY=")</f>
        <v>#REF!</v>
      </c>
      <c r="EF214" t="e">
        <f>AND('GA55 Entry'!C843,"AAAAADf61oc=")</f>
        <v>#VALUE!</v>
      </c>
      <c r="EG214" t="e">
        <f>AND('GA55 Entry'!#REF!,"AAAAADf61og=")</f>
        <v>#REF!</v>
      </c>
      <c r="EH214" t="e">
        <f>AND('GA55 Entry'!#REF!,"AAAAADf61ok=")</f>
        <v>#REF!</v>
      </c>
      <c r="EI214" t="e">
        <f>AND('GA55 Entry'!#REF!,"AAAAADf61oo=")</f>
        <v>#REF!</v>
      </c>
      <c r="EJ214" t="e">
        <f>AND('GA55 Entry'!#REF!,"AAAAADf61os=")</f>
        <v>#REF!</v>
      </c>
      <c r="EK214" t="e">
        <f>AND('GA55 Entry'!#REF!,"AAAAADf61ow=")</f>
        <v>#REF!</v>
      </c>
      <c r="EL214" t="e">
        <f>AND('GA55 Entry'!D843,"AAAAADf61o0=")</f>
        <v>#VALUE!</v>
      </c>
      <c r="EM214" t="e">
        <f>AND('GA55 Entry'!#REF!,"AAAAADf61o4=")</f>
        <v>#REF!</v>
      </c>
      <c r="EN214" t="e">
        <f>AND('GA55 Entry'!E843,"AAAAADf61o8=")</f>
        <v>#VALUE!</v>
      </c>
      <c r="EO214" t="e">
        <f>AND('GA55 Entry'!F843,"AAAAADf61pA=")</f>
        <v>#VALUE!</v>
      </c>
      <c r="EP214" t="e">
        <f>AND('GA55 Entry'!G843,"AAAAADf61pE=")</f>
        <v>#VALUE!</v>
      </c>
      <c r="EQ214" t="e">
        <f>AND('GA55 Entry'!H843,"AAAAADf61pI=")</f>
        <v>#VALUE!</v>
      </c>
      <c r="ER214" t="e">
        <f>AND('GA55 Entry'!I843,"AAAAADf61pM=")</f>
        <v>#VALUE!</v>
      </c>
      <c r="ES214" t="e">
        <f>AND('GA55 Entry'!J843,"AAAAADf61pQ=")</f>
        <v>#VALUE!</v>
      </c>
      <c r="ET214" t="e">
        <f>AND('GA55 Entry'!#REF!,"AAAAADf61pU=")</f>
        <v>#REF!</v>
      </c>
      <c r="EU214" t="e">
        <f>AND('GA55 Entry'!K843,"AAAAADf61pY=")</f>
        <v>#VALUE!</v>
      </c>
      <c r="EV214" t="e">
        <f>AND('GA55 Entry'!L843,"AAAAADf61pc=")</f>
        <v>#VALUE!</v>
      </c>
      <c r="EW214" t="e">
        <f>AND('GA55 Entry'!M843,"AAAAADf61pg=")</f>
        <v>#VALUE!</v>
      </c>
      <c r="EX214" t="e">
        <f>AND('GA55 Entry'!N843,"AAAAADf61pk=")</f>
        <v>#VALUE!</v>
      </c>
      <c r="EY214" t="e">
        <f>AND('GA55 Entry'!O843,"AAAAADf61po=")</f>
        <v>#VALUE!</v>
      </c>
      <c r="EZ214" t="e">
        <f>AND('GA55 Entry'!P843,"AAAAADf61ps=")</f>
        <v>#VALUE!</v>
      </c>
      <c r="FA214" t="e">
        <f>AND('GA55 Entry'!Q843,"AAAAADf61pw=")</f>
        <v>#VALUE!</v>
      </c>
      <c r="FB214" t="e">
        <f>AND('GA55 Entry'!S843,"AAAAADf61p0=")</f>
        <v>#VALUE!</v>
      </c>
      <c r="FC214" t="e">
        <f>AND('GA55 Entry'!#REF!,"AAAAADf61p4=")</f>
        <v>#REF!</v>
      </c>
      <c r="FD214" t="e">
        <f>AND('GA55 Entry'!T843,"AAAAADf61p8=")</f>
        <v>#VALUE!</v>
      </c>
      <c r="FE214" t="e">
        <f>AND('GA55 Entry'!U843,"AAAAADf61qA=")</f>
        <v>#VALUE!</v>
      </c>
      <c r="FF214" t="e">
        <f>AND('GA55 Entry'!V843,"AAAAADf61qE=")</f>
        <v>#VALUE!</v>
      </c>
      <c r="FG214" t="e">
        <f>AND('GA55 Entry'!#REF!,"AAAAADf61qI=")</f>
        <v>#REF!</v>
      </c>
      <c r="FH214" t="e">
        <f>AND('GA55 Entry'!#REF!,"AAAAADf61qM=")</f>
        <v>#REF!</v>
      </c>
      <c r="FI214" t="e">
        <f>AND('GA55 Entry'!X843,"AAAAADf61qQ=")</f>
        <v>#VALUE!</v>
      </c>
      <c r="FJ214" t="e">
        <f>AND('GA55 Entry'!Y843,"AAAAADf61qU=")</f>
        <v>#VALUE!</v>
      </c>
      <c r="FK214" t="e">
        <f>AND('GA55 Entry'!#REF!,"AAAAADf61qY=")</f>
        <v>#REF!</v>
      </c>
      <c r="FL214" t="e">
        <f>AND('GA55 Entry'!#REF!,"AAAAADf61qc=")</f>
        <v>#REF!</v>
      </c>
      <c r="FM214" t="e">
        <f>AND('GA55 Entry'!#REF!,"AAAAADf61qg=")</f>
        <v>#REF!</v>
      </c>
      <c r="FN214" t="e">
        <f>AND('GA55 Entry'!#REF!,"AAAAADf61qk=")</f>
        <v>#REF!</v>
      </c>
      <c r="FO214" t="e">
        <f>AND('GA55 Entry'!#REF!,"AAAAADf61qo=")</f>
        <v>#REF!</v>
      </c>
      <c r="FP214" t="e">
        <f>AND('GA55 Entry'!#REF!,"AAAAADf61qs=")</f>
        <v>#REF!</v>
      </c>
      <c r="FQ214" t="e">
        <f>AND('GA55 Entry'!#REF!,"AAAAADf61qw=")</f>
        <v>#REF!</v>
      </c>
      <c r="FR214" t="e">
        <f>AND('GA55 Entry'!#REF!,"AAAAADf61q0=")</f>
        <v>#REF!</v>
      </c>
      <c r="FS214" t="e">
        <f>AND('GA55 Entry'!#REF!,"AAAAADf61q4=")</f>
        <v>#REF!</v>
      </c>
      <c r="FT214" t="e">
        <f>AND('GA55 Entry'!Z843,"AAAAADf61q8=")</f>
        <v>#VALUE!</v>
      </c>
      <c r="FU214" t="e">
        <f>AND('GA55 Entry'!AA843,"AAAAADf61rA=")</f>
        <v>#VALUE!</v>
      </c>
      <c r="FV214" t="e">
        <f>AND('GA55 Entry'!#REF!,"AAAAADf61rE=")</f>
        <v>#REF!</v>
      </c>
      <c r="FW214" t="e">
        <f>AND('GA55 Entry'!#REF!,"AAAAADf61rI=")</f>
        <v>#REF!</v>
      </c>
      <c r="FX214" t="e">
        <f>AND('GA55 Entry'!#REF!,"AAAAADf61rM=")</f>
        <v>#REF!</v>
      </c>
      <c r="FY214" t="e">
        <f>AND('GA55 Entry'!AB843,"AAAAADf61rQ=")</f>
        <v>#VALUE!</v>
      </c>
      <c r="FZ214" t="e">
        <f>AND('GA55 Entry'!AC843,"AAAAADf61rU=")</f>
        <v>#VALUE!</v>
      </c>
      <c r="GA214" t="e">
        <f>AND('GA55 Entry'!#REF!,"AAAAADf61rY=")</f>
        <v>#REF!</v>
      </c>
      <c r="GB214">
        <f>IF('GA55 Entry'!844:844,"AAAAADf61rc=",0)</f>
        <v>0</v>
      </c>
      <c r="GC214" t="e">
        <f>AND('GA55 Entry'!B844,"AAAAADf61rg=")</f>
        <v>#VALUE!</v>
      </c>
      <c r="GD214" t="e">
        <f>AND('GA55 Entry'!#REF!,"AAAAADf61rk=")</f>
        <v>#REF!</v>
      </c>
      <c r="GE214" t="e">
        <f>AND('GA55 Entry'!C844,"AAAAADf61ro=")</f>
        <v>#VALUE!</v>
      </c>
      <c r="GF214" t="e">
        <f>AND('GA55 Entry'!#REF!,"AAAAADf61rs=")</f>
        <v>#REF!</v>
      </c>
      <c r="GG214" t="e">
        <f>AND('GA55 Entry'!#REF!,"AAAAADf61rw=")</f>
        <v>#REF!</v>
      </c>
      <c r="GH214" t="e">
        <f>AND('GA55 Entry'!#REF!,"AAAAADf61r0=")</f>
        <v>#REF!</v>
      </c>
      <c r="GI214" t="e">
        <f>AND('GA55 Entry'!#REF!,"AAAAADf61r4=")</f>
        <v>#REF!</v>
      </c>
      <c r="GJ214" t="e">
        <f>AND('GA55 Entry'!#REF!,"AAAAADf61r8=")</f>
        <v>#REF!</v>
      </c>
      <c r="GK214" t="e">
        <f>AND('GA55 Entry'!D844,"AAAAADf61sA=")</f>
        <v>#VALUE!</v>
      </c>
      <c r="GL214" t="e">
        <f>AND('GA55 Entry'!#REF!,"AAAAADf61sE=")</f>
        <v>#REF!</v>
      </c>
      <c r="GM214" t="e">
        <f>AND('GA55 Entry'!E844,"AAAAADf61sI=")</f>
        <v>#VALUE!</v>
      </c>
      <c r="GN214" t="e">
        <f>AND('GA55 Entry'!F844,"AAAAADf61sM=")</f>
        <v>#VALUE!</v>
      </c>
      <c r="GO214" t="e">
        <f>AND('GA55 Entry'!G844,"AAAAADf61sQ=")</f>
        <v>#VALUE!</v>
      </c>
      <c r="GP214" t="e">
        <f>AND('GA55 Entry'!H844,"AAAAADf61sU=")</f>
        <v>#VALUE!</v>
      </c>
      <c r="GQ214" t="e">
        <f>AND('GA55 Entry'!I844,"AAAAADf61sY=")</f>
        <v>#VALUE!</v>
      </c>
      <c r="GR214" t="e">
        <f>AND('GA55 Entry'!J844,"AAAAADf61sc=")</f>
        <v>#VALUE!</v>
      </c>
      <c r="GS214" t="e">
        <f>AND('GA55 Entry'!#REF!,"AAAAADf61sg=")</f>
        <v>#REF!</v>
      </c>
      <c r="GT214" t="e">
        <f>AND('GA55 Entry'!K844,"AAAAADf61sk=")</f>
        <v>#VALUE!</v>
      </c>
      <c r="GU214" t="e">
        <f>AND('GA55 Entry'!L844,"AAAAADf61so=")</f>
        <v>#VALUE!</v>
      </c>
      <c r="GV214" t="e">
        <f>AND('GA55 Entry'!M844,"AAAAADf61ss=")</f>
        <v>#VALUE!</v>
      </c>
      <c r="GW214" t="e">
        <f>AND('GA55 Entry'!N844,"AAAAADf61sw=")</f>
        <v>#VALUE!</v>
      </c>
      <c r="GX214" t="e">
        <f>AND('GA55 Entry'!O844,"AAAAADf61s0=")</f>
        <v>#VALUE!</v>
      </c>
      <c r="GY214" t="e">
        <f>AND('GA55 Entry'!P844,"AAAAADf61s4=")</f>
        <v>#VALUE!</v>
      </c>
      <c r="GZ214" t="e">
        <f>AND('GA55 Entry'!Q844,"AAAAADf61s8=")</f>
        <v>#VALUE!</v>
      </c>
      <c r="HA214" t="e">
        <f>AND('GA55 Entry'!S844,"AAAAADf61tA=")</f>
        <v>#VALUE!</v>
      </c>
      <c r="HB214" t="e">
        <f>AND('GA55 Entry'!#REF!,"AAAAADf61tE=")</f>
        <v>#REF!</v>
      </c>
      <c r="HC214" t="e">
        <f>AND('GA55 Entry'!T844,"AAAAADf61tI=")</f>
        <v>#VALUE!</v>
      </c>
      <c r="HD214" t="e">
        <f>AND('GA55 Entry'!U844,"AAAAADf61tM=")</f>
        <v>#VALUE!</v>
      </c>
      <c r="HE214" t="e">
        <f>AND('GA55 Entry'!V844,"AAAAADf61tQ=")</f>
        <v>#VALUE!</v>
      </c>
      <c r="HF214" t="e">
        <f>AND('GA55 Entry'!#REF!,"AAAAADf61tU=")</f>
        <v>#REF!</v>
      </c>
      <c r="HG214" t="e">
        <f>AND('GA55 Entry'!#REF!,"AAAAADf61tY=")</f>
        <v>#REF!</v>
      </c>
      <c r="HH214" t="e">
        <f>AND('GA55 Entry'!X844,"AAAAADf61tc=")</f>
        <v>#VALUE!</v>
      </c>
      <c r="HI214" t="e">
        <f>AND('GA55 Entry'!Y844,"AAAAADf61tg=")</f>
        <v>#VALUE!</v>
      </c>
      <c r="HJ214" t="e">
        <f>AND('GA55 Entry'!#REF!,"AAAAADf61tk=")</f>
        <v>#REF!</v>
      </c>
      <c r="HK214" t="e">
        <f>AND('GA55 Entry'!#REF!,"AAAAADf61to=")</f>
        <v>#REF!</v>
      </c>
      <c r="HL214" t="e">
        <f>AND('GA55 Entry'!#REF!,"AAAAADf61ts=")</f>
        <v>#REF!</v>
      </c>
      <c r="HM214" t="e">
        <f>AND('GA55 Entry'!#REF!,"AAAAADf61tw=")</f>
        <v>#REF!</v>
      </c>
      <c r="HN214" t="e">
        <f>AND('GA55 Entry'!#REF!,"AAAAADf61t0=")</f>
        <v>#REF!</v>
      </c>
      <c r="HO214" t="e">
        <f>AND('GA55 Entry'!#REF!,"AAAAADf61t4=")</f>
        <v>#REF!</v>
      </c>
      <c r="HP214" t="e">
        <f>AND('GA55 Entry'!#REF!,"AAAAADf61t8=")</f>
        <v>#REF!</v>
      </c>
      <c r="HQ214" t="e">
        <f>AND('GA55 Entry'!#REF!,"AAAAADf61uA=")</f>
        <v>#REF!</v>
      </c>
      <c r="HR214" t="e">
        <f>AND('GA55 Entry'!#REF!,"AAAAADf61uE=")</f>
        <v>#REF!</v>
      </c>
      <c r="HS214" t="e">
        <f>AND('GA55 Entry'!Z844,"AAAAADf61uI=")</f>
        <v>#VALUE!</v>
      </c>
      <c r="HT214" t="e">
        <f>AND('GA55 Entry'!AA844,"AAAAADf61uM=")</f>
        <v>#VALUE!</v>
      </c>
      <c r="HU214" t="e">
        <f>AND('GA55 Entry'!#REF!,"AAAAADf61uQ=")</f>
        <v>#REF!</v>
      </c>
      <c r="HV214" t="e">
        <f>AND('GA55 Entry'!#REF!,"AAAAADf61uU=")</f>
        <v>#REF!</v>
      </c>
      <c r="HW214" t="e">
        <f>AND('GA55 Entry'!#REF!,"AAAAADf61uY=")</f>
        <v>#REF!</v>
      </c>
      <c r="HX214" t="e">
        <f>AND('GA55 Entry'!AB844,"AAAAADf61uc=")</f>
        <v>#VALUE!</v>
      </c>
      <c r="HY214" t="e">
        <f>AND('GA55 Entry'!AC844,"AAAAADf61ug=")</f>
        <v>#VALUE!</v>
      </c>
      <c r="HZ214" t="e">
        <f>AND('GA55 Entry'!#REF!,"AAAAADf61uk=")</f>
        <v>#REF!</v>
      </c>
      <c r="IA214">
        <f>IF('GA55 Entry'!845:845,"AAAAADf61uo=",0)</f>
        <v>0</v>
      </c>
      <c r="IB214" t="e">
        <f>AND('GA55 Entry'!B845,"AAAAADf61us=")</f>
        <v>#VALUE!</v>
      </c>
      <c r="IC214" t="e">
        <f>AND('GA55 Entry'!#REF!,"AAAAADf61uw=")</f>
        <v>#REF!</v>
      </c>
      <c r="ID214" t="e">
        <f>AND('GA55 Entry'!C845,"AAAAADf61u0=")</f>
        <v>#VALUE!</v>
      </c>
      <c r="IE214" t="e">
        <f>AND('GA55 Entry'!#REF!,"AAAAADf61u4=")</f>
        <v>#REF!</v>
      </c>
      <c r="IF214" t="e">
        <f>AND('GA55 Entry'!#REF!,"AAAAADf61u8=")</f>
        <v>#REF!</v>
      </c>
      <c r="IG214" t="e">
        <f>AND('GA55 Entry'!#REF!,"AAAAADf61vA=")</f>
        <v>#REF!</v>
      </c>
      <c r="IH214" t="e">
        <f>AND('GA55 Entry'!#REF!,"AAAAADf61vE=")</f>
        <v>#REF!</v>
      </c>
      <c r="II214" t="e">
        <f>AND('GA55 Entry'!#REF!,"AAAAADf61vI=")</f>
        <v>#REF!</v>
      </c>
      <c r="IJ214" t="e">
        <f>AND('GA55 Entry'!D845,"AAAAADf61vM=")</f>
        <v>#VALUE!</v>
      </c>
      <c r="IK214" t="e">
        <f>AND('GA55 Entry'!#REF!,"AAAAADf61vQ=")</f>
        <v>#REF!</v>
      </c>
      <c r="IL214" t="e">
        <f>AND('GA55 Entry'!E845,"AAAAADf61vU=")</f>
        <v>#VALUE!</v>
      </c>
      <c r="IM214" t="e">
        <f>AND('GA55 Entry'!F845,"AAAAADf61vY=")</f>
        <v>#VALUE!</v>
      </c>
      <c r="IN214" t="e">
        <f>AND('GA55 Entry'!G845,"AAAAADf61vc=")</f>
        <v>#VALUE!</v>
      </c>
      <c r="IO214" t="e">
        <f>AND('GA55 Entry'!H845,"AAAAADf61vg=")</f>
        <v>#VALUE!</v>
      </c>
      <c r="IP214" t="e">
        <f>AND('GA55 Entry'!I845,"AAAAADf61vk=")</f>
        <v>#VALUE!</v>
      </c>
      <c r="IQ214" t="e">
        <f>AND('GA55 Entry'!J845,"AAAAADf61vo=")</f>
        <v>#VALUE!</v>
      </c>
      <c r="IR214" t="e">
        <f>AND('GA55 Entry'!#REF!,"AAAAADf61vs=")</f>
        <v>#REF!</v>
      </c>
      <c r="IS214" t="e">
        <f>AND('GA55 Entry'!K845,"AAAAADf61vw=")</f>
        <v>#VALUE!</v>
      </c>
      <c r="IT214" t="e">
        <f>AND('GA55 Entry'!L845,"AAAAADf61v0=")</f>
        <v>#VALUE!</v>
      </c>
      <c r="IU214" t="e">
        <f>AND('GA55 Entry'!M845,"AAAAADf61v4=")</f>
        <v>#VALUE!</v>
      </c>
      <c r="IV214" t="e">
        <f>AND('GA55 Entry'!N845,"AAAAADf61v8=")</f>
        <v>#VALUE!</v>
      </c>
    </row>
    <row r="215" spans="1:256">
      <c r="A215" t="e">
        <f>AND('GA55 Entry'!O845,"AAAAACT++wA=")</f>
        <v>#VALUE!</v>
      </c>
      <c r="B215" t="e">
        <f>AND('GA55 Entry'!P845,"AAAAACT++wE=")</f>
        <v>#VALUE!</v>
      </c>
      <c r="C215" t="e">
        <f>AND('GA55 Entry'!Q845,"AAAAACT++wI=")</f>
        <v>#VALUE!</v>
      </c>
      <c r="D215" t="e">
        <f>AND('GA55 Entry'!S845,"AAAAACT++wM=")</f>
        <v>#VALUE!</v>
      </c>
      <c r="E215" t="e">
        <f>AND('GA55 Entry'!#REF!,"AAAAACT++wQ=")</f>
        <v>#REF!</v>
      </c>
      <c r="F215" t="e">
        <f>AND('GA55 Entry'!T845,"AAAAACT++wU=")</f>
        <v>#VALUE!</v>
      </c>
      <c r="G215" t="e">
        <f>AND('GA55 Entry'!U845,"AAAAACT++wY=")</f>
        <v>#VALUE!</v>
      </c>
      <c r="H215" t="e">
        <f>AND('GA55 Entry'!V845,"AAAAACT++wc=")</f>
        <v>#VALUE!</v>
      </c>
      <c r="I215" t="e">
        <f>AND('GA55 Entry'!#REF!,"AAAAACT++wg=")</f>
        <v>#REF!</v>
      </c>
      <c r="J215" t="e">
        <f>AND('GA55 Entry'!#REF!,"AAAAACT++wk=")</f>
        <v>#REF!</v>
      </c>
      <c r="K215" t="e">
        <f>AND('GA55 Entry'!X845,"AAAAACT++wo=")</f>
        <v>#VALUE!</v>
      </c>
      <c r="L215" t="e">
        <f>AND('GA55 Entry'!Y845,"AAAAACT++ws=")</f>
        <v>#VALUE!</v>
      </c>
      <c r="M215" t="e">
        <f>AND('GA55 Entry'!#REF!,"AAAAACT++ww=")</f>
        <v>#REF!</v>
      </c>
      <c r="N215" t="e">
        <f>AND('GA55 Entry'!#REF!,"AAAAACT++w0=")</f>
        <v>#REF!</v>
      </c>
      <c r="O215" t="e">
        <f>AND('GA55 Entry'!#REF!,"AAAAACT++w4=")</f>
        <v>#REF!</v>
      </c>
      <c r="P215" t="e">
        <f>AND('GA55 Entry'!#REF!,"AAAAACT++w8=")</f>
        <v>#REF!</v>
      </c>
      <c r="Q215" t="e">
        <f>AND('GA55 Entry'!#REF!,"AAAAACT++xA=")</f>
        <v>#REF!</v>
      </c>
      <c r="R215" t="e">
        <f>AND('GA55 Entry'!#REF!,"AAAAACT++xE=")</f>
        <v>#REF!</v>
      </c>
      <c r="S215" t="e">
        <f>AND('GA55 Entry'!#REF!,"AAAAACT++xI=")</f>
        <v>#REF!</v>
      </c>
      <c r="T215" t="e">
        <f>AND('GA55 Entry'!#REF!,"AAAAACT++xM=")</f>
        <v>#REF!</v>
      </c>
      <c r="U215" t="e">
        <f>AND('GA55 Entry'!#REF!,"AAAAACT++xQ=")</f>
        <v>#REF!</v>
      </c>
      <c r="V215" t="e">
        <f>AND('GA55 Entry'!Z845,"AAAAACT++xU=")</f>
        <v>#VALUE!</v>
      </c>
      <c r="W215" t="e">
        <f>AND('GA55 Entry'!AA845,"AAAAACT++xY=")</f>
        <v>#VALUE!</v>
      </c>
      <c r="X215" t="e">
        <f>AND('GA55 Entry'!#REF!,"AAAAACT++xc=")</f>
        <v>#REF!</v>
      </c>
      <c r="Y215" t="e">
        <f>AND('GA55 Entry'!#REF!,"AAAAACT++xg=")</f>
        <v>#REF!</v>
      </c>
      <c r="Z215" t="e">
        <f>AND('GA55 Entry'!#REF!,"AAAAACT++xk=")</f>
        <v>#REF!</v>
      </c>
      <c r="AA215" t="e">
        <f>AND('GA55 Entry'!AB845,"AAAAACT++xo=")</f>
        <v>#VALUE!</v>
      </c>
      <c r="AB215" t="e">
        <f>AND('GA55 Entry'!AC845,"AAAAACT++xs=")</f>
        <v>#VALUE!</v>
      </c>
      <c r="AC215" t="e">
        <f>AND('GA55 Entry'!#REF!,"AAAAACT++xw=")</f>
        <v>#REF!</v>
      </c>
      <c r="AD215">
        <f>IF('GA55 Entry'!846:846,"AAAAACT++x0=",0)</f>
        <v>0</v>
      </c>
      <c r="AE215" t="e">
        <f>AND('GA55 Entry'!B846,"AAAAACT++x4=")</f>
        <v>#VALUE!</v>
      </c>
      <c r="AF215" t="e">
        <f>AND('GA55 Entry'!#REF!,"AAAAACT++x8=")</f>
        <v>#REF!</v>
      </c>
      <c r="AG215" t="e">
        <f>AND('GA55 Entry'!C846,"AAAAACT++yA=")</f>
        <v>#VALUE!</v>
      </c>
      <c r="AH215" t="e">
        <f>AND('GA55 Entry'!#REF!,"AAAAACT++yE=")</f>
        <v>#REF!</v>
      </c>
      <c r="AI215" t="e">
        <f>AND('GA55 Entry'!#REF!,"AAAAACT++yI=")</f>
        <v>#REF!</v>
      </c>
      <c r="AJ215" t="e">
        <f>AND('GA55 Entry'!#REF!,"AAAAACT++yM=")</f>
        <v>#REF!</v>
      </c>
      <c r="AK215" t="e">
        <f>AND('GA55 Entry'!#REF!,"AAAAACT++yQ=")</f>
        <v>#REF!</v>
      </c>
      <c r="AL215" t="e">
        <f>AND('GA55 Entry'!#REF!,"AAAAACT++yU=")</f>
        <v>#REF!</v>
      </c>
      <c r="AM215" t="e">
        <f>AND('GA55 Entry'!D846,"AAAAACT++yY=")</f>
        <v>#VALUE!</v>
      </c>
      <c r="AN215" t="e">
        <f>AND('GA55 Entry'!#REF!,"AAAAACT++yc=")</f>
        <v>#REF!</v>
      </c>
      <c r="AO215" t="e">
        <f>AND('GA55 Entry'!E846,"AAAAACT++yg=")</f>
        <v>#VALUE!</v>
      </c>
      <c r="AP215" t="e">
        <f>AND('GA55 Entry'!F846,"AAAAACT++yk=")</f>
        <v>#VALUE!</v>
      </c>
      <c r="AQ215" t="e">
        <f>AND('GA55 Entry'!G846,"AAAAACT++yo=")</f>
        <v>#VALUE!</v>
      </c>
      <c r="AR215" t="e">
        <f>AND('GA55 Entry'!H846,"AAAAACT++ys=")</f>
        <v>#VALUE!</v>
      </c>
      <c r="AS215" t="e">
        <f>AND('GA55 Entry'!I846,"AAAAACT++yw=")</f>
        <v>#VALUE!</v>
      </c>
      <c r="AT215" t="e">
        <f>AND('GA55 Entry'!J846,"AAAAACT++y0=")</f>
        <v>#VALUE!</v>
      </c>
      <c r="AU215" t="e">
        <f>AND('GA55 Entry'!#REF!,"AAAAACT++y4=")</f>
        <v>#REF!</v>
      </c>
      <c r="AV215" t="e">
        <f>AND('GA55 Entry'!K846,"AAAAACT++y8=")</f>
        <v>#VALUE!</v>
      </c>
      <c r="AW215" t="e">
        <f>AND('GA55 Entry'!L846,"AAAAACT++zA=")</f>
        <v>#VALUE!</v>
      </c>
      <c r="AX215" t="e">
        <f>AND('GA55 Entry'!M846,"AAAAACT++zE=")</f>
        <v>#VALUE!</v>
      </c>
      <c r="AY215" t="e">
        <f>AND('GA55 Entry'!N846,"AAAAACT++zI=")</f>
        <v>#VALUE!</v>
      </c>
      <c r="AZ215" t="e">
        <f>AND('GA55 Entry'!O846,"AAAAACT++zM=")</f>
        <v>#VALUE!</v>
      </c>
      <c r="BA215" t="e">
        <f>AND('GA55 Entry'!P846,"AAAAACT++zQ=")</f>
        <v>#VALUE!</v>
      </c>
      <c r="BB215" t="e">
        <f>AND('GA55 Entry'!Q846,"AAAAACT++zU=")</f>
        <v>#VALUE!</v>
      </c>
      <c r="BC215" t="e">
        <f>AND('GA55 Entry'!S846,"AAAAACT++zY=")</f>
        <v>#VALUE!</v>
      </c>
      <c r="BD215" t="e">
        <f>AND('GA55 Entry'!#REF!,"AAAAACT++zc=")</f>
        <v>#REF!</v>
      </c>
      <c r="BE215" t="e">
        <f>AND('GA55 Entry'!T846,"AAAAACT++zg=")</f>
        <v>#VALUE!</v>
      </c>
      <c r="BF215" t="e">
        <f>AND('GA55 Entry'!U846,"AAAAACT++zk=")</f>
        <v>#VALUE!</v>
      </c>
      <c r="BG215" t="e">
        <f>AND('GA55 Entry'!V846,"AAAAACT++zo=")</f>
        <v>#VALUE!</v>
      </c>
      <c r="BH215" t="e">
        <f>AND('GA55 Entry'!#REF!,"AAAAACT++zs=")</f>
        <v>#REF!</v>
      </c>
      <c r="BI215" t="e">
        <f>AND('GA55 Entry'!#REF!,"AAAAACT++zw=")</f>
        <v>#REF!</v>
      </c>
      <c r="BJ215" t="e">
        <f>AND('GA55 Entry'!X846,"AAAAACT++z0=")</f>
        <v>#VALUE!</v>
      </c>
      <c r="BK215" t="e">
        <f>AND('GA55 Entry'!Y846,"AAAAACT++z4=")</f>
        <v>#VALUE!</v>
      </c>
      <c r="BL215" t="e">
        <f>AND('GA55 Entry'!#REF!,"AAAAACT++z8=")</f>
        <v>#REF!</v>
      </c>
      <c r="BM215" t="e">
        <f>AND('GA55 Entry'!#REF!,"AAAAACT++0A=")</f>
        <v>#REF!</v>
      </c>
      <c r="BN215" t="e">
        <f>AND('GA55 Entry'!#REF!,"AAAAACT++0E=")</f>
        <v>#REF!</v>
      </c>
      <c r="BO215" t="e">
        <f>AND('GA55 Entry'!#REF!,"AAAAACT++0I=")</f>
        <v>#REF!</v>
      </c>
      <c r="BP215" t="e">
        <f>AND('GA55 Entry'!#REF!,"AAAAACT++0M=")</f>
        <v>#REF!</v>
      </c>
      <c r="BQ215" t="e">
        <f>AND('GA55 Entry'!#REF!,"AAAAACT++0Q=")</f>
        <v>#REF!</v>
      </c>
      <c r="BR215" t="e">
        <f>AND('GA55 Entry'!#REF!,"AAAAACT++0U=")</f>
        <v>#REF!</v>
      </c>
      <c r="BS215" t="e">
        <f>AND('GA55 Entry'!#REF!,"AAAAACT++0Y=")</f>
        <v>#REF!</v>
      </c>
      <c r="BT215" t="e">
        <f>AND('GA55 Entry'!#REF!,"AAAAACT++0c=")</f>
        <v>#REF!</v>
      </c>
      <c r="BU215" t="e">
        <f>AND('GA55 Entry'!Z846,"AAAAACT++0g=")</f>
        <v>#VALUE!</v>
      </c>
      <c r="BV215" t="e">
        <f>AND('GA55 Entry'!AA846,"AAAAACT++0k=")</f>
        <v>#VALUE!</v>
      </c>
      <c r="BW215" t="e">
        <f>AND('GA55 Entry'!#REF!,"AAAAACT++0o=")</f>
        <v>#REF!</v>
      </c>
      <c r="BX215" t="e">
        <f>AND('GA55 Entry'!#REF!,"AAAAACT++0s=")</f>
        <v>#REF!</v>
      </c>
      <c r="BY215" t="e">
        <f>AND('GA55 Entry'!#REF!,"AAAAACT++0w=")</f>
        <v>#REF!</v>
      </c>
      <c r="BZ215" t="e">
        <f>AND('GA55 Entry'!AB846,"AAAAACT++00=")</f>
        <v>#VALUE!</v>
      </c>
      <c r="CA215" t="e">
        <f>AND('GA55 Entry'!AC846,"AAAAACT++04=")</f>
        <v>#VALUE!</v>
      </c>
      <c r="CB215" t="e">
        <f>AND('GA55 Entry'!#REF!,"AAAAACT++08=")</f>
        <v>#REF!</v>
      </c>
      <c r="CC215">
        <f>IF('GA55 Entry'!847:847,"AAAAACT++1A=",0)</f>
        <v>0</v>
      </c>
      <c r="CD215" t="e">
        <f>AND('GA55 Entry'!B847,"AAAAACT++1E=")</f>
        <v>#VALUE!</v>
      </c>
      <c r="CE215" t="e">
        <f>AND('GA55 Entry'!#REF!,"AAAAACT++1I=")</f>
        <v>#REF!</v>
      </c>
      <c r="CF215" t="e">
        <f>AND('GA55 Entry'!C847,"AAAAACT++1M=")</f>
        <v>#VALUE!</v>
      </c>
      <c r="CG215" t="e">
        <f>AND('GA55 Entry'!#REF!,"AAAAACT++1Q=")</f>
        <v>#REF!</v>
      </c>
      <c r="CH215" t="e">
        <f>AND('GA55 Entry'!#REF!,"AAAAACT++1U=")</f>
        <v>#REF!</v>
      </c>
      <c r="CI215" t="e">
        <f>AND('GA55 Entry'!#REF!,"AAAAACT++1Y=")</f>
        <v>#REF!</v>
      </c>
      <c r="CJ215" t="e">
        <f>AND('GA55 Entry'!#REF!,"AAAAACT++1c=")</f>
        <v>#REF!</v>
      </c>
      <c r="CK215" t="e">
        <f>AND('GA55 Entry'!#REF!,"AAAAACT++1g=")</f>
        <v>#REF!</v>
      </c>
      <c r="CL215" t="e">
        <f>AND('GA55 Entry'!D847,"AAAAACT++1k=")</f>
        <v>#VALUE!</v>
      </c>
      <c r="CM215" t="e">
        <f>AND('GA55 Entry'!#REF!,"AAAAACT++1o=")</f>
        <v>#REF!</v>
      </c>
      <c r="CN215" t="e">
        <f>AND('GA55 Entry'!E847,"AAAAACT++1s=")</f>
        <v>#VALUE!</v>
      </c>
      <c r="CO215" t="e">
        <f>AND('GA55 Entry'!F847,"AAAAACT++1w=")</f>
        <v>#VALUE!</v>
      </c>
      <c r="CP215" t="e">
        <f>AND('GA55 Entry'!G847,"AAAAACT++10=")</f>
        <v>#VALUE!</v>
      </c>
      <c r="CQ215" t="e">
        <f>AND('GA55 Entry'!H847,"AAAAACT++14=")</f>
        <v>#VALUE!</v>
      </c>
      <c r="CR215" t="e">
        <f>AND('GA55 Entry'!I847,"AAAAACT++18=")</f>
        <v>#VALUE!</v>
      </c>
      <c r="CS215" t="e">
        <f>AND('GA55 Entry'!J847,"AAAAACT++2A=")</f>
        <v>#VALUE!</v>
      </c>
      <c r="CT215" t="e">
        <f>AND('GA55 Entry'!#REF!,"AAAAACT++2E=")</f>
        <v>#REF!</v>
      </c>
      <c r="CU215" t="e">
        <f>AND('GA55 Entry'!K847,"AAAAACT++2I=")</f>
        <v>#VALUE!</v>
      </c>
      <c r="CV215" t="e">
        <f>AND('GA55 Entry'!L847,"AAAAACT++2M=")</f>
        <v>#VALUE!</v>
      </c>
      <c r="CW215" t="e">
        <f>AND('GA55 Entry'!M847,"AAAAACT++2Q=")</f>
        <v>#VALUE!</v>
      </c>
      <c r="CX215" t="e">
        <f>AND('GA55 Entry'!N847,"AAAAACT++2U=")</f>
        <v>#VALUE!</v>
      </c>
      <c r="CY215" t="e">
        <f>AND('GA55 Entry'!O847,"AAAAACT++2Y=")</f>
        <v>#VALUE!</v>
      </c>
      <c r="CZ215" t="e">
        <f>AND('GA55 Entry'!P847,"AAAAACT++2c=")</f>
        <v>#VALUE!</v>
      </c>
      <c r="DA215" t="e">
        <f>AND('GA55 Entry'!Q847,"AAAAACT++2g=")</f>
        <v>#VALUE!</v>
      </c>
      <c r="DB215" t="e">
        <f>AND('GA55 Entry'!S847,"AAAAACT++2k=")</f>
        <v>#VALUE!</v>
      </c>
      <c r="DC215" t="e">
        <f>AND('GA55 Entry'!#REF!,"AAAAACT++2o=")</f>
        <v>#REF!</v>
      </c>
      <c r="DD215" t="e">
        <f>AND('GA55 Entry'!T847,"AAAAACT++2s=")</f>
        <v>#VALUE!</v>
      </c>
      <c r="DE215" t="e">
        <f>AND('GA55 Entry'!U847,"AAAAACT++2w=")</f>
        <v>#VALUE!</v>
      </c>
      <c r="DF215" t="e">
        <f>AND('GA55 Entry'!V847,"AAAAACT++20=")</f>
        <v>#VALUE!</v>
      </c>
      <c r="DG215" t="e">
        <f>AND('GA55 Entry'!#REF!,"AAAAACT++24=")</f>
        <v>#REF!</v>
      </c>
      <c r="DH215" t="e">
        <f>AND('GA55 Entry'!#REF!,"AAAAACT++28=")</f>
        <v>#REF!</v>
      </c>
      <c r="DI215" t="e">
        <f>AND('GA55 Entry'!X847,"AAAAACT++3A=")</f>
        <v>#VALUE!</v>
      </c>
      <c r="DJ215" t="e">
        <f>AND('GA55 Entry'!Y847,"AAAAACT++3E=")</f>
        <v>#VALUE!</v>
      </c>
      <c r="DK215" t="e">
        <f>AND('GA55 Entry'!#REF!,"AAAAACT++3I=")</f>
        <v>#REF!</v>
      </c>
      <c r="DL215" t="e">
        <f>AND('GA55 Entry'!#REF!,"AAAAACT++3M=")</f>
        <v>#REF!</v>
      </c>
      <c r="DM215" t="e">
        <f>AND('GA55 Entry'!#REF!,"AAAAACT++3Q=")</f>
        <v>#REF!</v>
      </c>
      <c r="DN215" t="e">
        <f>AND('GA55 Entry'!#REF!,"AAAAACT++3U=")</f>
        <v>#REF!</v>
      </c>
      <c r="DO215" t="e">
        <f>AND('GA55 Entry'!#REF!,"AAAAACT++3Y=")</f>
        <v>#REF!</v>
      </c>
      <c r="DP215" t="e">
        <f>AND('GA55 Entry'!#REF!,"AAAAACT++3c=")</f>
        <v>#REF!</v>
      </c>
      <c r="DQ215" t="e">
        <f>AND('GA55 Entry'!#REF!,"AAAAACT++3g=")</f>
        <v>#REF!</v>
      </c>
      <c r="DR215" t="e">
        <f>AND('GA55 Entry'!#REF!,"AAAAACT++3k=")</f>
        <v>#REF!</v>
      </c>
      <c r="DS215" t="e">
        <f>AND('GA55 Entry'!#REF!,"AAAAACT++3o=")</f>
        <v>#REF!</v>
      </c>
      <c r="DT215" t="e">
        <f>AND('GA55 Entry'!Z847,"AAAAACT++3s=")</f>
        <v>#VALUE!</v>
      </c>
      <c r="DU215" t="e">
        <f>AND('GA55 Entry'!AA847,"AAAAACT++3w=")</f>
        <v>#VALUE!</v>
      </c>
      <c r="DV215" t="e">
        <f>AND('GA55 Entry'!#REF!,"AAAAACT++30=")</f>
        <v>#REF!</v>
      </c>
      <c r="DW215" t="e">
        <f>AND('GA55 Entry'!#REF!,"AAAAACT++34=")</f>
        <v>#REF!</v>
      </c>
      <c r="DX215" t="e">
        <f>AND('GA55 Entry'!#REF!,"AAAAACT++38=")</f>
        <v>#REF!</v>
      </c>
      <c r="DY215" t="e">
        <f>AND('GA55 Entry'!AB847,"AAAAACT++4A=")</f>
        <v>#VALUE!</v>
      </c>
      <c r="DZ215" t="e">
        <f>AND('GA55 Entry'!AC847,"AAAAACT++4E=")</f>
        <v>#VALUE!</v>
      </c>
      <c r="EA215" t="e">
        <f>AND('GA55 Entry'!#REF!,"AAAAACT++4I=")</f>
        <v>#REF!</v>
      </c>
      <c r="EB215">
        <f>IF('GA55 Entry'!848:848,"AAAAACT++4M=",0)</f>
        <v>0</v>
      </c>
      <c r="EC215" t="e">
        <f>AND('GA55 Entry'!B848,"AAAAACT++4Q=")</f>
        <v>#VALUE!</v>
      </c>
      <c r="ED215" t="e">
        <f>AND('GA55 Entry'!#REF!,"AAAAACT++4U=")</f>
        <v>#REF!</v>
      </c>
      <c r="EE215" t="e">
        <f>AND('GA55 Entry'!C848,"AAAAACT++4Y=")</f>
        <v>#VALUE!</v>
      </c>
      <c r="EF215" t="e">
        <f>AND('GA55 Entry'!#REF!,"AAAAACT++4c=")</f>
        <v>#REF!</v>
      </c>
      <c r="EG215" t="e">
        <f>AND('GA55 Entry'!#REF!,"AAAAACT++4g=")</f>
        <v>#REF!</v>
      </c>
      <c r="EH215" t="e">
        <f>AND('GA55 Entry'!#REF!,"AAAAACT++4k=")</f>
        <v>#REF!</v>
      </c>
      <c r="EI215" t="e">
        <f>AND('GA55 Entry'!#REF!,"AAAAACT++4o=")</f>
        <v>#REF!</v>
      </c>
      <c r="EJ215" t="e">
        <f>AND('GA55 Entry'!#REF!,"AAAAACT++4s=")</f>
        <v>#REF!</v>
      </c>
      <c r="EK215" t="e">
        <f>AND('GA55 Entry'!D848,"AAAAACT++4w=")</f>
        <v>#VALUE!</v>
      </c>
      <c r="EL215" t="e">
        <f>AND('GA55 Entry'!#REF!,"AAAAACT++40=")</f>
        <v>#REF!</v>
      </c>
      <c r="EM215" t="e">
        <f>AND('GA55 Entry'!E848,"AAAAACT++44=")</f>
        <v>#VALUE!</v>
      </c>
      <c r="EN215" t="e">
        <f>AND('GA55 Entry'!F848,"AAAAACT++48=")</f>
        <v>#VALUE!</v>
      </c>
      <c r="EO215" t="e">
        <f>AND('GA55 Entry'!G848,"AAAAACT++5A=")</f>
        <v>#VALUE!</v>
      </c>
      <c r="EP215" t="e">
        <f>AND('GA55 Entry'!H848,"AAAAACT++5E=")</f>
        <v>#VALUE!</v>
      </c>
      <c r="EQ215" t="e">
        <f>AND('GA55 Entry'!I848,"AAAAACT++5I=")</f>
        <v>#VALUE!</v>
      </c>
      <c r="ER215" t="e">
        <f>AND('GA55 Entry'!J848,"AAAAACT++5M=")</f>
        <v>#VALUE!</v>
      </c>
      <c r="ES215" t="e">
        <f>AND('GA55 Entry'!#REF!,"AAAAACT++5Q=")</f>
        <v>#REF!</v>
      </c>
      <c r="ET215" t="e">
        <f>AND('GA55 Entry'!K848,"AAAAACT++5U=")</f>
        <v>#VALUE!</v>
      </c>
      <c r="EU215" t="e">
        <f>AND('GA55 Entry'!L848,"AAAAACT++5Y=")</f>
        <v>#VALUE!</v>
      </c>
      <c r="EV215" t="e">
        <f>AND('GA55 Entry'!M848,"AAAAACT++5c=")</f>
        <v>#VALUE!</v>
      </c>
      <c r="EW215" t="e">
        <f>AND('GA55 Entry'!N848,"AAAAACT++5g=")</f>
        <v>#VALUE!</v>
      </c>
      <c r="EX215" t="e">
        <f>AND('GA55 Entry'!O848,"AAAAACT++5k=")</f>
        <v>#VALUE!</v>
      </c>
      <c r="EY215" t="e">
        <f>AND('GA55 Entry'!P848,"AAAAACT++5o=")</f>
        <v>#VALUE!</v>
      </c>
      <c r="EZ215" t="e">
        <f>AND('GA55 Entry'!Q848,"AAAAACT++5s=")</f>
        <v>#VALUE!</v>
      </c>
      <c r="FA215" t="e">
        <f>AND('GA55 Entry'!S848,"AAAAACT++5w=")</f>
        <v>#VALUE!</v>
      </c>
      <c r="FB215" t="e">
        <f>AND('GA55 Entry'!#REF!,"AAAAACT++50=")</f>
        <v>#REF!</v>
      </c>
      <c r="FC215" t="e">
        <f>AND('GA55 Entry'!T848,"AAAAACT++54=")</f>
        <v>#VALUE!</v>
      </c>
      <c r="FD215" t="e">
        <f>AND('GA55 Entry'!U848,"AAAAACT++58=")</f>
        <v>#VALUE!</v>
      </c>
      <c r="FE215" t="e">
        <f>AND('GA55 Entry'!V848,"AAAAACT++6A=")</f>
        <v>#VALUE!</v>
      </c>
      <c r="FF215" t="e">
        <f>AND('GA55 Entry'!#REF!,"AAAAACT++6E=")</f>
        <v>#REF!</v>
      </c>
      <c r="FG215" t="e">
        <f>AND('GA55 Entry'!#REF!,"AAAAACT++6I=")</f>
        <v>#REF!</v>
      </c>
      <c r="FH215" t="e">
        <f>AND('GA55 Entry'!X848,"AAAAACT++6M=")</f>
        <v>#VALUE!</v>
      </c>
      <c r="FI215" t="e">
        <f>AND('GA55 Entry'!Y848,"AAAAACT++6Q=")</f>
        <v>#VALUE!</v>
      </c>
      <c r="FJ215" t="e">
        <f>AND('GA55 Entry'!#REF!,"AAAAACT++6U=")</f>
        <v>#REF!</v>
      </c>
      <c r="FK215" t="e">
        <f>AND('GA55 Entry'!#REF!,"AAAAACT++6Y=")</f>
        <v>#REF!</v>
      </c>
      <c r="FL215" t="e">
        <f>AND('GA55 Entry'!#REF!,"AAAAACT++6c=")</f>
        <v>#REF!</v>
      </c>
      <c r="FM215" t="e">
        <f>AND('GA55 Entry'!#REF!,"AAAAACT++6g=")</f>
        <v>#REF!</v>
      </c>
      <c r="FN215" t="e">
        <f>AND('GA55 Entry'!#REF!,"AAAAACT++6k=")</f>
        <v>#REF!</v>
      </c>
      <c r="FO215" t="e">
        <f>AND('GA55 Entry'!#REF!,"AAAAACT++6o=")</f>
        <v>#REF!</v>
      </c>
      <c r="FP215" t="e">
        <f>AND('GA55 Entry'!#REF!,"AAAAACT++6s=")</f>
        <v>#REF!</v>
      </c>
      <c r="FQ215" t="e">
        <f>AND('GA55 Entry'!#REF!,"AAAAACT++6w=")</f>
        <v>#REF!</v>
      </c>
      <c r="FR215" t="e">
        <f>AND('GA55 Entry'!#REF!,"AAAAACT++60=")</f>
        <v>#REF!</v>
      </c>
      <c r="FS215" t="e">
        <f>AND('GA55 Entry'!Z848,"AAAAACT++64=")</f>
        <v>#VALUE!</v>
      </c>
      <c r="FT215" t="e">
        <f>AND('GA55 Entry'!AA848,"AAAAACT++68=")</f>
        <v>#VALUE!</v>
      </c>
      <c r="FU215" t="e">
        <f>AND('GA55 Entry'!#REF!,"AAAAACT++7A=")</f>
        <v>#REF!</v>
      </c>
      <c r="FV215" t="e">
        <f>AND('GA55 Entry'!#REF!,"AAAAACT++7E=")</f>
        <v>#REF!</v>
      </c>
      <c r="FW215" t="e">
        <f>AND('GA55 Entry'!#REF!,"AAAAACT++7I=")</f>
        <v>#REF!</v>
      </c>
      <c r="FX215" t="e">
        <f>AND('GA55 Entry'!AB848,"AAAAACT++7M=")</f>
        <v>#VALUE!</v>
      </c>
      <c r="FY215" t="e">
        <f>AND('GA55 Entry'!AC848,"AAAAACT++7Q=")</f>
        <v>#VALUE!</v>
      </c>
      <c r="FZ215" t="e">
        <f>AND('GA55 Entry'!#REF!,"AAAAACT++7U=")</f>
        <v>#REF!</v>
      </c>
      <c r="GA215">
        <f>IF('GA55 Entry'!849:849,"AAAAACT++7Y=",0)</f>
        <v>0</v>
      </c>
      <c r="GB215" t="e">
        <f>AND('GA55 Entry'!B849,"AAAAACT++7c=")</f>
        <v>#VALUE!</v>
      </c>
      <c r="GC215" t="e">
        <f>AND('GA55 Entry'!#REF!,"AAAAACT++7g=")</f>
        <v>#REF!</v>
      </c>
      <c r="GD215" t="e">
        <f>AND('GA55 Entry'!C849,"AAAAACT++7k=")</f>
        <v>#VALUE!</v>
      </c>
      <c r="GE215" t="e">
        <f>AND('GA55 Entry'!#REF!,"AAAAACT++7o=")</f>
        <v>#REF!</v>
      </c>
      <c r="GF215" t="e">
        <f>AND('GA55 Entry'!#REF!,"AAAAACT++7s=")</f>
        <v>#REF!</v>
      </c>
      <c r="GG215" t="e">
        <f>AND('GA55 Entry'!#REF!,"AAAAACT++7w=")</f>
        <v>#REF!</v>
      </c>
      <c r="GH215" t="e">
        <f>AND('GA55 Entry'!#REF!,"AAAAACT++70=")</f>
        <v>#REF!</v>
      </c>
      <c r="GI215" t="e">
        <f>AND('GA55 Entry'!#REF!,"AAAAACT++74=")</f>
        <v>#REF!</v>
      </c>
      <c r="GJ215" t="e">
        <f>AND('GA55 Entry'!D849,"AAAAACT++78=")</f>
        <v>#VALUE!</v>
      </c>
      <c r="GK215" t="e">
        <f>AND('GA55 Entry'!#REF!,"AAAAACT++8A=")</f>
        <v>#REF!</v>
      </c>
      <c r="GL215" t="e">
        <f>AND('GA55 Entry'!E849,"AAAAACT++8E=")</f>
        <v>#VALUE!</v>
      </c>
      <c r="GM215" t="e">
        <f>AND('GA55 Entry'!F849,"AAAAACT++8I=")</f>
        <v>#VALUE!</v>
      </c>
      <c r="GN215" t="e">
        <f>AND('GA55 Entry'!G849,"AAAAACT++8M=")</f>
        <v>#VALUE!</v>
      </c>
      <c r="GO215" t="e">
        <f>AND('GA55 Entry'!H849,"AAAAACT++8Q=")</f>
        <v>#VALUE!</v>
      </c>
      <c r="GP215" t="e">
        <f>AND('GA55 Entry'!I849,"AAAAACT++8U=")</f>
        <v>#VALUE!</v>
      </c>
      <c r="GQ215" t="e">
        <f>AND('GA55 Entry'!J849,"AAAAACT++8Y=")</f>
        <v>#VALUE!</v>
      </c>
      <c r="GR215" t="e">
        <f>AND('GA55 Entry'!#REF!,"AAAAACT++8c=")</f>
        <v>#REF!</v>
      </c>
      <c r="GS215" t="e">
        <f>AND('GA55 Entry'!K849,"AAAAACT++8g=")</f>
        <v>#VALUE!</v>
      </c>
      <c r="GT215" t="e">
        <f>AND('GA55 Entry'!L849,"AAAAACT++8k=")</f>
        <v>#VALUE!</v>
      </c>
      <c r="GU215" t="e">
        <f>AND('GA55 Entry'!M849,"AAAAACT++8o=")</f>
        <v>#VALUE!</v>
      </c>
      <c r="GV215" t="e">
        <f>AND('GA55 Entry'!N849,"AAAAACT++8s=")</f>
        <v>#VALUE!</v>
      </c>
      <c r="GW215" t="e">
        <f>AND('GA55 Entry'!O849,"AAAAACT++8w=")</f>
        <v>#VALUE!</v>
      </c>
      <c r="GX215" t="e">
        <f>AND('GA55 Entry'!P849,"AAAAACT++80=")</f>
        <v>#VALUE!</v>
      </c>
      <c r="GY215" t="e">
        <f>AND('GA55 Entry'!Q849,"AAAAACT++84=")</f>
        <v>#VALUE!</v>
      </c>
      <c r="GZ215" t="e">
        <f>AND('GA55 Entry'!S849,"AAAAACT++88=")</f>
        <v>#VALUE!</v>
      </c>
      <c r="HA215" t="e">
        <f>AND('GA55 Entry'!#REF!,"AAAAACT++9A=")</f>
        <v>#REF!</v>
      </c>
      <c r="HB215" t="e">
        <f>AND('GA55 Entry'!T849,"AAAAACT++9E=")</f>
        <v>#VALUE!</v>
      </c>
      <c r="HC215" t="e">
        <f>AND('GA55 Entry'!U849,"AAAAACT++9I=")</f>
        <v>#VALUE!</v>
      </c>
      <c r="HD215" t="e">
        <f>AND('GA55 Entry'!V849,"AAAAACT++9M=")</f>
        <v>#VALUE!</v>
      </c>
      <c r="HE215" t="e">
        <f>AND('GA55 Entry'!#REF!,"AAAAACT++9Q=")</f>
        <v>#REF!</v>
      </c>
      <c r="HF215" t="e">
        <f>AND('GA55 Entry'!#REF!,"AAAAACT++9U=")</f>
        <v>#REF!</v>
      </c>
      <c r="HG215" t="e">
        <f>AND('GA55 Entry'!X849,"AAAAACT++9Y=")</f>
        <v>#VALUE!</v>
      </c>
      <c r="HH215" t="e">
        <f>AND('GA55 Entry'!Y849,"AAAAACT++9c=")</f>
        <v>#VALUE!</v>
      </c>
      <c r="HI215" t="e">
        <f>AND('GA55 Entry'!#REF!,"AAAAACT++9g=")</f>
        <v>#REF!</v>
      </c>
      <c r="HJ215" t="e">
        <f>AND('GA55 Entry'!#REF!,"AAAAACT++9k=")</f>
        <v>#REF!</v>
      </c>
      <c r="HK215" t="e">
        <f>AND('GA55 Entry'!#REF!,"AAAAACT++9o=")</f>
        <v>#REF!</v>
      </c>
      <c r="HL215" t="e">
        <f>AND('GA55 Entry'!#REF!,"AAAAACT++9s=")</f>
        <v>#REF!</v>
      </c>
      <c r="HM215" t="e">
        <f>AND('GA55 Entry'!#REF!,"AAAAACT++9w=")</f>
        <v>#REF!</v>
      </c>
      <c r="HN215" t="e">
        <f>AND('GA55 Entry'!#REF!,"AAAAACT++90=")</f>
        <v>#REF!</v>
      </c>
      <c r="HO215" t="e">
        <f>AND('GA55 Entry'!#REF!,"AAAAACT++94=")</f>
        <v>#REF!</v>
      </c>
      <c r="HP215" t="e">
        <f>AND('GA55 Entry'!#REF!,"AAAAACT++98=")</f>
        <v>#REF!</v>
      </c>
      <c r="HQ215" t="e">
        <f>AND('GA55 Entry'!#REF!,"AAAAACT+++A=")</f>
        <v>#REF!</v>
      </c>
      <c r="HR215" t="e">
        <f>AND('GA55 Entry'!Z849,"AAAAACT+++E=")</f>
        <v>#VALUE!</v>
      </c>
      <c r="HS215" t="e">
        <f>AND('GA55 Entry'!AA849,"AAAAACT+++I=")</f>
        <v>#VALUE!</v>
      </c>
      <c r="HT215" t="e">
        <f>AND('GA55 Entry'!#REF!,"AAAAACT+++M=")</f>
        <v>#REF!</v>
      </c>
      <c r="HU215" t="e">
        <f>AND('GA55 Entry'!#REF!,"AAAAACT+++Q=")</f>
        <v>#REF!</v>
      </c>
      <c r="HV215" t="e">
        <f>AND('GA55 Entry'!#REF!,"AAAAACT+++U=")</f>
        <v>#REF!</v>
      </c>
      <c r="HW215" t="e">
        <f>AND('GA55 Entry'!AB849,"AAAAACT+++Y=")</f>
        <v>#VALUE!</v>
      </c>
      <c r="HX215" t="e">
        <f>AND('GA55 Entry'!AC849,"AAAAACT+++c=")</f>
        <v>#VALUE!</v>
      </c>
      <c r="HY215" t="e">
        <f>AND('GA55 Entry'!#REF!,"AAAAACT+++g=")</f>
        <v>#REF!</v>
      </c>
      <c r="HZ215">
        <f>IF('GA55 Entry'!850:850,"AAAAACT+++k=",0)</f>
        <v>0</v>
      </c>
      <c r="IA215" t="e">
        <f>AND('GA55 Entry'!B850,"AAAAACT+++o=")</f>
        <v>#VALUE!</v>
      </c>
      <c r="IB215" t="e">
        <f>AND('GA55 Entry'!#REF!,"AAAAACT+++s=")</f>
        <v>#REF!</v>
      </c>
      <c r="IC215" t="e">
        <f>AND('GA55 Entry'!C850,"AAAAACT+++w=")</f>
        <v>#VALUE!</v>
      </c>
      <c r="ID215" t="e">
        <f>AND('GA55 Entry'!#REF!,"AAAAACT+++0=")</f>
        <v>#REF!</v>
      </c>
      <c r="IE215" t="e">
        <f>AND('GA55 Entry'!#REF!,"AAAAACT+++4=")</f>
        <v>#REF!</v>
      </c>
      <c r="IF215" t="e">
        <f>AND('GA55 Entry'!#REF!,"AAAAACT+++8=")</f>
        <v>#REF!</v>
      </c>
      <c r="IG215" t="e">
        <f>AND('GA55 Entry'!#REF!,"AAAAACT++/A=")</f>
        <v>#REF!</v>
      </c>
      <c r="IH215" t="e">
        <f>AND('GA55 Entry'!#REF!,"AAAAACT++/E=")</f>
        <v>#REF!</v>
      </c>
      <c r="II215" t="e">
        <f>AND('GA55 Entry'!D850,"AAAAACT++/I=")</f>
        <v>#VALUE!</v>
      </c>
      <c r="IJ215" t="e">
        <f>AND('GA55 Entry'!#REF!,"AAAAACT++/M=")</f>
        <v>#REF!</v>
      </c>
      <c r="IK215" t="e">
        <f>AND('GA55 Entry'!E850,"AAAAACT++/Q=")</f>
        <v>#VALUE!</v>
      </c>
      <c r="IL215" t="e">
        <f>AND('GA55 Entry'!F850,"AAAAACT++/U=")</f>
        <v>#VALUE!</v>
      </c>
      <c r="IM215" t="e">
        <f>AND('GA55 Entry'!G850,"AAAAACT++/Y=")</f>
        <v>#VALUE!</v>
      </c>
      <c r="IN215" t="e">
        <f>AND('GA55 Entry'!H850,"AAAAACT++/c=")</f>
        <v>#VALUE!</v>
      </c>
      <c r="IO215" t="e">
        <f>AND('GA55 Entry'!I850,"AAAAACT++/g=")</f>
        <v>#VALUE!</v>
      </c>
      <c r="IP215" t="e">
        <f>AND('GA55 Entry'!J850,"AAAAACT++/k=")</f>
        <v>#VALUE!</v>
      </c>
      <c r="IQ215" t="e">
        <f>AND('GA55 Entry'!#REF!,"AAAAACT++/o=")</f>
        <v>#REF!</v>
      </c>
      <c r="IR215" t="e">
        <f>AND('GA55 Entry'!K850,"AAAAACT++/s=")</f>
        <v>#VALUE!</v>
      </c>
      <c r="IS215" t="e">
        <f>AND('GA55 Entry'!L850,"AAAAACT++/w=")</f>
        <v>#VALUE!</v>
      </c>
      <c r="IT215" t="e">
        <f>AND('GA55 Entry'!M850,"AAAAACT++/0=")</f>
        <v>#VALUE!</v>
      </c>
      <c r="IU215" t="e">
        <f>AND('GA55 Entry'!N850,"AAAAACT++/4=")</f>
        <v>#VALUE!</v>
      </c>
      <c r="IV215" t="e">
        <f>AND('GA55 Entry'!O850,"AAAAACT++/8=")</f>
        <v>#VALUE!</v>
      </c>
    </row>
    <row r="216" spans="1:256">
      <c r="A216" t="e">
        <f>AND('GA55 Entry'!P850,"AAAAAD/s9wA=")</f>
        <v>#VALUE!</v>
      </c>
      <c r="B216" t="e">
        <f>AND('GA55 Entry'!Q850,"AAAAAD/s9wE=")</f>
        <v>#VALUE!</v>
      </c>
      <c r="C216" t="e">
        <f>AND('GA55 Entry'!S850,"AAAAAD/s9wI=")</f>
        <v>#VALUE!</v>
      </c>
      <c r="D216" t="e">
        <f>AND('GA55 Entry'!#REF!,"AAAAAD/s9wM=")</f>
        <v>#REF!</v>
      </c>
      <c r="E216" t="e">
        <f>AND('GA55 Entry'!T850,"AAAAAD/s9wQ=")</f>
        <v>#VALUE!</v>
      </c>
      <c r="F216" t="e">
        <f>AND('GA55 Entry'!U850,"AAAAAD/s9wU=")</f>
        <v>#VALUE!</v>
      </c>
      <c r="G216" t="e">
        <f>AND('GA55 Entry'!V850,"AAAAAD/s9wY=")</f>
        <v>#VALUE!</v>
      </c>
      <c r="H216" t="e">
        <f>AND('GA55 Entry'!#REF!,"AAAAAD/s9wc=")</f>
        <v>#REF!</v>
      </c>
      <c r="I216" t="e">
        <f>AND('GA55 Entry'!#REF!,"AAAAAD/s9wg=")</f>
        <v>#REF!</v>
      </c>
      <c r="J216" t="e">
        <f>AND('GA55 Entry'!X850,"AAAAAD/s9wk=")</f>
        <v>#VALUE!</v>
      </c>
      <c r="K216" t="e">
        <f>AND('GA55 Entry'!Y850,"AAAAAD/s9wo=")</f>
        <v>#VALUE!</v>
      </c>
      <c r="L216" t="e">
        <f>AND('GA55 Entry'!#REF!,"AAAAAD/s9ws=")</f>
        <v>#REF!</v>
      </c>
      <c r="M216" t="e">
        <f>AND('GA55 Entry'!#REF!,"AAAAAD/s9ww=")</f>
        <v>#REF!</v>
      </c>
      <c r="N216" t="e">
        <f>AND('GA55 Entry'!#REF!,"AAAAAD/s9w0=")</f>
        <v>#REF!</v>
      </c>
      <c r="O216" t="e">
        <f>AND('GA55 Entry'!#REF!,"AAAAAD/s9w4=")</f>
        <v>#REF!</v>
      </c>
      <c r="P216" t="e">
        <f>AND('GA55 Entry'!#REF!,"AAAAAD/s9w8=")</f>
        <v>#REF!</v>
      </c>
      <c r="Q216" t="e">
        <f>AND('GA55 Entry'!#REF!,"AAAAAD/s9xA=")</f>
        <v>#REF!</v>
      </c>
      <c r="R216" t="e">
        <f>AND('GA55 Entry'!#REF!,"AAAAAD/s9xE=")</f>
        <v>#REF!</v>
      </c>
      <c r="S216" t="e">
        <f>AND('GA55 Entry'!#REF!,"AAAAAD/s9xI=")</f>
        <v>#REF!</v>
      </c>
      <c r="T216" t="e">
        <f>AND('GA55 Entry'!#REF!,"AAAAAD/s9xM=")</f>
        <v>#REF!</v>
      </c>
      <c r="U216" t="e">
        <f>AND('GA55 Entry'!Z850,"AAAAAD/s9xQ=")</f>
        <v>#VALUE!</v>
      </c>
      <c r="V216" t="e">
        <f>AND('GA55 Entry'!AA850,"AAAAAD/s9xU=")</f>
        <v>#VALUE!</v>
      </c>
      <c r="W216" t="e">
        <f>AND('GA55 Entry'!#REF!,"AAAAAD/s9xY=")</f>
        <v>#REF!</v>
      </c>
      <c r="X216" t="e">
        <f>AND('GA55 Entry'!#REF!,"AAAAAD/s9xc=")</f>
        <v>#REF!</v>
      </c>
      <c r="Y216" t="e">
        <f>AND('GA55 Entry'!#REF!,"AAAAAD/s9xg=")</f>
        <v>#REF!</v>
      </c>
      <c r="Z216" t="e">
        <f>AND('GA55 Entry'!AB850,"AAAAAD/s9xk=")</f>
        <v>#VALUE!</v>
      </c>
      <c r="AA216" t="e">
        <f>AND('GA55 Entry'!AC850,"AAAAAD/s9xo=")</f>
        <v>#VALUE!</v>
      </c>
      <c r="AB216" t="e">
        <f>AND('GA55 Entry'!#REF!,"AAAAAD/s9xs=")</f>
        <v>#REF!</v>
      </c>
      <c r="AC216">
        <f>IF('GA55 Entry'!851:851,"AAAAAD/s9xw=",0)</f>
        <v>0</v>
      </c>
      <c r="AD216" t="e">
        <f>AND('GA55 Entry'!B851,"AAAAAD/s9x0=")</f>
        <v>#VALUE!</v>
      </c>
      <c r="AE216" t="e">
        <f>AND('GA55 Entry'!#REF!,"AAAAAD/s9x4=")</f>
        <v>#REF!</v>
      </c>
      <c r="AF216" t="e">
        <f>AND('GA55 Entry'!C851,"AAAAAD/s9x8=")</f>
        <v>#VALUE!</v>
      </c>
      <c r="AG216" t="e">
        <f>AND('GA55 Entry'!#REF!,"AAAAAD/s9yA=")</f>
        <v>#REF!</v>
      </c>
      <c r="AH216" t="e">
        <f>AND('GA55 Entry'!#REF!,"AAAAAD/s9yE=")</f>
        <v>#REF!</v>
      </c>
      <c r="AI216" t="e">
        <f>AND('GA55 Entry'!#REF!,"AAAAAD/s9yI=")</f>
        <v>#REF!</v>
      </c>
      <c r="AJ216" t="e">
        <f>AND('GA55 Entry'!#REF!,"AAAAAD/s9yM=")</f>
        <v>#REF!</v>
      </c>
      <c r="AK216" t="e">
        <f>AND('GA55 Entry'!#REF!,"AAAAAD/s9yQ=")</f>
        <v>#REF!</v>
      </c>
      <c r="AL216" t="e">
        <f>AND('GA55 Entry'!D851,"AAAAAD/s9yU=")</f>
        <v>#VALUE!</v>
      </c>
      <c r="AM216" t="e">
        <f>AND('GA55 Entry'!#REF!,"AAAAAD/s9yY=")</f>
        <v>#REF!</v>
      </c>
      <c r="AN216" t="e">
        <f>AND('GA55 Entry'!E851,"AAAAAD/s9yc=")</f>
        <v>#VALUE!</v>
      </c>
      <c r="AO216" t="e">
        <f>AND('GA55 Entry'!F851,"AAAAAD/s9yg=")</f>
        <v>#VALUE!</v>
      </c>
      <c r="AP216" t="e">
        <f>AND('GA55 Entry'!G851,"AAAAAD/s9yk=")</f>
        <v>#VALUE!</v>
      </c>
      <c r="AQ216" t="e">
        <f>AND('GA55 Entry'!H851,"AAAAAD/s9yo=")</f>
        <v>#VALUE!</v>
      </c>
      <c r="AR216" t="e">
        <f>AND('GA55 Entry'!I851,"AAAAAD/s9ys=")</f>
        <v>#VALUE!</v>
      </c>
      <c r="AS216" t="e">
        <f>AND('GA55 Entry'!J851,"AAAAAD/s9yw=")</f>
        <v>#VALUE!</v>
      </c>
      <c r="AT216" t="e">
        <f>AND('GA55 Entry'!#REF!,"AAAAAD/s9y0=")</f>
        <v>#REF!</v>
      </c>
      <c r="AU216" t="e">
        <f>AND('GA55 Entry'!K851,"AAAAAD/s9y4=")</f>
        <v>#VALUE!</v>
      </c>
      <c r="AV216" t="e">
        <f>AND('GA55 Entry'!L851,"AAAAAD/s9y8=")</f>
        <v>#VALUE!</v>
      </c>
      <c r="AW216" t="e">
        <f>AND('GA55 Entry'!M851,"AAAAAD/s9zA=")</f>
        <v>#VALUE!</v>
      </c>
      <c r="AX216" t="e">
        <f>AND('GA55 Entry'!N851,"AAAAAD/s9zE=")</f>
        <v>#VALUE!</v>
      </c>
      <c r="AY216" t="e">
        <f>AND('GA55 Entry'!O851,"AAAAAD/s9zI=")</f>
        <v>#VALUE!</v>
      </c>
      <c r="AZ216" t="e">
        <f>AND('GA55 Entry'!P851,"AAAAAD/s9zM=")</f>
        <v>#VALUE!</v>
      </c>
      <c r="BA216" t="e">
        <f>AND('GA55 Entry'!Q851,"AAAAAD/s9zQ=")</f>
        <v>#VALUE!</v>
      </c>
      <c r="BB216" t="e">
        <f>AND('GA55 Entry'!S851,"AAAAAD/s9zU=")</f>
        <v>#VALUE!</v>
      </c>
      <c r="BC216" t="e">
        <f>AND('GA55 Entry'!#REF!,"AAAAAD/s9zY=")</f>
        <v>#REF!</v>
      </c>
      <c r="BD216" t="e">
        <f>AND('GA55 Entry'!T851,"AAAAAD/s9zc=")</f>
        <v>#VALUE!</v>
      </c>
      <c r="BE216" t="e">
        <f>AND('GA55 Entry'!U851,"AAAAAD/s9zg=")</f>
        <v>#VALUE!</v>
      </c>
      <c r="BF216" t="e">
        <f>AND('GA55 Entry'!V851,"AAAAAD/s9zk=")</f>
        <v>#VALUE!</v>
      </c>
      <c r="BG216" t="e">
        <f>AND('GA55 Entry'!#REF!,"AAAAAD/s9zo=")</f>
        <v>#REF!</v>
      </c>
      <c r="BH216" t="e">
        <f>AND('GA55 Entry'!#REF!,"AAAAAD/s9zs=")</f>
        <v>#REF!</v>
      </c>
      <c r="BI216" t="e">
        <f>AND('GA55 Entry'!X851,"AAAAAD/s9zw=")</f>
        <v>#VALUE!</v>
      </c>
      <c r="BJ216" t="e">
        <f>AND('GA55 Entry'!Y851,"AAAAAD/s9z0=")</f>
        <v>#VALUE!</v>
      </c>
      <c r="BK216" t="e">
        <f>AND('GA55 Entry'!#REF!,"AAAAAD/s9z4=")</f>
        <v>#REF!</v>
      </c>
      <c r="BL216" t="e">
        <f>AND('GA55 Entry'!#REF!,"AAAAAD/s9z8=")</f>
        <v>#REF!</v>
      </c>
      <c r="BM216" t="e">
        <f>AND('GA55 Entry'!#REF!,"AAAAAD/s90A=")</f>
        <v>#REF!</v>
      </c>
      <c r="BN216" t="e">
        <f>AND('GA55 Entry'!#REF!,"AAAAAD/s90E=")</f>
        <v>#REF!</v>
      </c>
      <c r="BO216" t="e">
        <f>AND('GA55 Entry'!#REF!,"AAAAAD/s90I=")</f>
        <v>#REF!</v>
      </c>
      <c r="BP216" t="e">
        <f>AND('GA55 Entry'!#REF!,"AAAAAD/s90M=")</f>
        <v>#REF!</v>
      </c>
      <c r="BQ216" t="e">
        <f>AND('GA55 Entry'!#REF!,"AAAAAD/s90Q=")</f>
        <v>#REF!</v>
      </c>
      <c r="BR216" t="e">
        <f>AND('GA55 Entry'!#REF!,"AAAAAD/s90U=")</f>
        <v>#REF!</v>
      </c>
      <c r="BS216" t="e">
        <f>AND('GA55 Entry'!#REF!,"AAAAAD/s90Y=")</f>
        <v>#REF!</v>
      </c>
      <c r="BT216" t="e">
        <f>AND('GA55 Entry'!Z851,"AAAAAD/s90c=")</f>
        <v>#VALUE!</v>
      </c>
      <c r="BU216" t="e">
        <f>AND('GA55 Entry'!AA851,"AAAAAD/s90g=")</f>
        <v>#VALUE!</v>
      </c>
      <c r="BV216" t="e">
        <f>AND('GA55 Entry'!#REF!,"AAAAAD/s90k=")</f>
        <v>#REF!</v>
      </c>
      <c r="BW216" t="e">
        <f>AND('GA55 Entry'!#REF!,"AAAAAD/s90o=")</f>
        <v>#REF!</v>
      </c>
      <c r="BX216" t="e">
        <f>AND('GA55 Entry'!#REF!,"AAAAAD/s90s=")</f>
        <v>#REF!</v>
      </c>
      <c r="BY216" t="e">
        <f>AND('GA55 Entry'!AB851,"AAAAAD/s90w=")</f>
        <v>#VALUE!</v>
      </c>
      <c r="BZ216" t="e">
        <f>AND('GA55 Entry'!AC851,"AAAAAD/s900=")</f>
        <v>#VALUE!</v>
      </c>
      <c r="CA216" t="e">
        <f>AND('GA55 Entry'!#REF!,"AAAAAD/s904=")</f>
        <v>#REF!</v>
      </c>
      <c r="CB216">
        <f>IF('GA55 Entry'!852:852,"AAAAAD/s908=",0)</f>
        <v>0</v>
      </c>
      <c r="CC216" t="e">
        <f>AND('GA55 Entry'!B852,"AAAAAD/s91A=")</f>
        <v>#VALUE!</v>
      </c>
      <c r="CD216" t="e">
        <f>AND('GA55 Entry'!#REF!,"AAAAAD/s91E=")</f>
        <v>#REF!</v>
      </c>
      <c r="CE216" t="e">
        <f>AND('GA55 Entry'!C852,"AAAAAD/s91I=")</f>
        <v>#VALUE!</v>
      </c>
      <c r="CF216" t="e">
        <f>AND('GA55 Entry'!#REF!,"AAAAAD/s91M=")</f>
        <v>#REF!</v>
      </c>
      <c r="CG216" t="e">
        <f>AND('GA55 Entry'!#REF!,"AAAAAD/s91Q=")</f>
        <v>#REF!</v>
      </c>
      <c r="CH216" t="e">
        <f>AND('GA55 Entry'!#REF!,"AAAAAD/s91U=")</f>
        <v>#REF!</v>
      </c>
      <c r="CI216" t="e">
        <f>AND('GA55 Entry'!#REF!,"AAAAAD/s91Y=")</f>
        <v>#REF!</v>
      </c>
      <c r="CJ216" t="e">
        <f>AND('GA55 Entry'!#REF!,"AAAAAD/s91c=")</f>
        <v>#REF!</v>
      </c>
      <c r="CK216" t="e">
        <f>AND('GA55 Entry'!D852,"AAAAAD/s91g=")</f>
        <v>#VALUE!</v>
      </c>
      <c r="CL216" t="e">
        <f>AND('GA55 Entry'!#REF!,"AAAAAD/s91k=")</f>
        <v>#REF!</v>
      </c>
      <c r="CM216" t="e">
        <f>AND('GA55 Entry'!E852,"AAAAAD/s91o=")</f>
        <v>#VALUE!</v>
      </c>
      <c r="CN216" t="e">
        <f>AND('GA55 Entry'!F852,"AAAAAD/s91s=")</f>
        <v>#VALUE!</v>
      </c>
      <c r="CO216" t="e">
        <f>AND('GA55 Entry'!G852,"AAAAAD/s91w=")</f>
        <v>#VALUE!</v>
      </c>
      <c r="CP216" t="e">
        <f>AND('GA55 Entry'!H852,"AAAAAD/s910=")</f>
        <v>#VALUE!</v>
      </c>
      <c r="CQ216" t="e">
        <f>AND('GA55 Entry'!I852,"AAAAAD/s914=")</f>
        <v>#VALUE!</v>
      </c>
      <c r="CR216" t="e">
        <f>AND('GA55 Entry'!J852,"AAAAAD/s918=")</f>
        <v>#VALUE!</v>
      </c>
      <c r="CS216" t="e">
        <f>AND('GA55 Entry'!#REF!,"AAAAAD/s92A=")</f>
        <v>#REF!</v>
      </c>
      <c r="CT216" t="e">
        <f>AND('GA55 Entry'!K852,"AAAAAD/s92E=")</f>
        <v>#VALUE!</v>
      </c>
      <c r="CU216" t="e">
        <f>AND('GA55 Entry'!L852,"AAAAAD/s92I=")</f>
        <v>#VALUE!</v>
      </c>
      <c r="CV216" t="e">
        <f>AND('GA55 Entry'!M852,"AAAAAD/s92M=")</f>
        <v>#VALUE!</v>
      </c>
      <c r="CW216" t="e">
        <f>AND('GA55 Entry'!N852,"AAAAAD/s92Q=")</f>
        <v>#VALUE!</v>
      </c>
      <c r="CX216" t="e">
        <f>AND('GA55 Entry'!O852,"AAAAAD/s92U=")</f>
        <v>#VALUE!</v>
      </c>
      <c r="CY216" t="e">
        <f>AND('GA55 Entry'!P852,"AAAAAD/s92Y=")</f>
        <v>#VALUE!</v>
      </c>
      <c r="CZ216" t="e">
        <f>AND('GA55 Entry'!Q852,"AAAAAD/s92c=")</f>
        <v>#VALUE!</v>
      </c>
      <c r="DA216" t="e">
        <f>AND('GA55 Entry'!S852,"AAAAAD/s92g=")</f>
        <v>#VALUE!</v>
      </c>
      <c r="DB216" t="e">
        <f>AND('GA55 Entry'!#REF!,"AAAAAD/s92k=")</f>
        <v>#REF!</v>
      </c>
      <c r="DC216" t="e">
        <f>AND('GA55 Entry'!T852,"AAAAAD/s92o=")</f>
        <v>#VALUE!</v>
      </c>
      <c r="DD216" t="e">
        <f>AND('GA55 Entry'!U852,"AAAAAD/s92s=")</f>
        <v>#VALUE!</v>
      </c>
      <c r="DE216" t="e">
        <f>AND('GA55 Entry'!V852,"AAAAAD/s92w=")</f>
        <v>#VALUE!</v>
      </c>
      <c r="DF216" t="e">
        <f>AND('GA55 Entry'!#REF!,"AAAAAD/s920=")</f>
        <v>#REF!</v>
      </c>
      <c r="DG216" t="e">
        <f>AND('GA55 Entry'!#REF!,"AAAAAD/s924=")</f>
        <v>#REF!</v>
      </c>
      <c r="DH216" t="e">
        <f>AND('GA55 Entry'!X852,"AAAAAD/s928=")</f>
        <v>#VALUE!</v>
      </c>
      <c r="DI216" t="e">
        <f>AND('GA55 Entry'!Y852,"AAAAAD/s93A=")</f>
        <v>#VALUE!</v>
      </c>
      <c r="DJ216" t="e">
        <f>AND('GA55 Entry'!#REF!,"AAAAAD/s93E=")</f>
        <v>#REF!</v>
      </c>
      <c r="DK216" t="e">
        <f>AND('GA55 Entry'!#REF!,"AAAAAD/s93I=")</f>
        <v>#REF!</v>
      </c>
      <c r="DL216" t="e">
        <f>AND('GA55 Entry'!#REF!,"AAAAAD/s93M=")</f>
        <v>#REF!</v>
      </c>
      <c r="DM216" t="e">
        <f>AND('GA55 Entry'!#REF!,"AAAAAD/s93Q=")</f>
        <v>#REF!</v>
      </c>
      <c r="DN216" t="e">
        <f>AND('GA55 Entry'!#REF!,"AAAAAD/s93U=")</f>
        <v>#REF!</v>
      </c>
      <c r="DO216" t="e">
        <f>AND('GA55 Entry'!#REF!,"AAAAAD/s93Y=")</f>
        <v>#REF!</v>
      </c>
      <c r="DP216" t="e">
        <f>AND('GA55 Entry'!#REF!,"AAAAAD/s93c=")</f>
        <v>#REF!</v>
      </c>
      <c r="DQ216" t="e">
        <f>AND('GA55 Entry'!#REF!,"AAAAAD/s93g=")</f>
        <v>#REF!</v>
      </c>
      <c r="DR216" t="e">
        <f>AND('GA55 Entry'!#REF!,"AAAAAD/s93k=")</f>
        <v>#REF!</v>
      </c>
      <c r="DS216" t="e">
        <f>AND('GA55 Entry'!Z852,"AAAAAD/s93o=")</f>
        <v>#VALUE!</v>
      </c>
      <c r="DT216" t="e">
        <f>AND('GA55 Entry'!AA852,"AAAAAD/s93s=")</f>
        <v>#VALUE!</v>
      </c>
      <c r="DU216" t="e">
        <f>AND('GA55 Entry'!#REF!,"AAAAAD/s93w=")</f>
        <v>#REF!</v>
      </c>
      <c r="DV216" t="e">
        <f>AND('GA55 Entry'!#REF!,"AAAAAD/s930=")</f>
        <v>#REF!</v>
      </c>
      <c r="DW216" t="e">
        <f>AND('GA55 Entry'!#REF!,"AAAAAD/s934=")</f>
        <v>#REF!</v>
      </c>
      <c r="DX216" t="e">
        <f>AND('GA55 Entry'!AB852,"AAAAAD/s938=")</f>
        <v>#VALUE!</v>
      </c>
      <c r="DY216" t="e">
        <f>AND('GA55 Entry'!AC852,"AAAAAD/s94A=")</f>
        <v>#VALUE!</v>
      </c>
      <c r="DZ216" t="e">
        <f>AND('GA55 Entry'!#REF!,"AAAAAD/s94E=")</f>
        <v>#REF!</v>
      </c>
      <c r="EA216">
        <f>IF('GA55 Entry'!853:853,"AAAAAD/s94I=",0)</f>
        <v>0</v>
      </c>
      <c r="EB216" t="e">
        <f>AND('GA55 Entry'!B853,"AAAAAD/s94M=")</f>
        <v>#VALUE!</v>
      </c>
      <c r="EC216" t="e">
        <f>AND('GA55 Entry'!#REF!,"AAAAAD/s94Q=")</f>
        <v>#REF!</v>
      </c>
      <c r="ED216" t="e">
        <f>AND('GA55 Entry'!C853,"AAAAAD/s94U=")</f>
        <v>#VALUE!</v>
      </c>
      <c r="EE216" t="e">
        <f>AND('GA55 Entry'!#REF!,"AAAAAD/s94Y=")</f>
        <v>#REF!</v>
      </c>
      <c r="EF216" t="e">
        <f>AND('GA55 Entry'!#REF!,"AAAAAD/s94c=")</f>
        <v>#REF!</v>
      </c>
      <c r="EG216" t="e">
        <f>AND('GA55 Entry'!#REF!,"AAAAAD/s94g=")</f>
        <v>#REF!</v>
      </c>
      <c r="EH216" t="e">
        <f>AND('GA55 Entry'!#REF!,"AAAAAD/s94k=")</f>
        <v>#REF!</v>
      </c>
      <c r="EI216" t="e">
        <f>AND('GA55 Entry'!#REF!,"AAAAAD/s94o=")</f>
        <v>#REF!</v>
      </c>
      <c r="EJ216" t="e">
        <f>AND('GA55 Entry'!D853,"AAAAAD/s94s=")</f>
        <v>#VALUE!</v>
      </c>
      <c r="EK216" t="e">
        <f>AND('GA55 Entry'!#REF!,"AAAAAD/s94w=")</f>
        <v>#REF!</v>
      </c>
      <c r="EL216" t="e">
        <f>AND('GA55 Entry'!E853,"AAAAAD/s940=")</f>
        <v>#VALUE!</v>
      </c>
      <c r="EM216" t="e">
        <f>AND('GA55 Entry'!F853,"AAAAAD/s944=")</f>
        <v>#VALUE!</v>
      </c>
      <c r="EN216" t="e">
        <f>AND('GA55 Entry'!G853,"AAAAAD/s948=")</f>
        <v>#VALUE!</v>
      </c>
      <c r="EO216" t="e">
        <f>AND('GA55 Entry'!H853,"AAAAAD/s95A=")</f>
        <v>#VALUE!</v>
      </c>
      <c r="EP216" t="e">
        <f>AND('GA55 Entry'!I853,"AAAAAD/s95E=")</f>
        <v>#VALUE!</v>
      </c>
      <c r="EQ216" t="e">
        <f>AND('GA55 Entry'!J853,"AAAAAD/s95I=")</f>
        <v>#VALUE!</v>
      </c>
      <c r="ER216" t="e">
        <f>AND('GA55 Entry'!#REF!,"AAAAAD/s95M=")</f>
        <v>#REF!</v>
      </c>
      <c r="ES216" t="e">
        <f>AND('GA55 Entry'!K853,"AAAAAD/s95Q=")</f>
        <v>#VALUE!</v>
      </c>
      <c r="ET216" t="e">
        <f>AND('GA55 Entry'!L853,"AAAAAD/s95U=")</f>
        <v>#VALUE!</v>
      </c>
      <c r="EU216" t="e">
        <f>AND('GA55 Entry'!M853,"AAAAAD/s95Y=")</f>
        <v>#VALUE!</v>
      </c>
      <c r="EV216" t="e">
        <f>AND('GA55 Entry'!N853,"AAAAAD/s95c=")</f>
        <v>#VALUE!</v>
      </c>
      <c r="EW216" t="e">
        <f>AND('GA55 Entry'!O853,"AAAAAD/s95g=")</f>
        <v>#VALUE!</v>
      </c>
      <c r="EX216" t="e">
        <f>AND('GA55 Entry'!P853,"AAAAAD/s95k=")</f>
        <v>#VALUE!</v>
      </c>
      <c r="EY216" t="e">
        <f>AND('GA55 Entry'!Q853,"AAAAAD/s95o=")</f>
        <v>#VALUE!</v>
      </c>
      <c r="EZ216" t="e">
        <f>AND('GA55 Entry'!S853,"AAAAAD/s95s=")</f>
        <v>#VALUE!</v>
      </c>
      <c r="FA216" t="e">
        <f>AND('GA55 Entry'!#REF!,"AAAAAD/s95w=")</f>
        <v>#REF!</v>
      </c>
      <c r="FB216" t="e">
        <f>AND('GA55 Entry'!T853,"AAAAAD/s950=")</f>
        <v>#VALUE!</v>
      </c>
      <c r="FC216" t="e">
        <f>AND('GA55 Entry'!U853,"AAAAAD/s954=")</f>
        <v>#VALUE!</v>
      </c>
      <c r="FD216" t="e">
        <f>AND('GA55 Entry'!V853,"AAAAAD/s958=")</f>
        <v>#VALUE!</v>
      </c>
      <c r="FE216" t="e">
        <f>AND('GA55 Entry'!#REF!,"AAAAAD/s96A=")</f>
        <v>#REF!</v>
      </c>
      <c r="FF216" t="e">
        <f>AND('GA55 Entry'!#REF!,"AAAAAD/s96E=")</f>
        <v>#REF!</v>
      </c>
      <c r="FG216" t="e">
        <f>AND('GA55 Entry'!X853,"AAAAAD/s96I=")</f>
        <v>#VALUE!</v>
      </c>
      <c r="FH216" t="e">
        <f>AND('GA55 Entry'!Y853,"AAAAAD/s96M=")</f>
        <v>#VALUE!</v>
      </c>
      <c r="FI216" t="e">
        <f>AND('GA55 Entry'!#REF!,"AAAAAD/s96Q=")</f>
        <v>#REF!</v>
      </c>
      <c r="FJ216" t="e">
        <f>AND('GA55 Entry'!#REF!,"AAAAAD/s96U=")</f>
        <v>#REF!</v>
      </c>
      <c r="FK216" t="e">
        <f>AND('GA55 Entry'!#REF!,"AAAAAD/s96Y=")</f>
        <v>#REF!</v>
      </c>
      <c r="FL216" t="e">
        <f>AND('GA55 Entry'!#REF!,"AAAAAD/s96c=")</f>
        <v>#REF!</v>
      </c>
      <c r="FM216" t="e">
        <f>AND('GA55 Entry'!#REF!,"AAAAAD/s96g=")</f>
        <v>#REF!</v>
      </c>
      <c r="FN216" t="e">
        <f>AND('GA55 Entry'!#REF!,"AAAAAD/s96k=")</f>
        <v>#REF!</v>
      </c>
      <c r="FO216" t="e">
        <f>AND('GA55 Entry'!#REF!,"AAAAAD/s96o=")</f>
        <v>#REF!</v>
      </c>
      <c r="FP216" t="e">
        <f>AND('GA55 Entry'!#REF!,"AAAAAD/s96s=")</f>
        <v>#REF!</v>
      </c>
      <c r="FQ216" t="e">
        <f>AND('GA55 Entry'!#REF!,"AAAAAD/s96w=")</f>
        <v>#REF!</v>
      </c>
      <c r="FR216" t="e">
        <f>AND('GA55 Entry'!Z853,"AAAAAD/s960=")</f>
        <v>#VALUE!</v>
      </c>
      <c r="FS216" t="e">
        <f>AND('GA55 Entry'!AA853,"AAAAAD/s964=")</f>
        <v>#VALUE!</v>
      </c>
      <c r="FT216" t="e">
        <f>AND('GA55 Entry'!#REF!,"AAAAAD/s968=")</f>
        <v>#REF!</v>
      </c>
      <c r="FU216" t="e">
        <f>AND('GA55 Entry'!#REF!,"AAAAAD/s97A=")</f>
        <v>#REF!</v>
      </c>
      <c r="FV216" t="e">
        <f>AND('GA55 Entry'!#REF!,"AAAAAD/s97E=")</f>
        <v>#REF!</v>
      </c>
      <c r="FW216" t="e">
        <f>AND('GA55 Entry'!AB853,"AAAAAD/s97I=")</f>
        <v>#VALUE!</v>
      </c>
      <c r="FX216" t="e">
        <f>AND('GA55 Entry'!AC853,"AAAAAD/s97M=")</f>
        <v>#VALUE!</v>
      </c>
      <c r="FY216" t="e">
        <f>AND('GA55 Entry'!#REF!,"AAAAAD/s97Q=")</f>
        <v>#REF!</v>
      </c>
      <c r="FZ216">
        <f>IF('GA55 Entry'!854:854,"AAAAAD/s97U=",0)</f>
        <v>0</v>
      </c>
      <c r="GA216" t="e">
        <f>AND('GA55 Entry'!B854,"AAAAAD/s97Y=")</f>
        <v>#VALUE!</v>
      </c>
      <c r="GB216" t="e">
        <f>AND('GA55 Entry'!#REF!,"AAAAAD/s97c=")</f>
        <v>#REF!</v>
      </c>
      <c r="GC216" t="e">
        <f>AND('GA55 Entry'!C854,"AAAAAD/s97g=")</f>
        <v>#VALUE!</v>
      </c>
      <c r="GD216" t="e">
        <f>AND('GA55 Entry'!#REF!,"AAAAAD/s97k=")</f>
        <v>#REF!</v>
      </c>
      <c r="GE216" t="e">
        <f>AND('GA55 Entry'!#REF!,"AAAAAD/s97o=")</f>
        <v>#REF!</v>
      </c>
      <c r="GF216" t="e">
        <f>AND('GA55 Entry'!#REF!,"AAAAAD/s97s=")</f>
        <v>#REF!</v>
      </c>
      <c r="GG216" t="e">
        <f>AND('GA55 Entry'!#REF!,"AAAAAD/s97w=")</f>
        <v>#REF!</v>
      </c>
      <c r="GH216" t="e">
        <f>AND('GA55 Entry'!#REF!,"AAAAAD/s970=")</f>
        <v>#REF!</v>
      </c>
      <c r="GI216" t="e">
        <f>AND('GA55 Entry'!D854,"AAAAAD/s974=")</f>
        <v>#VALUE!</v>
      </c>
      <c r="GJ216" t="e">
        <f>AND('GA55 Entry'!#REF!,"AAAAAD/s978=")</f>
        <v>#REF!</v>
      </c>
      <c r="GK216" t="e">
        <f>AND('GA55 Entry'!E854,"AAAAAD/s98A=")</f>
        <v>#VALUE!</v>
      </c>
      <c r="GL216" t="e">
        <f>AND('GA55 Entry'!F854,"AAAAAD/s98E=")</f>
        <v>#VALUE!</v>
      </c>
      <c r="GM216" t="e">
        <f>AND('GA55 Entry'!G854,"AAAAAD/s98I=")</f>
        <v>#VALUE!</v>
      </c>
      <c r="GN216" t="e">
        <f>AND('GA55 Entry'!H854,"AAAAAD/s98M=")</f>
        <v>#VALUE!</v>
      </c>
      <c r="GO216" t="e">
        <f>AND('GA55 Entry'!I854,"AAAAAD/s98Q=")</f>
        <v>#VALUE!</v>
      </c>
      <c r="GP216" t="e">
        <f>AND('GA55 Entry'!J854,"AAAAAD/s98U=")</f>
        <v>#VALUE!</v>
      </c>
      <c r="GQ216" t="e">
        <f>AND('GA55 Entry'!#REF!,"AAAAAD/s98Y=")</f>
        <v>#REF!</v>
      </c>
      <c r="GR216" t="e">
        <f>AND('GA55 Entry'!K854,"AAAAAD/s98c=")</f>
        <v>#VALUE!</v>
      </c>
      <c r="GS216" t="e">
        <f>AND('GA55 Entry'!L854,"AAAAAD/s98g=")</f>
        <v>#VALUE!</v>
      </c>
      <c r="GT216" t="e">
        <f>AND('GA55 Entry'!M854,"AAAAAD/s98k=")</f>
        <v>#VALUE!</v>
      </c>
      <c r="GU216" t="e">
        <f>AND('GA55 Entry'!N854,"AAAAAD/s98o=")</f>
        <v>#VALUE!</v>
      </c>
      <c r="GV216" t="e">
        <f>AND('GA55 Entry'!O854,"AAAAAD/s98s=")</f>
        <v>#VALUE!</v>
      </c>
      <c r="GW216" t="e">
        <f>AND('GA55 Entry'!P854,"AAAAAD/s98w=")</f>
        <v>#VALUE!</v>
      </c>
      <c r="GX216" t="e">
        <f>AND('GA55 Entry'!Q854,"AAAAAD/s980=")</f>
        <v>#VALUE!</v>
      </c>
      <c r="GY216" t="e">
        <f>AND('GA55 Entry'!S854,"AAAAAD/s984=")</f>
        <v>#VALUE!</v>
      </c>
      <c r="GZ216" t="e">
        <f>AND('GA55 Entry'!#REF!,"AAAAAD/s988=")</f>
        <v>#REF!</v>
      </c>
      <c r="HA216" t="e">
        <f>AND('GA55 Entry'!T854,"AAAAAD/s99A=")</f>
        <v>#VALUE!</v>
      </c>
      <c r="HB216" t="e">
        <f>AND('GA55 Entry'!U854,"AAAAAD/s99E=")</f>
        <v>#VALUE!</v>
      </c>
      <c r="HC216" t="e">
        <f>AND('GA55 Entry'!V854,"AAAAAD/s99I=")</f>
        <v>#VALUE!</v>
      </c>
      <c r="HD216" t="e">
        <f>AND('GA55 Entry'!#REF!,"AAAAAD/s99M=")</f>
        <v>#REF!</v>
      </c>
      <c r="HE216" t="e">
        <f>AND('GA55 Entry'!#REF!,"AAAAAD/s99Q=")</f>
        <v>#REF!</v>
      </c>
      <c r="HF216" t="e">
        <f>AND('GA55 Entry'!X854,"AAAAAD/s99U=")</f>
        <v>#VALUE!</v>
      </c>
      <c r="HG216" t="e">
        <f>AND('GA55 Entry'!Y854,"AAAAAD/s99Y=")</f>
        <v>#VALUE!</v>
      </c>
      <c r="HH216" t="e">
        <f>AND('GA55 Entry'!#REF!,"AAAAAD/s99c=")</f>
        <v>#REF!</v>
      </c>
      <c r="HI216" t="e">
        <f>AND('GA55 Entry'!#REF!,"AAAAAD/s99g=")</f>
        <v>#REF!</v>
      </c>
      <c r="HJ216" t="e">
        <f>AND('GA55 Entry'!#REF!,"AAAAAD/s99k=")</f>
        <v>#REF!</v>
      </c>
      <c r="HK216" t="e">
        <f>AND('GA55 Entry'!#REF!,"AAAAAD/s99o=")</f>
        <v>#REF!</v>
      </c>
      <c r="HL216" t="e">
        <f>AND('GA55 Entry'!#REF!,"AAAAAD/s99s=")</f>
        <v>#REF!</v>
      </c>
      <c r="HM216" t="e">
        <f>AND('GA55 Entry'!#REF!,"AAAAAD/s99w=")</f>
        <v>#REF!</v>
      </c>
      <c r="HN216" t="e">
        <f>AND('GA55 Entry'!#REF!,"AAAAAD/s990=")</f>
        <v>#REF!</v>
      </c>
      <c r="HO216" t="e">
        <f>AND('GA55 Entry'!#REF!,"AAAAAD/s994=")</f>
        <v>#REF!</v>
      </c>
      <c r="HP216" t="e">
        <f>AND('GA55 Entry'!#REF!,"AAAAAD/s998=")</f>
        <v>#REF!</v>
      </c>
      <c r="HQ216" t="e">
        <f>AND('GA55 Entry'!Z854,"AAAAAD/s9+A=")</f>
        <v>#VALUE!</v>
      </c>
      <c r="HR216" t="e">
        <f>AND('GA55 Entry'!AA854,"AAAAAD/s9+E=")</f>
        <v>#VALUE!</v>
      </c>
      <c r="HS216" t="e">
        <f>AND('GA55 Entry'!#REF!,"AAAAAD/s9+I=")</f>
        <v>#REF!</v>
      </c>
      <c r="HT216" t="e">
        <f>AND('GA55 Entry'!#REF!,"AAAAAD/s9+M=")</f>
        <v>#REF!</v>
      </c>
      <c r="HU216" t="e">
        <f>AND('GA55 Entry'!#REF!,"AAAAAD/s9+Q=")</f>
        <v>#REF!</v>
      </c>
      <c r="HV216" t="e">
        <f>AND('GA55 Entry'!AB854,"AAAAAD/s9+U=")</f>
        <v>#VALUE!</v>
      </c>
      <c r="HW216" t="e">
        <f>AND('GA55 Entry'!AC854,"AAAAAD/s9+Y=")</f>
        <v>#VALUE!</v>
      </c>
      <c r="HX216" t="e">
        <f>AND('GA55 Entry'!#REF!,"AAAAAD/s9+c=")</f>
        <v>#REF!</v>
      </c>
      <c r="HY216">
        <f>IF('GA55 Entry'!855:855,"AAAAAD/s9+g=",0)</f>
        <v>0</v>
      </c>
      <c r="HZ216" t="e">
        <f>AND('GA55 Entry'!B855,"AAAAAD/s9+k=")</f>
        <v>#VALUE!</v>
      </c>
      <c r="IA216" t="e">
        <f>AND('GA55 Entry'!#REF!,"AAAAAD/s9+o=")</f>
        <v>#REF!</v>
      </c>
      <c r="IB216" t="e">
        <f>AND('GA55 Entry'!C855,"AAAAAD/s9+s=")</f>
        <v>#VALUE!</v>
      </c>
      <c r="IC216" t="e">
        <f>AND('GA55 Entry'!#REF!,"AAAAAD/s9+w=")</f>
        <v>#REF!</v>
      </c>
      <c r="ID216" t="e">
        <f>AND('GA55 Entry'!#REF!,"AAAAAD/s9+0=")</f>
        <v>#REF!</v>
      </c>
      <c r="IE216" t="e">
        <f>AND('GA55 Entry'!#REF!,"AAAAAD/s9+4=")</f>
        <v>#REF!</v>
      </c>
      <c r="IF216" t="e">
        <f>AND('GA55 Entry'!#REF!,"AAAAAD/s9+8=")</f>
        <v>#REF!</v>
      </c>
      <c r="IG216" t="e">
        <f>AND('GA55 Entry'!#REF!,"AAAAAD/s9/A=")</f>
        <v>#REF!</v>
      </c>
      <c r="IH216" t="e">
        <f>AND('GA55 Entry'!D855,"AAAAAD/s9/E=")</f>
        <v>#VALUE!</v>
      </c>
      <c r="II216" t="e">
        <f>AND('GA55 Entry'!#REF!,"AAAAAD/s9/I=")</f>
        <v>#REF!</v>
      </c>
      <c r="IJ216" t="e">
        <f>AND('GA55 Entry'!E855,"AAAAAD/s9/M=")</f>
        <v>#VALUE!</v>
      </c>
      <c r="IK216" t="e">
        <f>AND('GA55 Entry'!F855,"AAAAAD/s9/Q=")</f>
        <v>#VALUE!</v>
      </c>
      <c r="IL216" t="e">
        <f>AND('GA55 Entry'!G855,"AAAAAD/s9/U=")</f>
        <v>#VALUE!</v>
      </c>
      <c r="IM216" t="e">
        <f>AND('GA55 Entry'!H855,"AAAAAD/s9/Y=")</f>
        <v>#VALUE!</v>
      </c>
      <c r="IN216" t="e">
        <f>AND('GA55 Entry'!I855,"AAAAAD/s9/c=")</f>
        <v>#VALUE!</v>
      </c>
      <c r="IO216" t="e">
        <f>AND('GA55 Entry'!J855,"AAAAAD/s9/g=")</f>
        <v>#VALUE!</v>
      </c>
      <c r="IP216" t="e">
        <f>AND('GA55 Entry'!#REF!,"AAAAAD/s9/k=")</f>
        <v>#REF!</v>
      </c>
      <c r="IQ216" t="e">
        <f>AND('GA55 Entry'!K855,"AAAAAD/s9/o=")</f>
        <v>#VALUE!</v>
      </c>
      <c r="IR216" t="e">
        <f>AND('GA55 Entry'!L855,"AAAAAD/s9/s=")</f>
        <v>#VALUE!</v>
      </c>
      <c r="IS216" t="e">
        <f>AND('GA55 Entry'!M855,"AAAAAD/s9/w=")</f>
        <v>#VALUE!</v>
      </c>
      <c r="IT216" t="e">
        <f>AND('GA55 Entry'!N855,"AAAAAD/s9/0=")</f>
        <v>#VALUE!</v>
      </c>
      <c r="IU216" t="e">
        <f>AND('GA55 Entry'!O855,"AAAAAD/s9/4=")</f>
        <v>#VALUE!</v>
      </c>
      <c r="IV216" t="e">
        <f>AND('GA55 Entry'!P855,"AAAAAD/s9/8=")</f>
        <v>#VALUE!</v>
      </c>
    </row>
    <row r="217" spans="1:256">
      <c r="A217" t="e">
        <f>AND('GA55 Entry'!Q855,"AAAAAG6/mAA=")</f>
        <v>#VALUE!</v>
      </c>
      <c r="B217" t="e">
        <f>AND('GA55 Entry'!S855,"AAAAAG6/mAE=")</f>
        <v>#VALUE!</v>
      </c>
      <c r="C217" t="e">
        <f>AND('GA55 Entry'!#REF!,"AAAAAG6/mAI=")</f>
        <v>#REF!</v>
      </c>
      <c r="D217" t="e">
        <f>AND('GA55 Entry'!T855,"AAAAAG6/mAM=")</f>
        <v>#VALUE!</v>
      </c>
      <c r="E217" t="e">
        <f>AND('GA55 Entry'!U855,"AAAAAG6/mAQ=")</f>
        <v>#VALUE!</v>
      </c>
      <c r="F217" t="e">
        <f>AND('GA55 Entry'!V855,"AAAAAG6/mAU=")</f>
        <v>#VALUE!</v>
      </c>
      <c r="G217" t="e">
        <f>AND('GA55 Entry'!#REF!,"AAAAAG6/mAY=")</f>
        <v>#REF!</v>
      </c>
      <c r="H217" t="e">
        <f>AND('GA55 Entry'!#REF!,"AAAAAG6/mAc=")</f>
        <v>#REF!</v>
      </c>
      <c r="I217" t="e">
        <f>AND('GA55 Entry'!X855,"AAAAAG6/mAg=")</f>
        <v>#VALUE!</v>
      </c>
      <c r="J217" t="e">
        <f>AND('GA55 Entry'!Y855,"AAAAAG6/mAk=")</f>
        <v>#VALUE!</v>
      </c>
      <c r="K217" t="e">
        <f>AND('GA55 Entry'!#REF!,"AAAAAG6/mAo=")</f>
        <v>#REF!</v>
      </c>
      <c r="L217" t="e">
        <f>AND('GA55 Entry'!#REF!,"AAAAAG6/mAs=")</f>
        <v>#REF!</v>
      </c>
      <c r="M217" t="e">
        <f>AND('GA55 Entry'!#REF!,"AAAAAG6/mAw=")</f>
        <v>#REF!</v>
      </c>
      <c r="N217" t="e">
        <f>AND('GA55 Entry'!#REF!,"AAAAAG6/mA0=")</f>
        <v>#REF!</v>
      </c>
      <c r="O217" t="e">
        <f>AND('GA55 Entry'!#REF!,"AAAAAG6/mA4=")</f>
        <v>#REF!</v>
      </c>
      <c r="P217" t="e">
        <f>AND('GA55 Entry'!#REF!,"AAAAAG6/mA8=")</f>
        <v>#REF!</v>
      </c>
      <c r="Q217" t="e">
        <f>AND('GA55 Entry'!#REF!,"AAAAAG6/mBA=")</f>
        <v>#REF!</v>
      </c>
      <c r="R217" t="e">
        <f>AND('GA55 Entry'!#REF!,"AAAAAG6/mBE=")</f>
        <v>#REF!</v>
      </c>
      <c r="S217" t="e">
        <f>AND('GA55 Entry'!#REF!,"AAAAAG6/mBI=")</f>
        <v>#REF!</v>
      </c>
      <c r="T217" t="e">
        <f>AND('GA55 Entry'!Z855,"AAAAAG6/mBM=")</f>
        <v>#VALUE!</v>
      </c>
      <c r="U217" t="e">
        <f>AND('GA55 Entry'!AA855,"AAAAAG6/mBQ=")</f>
        <v>#VALUE!</v>
      </c>
      <c r="V217" t="e">
        <f>AND('GA55 Entry'!#REF!,"AAAAAG6/mBU=")</f>
        <v>#REF!</v>
      </c>
      <c r="W217" t="e">
        <f>AND('GA55 Entry'!#REF!,"AAAAAG6/mBY=")</f>
        <v>#REF!</v>
      </c>
      <c r="X217" t="e">
        <f>AND('GA55 Entry'!#REF!,"AAAAAG6/mBc=")</f>
        <v>#REF!</v>
      </c>
      <c r="Y217" t="e">
        <f>AND('GA55 Entry'!AB855,"AAAAAG6/mBg=")</f>
        <v>#VALUE!</v>
      </c>
      <c r="Z217" t="e">
        <f>AND('GA55 Entry'!AC855,"AAAAAG6/mBk=")</f>
        <v>#VALUE!</v>
      </c>
      <c r="AA217" t="e">
        <f>AND('GA55 Entry'!#REF!,"AAAAAG6/mBo=")</f>
        <v>#REF!</v>
      </c>
      <c r="AB217">
        <f>IF('GA55 Entry'!856:856,"AAAAAG6/mBs=",0)</f>
        <v>0</v>
      </c>
      <c r="AC217" t="e">
        <f>AND('GA55 Entry'!B856,"AAAAAG6/mBw=")</f>
        <v>#VALUE!</v>
      </c>
      <c r="AD217" t="e">
        <f>AND('GA55 Entry'!#REF!,"AAAAAG6/mB0=")</f>
        <v>#REF!</v>
      </c>
      <c r="AE217" t="e">
        <f>AND('GA55 Entry'!C856,"AAAAAG6/mB4=")</f>
        <v>#VALUE!</v>
      </c>
      <c r="AF217" t="e">
        <f>AND('GA55 Entry'!#REF!,"AAAAAG6/mB8=")</f>
        <v>#REF!</v>
      </c>
      <c r="AG217" t="e">
        <f>AND('GA55 Entry'!#REF!,"AAAAAG6/mCA=")</f>
        <v>#REF!</v>
      </c>
      <c r="AH217" t="e">
        <f>AND('GA55 Entry'!#REF!,"AAAAAG6/mCE=")</f>
        <v>#REF!</v>
      </c>
      <c r="AI217" t="e">
        <f>AND('GA55 Entry'!#REF!,"AAAAAG6/mCI=")</f>
        <v>#REF!</v>
      </c>
      <c r="AJ217" t="e">
        <f>AND('GA55 Entry'!#REF!,"AAAAAG6/mCM=")</f>
        <v>#REF!</v>
      </c>
      <c r="AK217" t="e">
        <f>AND('GA55 Entry'!D856,"AAAAAG6/mCQ=")</f>
        <v>#VALUE!</v>
      </c>
      <c r="AL217" t="e">
        <f>AND('GA55 Entry'!#REF!,"AAAAAG6/mCU=")</f>
        <v>#REF!</v>
      </c>
      <c r="AM217" t="e">
        <f>AND('GA55 Entry'!E856,"AAAAAG6/mCY=")</f>
        <v>#VALUE!</v>
      </c>
      <c r="AN217" t="e">
        <f>AND('GA55 Entry'!F856,"AAAAAG6/mCc=")</f>
        <v>#VALUE!</v>
      </c>
      <c r="AO217" t="e">
        <f>AND('GA55 Entry'!G856,"AAAAAG6/mCg=")</f>
        <v>#VALUE!</v>
      </c>
      <c r="AP217" t="e">
        <f>AND('GA55 Entry'!H856,"AAAAAG6/mCk=")</f>
        <v>#VALUE!</v>
      </c>
      <c r="AQ217" t="e">
        <f>AND('GA55 Entry'!I856,"AAAAAG6/mCo=")</f>
        <v>#VALUE!</v>
      </c>
      <c r="AR217" t="e">
        <f>AND('GA55 Entry'!J856,"AAAAAG6/mCs=")</f>
        <v>#VALUE!</v>
      </c>
      <c r="AS217" t="e">
        <f>AND('GA55 Entry'!#REF!,"AAAAAG6/mCw=")</f>
        <v>#REF!</v>
      </c>
      <c r="AT217" t="e">
        <f>AND('GA55 Entry'!K856,"AAAAAG6/mC0=")</f>
        <v>#VALUE!</v>
      </c>
      <c r="AU217" t="e">
        <f>AND('GA55 Entry'!L856,"AAAAAG6/mC4=")</f>
        <v>#VALUE!</v>
      </c>
      <c r="AV217" t="e">
        <f>AND('GA55 Entry'!M856,"AAAAAG6/mC8=")</f>
        <v>#VALUE!</v>
      </c>
      <c r="AW217" t="e">
        <f>AND('GA55 Entry'!N856,"AAAAAG6/mDA=")</f>
        <v>#VALUE!</v>
      </c>
      <c r="AX217" t="e">
        <f>AND('GA55 Entry'!O856,"AAAAAG6/mDE=")</f>
        <v>#VALUE!</v>
      </c>
      <c r="AY217" t="e">
        <f>AND('GA55 Entry'!P856,"AAAAAG6/mDI=")</f>
        <v>#VALUE!</v>
      </c>
      <c r="AZ217" t="e">
        <f>AND('GA55 Entry'!Q856,"AAAAAG6/mDM=")</f>
        <v>#VALUE!</v>
      </c>
      <c r="BA217" t="e">
        <f>AND('GA55 Entry'!S856,"AAAAAG6/mDQ=")</f>
        <v>#VALUE!</v>
      </c>
      <c r="BB217" t="e">
        <f>AND('GA55 Entry'!#REF!,"AAAAAG6/mDU=")</f>
        <v>#REF!</v>
      </c>
      <c r="BC217" t="e">
        <f>AND('GA55 Entry'!T856,"AAAAAG6/mDY=")</f>
        <v>#VALUE!</v>
      </c>
      <c r="BD217" t="e">
        <f>AND('GA55 Entry'!U856,"AAAAAG6/mDc=")</f>
        <v>#VALUE!</v>
      </c>
      <c r="BE217" t="e">
        <f>AND('GA55 Entry'!V856,"AAAAAG6/mDg=")</f>
        <v>#VALUE!</v>
      </c>
      <c r="BF217" t="e">
        <f>AND('GA55 Entry'!#REF!,"AAAAAG6/mDk=")</f>
        <v>#REF!</v>
      </c>
      <c r="BG217" t="e">
        <f>AND('GA55 Entry'!#REF!,"AAAAAG6/mDo=")</f>
        <v>#REF!</v>
      </c>
      <c r="BH217" t="e">
        <f>AND('GA55 Entry'!X856,"AAAAAG6/mDs=")</f>
        <v>#VALUE!</v>
      </c>
      <c r="BI217" t="e">
        <f>AND('GA55 Entry'!Y856,"AAAAAG6/mDw=")</f>
        <v>#VALUE!</v>
      </c>
      <c r="BJ217" t="e">
        <f>AND('GA55 Entry'!#REF!,"AAAAAG6/mD0=")</f>
        <v>#REF!</v>
      </c>
      <c r="BK217" t="e">
        <f>AND('GA55 Entry'!#REF!,"AAAAAG6/mD4=")</f>
        <v>#REF!</v>
      </c>
      <c r="BL217" t="e">
        <f>AND('GA55 Entry'!#REF!,"AAAAAG6/mD8=")</f>
        <v>#REF!</v>
      </c>
      <c r="BM217" t="e">
        <f>AND('GA55 Entry'!#REF!,"AAAAAG6/mEA=")</f>
        <v>#REF!</v>
      </c>
      <c r="BN217" t="e">
        <f>AND('GA55 Entry'!#REF!,"AAAAAG6/mEE=")</f>
        <v>#REF!</v>
      </c>
      <c r="BO217" t="e">
        <f>AND('GA55 Entry'!#REF!,"AAAAAG6/mEI=")</f>
        <v>#REF!</v>
      </c>
      <c r="BP217" t="e">
        <f>AND('GA55 Entry'!#REF!,"AAAAAG6/mEM=")</f>
        <v>#REF!</v>
      </c>
      <c r="BQ217" t="e">
        <f>AND('GA55 Entry'!#REF!,"AAAAAG6/mEQ=")</f>
        <v>#REF!</v>
      </c>
      <c r="BR217" t="e">
        <f>AND('GA55 Entry'!#REF!,"AAAAAG6/mEU=")</f>
        <v>#REF!</v>
      </c>
      <c r="BS217" t="e">
        <f>AND('GA55 Entry'!Z856,"AAAAAG6/mEY=")</f>
        <v>#VALUE!</v>
      </c>
      <c r="BT217" t="e">
        <f>AND('GA55 Entry'!AA856,"AAAAAG6/mEc=")</f>
        <v>#VALUE!</v>
      </c>
      <c r="BU217" t="e">
        <f>AND('GA55 Entry'!#REF!,"AAAAAG6/mEg=")</f>
        <v>#REF!</v>
      </c>
      <c r="BV217" t="e">
        <f>AND('GA55 Entry'!#REF!,"AAAAAG6/mEk=")</f>
        <v>#REF!</v>
      </c>
      <c r="BW217" t="e">
        <f>AND('GA55 Entry'!#REF!,"AAAAAG6/mEo=")</f>
        <v>#REF!</v>
      </c>
      <c r="BX217" t="e">
        <f>AND('GA55 Entry'!AB856,"AAAAAG6/mEs=")</f>
        <v>#VALUE!</v>
      </c>
      <c r="BY217" t="e">
        <f>AND('GA55 Entry'!AC856,"AAAAAG6/mEw=")</f>
        <v>#VALUE!</v>
      </c>
      <c r="BZ217" t="e">
        <f>AND('GA55 Entry'!#REF!,"AAAAAG6/mE0=")</f>
        <v>#REF!</v>
      </c>
      <c r="CA217">
        <f>IF('GA55 Entry'!857:857,"AAAAAG6/mE4=",0)</f>
        <v>0</v>
      </c>
      <c r="CB217" t="e">
        <f>AND('GA55 Entry'!B857,"AAAAAG6/mE8=")</f>
        <v>#VALUE!</v>
      </c>
      <c r="CC217" t="e">
        <f>AND('GA55 Entry'!#REF!,"AAAAAG6/mFA=")</f>
        <v>#REF!</v>
      </c>
      <c r="CD217" t="e">
        <f>AND('GA55 Entry'!C857,"AAAAAG6/mFE=")</f>
        <v>#VALUE!</v>
      </c>
      <c r="CE217" t="e">
        <f>AND('GA55 Entry'!#REF!,"AAAAAG6/mFI=")</f>
        <v>#REF!</v>
      </c>
      <c r="CF217" t="e">
        <f>AND('GA55 Entry'!#REF!,"AAAAAG6/mFM=")</f>
        <v>#REF!</v>
      </c>
      <c r="CG217" t="e">
        <f>AND('GA55 Entry'!#REF!,"AAAAAG6/mFQ=")</f>
        <v>#REF!</v>
      </c>
      <c r="CH217" t="e">
        <f>AND('GA55 Entry'!#REF!,"AAAAAG6/mFU=")</f>
        <v>#REF!</v>
      </c>
      <c r="CI217" t="e">
        <f>AND('GA55 Entry'!#REF!,"AAAAAG6/mFY=")</f>
        <v>#REF!</v>
      </c>
      <c r="CJ217" t="e">
        <f>AND('GA55 Entry'!D857,"AAAAAG6/mFc=")</f>
        <v>#VALUE!</v>
      </c>
      <c r="CK217" t="e">
        <f>AND('GA55 Entry'!#REF!,"AAAAAG6/mFg=")</f>
        <v>#REF!</v>
      </c>
      <c r="CL217" t="e">
        <f>AND('GA55 Entry'!E857,"AAAAAG6/mFk=")</f>
        <v>#VALUE!</v>
      </c>
      <c r="CM217" t="e">
        <f>AND('GA55 Entry'!F857,"AAAAAG6/mFo=")</f>
        <v>#VALUE!</v>
      </c>
      <c r="CN217" t="e">
        <f>AND('GA55 Entry'!G857,"AAAAAG6/mFs=")</f>
        <v>#VALUE!</v>
      </c>
      <c r="CO217" t="e">
        <f>AND('GA55 Entry'!H857,"AAAAAG6/mFw=")</f>
        <v>#VALUE!</v>
      </c>
      <c r="CP217" t="e">
        <f>AND('GA55 Entry'!I857,"AAAAAG6/mF0=")</f>
        <v>#VALUE!</v>
      </c>
      <c r="CQ217" t="e">
        <f>AND('GA55 Entry'!J857,"AAAAAG6/mF4=")</f>
        <v>#VALUE!</v>
      </c>
      <c r="CR217" t="e">
        <f>AND('GA55 Entry'!#REF!,"AAAAAG6/mF8=")</f>
        <v>#REF!</v>
      </c>
      <c r="CS217" t="e">
        <f>AND('GA55 Entry'!K857,"AAAAAG6/mGA=")</f>
        <v>#VALUE!</v>
      </c>
      <c r="CT217" t="e">
        <f>AND('GA55 Entry'!L857,"AAAAAG6/mGE=")</f>
        <v>#VALUE!</v>
      </c>
      <c r="CU217" t="e">
        <f>AND('GA55 Entry'!M857,"AAAAAG6/mGI=")</f>
        <v>#VALUE!</v>
      </c>
      <c r="CV217" t="e">
        <f>AND('GA55 Entry'!N857,"AAAAAG6/mGM=")</f>
        <v>#VALUE!</v>
      </c>
      <c r="CW217" t="e">
        <f>AND('GA55 Entry'!O857,"AAAAAG6/mGQ=")</f>
        <v>#VALUE!</v>
      </c>
      <c r="CX217" t="e">
        <f>AND('GA55 Entry'!P857,"AAAAAG6/mGU=")</f>
        <v>#VALUE!</v>
      </c>
      <c r="CY217" t="e">
        <f>AND('GA55 Entry'!Q857,"AAAAAG6/mGY=")</f>
        <v>#VALUE!</v>
      </c>
      <c r="CZ217" t="e">
        <f>AND('GA55 Entry'!S857,"AAAAAG6/mGc=")</f>
        <v>#VALUE!</v>
      </c>
      <c r="DA217" t="e">
        <f>AND('GA55 Entry'!#REF!,"AAAAAG6/mGg=")</f>
        <v>#REF!</v>
      </c>
      <c r="DB217" t="e">
        <f>AND('GA55 Entry'!T857,"AAAAAG6/mGk=")</f>
        <v>#VALUE!</v>
      </c>
      <c r="DC217" t="e">
        <f>AND('GA55 Entry'!U857,"AAAAAG6/mGo=")</f>
        <v>#VALUE!</v>
      </c>
      <c r="DD217" t="e">
        <f>AND('GA55 Entry'!V857,"AAAAAG6/mGs=")</f>
        <v>#VALUE!</v>
      </c>
      <c r="DE217" t="e">
        <f>AND('GA55 Entry'!#REF!,"AAAAAG6/mGw=")</f>
        <v>#REF!</v>
      </c>
      <c r="DF217" t="e">
        <f>AND('GA55 Entry'!#REF!,"AAAAAG6/mG0=")</f>
        <v>#REF!</v>
      </c>
      <c r="DG217" t="e">
        <f>AND('GA55 Entry'!X857,"AAAAAG6/mG4=")</f>
        <v>#VALUE!</v>
      </c>
      <c r="DH217" t="e">
        <f>AND('GA55 Entry'!Y857,"AAAAAG6/mG8=")</f>
        <v>#VALUE!</v>
      </c>
      <c r="DI217" t="e">
        <f>AND('GA55 Entry'!#REF!,"AAAAAG6/mHA=")</f>
        <v>#REF!</v>
      </c>
      <c r="DJ217" t="e">
        <f>AND('GA55 Entry'!#REF!,"AAAAAG6/mHE=")</f>
        <v>#REF!</v>
      </c>
      <c r="DK217" t="e">
        <f>AND('GA55 Entry'!#REF!,"AAAAAG6/mHI=")</f>
        <v>#REF!</v>
      </c>
      <c r="DL217" t="e">
        <f>AND('GA55 Entry'!#REF!,"AAAAAG6/mHM=")</f>
        <v>#REF!</v>
      </c>
      <c r="DM217" t="e">
        <f>AND('GA55 Entry'!#REF!,"AAAAAG6/mHQ=")</f>
        <v>#REF!</v>
      </c>
      <c r="DN217" t="e">
        <f>AND('GA55 Entry'!#REF!,"AAAAAG6/mHU=")</f>
        <v>#REF!</v>
      </c>
      <c r="DO217" t="e">
        <f>AND('GA55 Entry'!#REF!,"AAAAAG6/mHY=")</f>
        <v>#REF!</v>
      </c>
      <c r="DP217" t="e">
        <f>AND('GA55 Entry'!#REF!,"AAAAAG6/mHc=")</f>
        <v>#REF!</v>
      </c>
      <c r="DQ217" t="e">
        <f>AND('GA55 Entry'!#REF!,"AAAAAG6/mHg=")</f>
        <v>#REF!</v>
      </c>
      <c r="DR217" t="e">
        <f>AND('GA55 Entry'!Z857,"AAAAAG6/mHk=")</f>
        <v>#VALUE!</v>
      </c>
      <c r="DS217" t="e">
        <f>AND('GA55 Entry'!AA857,"AAAAAG6/mHo=")</f>
        <v>#VALUE!</v>
      </c>
      <c r="DT217" t="e">
        <f>AND('GA55 Entry'!#REF!,"AAAAAG6/mHs=")</f>
        <v>#REF!</v>
      </c>
      <c r="DU217" t="e">
        <f>AND('GA55 Entry'!#REF!,"AAAAAG6/mHw=")</f>
        <v>#REF!</v>
      </c>
      <c r="DV217" t="e">
        <f>AND('GA55 Entry'!#REF!,"AAAAAG6/mH0=")</f>
        <v>#REF!</v>
      </c>
      <c r="DW217" t="e">
        <f>AND('GA55 Entry'!AB857,"AAAAAG6/mH4=")</f>
        <v>#VALUE!</v>
      </c>
      <c r="DX217" t="e">
        <f>AND('GA55 Entry'!AC857,"AAAAAG6/mH8=")</f>
        <v>#VALUE!</v>
      </c>
      <c r="DY217" t="e">
        <f>AND('GA55 Entry'!#REF!,"AAAAAG6/mIA=")</f>
        <v>#REF!</v>
      </c>
      <c r="DZ217">
        <f>IF('GA55 Entry'!858:858,"AAAAAG6/mIE=",0)</f>
        <v>0</v>
      </c>
      <c r="EA217" t="e">
        <f>AND('GA55 Entry'!B858,"AAAAAG6/mII=")</f>
        <v>#VALUE!</v>
      </c>
      <c r="EB217" t="e">
        <f>AND('GA55 Entry'!#REF!,"AAAAAG6/mIM=")</f>
        <v>#REF!</v>
      </c>
      <c r="EC217" t="e">
        <f>AND('GA55 Entry'!C858,"AAAAAG6/mIQ=")</f>
        <v>#VALUE!</v>
      </c>
      <c r="ED217" t="e">
        <f>AND('GA55 Entry'!#REF!,"AAAAAG6/mIU=")</f>
        <v>#REF!</v>
      </c>
      <c r="EE217" t="e">
        <f>AND('GA55 Entry'!#REF!,"AAAAAG6/mIY=")</f>
        <v>#REF!</v>
      </c>
      <c r="EF217" t="e">
        <f>AND('GA55 Entry'!#REF!,"AAAAAG6/mIc=")</f>
        <v>#REF!</v>
      </c>
      <c r="EG217" t="e">
        <f>AND('GA55 Entry'!#REF!,"AAAAAG6/mIg=")</f>
        <v>#REF!</v>
      </c>
      <c r="EH217" t="e">
        <f>AND('GA55 Entry'!#REF!,"AAAAAG6/mIk=")</f>
        <v>#REF!</v>
      </c>
      <c r="EI217" t="e">
        <f>AND('GA55 Entry'!D858,"AAAAAG6/mIo=")</f>
        <v>#VALUE!</v>
      </c>
      <c r="EJ217" t="e">
        <f>AND('GA55 Entry'!#REF!,"AAAAAG6/mIs=")</f>
        <v>#REF!</v>
      </c>
      <c r="EK217" t="e">
        <f>AND('GA55 Entry'!E858,"AAAAAG6/mIw=")</f>
        <v>#VALUE!</v>
      </c>
      <c r="EL217" t="e">
        <f>AND('GA55 Entry'!F858,"AAAAAG6/mI0=")</f>
        <v>#VALUE!</v>
      </c>
      <c r="EM217" t="e">
        <f>AND('GA55 Entry'!G858,"AAAAAG6/mI4=")</f>
        <v>#VALUE!</v>
      </c>
      <c r="EN217" t="e">
        <f>AND('GA55 Entry'!H858,"AAAAAG6/mI8=")</f>
        <v>#VALUE!</v>
      </c>
      <c r="EO217" t="e">
        <f>AND('GA55 Entry'!I858,"AAAAAG6/mJA=")</f>
        <v>#VALUE!</v>
      </c>
      <c r="EP217" t="e">
        <f>AND('GA55 Entry'!J858,"AAAAAG6/mJE=")</f>
        <v>#VALUE!</v>
      </c>
      <c r="EQ217" t="e">
        <f>AND('GA55 Entry'!#REF!,"AAAAAG6/mJI=")</f>
        <v>#REF!</v>
      </c>
      <c r="ER217" t="e">
        <f>AND('GA55 Entry'!K858,"AAAAAG6/mJM=")</f>
        <v>#VALUE!</v>
      </c>
      <c r="ES217" t="e">
        <f>AND('GA55 Entry'!L858,"AAAAAG6/mJQ=")</f>
        <v>#VALUE!</v>
      </c>
      <c r="ET217" t="e">
        <f>AND('GA55 Entry'!M858,"AAAAAG6/mJU=")</f>
        <v>#VALUE!</v>
      </c>
      <c r="EU217" t="e">
        <f>AND('GA55 Entry'!N858,"AAAAAG6/mJY=")</f>
        <v>#VALUE!</v>
      </c>
      <c r="EV217" t="e">
        <f>AND('GA55 Entry'!O858,"AAAAAG6/mJc=")</f>
        <v>#VALUE!</v>
      </c>
      <c r="EW217" t="e">
        <f>AND('GA55 Entry'!P858,"AAAAAG6/mJg=")</f>
        <v>#VALUE!</v>
      </c>
      <c r="EX217" t="e">
        <f>AND('GA55 Entry'!Q858,"AAAAAG6/mJk=")</f>
        <v>#VALUE!</v>
      </c>
      <c r="EY217" t="e">
        <f>AND('GA55 Entry'!S858,"AAAAAG6/mJo=")</f>
        <v>#VALUE!</v>
      </c>
      <c r="EZ217" t="e">
        <f>AND('GA55 Entry'!#REF!,"AAAAAG6/mJs=")</f>
        <v>#REF!</v>
      </c>
      <c r="FA217" t="e">
        <f>AND('GA55 Entry'!T858,"AAAAAG6/mJw=")</f>
        <v>#VALUE!</v>
      </c>
      <c r="FB217" t="e">
        <f>AND('GA55 Entry'!U858,"AAAAAG6/mJ0=")</f>
        <v>#VALUE!</v>
      </c>
      <c r="FC217" t="e">
        <f>AND('GA55 Entry'!V858,"AAAAAG6/mJ4=")</f>
        <v>#VALUE!</v>
      </c>
      <c r="FD217" t="e">
        <f>AND('GA55 Entry'!#REF!,"AAAAAG6/mJ8=")</f>
        <v>#REF!</v>
      </c>
      <c r="FE217" t="e">
        <f>AND('GA55 Entry'!#REF!,"AAAAAG6/mKA=")</f>
        <v>#REF!</v>
      </c>
      <c r="FF217" t="e">
        <f>AND('GA55 Entry'!X858,"AAAAAG6/mKE=")</f>
        <v>#VALUE!</v>
      </c>
      <c r="FG217" t="e">
        <f>AND('GA55 Entry'!Y858,"AAAAAG6/mKI=")</f>
        <v>#VALUE!</v>
      </c>
      <c r="FH217" t="e">
        <f>AND('GA55 Entry'!#REF!,"AAAAAG6/mKM=")</f>
        <v>#REF!</v>
      </c>
      <c r="FI217" t="e">
        <f>AND('GA55 Entry'!#REF!,"AAAAAG6/mKQ=")</f>
        <v>#REF!</v>
      </c>
      <c r="FJ217" t="e">
        <f>AND('GA55 Entry'!#REF!,"AAAAAG6/mKU=")</f>
        <v>#REF!</v>
      </c>
      <c r="FK217" t="e">
        <f>AND('GA55 Entry'!#REF!,"AAAAAG6/mKY=")</f>
        <v>#REF!</v>
      </c>
      <c r="FL217" t="e">
        <f>AND('GA55 Entry'!#REF!,"AAAAAG6/mKc=")</f>
        <v>#REF!</v>
      </c>
      <c r="FM217" t="e">
        <f>AND('GA55 Entry'!#REF!,"AAAAAG6/mKg=")</f>
        <v>#REF!</v>
      </c>
      <c r="FN217" t="e">
        <f>AND('GA55 Entry'!#REF!,"AAAAAG6/mKk=")</f>
        <v>#REF!</v>
      </c>
      <c r="FO217" t="e">
        <f>AND('GA55 Entry'!#REF!,"AAAAAG6/mKo=")</f>
        <v>#REF!</v>
      </c>
      <c r="FP217" t="e">
        <f>AND('GA55 Entry'!#REF!,"AAAAAG6/mKs=")</f>
        <v>#REF!</v>
      </c>
      <c r="FQ217" t="e">
        <f>AND('GA55 Entry'!Z858,"AAAAAG6/mKw=")</f>
        <v>#VALUE!</v>
      </c>
      <c r="FR217" t="e">
        <f>AND('GA55 Entry'!AA858,"AAAAAG6/mK0=")</f>
        <v>#VALUE!</v>
      </c>
      <c r="FS217" t="e">
        <f>AND('GA55 Entry'!#REF!,"AAAAAG6/mK4=")</f>
        <v>#REF!</v>
      </c>
      <c r="FT217" t="e">
        <f>AND('GA55 Entry'!#REF!,"AAAAAG6/mK8=")</f>
        <v>#REF!</v>
      </c>
      <c r="FU217" t="e">
        <f>AND('GA55 Entry'!#REF!,"AAAAAG6/mLA=")</f>
        <v>#REF!</v>
      </c>
      <c r="FV217" t="e">
        <f>AND('GA55 Entry'!AB858,"AAAAAG6/mLE=")</f>
        <v>#VALUE!</v>
      </c>
      <c r="FW217" t="e">
        <f>AND('GA55 Entry'!AC858,"AAAAAG6/mLI=")</f>
        <v>#VALUE!</v>
      </c>
      <c r="FX217" t="e">
        <f>AND('GA55 Entry'!#REF!,"AAAAAG6/mLM=")</f>
        <v>#REF!</v>
      </c>
      <c r="FY217">
        <f>IF('GA55 Entry'!859:859,"AAAAAG6/mLQ=",0)</f>
        <v>0</v>
      </c>
      <c r="FZ217" t="e">
        <f>AND('GA55 Entry'!B859,"AAAAAG6/mLU=")</f>
        <v>#VALUE!</v>
      </c>
      <c r="GA217" t="e">
        <f>AND('GA55 Entry'!#REF!,"AAAAAG6/mLY=")</f>
        <v>#REF!</v>
      </c>
      <c r="GB217" t="e">
        <f>AND('GA55 Entry'!C859,"AAAAAG6/mLc=")</f>
        <v>#VALUE!</v>
      </c>
      <c r="GC217" t="e">
        <f>AND('GA55 Entry'!#REF!,"AAAAAG6/mLg=")</f>
        <v>#REF!</v>
      </c>
      <c r="GD217" t="e">
        <f>AND('GA55 Entry'!#REF!,"AAAAAG6/mLk=")</f>
        <v>#REF!</v>
      </c>
      <c r="GE217" t="e">
        <f>AND('GA55 Entry'!#REF!,"AAAAAG6/mLo=")</f>
        <v>#REF!</v>
      </c>
      <c r="GF217" t="e">
        <f>AND('GA55 Entry'!#REF!,"AAAAAG6/mLs=")</f>
        <v>#REF!</v>
      </c>
      <c r="GG217" t="e">
        <f>AND('GA55 Entry'!#REF!,"AAAAAG6/mLw=")</f>
        <v>#REF!</v>
      </c>
      <c r="GH217" t="e">
        <f>AND('GA55 Entry'!D859,"AAAAAG6/mL0=")</f>
        <v>#VALUE!</v>
      </c>
      <c r="GI217" t="e">
        <f>AND('GA55 Entry'!#REF!,"AAAAAG6/mL4=")</f>
        <v>#REF!</v>
      </c>
      <c r="GJ217" t="e">
        <f>AND('GA55 Entry'!E859,"AAAAAG6/mL8=")</f>
        <v>#VALUE!</v>
      </c>
      <c r="GK217" t="e">
        <f>AND('GA55 Entry'!F859,"AAAAAG6/mMA=")</f>
        <v>#VALUE!</v>
      </c>
      <c r="GL217" t="e">
        <f>AND('GA55 Entry'!G859,"AAAAAG6/mME=")</f>
        <v>#VALUE!</v>
      </c>
      <c r="GM217" t="e">
        <f>AND('GA55 Entry'!H859,"AAAAAG6/mMI=")</f>
        <v>#VALUE!</v>
      </c>
      <c r="GN217" t="e">
        <f>AND('GA55 Entry'!I859,"AAAAAG6/mMM=")</f>
        <v>#VALUE!</v>
      </c>
      <c r="GO217" t="e">
        <f>AND('GA55 Entry'!J859,"AAAAAG6/mMQ=")</f>
        <v>#VALUE!</v>
      </c>
      <c r="GP217" t="e">
        <f>AND('GA55 Entry'!#REF!,"AAAAAG6/mMU=")</f>
        <v>#REF!</v>
      </c>
      <c r="GQ217" t="e">
        <f>AND('GA55 Entry'!K859,"AAAAAG6/mMY=")</f>
        <v>#VALUE!</v>
      </c>
      <c r="GR217" t="e">
        <f>AND('GA55 Entry'!L859,"AAAAAG6/mMc=")</f>
        <v>#VALUE!</v>
      </c>
      <c r="GS217" t="e">
        <f>AND('GA55 Entry'!M859,"AAAAAG6/mMg=")</f>
        <v>#VALUE!</v>
      </c>
      <c r="GT217" t="e">
        <f>AND('GA55 Entry'!N859,"AAAAAG6/mMk=")</f>
        <v>#VALUE!</v>
      </c>
      <c r="GU217" t="e">
        <f>AND('GA55 Entry'!O859,"AAAAAG6/mMo=")</f>
        <v>#VALUE!</v>
      </c>
      <c r="GV217" t="e">
        <f>AND('GA55 Entry'!P859,"AAAAAG6/mMs=")</f>
        <v>#VALUE!</v>
      </c>
      <c r="GW217" t="e">
        <f>AND('GA55 Entry'!Q859,"AAAAAG6/mMw=")</f>
        <v>#VALUE!</v>
      </c>
      <c r="GX217" t="e">
        <f>AND('GA55 Entry'!S859,"AAAAAG6/mM0=")</f>
        <v>#VALUE!</v>
      </c>
      <c r="GY217" t="e">
        <f>AND('GA55 Entry'!#REF!,"AAAAAG6/mM4=")</f>
        <v>#REF!</v>
      </c>
      <c r="GZ217" t="e">
        <f>AND('GA55 Entry'!T859,"AAAAAG6/mM8=")</f>
        <v>#VALUE!</v>
      </c>
      <c r="HA217" t="e">
        <f>AND('GA55 Entry'!U859,"AAAAAG6/mNA=")</f>
        <v>#VALUE!</v>
      </c>
      <c r="HB217" t="e">
        <f>AND('GA55 Entry'!V859,"AAAAAG6/mNE=")</f>
        <v>#VALUE!</v>
      </c>
      <c r="HC217" t="e">
        <f>AND('GA55 Entry'!#REF!,"AAAAAG6/mNI=")</f>
        <v>#REF!</v>
      </c>
      <c r="HD217" t="e">
        <f>AND('GA55 Entry'!#REF!,"AAAAAG6/mNM=")</f>
        <v>#REF!</v>
      </c>
      <c r="HE217" t="e">
        <f>AND('GA55 Entry'!X859,"AAAAAG6/mNQ=")</f>
        <v>#VALUE!</v>
      </c>
      <c r="HF217" t="e">
        <f>AND('GA55 Entry'!Y859,"AAAAAG6/mNU=")</f>
        <v>#VALUE!</v>
      </c>
      <c r="HG217" t="e">
        <f>AND('GA55 Entry'!#REF!,"AAAAAG6/mNY=")</f>
        <v>#REF!</v>
      </c>
      <c r="HH217" t="e">
        <f>AND('GA55 Entry'!#REF!,"AAAAAG6/mNc=")</f>
        <v>#REF!</v>
      </c>
      <c r="HI217" t="e">
        <f>AND('GA55 Entry'!#REF!,"AAAAAG6/mNg=")</f>
        <v>#REF!</v>
      </c>
      <c r="HJ217" t="e">
        <f>AND('GA55 Entry'!#REF!,"AAAAAG6/mNk=")</f>
        <v>#REF!</v>
      </c>
      <c r="HK217" t="e">
        <f>AND('GA55 Entry'!#REF!,"AAAAAG6/mNo=")</f>
        <v>#REF!</v>
      </c>
      <c r="HL217" t="e">
        <f>AND('GA55 Entry'!#REF!,"AAAAAG6/mNs=")</f>
        <v>#REF!</v>
      </c>
      <c r="HM217" t="e">
        <f>AND('GA55 Entry'!#REF!,"AAAAAG6/mNw=")</f>
        <v>#REF!</v>
      </c>
      <c r="HN217" t="e">
        <f>AND('GA55 Entry'!#REF!,"AAAAAG6/mN0=")</f>
        <v>#REF!</v>
      </c>
      <c r="HO217" t="e">
        <f>AND('GA55 Entry'!#REF!,"AAAAAG6/mN4=")</f>
        <v>#REF!</v>
      </c>
      <c r="HP217" t="e">
        <f>AND('GA55 Entry'!Z859,"AAAAAG6/mN8=")</f>
        <v>#VALUE!</v>
      </c>
      <c r="HQ217" t="e">
        <f>AND('GA55 Entry'!AA859,"AAAAAG6/mOA=")</f>
        <v>#VALUE!</v>
      </c>
      <c r="HR217" t="e">
        <f>AND('GA55 Entry'!#REF!,"AAAAAG6/mOE=")</f>
        <v>#REF!</v>
      </c>
      <c r="HS217" t="e">
        <f>AND('GA55 Entry'!#REF!,"AAAAAG6/mOI=")</f>
        <v>#REF!</v>
      </c>
      <c r="HT217" t="e">
        <f>AND('GA55 Entry'!#REF!,"AAAAAG6/mOM=")</f>
        <v>#REF!</v>
      </c>
      <c r="HU217" t="e">
        <f>AND('GA55 Entry'!AB859,"AAAAAG6/mOQ=")</f>
        <v>#VALUE!</v>
      </c>
      <c r="HV217" t="e">
        <f>AND('GA55 Entry'!AC859,"AAAAAG6/mOU=")</f>
        <v>#VALUE!</v>
      </c>
      <c r="HW217" t="e">
        <f>AND('GA55 Entry'!#REF!,"AAAAAG6/mOY=")</f>
        <v>#REF!</v>
      </c>
      <c r="HX217">
        <f>IF('GA55 Entry'!860:860,"AAAAAG6/mOc=",0)</f>
        <v>0</v>
      </c>
      <c r="HY217" t="e">
        <f>AND('GA55 Entry'!B860,"AAAAAG6/mOg=")</f>
        <v>#VALUE!</v>
      </c>
      <c r="HZ217" t="e">
        <f>AND('GA55 Entry'!#REF!,"AAAAAG6/mOk=")</f>
        <v>#REF!</v>
      </c>
      <c r="IA217" t="e">
        <f>AND('GA55 Entry'!C860,"AAAAAG6/mOo=")</f>
        <v>#VALUE!</v>
      </c>
      <c r="IB217" t="e">
        <f>AND('GA55 Entry'!#REF!,"AAAAAG6/mOs=")</f>
        <v>#REF!</v>
      </c>
      <c r="IC217" t="e">
        <f>AND('GA55 Entry'!#REF!,"AAAAAG6/mOw=")</f>
        <v>#REF!</v>
      </c>
      <c r="ID217" t="e">
        <f>AND('GA55 Entry'!#REF!,"AAAAAG6/mO0=")</f>
        <v>#REF!</v>
      </c>
      <c r="IE217" t="e">
        <f>AND('GA55 Entry'!#REF!,"AAAAAG6/mO4=")</f>
        <v>#REF!</v>
      </c>
      <c r="IF217" t="e">
        <f>AND('GA55 Entry'!#REF!,"AAAAAG6/mO8=")</f>
        <v>#REF!</v>
      </c>
      <c r="IG217" t="e">
        <f>AND('GA55 Entry'!D860,"AAAAAG6/mPA=")</f>
        <v>#VALUE!</v>
      </c>
      <c r="IH217" t="e">
        <f>AND('GA55 Entry'!#REF!,"AAAAAG6/mPE=")</f>
        <v>#REF!</v>
      </c>
      <c r="II217" t="e">
        <f>AND('GA55 Entry'!E860,"AAAAAG6/mPI=")</f>
        <v>#VALUE!</v>
      </c>
      <c r="IJ217" t="e">
        <f>AND('GA55 Entry'!F860,"AAAAAG6/mPM=")</f>
        <v>#VALUE!</v>
      </c>
      <c r="IK217" t="e">
        <f>AND('GA55 Entry'!G860,"AAAAAG6/mPQ=")</f>
        <v>#VALUE!</v>
      </c>
      <c r="IL217" t="e">
        <f>AND('GA55 Entry'!H860,"AAAAAG6/mPU=")</f>
        <v>#VALUE!</v>
      </c>
      <c r="IM217" t="e">
        <f>AND('GA55 Entry'!I860,"AAAAAG6/mPY=")</f>
        <v>#VALUE!</v>
      </c>
      <c r="IN217" t="e">
        <f>AND('GA55 Entry'!J860,"AAAAAG6/mPc=")</f>
        <v>#VALUE!</v>
      </c>
      <c r="IO217" t="e">
        <f>AND('GA55 Entry'!#REF!,"AAAAAG6/mPg=")</f>
        <v>#REF!</v>
      </c>
      <c r="IP217" t="e">
        <f>AND('GA55 Entry'!K860,"AAAAAG6/mPk=")</f>
        <v>#VALUE!</v>
      </c>
      <c r="IQ217" t="e">
        <f>AND('GA55 Entry'!L860,"AAAAAG6/mPo=")</f>
        <v>#VALUE!</v>
      </c>
      <c r="IR217" t="e">
        <f>AND('GA55 Entry'!M860,"AAAAAG6/mPs=")</f>
        <v>#VALUE!</v>
      </c>
      <c r="IS217" t="e">
        <f>AND('GA55 Entry'!N860,"AAAAAG6/mPw=")</f>
        <v>#VALUE!</v>
      </c>
      <c r="IT217" t="e">
        <f>AND('GA55 Entry'!O860,"AAAAAG6/mP0=")</f>
        <v>#VALUE!</v>
      </c>
      <c r="IU217" t="e">
        <f>AND('GA55 Entry'!P860,"AAAAAG6/mP4=")</f>
        <v>#VALUE!</v>
      </c>
      <c r="IV217" t="e">
        <f>AND('GA55 Entry'!Q860,"AAAAAG6/mP8=")</f>
        <v>#VALUE!</v>
      </c>
    </row>
    <row r="218" spans="1:256">
      <c r="A218" t="e">
        <f>AND('GA55 Entry'!S860,"AAAAAG3/8wA=")</f>
        <v>#VALUE!</v>
      </c>
      <c r="B218" t="e">
        <f>AND('GA55 Entry'!#REF!,"AAAAAG3/8wE=")</f>
        <v>#REF!</v>
      </c>
      <c r="C218" t="e">
        <f>AND('GA55 Entry'!T860,"AAAAAG3/8wI=")</f>
        <v>#VALUE!</v>
      </c>
      <c r="D218" t="e">
        <f>AND('GA55 Entry'!U860,"AAAAAG3/8wM=")</f>
        <v>#VALUE!</v>
      </c>
      <c r="E218" t="e">
        <f>AND('GA55 Entry'!V860,"AAAAAG3/8wQ=")</f>
        <v>#VALUE!</v>
      </c>
      <c r="F218" t="e">
        <f>AND('GA55 Entry'!#REF!,"AAAAAG3/8wU=")</f>
        <v>#REF!</v>
      </c>
      <c r="G218" t="e">
        <f>AND('GA55 Entry'!#REF!,"AAAAAG3/8wY=")</f>
        <v>#REF!</v>
      </c>
      <c r="H218" t="e">
        <f>AND('GA55 Entry'!X860,"AAAAAG3/8wc=")</f>
        <v>#VALUE!</v>
      </c>
      <c r="I218" t="e">
        <f>AND('GA55 Entry'!Y860,"AAAAAG3/8wg=")</f>
        <v>#VALUE!</v>
      </c>
      <c r="J218" t="e">
        <f>AND('GA55 Entry'!#REF!,"AAAAAG3/8wk=")</f>
        <v>#REF!</v>
      </c>
      <c r="K218" t="e">
        <f>AND('GA55 Entry'!#REF!,"AAAAAG3/8wo=")</f>
        <v>#REF!</v>
      </c>
      <c r="L218" t="e">
        <f>AND('GA55 Entry'!#REF!,"AAAAAG3/8ws=")</f>
        <v>#REF!</v>
      </c>
      <c r="M218" t="e">
        <f>AND('GA55 Entry'!#REF!,"AAAAAG3/8ww=")</f>
        <v>#REF!</v>
      </c>
      <c r="N218" t="e">
        <f>AND('GA55 Entry'!#REF!,"AAAAAG3/8w0=")</f>
        <v>#REF!</v>
      </c>
      <c r="O218" t="e">
        <f>AND('GA55 Entry'!#REF!,"AAAAAG3/8w4=")</f>
        <v>#REF!</v>
      </c>
      <c r="P218" t="e">
        <f>AND('GA55 Entry'!#REF!,"AAAAAG3/8w8=")</f>
        <v>#REF!</v>
      </c>
      <c r="Q218" t="e">
        <f>AND('GA55 Entry'!#REF!,"AAAAAG3/8xA=")</f>
        <v>#REF!</v>
      </c>
      <c r="R218" t="e">
        <f>AND('GA55 Entry'!#REF!,"AAAAAG3/8xE=")</f>
        <v>#REF!</v>
      </c>
      <c r="S218" t="e">
        <f>AND('GA55 Entry'!Z860,"AAAAAG3/8xI=")</f>
        <v>#VALUE!</v>
      </c>
      <c r="T218" t="e">
        <f>AND('GA55 Entry'!AA860,"AAAAAG3/8xM=")</f>
        <v>#VALUE!</v>
      </c>
      <c r="U218" t="e">
        <f>AND('GA55 Entry'!#REF!,"AAAAAG3/8xQ=")</f>
        <v>#REF!</v>
      </c>
      <c r="V218" t="e">
        <f>AND('GA55 Entry'!#REF!,"AAAAAG3/8xU=")</f>
        <v>#REF!</v>
      </c>
      <c r="W218" t="e">
        <f>AND('GA55 Entry'!#REF!,"AAAAAG3/8xY=")</f>
        <v>#REF!</v>
      </c>
      <c r="X218" t="e">
        <f>AND('GA55 Entry'!AB860,"AAAAAG3/8xc=")</f>
        <v>#VALUE!</v>
      </c>
      <c r="Y218" t="e">
        <f>AND('GA55 Entry'!AC860,"AAAAAG3/8xg=")</f>
        <v>#VALUE!</v>
      </c>
      <c r="Z218" t="e">
        <f>AND('GA55 Entry'!#REF!,"AAAAAG3/8xk=")</f>
        <v>#REF!</v>
      </c>
      <c r="AA218">
        <f>IF('GA55 Entry'!861:861,"AAAAAG3/8xo=",0)</f>
        <v>0</v>
      </c>
      <c r="AB218" t="e">
        <f>AND('GA55 Entry'!B861,"AAAAAG3/8xs=")</f>
        <v>#VALUE!</v>
      </c>
      <c r="AC218" t="e">
        <f>AND('GA55 Entry'!#REF!,"AAAAAG3/8xw=")</f>
        <v>#REF!</v>
      </c>
      <c r="AD218" t="e">
        <f>AND('GA55 Entry'!C861,"AAAAAG3/8x0=")</f>
        <v>#VALUE!</v>
      </c>
      <c r="AE218" t="e">
        <f>AND('GA55 Entry'!#REF!,"AAAAAG3/8x4=")</f>
        <v>#REF!</v>
      </c>
      <c r="AF218" t="e">
        <f>AND('GA55 Entry'!#REF!,"AAAAAG3/8x8=")</f>
        <v>#REF!</v>
      </c>
      <c r="AG218" t="e">
        <f>AND('GA55 Entry'!#REF!,"AAAAAG3/8yA=")</f>
        <v>#REF!</v>
      </c>
      <c r="AH218" t="e">
        <f>AND('GA55 Entry'!#REF!,"AAAAAG3/8yE=")</f>
        <v>#REF!</v>
      </c>
      <c r="AI218" t="e">
        <f>AND('GA55 Entry'!#REF!,"AAAAAG3/8yI=")</f>
        <v>#REF!</v>
      </c>
      <c r="AJ218" t="e">
        <f>AND('GA55 Entry'!D861,"AAAAAG3/8yM=")</f>
        <v>#VALUE!</v>
      </c>
      <c r="AK218" t="e">
        <f>AND('GA55 Entry'!#REF!,"AAAAAG3/8yQ=")</f>
        <v>#REF!</v>
      </c>
      <c r="AL218" t="e">
        <f>AND('GA55 Entry'!E861,"AAAAAG3/8yU=")</f>
        <v>#VALUE!</v>
      </c>
      <c r="AM218" t="e">
        <f>AND('GA55 Entry'!F861,"AAAAAG3/8yY=")</f>
        <v>#VALUE!</v>
      </c>
      <c r="AN218" t="e">
        <f>AND('GA55 Entry'!G861,"AAAAAG3/8yc=")</f>
        <v>#VALUE!</v>
      </c>
      <c r="AO218" t="e">
        <f>AND('GA55 Entry'!H861,"AAAAAG3/8yg=")</f>
        <v>#VALUE!</v>
      </c>
      <c r="AP218" t="e">
        <f>AND('GA55 Entry'!I861,"AAAAAG3/8yk=")</f>
        <v>#VALUE!</v>
      </c>
      <c r="AQ218" t="e">
        <f>AND('GA55 Entry'!J861,"AAAAAG3/8yo=")</f>
        <v>#VALUE!</v>
      </c>
      <c r="AR218" t="e">
        <f>AND('GA55 Entry'!#REF!,"AAAAAG3/8ys=")</f>
        <v>#REF!</v>
      </c>
      <c r="AS218" t="e">
        <f>AND('GA55 Entry'!K861,"AAAAAG3/8yw=")</f>
        <v>#VALUE!</v>
      </c>
      <c r="AT218" t="e">
        <f>AND('GA55 Entry'!L861,"AAAAAG3/8y0=")</f>
        <v>#VALUE!</v>
      </c>
      <c r="AU218" t="e">
        <f>AND('GA55 Entry'!M861,"AAAAAG3/8y4=")</f>
        <v>#VALUE!</v>
      </c>
      <c r="AV218" t="e">
        <f>AND('GA55 Entry'!N861,"AAAAAG3/8y8=")</f>
        <v>#VALUE!</v>
      </c>
      <c r="AW218" t="e">
        <f>AND('GA55 Entry'!O861,"AAAAAG3/8zA=")</f>
        <v>#VALUE!</v>
      </c>
      <c r="AX218" t="e">
        <f>AND('GA55 Entry'!P861,"AAAAAG3/8zE=")</f>
        <v>#VALUE!</v>
      </c>
      <c r="AY218" t="e">
        <f>AND('GA55 Entry'!Q861,"AAAAAG3/8zI=")</f>
        <v>#VALUE!</v>
      </c>
      <c r="AZ218" t="e">
        <f>AND('GA55 Entry'!S861,"AAAAAG3/8zM=")</f>
        <v>#VALUE!</v>
      </c>
      <c r="BA218" t="e">
        <f>AND('GA55 Entry'!#REF!,"AAAAAG3/8zQ=")</f>
        <v>#REF!</v>
      </c>
      <c r="BB218" t="e">
        <f>AND('GA55 Entry'!T861,"AAAAAG3/8zU=")</f>
        <v>#VALUE!</v>
      </c>
      <c r="BC218" t="e">
        <f>AND('GA55 Entry'!U861,"AAAAAG3/8zY=")</f>
        <v>#VALUE!</v>
      </c>
      <c r="BD218" t="e">
        <f>AND('GA55 Entry'!V861,"AAAAAG3/8zc=")</f>
        <v>#VALUE!</v>
      </c>
      <c r="BE218" t="e">
        <f>AND('GA55 Entry'!#REF!,"AAAAAG3/8zg=")</f>
        <v>#REF!</v>
      </c>
      <c r="BF218" t="e">
        <f>AND('GA55 Entry'!#REF!,"AAAAAG3/8zk=")</f>
        <v>#REF!</v>
      </c>
      <c r="BG218" t="e">
        <f>AND('GA55 Entry'!X861,"AAAAAG3/8zo=")</f>
        <v>#VALUE!</v>
      </c>
      <c r="BH218" t="e">
        <f>AND('GA55 Entry'!Y861,"AAAAAG3/8zs=")</f>
        <v>#VALUE!</v>
      </c>
      <c r="BI218" t="e">
        <f>AND('GA55 Entry'!#REF!,"AAAAAG3/8zw=")</f>
        <v>#REF!</v>
      </c>
      <c r="BJ218" t="e">
        <f>AND('GA55 Entry'!#REF!,"AAAAAG3/8z0=")</f>
        <v>#REF!</v>
      </c>
      <c r="BK218" t="e">
        <f>AND('GA55 Entry'!#REF!,"AAAAAG3/8z4=")</f>
        <v>#REF!</v>
      </c>
      <c r="BL218" t="e">
        <f>AND('GA55 Entry'!#REF!,"AAAAAG3/8z8=")</f>
        <v>#REF!</v>
      </c>
      <c r="BM218" t="e">
        <f>AND('GA55 Entry'!#REF!,"AAAAAG3/80A=")</f>
        <v>#REF!</v>
      </c>
      <c r="BN218" t="e">
        <f>AND('GA55 Entry'!#REF!,"AAAAAG3/80E=")</f>
        <v>#REF!</v>
      </c>
      <c r="BO218" t="e">
        <f>AND('GA55 Entry'!#REF!,"AAAAAG3/80I=")</f>
        <v>#REF!</v>
      </c>
      <c r="BP218" t="e">
        <f>AND('GA55 Entry'!#REF!,"AAAAAG3/80M=")</f>
        <v>#REF!</v>
      </c>
      <c r="BQ218" t="e">
        <f>AND('GA55 Entry'!#REF!,"AAAAAG3/80Q=")</f>
        <v>#REF!</v>
      </c>
      <c r="BR218" t="e">
        <f>AND('GA55 Entry'!Z861,"AAAAAG3/80U=")</f>
        <v>#VALUE!</v>
      </c>
      <c r="BS218" t="e">
        <f>AND('GA55 Entry'!AA861,"AAAAAG3/80Y=")</f>
        <v>#VALUE!</v>
      </c>
      <c r="BT218" t="e">
        <f>AND('GA55 Entry'!#REF!,"AAAAAG3/80c=")</f>
        <v>#REF!</v>
      </c>
      <c r="BU218" t="e">
        <f>AND('GA55 Entry'!#REF!,"AAAAAG3/80g=")</f>
        <v>#REF!</v>
      </c>
      <c r="BV218" t="e">
        <f>AND('GA55 Entry'!#REF!,"AAAAAG3/80k=")</f>
        <v>#REF!</v>
      </c>
      <c r="BW218" t="e">
        <f>AND('GA55 Entry'!AB861,"AAAAAG3/80o=")</f>
        <v>#VALUE!</v>
      </c>
      <c r="BX218" t="e">
        <f>AND('GA55 Entry'!AC861,"AAAAAG3/80s=")</f>
        <v>#VALUE!</v>
      </c>
      <c r="BY218" t="e">
        <f>AND('GA55 Entry'!#REF!,"AAAAAG3/80w=")</f>
        <v>#REF!</v>
      </c>
      <c r="BZ218">
        <f>IF('GA55 Entry'!862:862,"AAAAAG3/800=",0)</f>
        <v>0</v>
      </c>
      <c r="CA218" t="e">
        <f>AND('GA55 Entry'!B862,"AAAAAG3/804=")</f>
        <v>#VALUE!</v>
      </c>
      <c r="CB218" t="e">
        <f>AND('GA55 Entry'!#REF!,"AAAAAG3/808=")</f>
        <v>#REF!</v>
      </c>
      <c r="CC218" t="e">
        <f>AND('GA55 Entry'!C862,"AAAAAG3/81A=")</f>
        <v>#VALUE!</v>
      </c>
      <c r="CD218" t="e">
        <f>AND('GA55 Entry'!#REF!,"AAAAAG3/81E=")</f>
        <v>#REF!</v>
      </c>
      <c r="CE218" t="e">
        <f>AND('GA55 Entry'!#REF!,"AAAAAG3/81I=")</f>
        <v>#REF!</v>
      </c>
      <c r="CF218" t="e">
        <f>AND('GA55 Entry'!#REF!,"AAAAAG3/81M=")</f>
        <v>#REF!</v>
      </c>
      <c r="CG218" t="e">
        <f>AND('GA55 Entry'!#REF!,"AAAAAG3/81Q=")</f>
        <v>#REF!</v>
      </c>
      <c r="CH218" t="e">
        <f>AND('GA55 Entry'!#REF!,"AAAAAG3/81U=")</f>
        <v>#REF!</v>
      </c>
      <c r="CI218" t="e">
        <f>AND('GA55 Entry'!D862,"AAAAAG3/81Y=")</f>
        <v>#VALUE!</v>
      </c>
      <c r="CJ218" t="e">
        <f>AND('GA55 Entry'!#REF!,"AAAAAG3/81c=")</f>
        <v>#REF!</v>
      </c>
      <c r="CK218" t="e">
        <f>AND('GA55 Entry'!E862,"AAAAAG3/81g=")</f>
        <v>#VALUE!</v>
      </c>
      <c r="CL218" t="e">
        <f>AND('GA55 Entry'!F862,"AAAAAG3/81k=")</f>
        <v>#VALUE!</v>
      </c>
      <c r="CM218" t="e">
        <f>AND('GA55 Entry'!G862,"AAAAAG3/81o=")</f>
        <v>#VALUE!</v>
      </c>
      <c r="CN218" t="e">
        <f>AND('GA55 Entry'!H862,"AAAAAG3/81s=")</f>
        <v>#VALUE!</v>
      </c>
      <c r="CO218" t="e">
        <f>AND('GA55 Entry'!I862,"AAAAAG3/81w=")</f>
        <v>#VALUE!</v>
      </c>
      <c r="CP218" t="e">
        <f>AND('GA55 Entry'!J862,"AAAAAG3/810=")</f>
        <v>#VALUE!</v>
      </c>
      <c r="CQ218" t="e">
        <f>AND('GA55 Entry'!#REF!,"AAAAAG3/814=")</f>
        <v>#REF!</v>
      </c>
      <c r="CR218" t="e">
        <f>AND('GA55 Entry'!K862,"AAAAAG3/818=")</f>
        <v>#VALUE!</v>
      </c>
      <c r="CS218" t="e">
        <f>AND('GA55 Entry'!L862,"AAAAAG3/82A=")</f>
        <v>#VALUE!</v>
      </c>
      <c r="CT218" t="e">
        <f>AND('GA55 Entry'!M862,"AAAAAG3/82E=")</f>
        <v>#VALUE!</v>
      </c>
      <c r="CU218" t="e">
        <f>AND('GA55 Entry'!N862,"AAAAAG3/82I=")</f>
        <v>#VALUE!</v>
      </c>
      <c r="CV218" t="e">
        <f>AND('GA55 Entry'!O862,"AAAAAG3/82M=")</f>
        <v>#VALUE!</v>
      </c>
      <c r="CW218" t="e">
        <f>AND('GA55 Entry'!P862,"AAAAAG3/82Q=")</f>
        <v>#VALUE!</v>
      </c>
      <c r="CX218" t="e">
        <f>AND('GA55 Entry'!Q862,"AAAAAG3/82U=")</f>
        <v>#VALUE!</v>
      </c>
      <c r="CY218" t="e">
        <f>AND('GA55 Entry'!S862,"AAAAAG3/82Y=")</f>
        <v>#VALUE!</v>
      </c>
      <c r="CZ218" t="e">
        <f>AND('GA55 Entry'!#REF!,"AAAAAG3/82c=")</f>
        <v>#REF!</v>
      </c>
      <c r="DA218" t="e">
        <f>AND('GA55 Entry'!T862,"AAAAAG3/82g=")</f>
        <v>#VALUE!</v>
      </c>
      <c r="DB218" t="e">
        <f>AND('GA55 Entry'!U862,"AAAAAG3/82k=")</f>
        <v>#VALUE!</v>
      </c>
      <c r="DC218" t="e">
        <f>AND('GA55 Entry'!V862,"AAAAAG3/82o=")</f>
        <v>#VALUE!</v>
      </c>
      <c r="DD218" t="e">
        <f>AND('GA55 Entry'!#REF!,"AAAAAG3/82s=")</f>
        <v>#REF!</v>
      </c>
      <c r="DE218" t="e">
        <f>AND('GA55 Entry'!#REF!,"AAAAAG3/82w=")</f>
        <v>#REF!</v>
      </c>
      <c r="DF218" t="e">
        <f>AND('GA55 Entry'!X862,"AAAAAG3/820=")</f>
        <v>#VALUE!</v>
      </c>
      <c r="DG218" t="e">
        <f>AND('GA55 Entry'!Y862,"AAAAAG3/824=")</f>
        <v>#VALUE!</v>
      </c>
      <c r="DH218" t="e">
        <f>AND('GA55 Entry'!#REF!,"AAAAAG3/828=")</f>
        <v>#REF!</v>
      </c>
      <c r="DI218" t="e">
        <f>AND('GA55 Entry'!#REF!,"AAAAAG3/83A=")</f>
        <v>#REF!</v>
      </c>
      <c r="DJ218" t="e">
        <f>AND('GA55 Entry'!#REF!,"AAAAAG3/83E=")</f>
        <v>#REF!</v>
      </c>
      <c r="DK218" t="e">
        <f>AND('GA55 Entry'!#REF!,"AAAAAG3/83I=")</f>
        <v>#REF!</v>
      </c>
      <c r="DL218" t="e">
        <f>AND('GA55 Entry'!#REF!,"AAAAAG3/83M=")</f>
        <v>#REF!</v>
      </c>
      <c r="DM218" t="e">
        <f>AND('GA55 Entry'!#REF!,"AAAAAG3/83Q=")</f>
        <v>#REF!</v>
      </c>
      <c r="DN218" t="e">
        <f>AND('GA55 Entry'!#REF!,"AAAAAG3/83U=")</f>
        <v>#REF!</v>
      </c>
      <c r="DO218" t="e">
        <f>AND('GA55 Entry'!#REF!,"AAAAAG3/83Y=")</f>
        <v>#REF!</v>
      </c>
      <c r="DP218" t="e">
        <f>AND('GA55 Entry'!#REF!,"AAAAAG3/83c=")</f>
        <v>#REF!</v>
      </c>
      <c r="DQ218" t="e">
        <f>AND('GA55 Entry'!Z862,"AAAAAG3/83g=")</f>
        <v>#VALUE!</v>
      </c>
      <c r="DR218" t="e">
        <f>AND('GA55 Entry'!AA862,"AAAAAG3/83k=")</f>
        <v>#VALUE!</v>
      </c>
      <c r="DS218" t="e">
        <f>AND('GA55 Entry'!#REF!,"AAAAAG3/83o=")</f>
        <v>#REF!</v>
      </c>
      <c r="DT218" t="e">
        <f>AND('GA55 Entry'!#REF!,"AAAAAG3/83s=")</f>
        <v>#REF!</v>
      </c>
      <c r="DU218" t="e">
        <f>AND('GA55 Entry'!#REF!,"AAAAAG3/83w=")</f>
        <v>#REF!</v>
      </c>
      <c r="DV218" t="e">
        <f>AND('GA55 Entry'!AB862,"AAAAAG3/830=")</f>
        <v>#VALUE!</v>
      </c>
      <c r="DW218" t="e">
        <f>AND('GA55 Entry'!AC862,"AAAAAG3/834=")</f>
        <v>#VALUE!</v>
      </c>
      <c r="DX218" t="e">
        <f>AND('GA55 Entry'!#REF!,"AAAAAG3/838=")</f>
        <v>#REF!</v>
      </c>
      <c r="DY218">
        <f>IF('GA55 Entry'!863:863,"AAAAAG3/84A=",0)</f>
        <v>0</v>
      </c>
      <c r="DZ218" t="e">
        <f>AND('GA55 Entry'!B863,"AAAAAG3/84E=")</f>
        <v>#VALUE!</v>
      </c>
      <c r="EA218" t="e">
        <f>AND('GA55 Entry'!#REF!,"AAAAAG3/84I=")</f>
        <v>#REF!</v>
      </c>
      <c r="EB218" t="e">
        <f>AND('GA55 Entry'!C863,"AAAAAG3/84M=")</f>
        <v>#VALUE!</v>
      </c>
      <c r="EC218" t="e">
        <f>AND('GA55 Entry'!#REF!,"AAAAAG3/84Q=")</f>
        <v>#REF!</v>
      </c>
      <c r="ED218" t="e">
        <f>AND('GA55 Entry'!#REF!,"AAAAAG3/84U=")</f>
        <v>#REF!</v>
      </c>
      <c r="EE218" t="e">
        <f>AND('GA55 Entry'!#REF!,"AAAAAG3/84Y=")</f>
        <v>#REF!</v>
      </c>
      <c r="EF218" t="e">
        <f>AND('GA55 Entry'!#REF!,"AAAAAG3/84c=")</f>
        <v>#REF!</v>
      </c>
      <c r="EG218" t="e">
        <f>AND('GA55 Entry'!#REF!,"AAAAAG3/84g=")</f>
        <v>#REF!</v>
      </c>
      <c r="EH218" t="e">
        <f>AND('GA55 Entry'!D863,"AAAAAG3/84k=")</f>
        <v>#VALUE!</v>
      </c>
      <c r="EI218" t="e">
        <f>AND('GA55 Entry'!#REF!,"AAAAAG3/84o=")</f>
        <v>#REF!</v>
      </c>
      <c r="EJ218" t="e">
        <f>AND('GA55 Entry'!E863,"AAAAAG3/84s=")</f>
        <v>#VALUE!</v>
      </c>
      <c r="EK218" t="e">
        <f>AND('GA55 Entry'!F863,"AAAAAG3/84w=")</f>
        <v>#VALUE!</v>
      </c>
      <c r="EL218" t="e">
        <f>AND('GA55 Entry'!G863,"AAAAAG3/840=")</f>
        <v>#VALUE!</v>
      </c>
      <c r="EM218" t="e">
        <f>AND('GA55 Entry'!H863,"AAAAAG3/844=")</f>
        <v>#VALUE!</v>
      </c>
      <c r="EN218" t="e">
        <f>AND('GA55 Entry'!I863,"AAAAAG3/848=")</f>
        <v>#VALUE!</v>
      </c>
      <c r="EO218" t="e">
        <f>AND('GA55 Entry'!J863,"AAAAAG3/85A=")</f>
        <v>#VALUE!</v>
      </c>
      <c r="EP218" t="e">
        <f>AND('GA55 Entry'!#REF!,"AAAAAG3/85E=")</f>
        <v>#REF!</v>
      </c>
      <c r="EQ218" t="e">
        <f>AND('GA55 Entry'!K863,"AAAAAG3/85I=")</f>
        <v>#VALUE!</v>
      </c>
      <c r="ER218" t="e">
        <f>AND('GA55 Entry'!L863,"AAAAAG3/85M=")</f>
        <v>#VALUE!</v>
      </c>
      <c r="ES218" t="e">
        <f>AND('GA55 Entry'!M863,"AAAAAG3/85Q=")</f>
        <v>#VALUE!</v>
      </c>
      <c r="ET218" t="e">
        <f>AND('GA55 Entry'!N863,"AAAAAG3/85U=")</f>
        <v>#VALUE!</v>
      </c>
      <c r="EU218" t="e">
        <f>AND('GA55 Entry'!O863,"AAAAAG3/85Y=")</f>
        <v>#VALUE!</v>
      </c>
      <c r="EV218" t="e">
        <f>AND('GA55 Entry'!P863,"AAAAAG3/85c=")</f>
        <v>#VALUE!</v>
      </c>
      <c r="EW218" t="e">
        <f>AND('GA55 Entry'!Q863,"AAAAAG3/85g=")</f>
        <v>#VALUE!</v>
      </c>
      <c r="EX218" t="e">
        <f>AND('GA55 Entry'!S863,"AAAAAG3/85k=")</f>
        <v>#VALUE!</v>
      </c>
      <c r="EY218" t="e">
        <f>AND('GA55 Entry'!#REF!,"AAAAAG3/85o=")</f>
        <v>#REF!</v>
      </c>
      <c r="EZ218" t="e">
        <f>AND('GA55 Entry'!T863,"AAAAAG3/85s=")</f>
        <v>#VALUE!</v>
      </c>
      <c r="FA218" t="e">
        <f>AND('GA55 Entry'!U863,"AAAAAG3/85w=")</f>
        <v>#VALUE!</v>
      </c>
      <c r="FB218" t="e">
        <f>AND('GA55 Entry'!V863,"AAAAAG3/850=")</f>
        <v>#VALUE!</v>
      </c>
      <c r="FC218" t="e">
        <f>AND('GA55 Entry'!#REF!,"AAAAAG3/854=")</f>
        <v>#REF!</v>
      </c>
      <c r="FD218" t="e">
        <f>AND('GA55 Entry'!#REF!,"AAAAAG3/858=")</f>
        <v>#REF!</v>
      </c>
      <c r="FE218" t="e">
        <f>AND('GA55 Entry'!X863,"AAAAAG3/86A=")</f>
        <v>#VALUE!</v>
      </c>
      <c r="FF218" t="e">
        <f>AND('GA55 Entry'!Y863,"AAAAAG3/86E=")</f>
        <v>#VALUE!</v>
      </c>
      <c r="FG218" t="e">
        <f>AND('GA55 Entry'!#REF!,"AAAAAG3/86I=")</f>
        <v>#REF!</v>
      </c>
      <c r="FH218" t="e">
        <f>AND('GA55 Entry'!#REF!,"AAAAAG3/86M=")</f>
        <v>#REF!</v>
      </c>
      <c r="FI218" t="e">
        <f>AND('GA55 Entry'!#REF!,"AAAAAG3/86Q=")</f>
        <v>#REF!</v>
      </c>
      <c r="FJ218" t="e">
        <f>AND('GA55 Entry'!#REF!,"AAAAAG3/86U=")</f>
        <v>#REF!</v>
      </c>
      <c r="FK218" t="e">
        <f>AND('GA55 Entry'!#REF!,"AAAAAG3/86Y=")</f>
        <v>#REF!</v>
      </c>
      <c r="FL218" t="e">
        <f>AND('GA55 Entry'!#REF!,"AAAAAG3/86c=")</f>
        <v>#REF!</v>
      </c>
      <c r="FM218" t="e">
        <f>AND('GA55 Entry'!#REF!,"AAAAAG3/86g=")</f>
        <v>#REF!</v>
      </c>
      <c r="FN218" t="e">
        <f>AND('GA55 Entry'!#REF!,"AAAAAG3/86k=")</f>
        <v>#REF!</v>
      </c>
      <c r="FO218" t="e">
        <f>AND('GA55 Entry'!#REF!,"AAAAAG3/86o=")</f>
        <v>#REF!</v>
      </c>
      <c r="FP218" t="e">
        <f>AND('GA55 Entry'!Z863,"AAAAAG3/86s=")</f>
        <v>#VALUE!</v>
      </c>
      <c r="FQ218" t="e">
        <f>AND('GA55 Entry'!AA863,"AAAAAG3/86w=")</f>
        <v>#VALUE!</v>
      </c>
      <c r="FR218" t="e">
        <f>AND('GA55 Entry'!#REF!,"AAAAAG3/860=")</f>
        <v>#REF!</v>
      </c>
      <c r="FS218" t="e">
        <f>AND('GA55 Entry'!#REF!,"AAAAAG3/864=")</f>
        <v>#REF!</v>
      </c>
      <c r="FT218" t="e">
        <f>AND('GA55 Entry'!#REF!,"AAAAAG3/868=")</f>
        <v>#REF!</v>
      </c>
      <c r="FU218" t="e">
        <f>AND('GA55 Entry'!AB863,"AAAAAG3/87A=")</f>
        <v>#VALUE!</v>
      </c>
      <c r="FV218" t="e">
        <f>AND('GA55 Entry'!AC863,"AAAAAG3/87E=")</f>
        <v>#VALUE!</v>
      </c>
      <c r="FW218" t="e">
        <f>AND('GA55 Entry'!#REF!,"AAAAAG3/87I=")</f>
        <v>#REF!</v>
      </c>
      <c r="FX218">
        <f>IF('GA55 Entry'!864:864,"AAAAAG3/87M=",0)</f>
        <v>0</v>
      </c>
      <c r="FY218" t="e">
        <f>AND('GA55 Entry'!B864,"AAAAAG3/87Q=")</f>
        <v>#VALUE!</v>
      </c>
      <c r="FZ218" t="e">
        <f>AND('GA55 Entry'!#REF!,"AAAAAG3/87U=")</f>
        <v>#REF!</v>
      </c>
      <c r="GA218" t="e">
        <f>AND('GA55 Entry'!C864,"AAAAAG3/87Y=")</f>
        <v>#VALUE!</v>
      </c>
      <c r="GB218" t="e">
        <f>AND('GA55 Entry'!#REF!,"AAAAAG3/87c=")</f>
        <v>#REF!</v>
      </c>
      <c r="GC218" t="e">
        <f>AND('GA55 Entry'!#REF!,"AAAAAG3/87g=")</f>
        <v>#REF!</v>
      </c>
      <c r="GD218" t="e">
        <f>AND('GA55 Entry'!#REF!,"AAAAAG3/87k=")</f>
        <v>#REF!</v>
      </c>
      <c r="GE218" t="e">
        <f>AND('GA55 Entry'!#REF!,"AAAAAG3/87o=")</f>
        <v>#REF!</v>
      </c>
      <c r="GF218" t="e">
        <f>AND('GA55 Entry'!#REF!,"AAAAAG3/87s=")</f>
        <v>#REF!</v>
      </c>
      <c r="GG218" t="e">
        <f>AND('GA55 Entry'!D864,"AAAAAG3/87w=")</f>
        <v>#VALUE!</v>
      </c>
      <c r="GH218" t="e">
        <f>AND('GA55 Entry'!#REF!,"AAAAAG3/870=")</f>
        <v>#REF!</v>
      </c>
      <c r="GI218" t="e">
        <f>AND('GA55 Entry'!E864,"AAAAAG3/874=")</f>
        <v>#VALUE!</v>
      </c>
      <c r="GJ218" t="e">
        <f>AND('GA55 Entry'!F864,"AAAAAG3/878=")</f>
        <v>#VALUE!</v>
      </c>
      <c r="GK218" t="e">
        <f>AND('GA55 Entry'!G864,"AAAAAG3/88A=")</f>
        <v>#VALUE!</v>
      </c>
      <c r="GL218" t="e">
        <f>AND('GA55 Entry'!H864,"AAAAAG3/88E=")</f>
        <v>#VALUE!</v>
      </c>
      <c r="GM218" t="e">
        <f>AND('GA55 Entry'!I864,"AAAAAG3/88I=")</f>
        <v>#VALUE!</v>
      </c>
      <c r="GN218" t="e">
        <f>AND('GA55 Entry'!J864,"AAAAAG3/88M=")</f>
        <v>#VALUE!</v>
      </c>
      <c r="GO218" t="e">
        <f>AND('GA55 Entry'!#REF!,"AAAAAG3/88Q=")</f>
        <v>#REF!</v>
      </c>
      <c r="GP218" t="e">
        <f>AND('GA55 Entry'!K864,"AAAAAG3/88U=")</f>
        <v>#VALUE!</v>
      </c>
      <c r="GQ218" t="e">
        <f>AND('GA55 Entry'!L864,"AAAAAG3/88Y=")</f>
        <v>#VALUE!</v>
      </c>
      <c r="GR218" t="e">
        <f>AND('GA55 Entry'!M864,"AAAAAG3/88c=")</f>
        <v>#VALUE!</v>
      </c>
      <c r="GS218" t="e">
        <f>AND('GA55 Entry'!N864,"AAAAAG3/88g=")</f>
        <v>#VALUE!</v>
      </c>
      <c r="GT218" t="e">
        <f>AND('GA55 Entry'!O864,"AAAAAG3/88k=")</f>
        <v>#VALUE!</v>
      </c>
      <c r="GU218" t="e">
        <f>AND('GA55 Entry'!P864,"AAAAAG3/88o=")</f>
        <v>#VALUE!</v>
      </c>
      <c r="GV218" t="e">
        <f>AND('GA55 Entry'!Q864,"AAAAAG3/88s=")</f>
        <v>#VALUE!</v>
      </c>
      <c r="GW218" t="e">
        <f>AND('GA55 Entry'!S864,"AAAAAG3/88w=")</f>
        <v>#VALUE!</v>
      </c>
      <c r="GX218" t="e">
        <f>AND('GA55 Entry'!#REF!,"AAAAAG3/880=")</f>
        <v>#REF!</v>
      </c>
      <c r="GY218" t="e">
        <f>AND('GA55 Entry'!T864,"AAAAAG3/884=")</f>
        <v>#VALUE!</v>
      </c>
      <c r="GZ218" t="e">
        <f>AND('GA55 Entry'!U864,"AAAAAG3/888=")</f>
        <v>#VALUE!</v>
      </c>
      <c r="HA218" t="e">
        <f>AND('GA55 Entry'!V864,"AAAAAG3/89A=")</f>
        <v>#VALUE!</v>
      </c>
      <c r="HB218" t="e">
        <f>AND('GA55 Entry'!#REF!,"AAAAAG3/89E=")</f>
        <v>#REF!</v>
      </c>
      <c r="HC218" t="e">
        <f>AND('GA55 Entry'!#REF!,"AAAAAG3/89I=")</f>
        <v>#REF!</v>
      </c>
      <c r="HD218" t="e">
        <f>AND('GA55 Entry'!X864,"AAAAAG3/89M=")</f>
        <v>#VALUE!</v>
      </c>
      <c r="HE218" t="e">
        <f>AND('GA55 Entry'!Y864,"AAAAAG3/89Q=")</f>
        <v>#VALUE!</v>
      </c>
      <c r="HF218" t="e">
        <f>AND('GA55 Entry'!#REF!,"AAAAAG3/89U=")</f>
        <v>#REF!</v>
      </c>
      <c r="HG218" t="e">
        <f>AND('GA55 Entry'!#REF!,"AAAAAG3/89Y=")</f>
        <v>#REF!</v>
      </c>
      <c r="HH218" t="e">
        <f>AND('GA55 Entry'!#REF!,"AAAAAG3/89c=")</f>
        <v>#REF!</v>
      </c>
      <c r="HI218" t="e">
        <f>AND('GA55 Entry'!#REF!,"AAAAAG3/89g=")</f>
        <v>#REF!</v>
      </c>
      <c r="HJ218" t="e">
        <f>AND('GA55 Entry'!#REF!,"AAAAAG3/89k=")</f>
        <v>#REF!</v>
      </c>
      <c r="HK218" t="e">
        <f>AND('GA55 Entry'!#REF!,"AAAAAG3/89o=")</f>
        <v>#REF!</v>
      </c>
      <c r="HL218" t="e">
        <f>AND('GA55 Entry'!#REF!,"AAAAAG3/89s=")</f>
        <v>#REF!</v>
      </c>
      <c r="HM218" t="e">
        <f>AND('GA55 Entry'!#REF!,"AAAAAG3/89w=")</f>
        <v>#REF!</v>
      </c>
      <c r="HN218" t="e">
        <f>AND('GA55 Entry'!#REF!,"AAAAAG3/890=")</f>
        <v>#REF!</v>
      </c>
      <c r="HO218" t="e">
        <f>AND('GA55 Entry'!Z864,"AAAAAG3/894=")</f>
        <v>#VALUE!</v>
      </c>
      <c r="HP218" t="e">
        <f>AND('GA55 Entry'!AA864,"AAAAAG3/898=")</f>
        <v>#VALUE!</v>
      </c>
      <c r="HQ218" t="e">
        <f>AND('GA55 Entry'!#REF!,"AAAAAG3/8+A=")</f>
        <v>#REF!</v>
      </c>
      <c r="HR218" t="e">
        <f>AND('GA55 Entry'!#REF!,"AAAAAG3/8+E=")</f>
        <v>#REF!</v>
      </c>
      <c r="HS218" t="e">
        <f>AND('GA55 Entry'!#REF!,"AAAAAG3/8+I=")</f>
        <v>#REF!</v>
      </c>
      <c r="HT218" t="e">
        <f>AND('GA55 Entry'!AB864,"AAAAAG3/8+M=")</f>
        <v>#VALUE!</v>
      </c>
      <c r="HU218" t="e">
        <f>AND('GA55 Entry'!AC864,"AAAAAG3/8+Q=")</f>
        <v>#VALUE!</v>
      </c>
      <c r="HV218" t="e">
        <f>AND('GA55 Entry'!#REF!,"AAAAAG3/8+U=")</f>
        <v>#REF!</v>
      </c>
      <c r="HW218">
        <f>IF('GA55 Entry'!865:865,"AAAAAG3/8+Y=",0)</f>
        <v>0</v>
      </c>
      <c r="HX218" t="e">
        <f>AND('GA55 Entry'!B865,"AAAAAG3/8+c=")</f>
        <v>#VALUE!</v>
      </c>
      <c r="HY218" t="e">
        <f>AND('GA55 Entry'!#REF!,"AAAAAG3/8+g=")</f>
        <v>#REF!</v>
      </c>
      <c r="HZ218" t="e">
        <f>AND('GA55 Entry'!C865,"AAAAAG3/8+k=")</f>
        <v>#VALUE!</v>
      </c>
      <c r="IA218" t="e">
        <f>AND('GA55 Entry'!#REF!,"AAAAAG3/8+o=")</f>
        <v>#REF!</v>
      </c>
      <c r="IB218" t="e">
        <f>AND('GA55 Entry'!#REF!,"AAAAAG3/8+s=")</f>
        <v>#REF!</v>
      </c>
      <c r="IC218" t="e">
        <f>AND('GA55 Entry'!#REF!,"AAAAAG3/8+w=")</f>
        <v>#REF!</v>
      </c>
      <c r="ID218" t="e">
        <f>AND('GA55 Entry'!#REF!,"AAAAAG3/8+0=")</f>
        <v>#REF!</v>
      </c>
      <c r="IE218" t="e">
        <f>AND('GA55 Entry'!#REF!,"AAAAAG3/8+4=")</f>
        <v>#REF!</v>
      </c>
      <c r="IF218" t="e">
        <f>AND('GA55 Entry'!D865,"AAAAAG3/8+8=")</f>
        <v>#VALUE!</v>
      </c>
      <c r="IG218" t="e">
        <f>AND('GA55 Entry'!#REF!,"AAAAAG3/8/A=")</f>
        <v>#REF!</v>
      </c>
      <c r="IH218" t="e">
        <f>AND('GA55 Entry'!E865,"AAAAAG3/8/E=")</f>
        <v>#VALUE!</v>
      </c>
      <c r="II218" t="e">
        <f>AND('GA55 Entry'!F865,"AAAAAG3/8/I=")</f>
        <v>#VALUE!</v>
      </c>
      <c r="IJ218" t="e">
        <f>AND('GA55 Entry'!G865,"AAAAAG3/8/M=")</f>
        <v>#VALUE!</v>
      </c>
      <c r="IK218" t="e">
        <f>AND('GA55 Entry'!H865,"AAAAAG3/8/Q=")</f>
        <v>#VALUE!</v>
      </c>
      <c r="IL218" t="e">
        <f>AND('GA55 Entry'!I865,"AAAAAG3/8/U=")</f>
        <v>#VALUE!</v>
      </c>
      <c r="IM218" t="e">
        <f>AND('GA55 Entry'!J865,"AAAAAG3/8/Y=")</f>
        <v>#VALUE!</v>
      </c>
      <c r="IN218" t="e">
        <f>AND('GA55 Entry'!#REF!,"AAAAAG3/8/c=")</f>
        <v>#REF!</v>
      </c>
      <c r="IO218" t="e">
        <f>AND('GA55 Entry'!K865,"AAAAAG3/8/g=")</f>
        <v>#VALUE!</v>
      </c>
      <c r="IP218" t="e">
        <f>AND('GA55 Entry'!L865,"AAAAAG3/8/k=")</f>
        <v>#VALUE!</v>
      </c>
      <c r="IQ218" t="e">
        <f>AND('GA55 Entry'!M865,"AAAAAG3/8/o=")</f>
        <v>#VALUE!</v>
      </c>
      <c r="IR218" t="e">
        <f>AND('GA55 Entry'!N865,"AAAAAG3/8/s=")</f>
        <v>#VALUE!</v>
      </c>
      <c r="IS218" t="e">
        <f>AND('GA55 Entry'!O865,"AAAAAG3/8/w=")</f>
        <v>#VALUE!</v>
      </c>
      <c r="IT218" t="e">
        <f>AND('GA55 Entry'!P865,"AAAAAG3/8/0=")</f>
        <v>#VALUE!</v>
      </c>
      <c r="IU218" t="e">
        <f>AND('GA55 Entry'!Q865,"AAAAAG3/8/4=")</f>
        <v>#VALUE!</v>
      </c>
      <c r="IV218" t="e">
        <f>AND('GA55 Entry'!S865,"AAAAAG3/8/8=")</f>
        <v>#VALUE!</v>
      </c>
    </row>
    <row r="219" spans="1:256">
      <c r="A219" t="e">
        <f>AND('GA55 Entry'!#REF!,"AAAAAHx3twA=")</f>
        <v>#REF!</v>
      </c>
      <c r="B219" t="e">
        <f>AND('GA55 Entry'!T865,"AAAAAHx3twE=")</f>
        <v>#VALUE!</v>
      </c>
      <c r="C219" t="e">
        <f>AND('GA55 Entry'!U865,"AAAAAHx3twI=")</f>
        <v>#VALUE!</v>
      </c>
      <c r="D219" t="e">
        <f>AND('GA55 Entry'!V865,"AAAAAHx3twM=")</f>
        <v>#VALUE!</v>
      </c>
      <c r="E219" t="e">
        <f>AND('GA55 Entry'!#REF!,"AAAAAHx3twQ=")</f>
        <v>#REF!</v>
      </c>
      <c r="F219" t="e">
        <f>AND('GA55 Entry'!#REF!,"AAAAAHx3twU=")</f>
        <v>#REF!</v>
      </c>
      <c r="G219" t="e">
        <f>AND('GA55 Entry'!X865,"AAAAAHx3twY=")</f>
        <v>#VALUE!</v>
      </c>
      <c r="H219" t="e">
        <f>AND('GA55 Entry'!Y865,"AAAAAHx3twc=")</f>
        <v>#VALUE!</v>
      </c>
      <c r="I219" t="e">
        <f>AND('GA55 Entry'!#REF!,"AAAAAHx3twg=")</f>
        <v>#REF!</v>
      </c>
      <c r="J219" t="e">
        <f>AND('GA55 Entry'!#REF!,"AAAAAHx3twk=")</f>
        <v>#REF!</v>
      </c>
      <c r="K219" t="e">
        <f>AND('GA55 Entry'!#REF!,"AAAAAHx3two=")</f>
        <v>#REF!</v>
      </c>
      <c r="L219" t="e">
        <f>AND('GA55 Entry'!#REF!,"AAAAAHx3tws=")</f>
        <v>#REF!</v>
      </c>
      <c r="M219" t="e">
        <f>AND('GA55 Entry'!#REF!,"AAAAAHx3tww=")</f>
        <v>#REF!</v>
      </c>
      <c r="N219" t="e">
        <f>AND('GA55 Entry'!#REF!,"AAAAAHx3tw0=")</f>
        <v>#REF!</v>
      </c>
      <c r="O219" t="e">
        <f>AND('GA55 Entry'!#REF!,"AAAAAHx3tw4=")</f>
        <v>#REF!</v>
      </c>
      <c r="P219" t="e">
        <f>AND('GA55 Entry'!#REF!,"AAAAAHx3tw8=")</f>
        <v>#REF!</v>
      </c>
      <c r="Q219" t="e">
        <f>AND('GA55 Entry'!#REF!,"AAAAAHx3txA=")</f>
        <v>#REF!</v>
      </c>
      <c r="R219" t="e">
        <f>AND('GA55 Entry'!Z865,"AAAAAHx3txE=")</f>
        <v>#VALUE!</v>
      </c>
      <c r="S219" t="e">
        <f>AND('GA55 Entry'!AA865,"AAAAAHx3txI=")</f>
        <v>#VALUE!</v>
      </c>
      <c r="T219" t="e">
        <f>AND('GA55 Entry'!#REF!,"AAAAAHx3txM=")</f>
        <v>#REF!</v>
      </c>
      <c r="U219" t="e">
        <f>AND('GA55 Entry'!#REF!,"AAAAAHx3txQ=")</f>
        <v>#REF!</v>
      </c>
      <c r="V219" t="e">
        <f>AND('GA55 Entry'!#REF!,"AAAAAHx3txU=")</f>
        <v>#REF!</v>
      </c>
      <c r="W219" t="e">
        <f>AND('GA55 Entry'!AB865,"AAAAAHx3txY=")</f>
        <v>#VALUE!</v>
      </c>
      <c r="X219" t="e">
        <f>AND('GA55 Entry'!AC865,"AAAAAHx3txc=")</f>
        <v>#VALUE!</v>
      </c>
      <c r="Y219" t="e">
        <f>AND('GA55 Entry'!#REF!,"AAAAAHx3txg=")</f>
        <v>#REF!</v>
      </c>
      <c r="Z219">
        <f>IF('GA55 Entry'!866:866,"AAAAAHx3txk=",0)</f>
        <v>0</v>
      </c>
      <c r="AA219" t="e">
        <f>AND('GA55 Entry'!B866,"AAAAAHx3txo=")</f>
        <v>#VALUE!</v>
      </c>
      <c r="AB219" t="e">
        <f>AND('GA55 Entry'!#REF!,"AAAAAHx3txs=")</f>
        <v>#REF!</v>
      </c>
      <c r="AC219" t="e">
        <f>AND('GA55 Entry'!C866,"AAAAAHx3txw=")</f>
        <v>#VALUE!</v>
      </c>
      <c r="AD219" t="e">
        <f>AND('GA55 Entry'!#REF!,"AAAAAHx3tx0=")</f>
        <v>#REF!</v>
      </c>
      <c r="AE219" t="e">
        <f>AND('GA55 Entry'!#REF!,"AAAAAHx3tx4=")</f>
        <v>#REF!</v>
      </c>
      <c r="AF219" t="e">
        <f>AND('GA55 Entry'!#REF!,"AAAAAHx3tx8=")</f>
        <v>#REF!</v>
      </c>
      <c r="AG219" t="e">
        <f>AND('GA55 Entry'!#REF!,"AAAAAHx3tyA=")</f>
        <v>#REF!</v>
      </c>
      <c r="AH219" t="e">
        <f>AND('GA55 Entry'!#REF!,"AAAAAHx3tyE=")</f>
        <v>#REF!</v>
      </c>
      <c r="AI219" t="e">
        <f>AND('GA55 Entry'!D866,"AAAAAHx3tyI=")</f>
        <v>#VALUE!</v>
      </c>
      <c r="AJ219" t="e">
        <f>AND('GA55 Entry'!#REF!,"AAAAAHx3tyM=")</f>
        <v>#REF!</v>
      </c>
      <c r="AK219" t="e">
        <f>AND('GA55 Entry'!E866,"AAAAAHx3tyQ=")</f>
        <v>#VALUE!</v>
      </c>
      <c r="AL219" t="e">
        <f>AND('GA55 Entry'!F866,"AAAAAHx3tyU=")</f>
        <v>#VALUE!</v>
      </c>
      <c r="AM219" t="e">
        <f>AND('GA55 Entry'!G866,"AAAAAHx3tyY=")</f>
        <v>#VALUE!</v>
      </c>
      <c r="AN219" t="e">
        <f>AND('GA55 Entry'!H866,"AAAAAHx3tyc=")</f>
        <v>#VALUE!</v>
      </c>
      <c r="AO219" t="e">
        <f>AND('GA55 Entry'!I866,"AAAAAHx3tyg=")</f>
        <v>#VALUE!</v>
      </c>
      <c r="AP219" t="e">
        <f>AND('GA55 Entry'!J866,"AAAAAHx3tyk=")</f>
        <v>#VALUE!</v>
      </c>
      <c r="AQ219" t="e">
        <f>AND('GA55 Entry'!#REF!,"AAAAAHx3tyo=")</f>
        <v>#REF!</v>
      </c>
      <c r="AR219" t="e">
        <f>AND('GA55 Entry'!K866,"AAAAAHx3tys=")</f>
        <v>#VALUE!</v>
      </c>
      <c r="AS219" t="e">
        <f>AND('GA55 Entry'!L866,"AAAAAHx3tyw=")</f>
        <v>#VALUE!</v>
      </c>
      <c r="AT219" t="e">
        <f>AND('GA55 Entry'!M866,"AAAAAHx3ty0=")</f>
        <v>#VALUE!</v>
      </c>
      <c r="AU219" t="e">
        <f>AND('GA55 Entry'!N866,"AAAAAHx3ty4=")</f>
        <v>#VALUE!</v>
      </c>
      <c r="AV219" t="e">
        <f>AND('GA55 Entry'!O866,"AAAAAHx3ty8=")</f>
        <v>#VALUE!</v>
      </c>
      <c r="AW219" t="e">
        <f>AND('GA55 Entry'!P866,"AAAAAHx3tzA=")</f>
        <v>#VALUE!</v>
      </c>
      <c r="AX219" t="e">
        <f>AND('GA55 Entry'!Q866,"AAAAAHx3tzE=")</f>
        <v>#VALUE!</v>
      </c>
      <c r="AY219" t="e">
        <f>AND('GA55 Entry'!S866,"AAAAAHx3tzI=")</f>
        <v>#VALUE!</v>
      </c>
      <c r="AZ219" t="e">
        <f>AND('GA55 Entry'!#REF!,"AAAAAHx3tzM=")</f>
        <v>#REF!</v>
      </c>
      <c r="BA219" t="e">
        <f>AND('GA55 Entry'!T866,"AAAAAHx3tzQ=")</f>
        <v>#VALUE!</v>
      </c>
      <c r="BB219" t="e">
        <f>AND('GA55 Entry'!U866,"AAAAAHx3tzU=")</f>
        <v>#VALUE!</v>
      </c>
      <c r="BC219" t="e">
        <f>AND('GA55 Entry'!V866,"AAAAAHx3tzY=")</f>
        <v>#VALUE!</v>
      </c>
      <c r="BD219" t="e">
        <f>AND('GA55 Entry'!#REF!,"AAAAAHx3tzc=")</f>
        <v>#REF!</v>
      </c>
      <c r="BE219" t="e">
        <f>AND('GA55 Entry'!#REF!,"AAAAAHx3tzg=")</f>
        <v>#REF!</v>
      </c>
      <c r="BF219" t="e">
        <f>AND('GA55 Entry'!X866,"AAAAAHx3tzk=")</f>
        <v>#VALUE!</v>
      </c>
      <c r="BG219" t="e">
        <f>AND('GA55 Entry'!Y866,"AAAAAHx3tzo=")</f>
        <v>#VALUE!</v>
      </c>
      <c r="BH219" t="e">
        <f>AND('GA55 Entry'!#REF!,"AAAAAHx3tzs=")</f>
        <v>#REF!</v>
      </c>
      <c r="BI219" t="e">
        <f>AND('GA55 Entry'!#REF!,"AAAAAHx3tzw=")</f>
        <v>#REF!</v>
      </c>
      <c r="BJ219" t="e">
        <f>AND('GA55 Entry'!#REF!,"AAAAAHx3tz0=")</f>
        <v>#REF!</v>
      </c>
      <c r="BK219" t="e">
        <f>AND('GA55 Entry'!#REF!,"AAAAAHx3tz4=")</f>
        <v>#REF!</v>
      </c>
      <c r="BL219" t="e">
        <f>AND('GA55 Entry'!#REF!,"AAAAAHx3tz8=")</f>
        <v>#REF!</v>
      </c>
      <c r="BM219" t="e">
        <f>AND('GA55 Entry'!#REF!,"AAAAAHx3t0A=")</f>
        <v>#REF!</v>
      </c>
      <c r="BN219" t="e">
        <f>AND('GA55 Entry'!#REF!,"AAAAAHx3t0E=")</f>
        <v>#REF!</v>
      </c>
      <c r="BO219" t="e">
        <f>AND('GA55 Entry'!#REF!,"AAAAAHx3t0I=")</f>
        <v>#REF!</v>
      </c>
      <c r="BP219" t="e">
        <f>AND('GA55 Entry'!#REF!,"AAAAAHx3t0M=")</f>
        <v>#REF!</v>
      </c>
      <c r="BQ219" t="e">
        <f>AND('GA55 Entry'!Z866,"AAAAAHx3t0Q=")</f>
        <v>#VALUE!</v>
      </c>
      <c r="BR219" t="e">
        <f>AND('GA55 Entry'!AA866,"AAAAAHx3t0U=")</f>
        <v>#VALUE!</v>
      </c>
      <c r="BS219" t="e">
        <f>AND('GA55 Entry'!#REF!,"AAAAAHx3t0Y=")</f>
        <v>#REF!</v>
      </c>
      <c r="BT219" t="e">
        <f>AND('GA55 Entry'!#REF!,"AAAAAHx3t0c=")</f>
        <v>#REF!</v>
      </c>
      <c r="BU219" t="e">
        <f>AND('GA55 Entry'!#REF!,"AAAAAHx3t0g=")</f>
        <v>#REF!</v>
      </c>
      <c r="BV219" t="e">
        <f>AND('GA55 Entry'!AB866,"AAAAAHx3t0k=")</f>
        <v>#VALUE!</v>
      </c>
      <c r="BW219" t="e">
        <f>AND('GA55 Entry'!AC866,"AAAAAHx3t0o=")</f>
        <v>#VALUE!</v>
      </c>
      <c r="BX219" t="e">
        <f>AND('GA55 Entry'!#REF!,"AAAAAHx3t0s=")</f>
        <v>#REF!</v>
      </c>
      <c r="BY219">
        <f>IF('GA55 Entry'!867:867,"AAAAAHx3t0w=",0)</f>
        <v>0</v>
      </c>
      <c r="BZ219" t="e">
        <f>AND('GA55 Entry'!B867,"AAAAAHx3t00=")</f>
        <v>#VALUE!</v>
      </c>
      <c r="CA219" t="e">
        <f>AND('GA55 Entry'!#REF!,"AAAAAHx3t04=")</f>
        <v>#REF!</v>
      </c>
      <c r="CB219" t="e">
        <f>AND('GA55 Entry'!C867,"AAAAAHx3t08=")</f>
        <v>#VALUE!</v>
      </c>
      <c r="CC219" t="e">
        <f>AND('GA55 Entry'!#REF!,"AAAAAHx3t1A=")</f>
        <v>#REF!</v>
      </c>
      <c r="CD219" t="e">
        <f>AND('GA55 Entry'!#REF!,"AAAAAHx3t1E=")</f>
        <v>#REF!</v>
      </c>
      <c r="CE219" t="e">
        <f>AND('GA55 Entry'!#REF!,"AAAAAHx3t1I=")</f>
        <v>#REF!</v>
      </c>
      <c r="CF219" t="e">
        <f>AND('GA55 Entry'!#REF!,"AAAAAHx3t1M=")</f>
        <v>#REF!</v>
      </c>
      <c r="CG219" t="e">
        <f>AND('GA55 Entry'!#REF!,"AAAAAHx3t1Q=")</f>
        <v>#REF!</v>
      </c>
      <c r="CH219" t="e">
        <f>AND('GA55 Entry'!D867,"AAAAAHx3t1U=")</f>
        <v>#VALUE!</v>
      </c>
      <c r="CI219" t="e">
        <f>AND('GA55 Entry'!#REF!,"AAAAAHx3t1Y=")</f>
        <v>#REF!</v>
      </c>
      <c r="CJ219" t="e">
        <f>AND('GA55 Entry'!E867,"AAAAAHx3t1c=")</f>
        <v>#VALUE!</v>
      </c>
      <c r="CK219" t="e">
        <f>AND('GA55 Entry'!F867,"AAAAAHx3t1g=")</f>
        <v>#VALUE!</v>
      </c>
      <c r="CL219" t="e">
        <f>AND('GA55 Entry'!G867,"AAAAAHx3t1k=")</f>
        <v>#VALUE!</v>
      </c>
      <c r="CM219" t="e">
        <f>AND('GA55 Entry'!H867,"AAAAAHx3t1o=")</f>
        <v>#VALUE!</v>
      </c>
      <c r="CN219" t="e">
        <f>AND('GA55 Entry'!I867,"AAAAAHx3t1s=")</f>
        <v>#VALUE!</v>
      </c>
      <c r="CO219" t="e">
        <f>AND('GA55 Entry'!J867,"AAAAAHx3t1w=")</f>
        <v>#VALUE!</v>
      </c>
      <c r="CP219" t="e">
        <f>AND('GA55 Entry'!#REF!,"AAAAAHx3t10=")</f>
        <v>#REF!</v>
      </c>
      <c r="CQ219" t="e">
        <f>AND('GA55 Entry'!K867,"AAAAAHx3t14=")</f>
        <v>#VALUE!</v>
      </c>
      <c r="CR219" t="e">
        <f>AND('GA55 Entry'!L867,"AAAAAHx3t18=")</f>
        <v>#VALUE!</v>
      </c>
      <c r="CS219" t="e">
        <f>AND('GA55 Entry'!M867,"AAAAAHx3t2A=")</f>
        <v>#VALUE!</v>
      </c>
      <c r="CT219" t="e">
        <f>AND('GA55 Entry'!N867,"AAAAAHx3t2E=")</f>
        <v>#VALUE!</v>
      </c>
      <c r="CU219" t="e">
        <f>AND('GA55 Entry'!O867,"AAAAAHx3t2I=")</f>
        <v>#VALUE!</v>
      </c>
      <c r="CV219" t="e">
        <f>AND('GA55 Entry'!P867,"AAAAAHx3t2M=")</f>
        <v>#VALUE!</v>
      </c>
      <c r="CW219" t="e">
        <f>AND('GA55 Entry'!Q867,"AAAAAHx3t2Q=")</f>
        <v>#VALUE!</v>
      </c>
      <c r="CX219" t="e">
        <f>AND('GA55 Entry'!S867,"AAAAAHx3t2U=")</f>
        <v>#VALUE!</v>
      </c>
      <c r="CY219" t="e">
        <f>AND('GA55 Entry'!#REF!,"AAAAAHx3t2Y=")</f>
        <v>#REF!</v>
      </c>
      <c r="CZ219" t="e">
        <f>AND('GA55 Entry'!T867,"AAAAAHx3t2c=")</f>
        <v>#VALUE!</v>
      </c>
      <c r="DA219" t="e">
        <f>AND('GA55 Entry'!U867,"AAAAAHx3t2g=")</f>
        <v>#VALUE!</v>
      </c>
      <c r="DB219" t="e">
        <f>AND('GA55 Entry'!V867,"AAAAAHx3t2k=")</f>
        <v>#VALUE!</v>
      </c>
      <c r="DC219" t="e">
        <f>AND('GA55 Entry'!#REF!,"AAAAAHx3t2o=")</f>
        <v>#REF!</v>
      </c>
      <c r="DD219" t="e">
        <f>AND('GA55 Entry'!#REF!,"AAAAAHx3t2s=")</f>
        <v>#REF!</v>
      </c>
      <c r="DE219" t="e">
        <f>AND('GA55 Entry'!X867,"AAAAAHx3t2w=")</f>
        <v>#VALUE!</v>
      </c>
      <c r="DF219" t="e">
        <f>AND('GA55 Entry'!Y867,"AAAAAHx3t20=")</f>
        <v>#VALUE!</v>
      </c>
      <c r="DG219" t="e">
        <f>AND('GA55 Entry'!#REF!,"AAAAAHx3t24=")</f>
        <v>#REF!</v>
      </c>
      <c r="DH219" t="e">
        <f>AND('GA55 Entry'!#REF!,"AAAAAHx3t28=")</f>
        <v>#REF!</v>
      </c>
      <c r="DI219" t="e">
        <f>AND('GA55 Entry'!#REF!,"AAAAAHx3t3A=")</f>
        <v>#REF!</v>
      </c>
      <c r="DJ219" t="e">
        <f>AND('GA55 Entry'!#REF!,"AAAAAHx3t3E=")</f>
        <v>#REF!</v>
      </c>
      <c r="DK219" t="e">
        <f>AND('GA55 Entry'!#REF!,"AAAAAHx3t3I=")</f>
        <v>#REF!</v>
      </c>
      <c r="DL219" t="e">
        <f>AND('GA55 Entry'!#REF!,"AAAAAHx3t3M=")</f>
        <v>#REF!</v>
      </c>
      <c r="DM219" t="e">
        <f>AND('GA55 Entry'!#REF!,"AAAAAHx3t3Q=")</f>
        <v>#REF!</v>
      </c>
      <c r="DN219" t="e">
        <f>AND('GA55 Entry'!#REF!,"AAAAAHx3t3U=")</f>
        <v>#REF!</v>
      </c>
      <c r="DO219" t="e">
        <f>AND('GA55 Entry'!#REF!,"AAAAAHx3t3Y=")</f>
        <v>#REF!</v>
      </c>
      <c r="DP219" t="e">
        <f>AND('GA55 Entry'!Z867,"AAAAAHx3t3c=")</f>
        <v>#VALUE!</v>
      </c>
      <c r="DQ219" t="e">
        <f>AND('GA55 Entry'!AA867,"AAAAAHx3t3g=")</f>
        <v>#VALUE!</v>
      </c>
      <c r="DR219" t="e">
        <f>AND('GA55 Entry'!#REF!,"AAAAAHx3t3k=")</f>
        <v>#REF!</v>
      </c>
      <c r="DS219" t="e">
        <f>AND('GA55 Entry'!#REF!,"AAAAAHx3t3o=")</f>
        <v>#REF!</v>
      </c>
      <c r="DT219" t="e">
        <f>AND('GA55 Entry'!#REF!,"AAAAAHx3t3s=")</f>
        <v>#REF!</v>
      </c>
      <c r="DU219" t="e">
        <f>AND('GA55 Entry'!AB867,"AAAAAHx3t3w=")</f>
        <v>#VALUE!</v>
      </c>
      <c r="DV219" t="e">
        <f>AND('GA55 Entry'!AC867,"AAAAAHx3t30=")</f>
        <v>#VALUE!</v>
      </c>
      <c r="DW219" t="e">
        <f>AND('GA55 Entry'!#REF!,"AAAAAHx3t34=")</f>
        <v>#REF!</v>
      </c>
      <c r="DX219">
        <f>IF('GA55 Entry'!868:868,"AAAAAHx3t38=",0)</f>
        <v>0</v>
      </c>
      <c r="DY219" t="e">
        <f>AND('GA55 Entry'!B868,"AAAAAHx3t4A=")</f>
        <v>#VALUE!</v>
      </c>
      <c r="DZ219" t="e">
        <f>AND('GA55 Entry'!#REF!,"AAAAAHx3t4E=")</f>
        <v>#REF!</v>
      </c>
      <c r="EA219" t="e">
        <f>AND('GA55 Entry'!C868,"AAAAAHx3t4I=")</f>
        <v>#VALUE!</v>
      </c>
      <c r="EB219" t="e">
        <f>AND('GA55 Entry'!#REF!,"AAAAAHx3t4M=")</f>
        <v>#REF!</v>
      </c>
      <c r="EC219" t="e">
        <f>AND('GA55 Entry'!#REF!,"AAAAAHx3t4Q=")</f>
        <v>#REF!</v>
      </c>
      <c r="ED219" t="e">
        <f>AND('GA55 Entry'!#REF!,"AAAAAHx3t4U=")</f>
        <v>#REF!</v>
      </c>
      <c r="EE219" t="e">
        <f>AND('GA55 Entry'!#REF!,"AAAAAHx3t4Y=")</f>
        <v>#REF!</v>
      </c>
      <c r="EF219" t="e">
        <f>AND('GA55 Entry'!#REF!,"AAAAAHx3t4c=")</f>
        <v>#REF!</v>
      </c>
      <c r="EG219" t="e">
        <f>AND('GA55 Entry'!D868,"AAAAAHx3t4g=")</f>
        <v>#VALUE!</v>
      </c>
      <c r="EH219" t="e">
        <f>AND('GA55 Entry'!#REF!,"AAAAAHx3t4k=")</f>
        <v>#REF!</v>
      </c>
      <c r="EI219" t="e">
        <f>AND('GA55 Entry'!E868,"AAAAAHx3t4o=")</f>
        <v>#VALUE!</v>
      </c>
      <c r="EJ219" t="e">
        <f>AND('GA55 Entry'!F868,"AAAAAHx3t4s=")</f>
        <v>#VALUE!</v>
      </c>
      <c r="EK219" t="e">
        <f>AND('GA55 Entry'!G868,"AAAAAHx3t4w=")</f>
        <v>#VALUE!</v>
      </c>
      <c r="EL219" t="e">
        <f>AND('GA55 Entry'!H868,"AAAAAHx3t40=")</f>
        <v>#VALUE!</v>
      </c>
      <c r="EM219" t="e">
        <f>AND('GA55 Entry'!I868,"AAAAAHx3t44=")</f>
        <v>#VALUE!</v>
      </c>
      <c r="EN219" t="e">
        <f>AND('GA55 Entry'!J868,"AAAAAHx3t48=")</f>
        <v>#VALUE!</v>
      </c>
      <c r="EO219" t="e">
        <f>AND('GA55 Entry'!#REF!,"AAAAAHx3t5A=")</f>
        <v>#REF!</v>
      </c>
      <c r="EP219" t="e">
        <f>AND('GA55 Entry'!K868,"AAAAAHx3t5E=")</f>
        <v>#VALUE!</v>
      </c>
      <c r="EQ219" t="e">
        <f>AND('GA55 Entry'!L868,"AAAAAHx3t5I=")</f>
        <v>#VALUE!</v>
      </c>
      <c r="ER219" t="e">
        <f>AND('GA55 Entry'!M868,"AAAAAHx3t5M=")</f>
        <v>#VALUE!</v>
      </c>
      <c r="ES219" t="e">
        <f>AND('GA55 Entry'!N868,"AAAAAHx3t5Q=")</f>
        <v>#VALUE!</v>
      </c>
      <c r="ET219" t="e">
        <f>AND('GA55 Entry'!O868,"AAAAAHx3t5U=")</f>
        <v>#VALUE!</v>
      </c>
      <c r="EU219" t="e">
        <f>AND('GA55 Entry'!P868,"AAAAAHx3t5Y=")</f>
        <v>#VALUE!</v>
      </c>
      <c r="EV219" t="e">
        <f>AND('GA55 Entry'!Q868,"AAAAAHx3t5c=")</f>
        <v>#VALUE!</v>
      </c>
      <c r="EW219" t="e">
        <f>AND('GA55 Entry'!S868,"AAAAAHx3t5g=")</f>
        <v>#VALUE!</v>
      </c>
      <c r="EX219" t="e">
        <f>AND('GA55 Entry'!#REF!,"AAAAAHx3t5k=")</f>
        <v>#REF!</v>
      </c>
      <c r="EY219" t="e">
        <f>AND('GA55 Entry'!T868,"AAAAAHx3t5o=")</f>
        <v>#VALUE!</v>
      </c>
      <c r="EZ219" t="e">
        <f>AND('GA55 Entry'!U868,"AAAAAHx3t5s=")</f>
        <v>#VALUE!</v>
      </c>
      <c r="FA219" t="e">
        <f>AND('GA55 Entry'!V868,"AAAAAHx3t5w=")</f>
        <v>#VALUE!</v>
      </c>
      <c r="FB219" t="e">
        <f>AND('GA55 Entry'!#REF!,"AAAAAHx3t50=")</f>
        <v>#REF!</v>
      </c>
      <c r="FC219" t="e">
        <f>AND('GA55 Entry'!#REF!,"AAAAAHx3t54=")</f>
        <v>#REF!</v>
      </c>
      <c r="FD219" t="e">
        <f>AND('GA55 Entry'!X868,"AAAAAHx3t58=")</f>
        <v>#VALUE!</v>
      </c>
      <c r="FE219" t="e">
        <f>AND('GA55 Entry'!Y868,"AAAAAHx3t6A=")</f>
        <v>#VALUE!</v>
      </c>
      <c r="FF219" t="e">
        <f>AND('GA55 Entry'!#REF!,"AAAAAHx3t6E=")</f>
        <v>#REF!</v>
      </c>
      <c r="FG219" t="e">
        <f>AND('GA55 Entry'!#REF!,"AAAAAHx3t6I=")</f>
        <v>#REF!</v>
      </c>
      <c r="FH219" t="e">
        <f>AND('GA55 Entry'!#REF!,"AAAAAHx3t6M=")</f>
        <v>#REF!</v>
      </c>
      <c r="FI219" t="e">
        <f>AND('GA55 Entry'!#REF!,"AAAAAHx3t6Q=")</f>
        <v>#REF!</v>
      </c>
      <c r="FJ219" t="e">
        <f>AND('GA55 Entry'!#REF!,"AAAAAHx3t6U=")</f>
        <v>#REF!</v>
      </c>
      <c r="FK219" t="e">
        <f>AND('GA55 Entry'!#REF!,"AAAAAHx3t6Y=")</f>
        <v>#REF!</v>
      </c>
      <c r="FL219" t="e">
        <f>AND('GA55 Entry'!#REF!,"AAAAAHx3t6c=")</f>
        <v>#REF!</v>
      </c>
      <c r="FM219" t="e">
        <f>AND('GA55 Entry'!#REF!,"AAAAAHx3t6g=")</f>
        <v>#REF!</v>
      </c>
      <c r="FN219" t="e">
        <f>AND('GA55 Entry'!#REF!,"AAAAAHx3t6k=")</f>
        <v>#REF!</v>
      </c>
      <c r="FO219" t="e">
        <f>AND('GA55 Entry'!Z868,"AAAAAHx3t6o=")</f>
        <v>#VALUE!</v>
      </c>
      <c r="FP219" t="e">
        <f>AND('GA55 Entry'!AA868,"AAAAAHx3t6s=")</f>
        <v>#VALUE!</v>
      </c>
      <c r="FQ219" t="e">
        <f>AND('GA55 Entry'!#REF!,"AAAAAHx3t6w=")</f>
        <v>#REF!</v>
      </c>
      <c r="FR219" t="e">
        <f>AND('GA55 Entry'!#REF!,"AAAAAHx3t60=")</f>
        <v>#REF!</v>
      </c>
      <c r="FS219" t="e">
        <f>AND('GA55 Entry'!#REF!,"AAAAAHx3t64=")</f>
        <v>#REF!</v>
      </c>
      <c r="FT219" t="e">
        <f>AND('GA55 Entry'!AB868,"AAAAAHx3t68=")</f>
        <v>#VALUE!</v>
      </c>
      <c r="FU219" t="e">
        <f>AND('GA55 Entry'!AC868,"AAAAAHx3t7A=")</f>
        <v>#VALUE!</v>
      </c>
      <c r="FV219" t="e">
        <f>AND('GA55 Entry'!#REF!,"AAAAAHx3t7E=")</f>
        <v>#REF!</v>
      </c>
      <c r="FW219">
        <f>IF('GA55 Entry'!869:869,"AAAAAHx3t7I=",0)</f>
        <v>0</v>
      </c>
      <c r="FX219" t="e">
        <f>AND('GA55 Entry'!B869,"AAAAAHx3t7M=")</f>
        <v>#VALUE!</v>
      </c>
      <c r="FY219" t="e">
        <f>AND('GA55 Entry'!#REF!,"AAAAAHx3t7Q=")</f>
        <v>#REF!</v>
      </c>
      <c r="FZ219" t="e">
        <f>AND('GA55 Entry'!C869,"AAAAAHx3t7U=")</f>
        <v>#VALUE!</v>
      </c>
      <c r="GA219" t="e">
        <f>AND('GA55 Entry'!#REF!,"AAAAAHx3t7Y=")</f>
        <v>#REF!</v>
      </c>
      <c r="GB219" t="e">
        <f>AND('GA55 Entry'!#REF!,"AAAAAHx3t7c=")</f>
        <v>#REF!</v>
      </c>
      <c r="GC219" t="e">
        <f>AND('GA55 Entry'!#REF!,"AAAAAHx3t7g=")</f>
        <v>#REF!</v>
      </c>
      <c r="GD219" t="e">
        <f>AND('GA55 Entry'!#REF!,"AAAAAHx3t7k=")</f>
        <v>#REF!</v>
      </c>
      <c r="GE219" t="e">
        <f>AND('GA55 Entry'!#REF!,"AAAAAHx3t7o=")</f>
        <v>#REF!</v>
      </c>
      <c r="GF219" t="e">
        <f>AND('GA55 Entry'!D869,"AAAAAHx3t7s=")</f>
        <v>#VALUE!</v>
      </c>
      <c r="GG219" t="e">
        <f>AND('GA55 Entry'!#REF!,"AAAAAHx3t7w=")</f>
        <v>#REF!</v>
      </c>
      <c r="GH219" t="e">
        <f>AND('GA55 Entry'!E869,"AAAAAHx3t70=")</f>
        <v>#VALUE!</v>
      </c>
      <c r="GI219" t="e">
        <f>AND('GA55 Entry'!F869,"AAAAAHx3t74=")</f>
        <v>#VALUE!</v>
      </c>
      <c r="GJ219" t="e">
        <f>AND('GA55 Entry'!G869,"AAAAAHx3t78=")</f>
        <v>#VALUE!</v>
      </c>
      <c r="GK219" t="e">
        <f>AND('GA55 Entry'!H869,"AAAAAHx3t8A=")</f>
        <v>#VALUE!</v>
      </c>
      <c r="GL219" t="e">
        <f>AND('GA55 Entry'!I869,"AAAAAHx3t8E=")</f>
        <v>#VALUE!</v>
      </c>
      <c r="GM219" t="e">
        <f>AND('GA55 Entry'!J869,"AAAAAHx3t8I=")</f>
        <v>#VALUE!</v>
      </c>
      <c r="GN219" t="e">
        <f>AND('GA55 Entry'!#REF!,"AAAAAHx3t8M=")</f>
        <v>#REF!</v>
      </c>
      <c r="GO219" t="e">
        <f>AND('GA55 Entry'!K869,"AAAAAHx3t8Q=")</f>
        <v>#VALUE!</v>
      </c>
      <c r="GP219" t="e">
        <f>AND('GA55 Entry'!L869,"AAAAAHx3t8U=")</f>
        <v>#VALUE!</v>
      </c>
      <c r="GQ219" t="e">
        <f>AND('GA55 Entry'!M869,"AAAAAHx3t8Y=")</f>
        <v>#VALUE!</v>
      </c>
      <c r="GR219" t="e">
        <f>AND('GA55 Entry'!N869,"AAAAAHx3t8c=")</f>
        <v>#VALUE!</v>
      </c>
      <c r="GS219" t="e">
        <f>AND('GA55 Entry'!O869,"AAAAAHx3t8g=")</f>
        <v>#VALUE!</v>
      </c>
      <c r="GT219" t="e">
        <f>AND('GA55 Entry'!P869,"AAAAAHx3t8k=")</f>
        <v>#VALUE!</v>
      </c>
      <c r="GU219" t="e">
        <f>AND('GA55 Entry'!Q869,"AAAAAHx3t8o=")</f>
        <v>#VALUE!</v>
      </c>
      <c r="GV219" t="e">
        <f>AND('GA55 Entry'!S869,"AAAAAHx3t8s=")</f>
        <v>#VALUE!</v>
      </c>
      <c r="GW219" t="e">
        <f>AND('GA55 Entry'!#REF!,"AAAAAHx3t8w=")</f>
        <v>#REF!</v>
      </c>
      <c r="GX219" t="e">
        <f>AND('GA55 Entry'!T869,"AAAAAHx3t80=")</f>
        <v>#VALUE!</v>
      </c>
      <c r="GY219" t="e">
        <f>AND('GA55 Entry'!U869,"AAAAAHx3t84=")</f>
        <v>#VALUE!</v>
      </c>
      <c r="GZ219" t="e">
        <f>AND('GA55 Entry'!V869,"AAAAAHx3t88=")</f>
        <v>#VALUE!</v>
      </c>
      <c r="HA219" t="e">
        <f>AND('GA55 Entry'!#REF!,"AAAAAHx3t9A=")</f>
        <v>#REF!</v>
      </c>
      <c r="HB219" t="e">
        <f>AND('GA55 Entry'!#REF!,"AAAAAHx3t9E=")</f>
        <v>#REF!</v>
      </c>
      <c r="HC219" t="e">
        <f>AND('GA55 Entry'!X869,"AAAAAHx3t9I=")</f>
        <v>#VALUE!</v>
      </c>
      <c r="HD219" t="e">
        <f>AND('GA55 Entry'!Y869,"AAAAAHx3t9M=")</f>
        <v>#VALUE!</v>
      </c>
      <c r="HE219" t="e">
        <f>AND('GA55 Entry'!#REF!,"AAAAAHx3t9Q=")</f>
        <v>#REF!</v>
      </c>
      <c r="HF219" t="e">
        <f>AND('GA55 Entry'!#REF!,"AAAAAHx3t9U=")</f>
        <v>#REF!</v>
      </c>
      <c r="HG219" t="e">
        <f>AND('GA55 Entry'!#REF!,"AAAAAHx3t9Y=")</f>
        <v>#REF!</v>
      </c>
      <c r="HH219" t="e">
        <f>AND('GA55 Entry'!#REF!,"AAAAAHx3t9c=")</f>
        <v>#REF!</v>
      </c>
      <c r="HI219" t="e">
        <f>AND('GA55 Entry'!#REF!,"AAAAAHx3t9g=")</f>
        <v>#REF!</v>
      </c>
      <c r="HJ219" t="e">
        <f>AND('GA55 Entry'!#REF!,"AAAAAHx3t9k=")</f>
        <v>#REF!</v>
      </c>
      <c r="HK219" t="e">
        <f>AND('GA55 Entry'!#REF!,"AAAAAHx3t9o=")</f>
        <v>#REF!</v>
      </c>
      <c r="HL219" t="e">
        <f>AND('GA55 Entry'!#REF!,"AAAAAHx3t9s=")</f>
        <v>#REF!</v>
      </c>
      <c r="HM219" t="e">
        <f>AND('GA55 Entry'!#REF!,"AAAAAHx3t9w=")</f>
        <v>#REF!</v>
      </c>
      <c r="HN219" t="e">
        <f>AND('GA55 Entry'!Z869,"AAAAAHx3t90=")</f>
        <v>#VALUE!</v>
      </c>
      <c r="HO219" t="e">
        <f>AND('GA55 Entry'!AA869,"AAAAAHx3t94=")</f>
        <v>#VALUE!</v>
      </c>
      <c r="HP219" t="e">
        <f>AND('GA55 Entry'!#REF!,"AAAAAHx3t98=")</f>
        <v>#REF!</v>
      </c>
      <c r="HQ219" t="e">
        <f>AND('GA55 Entry'!#REF!,"AAAAAHx3t+A=")</f>
        <v>#REF!</v>
      </c>
      <c r="HR219" t="e">
        <f>AND('GA55 Entry'!#REF!,"AAAAAHx3t+E=")</f>
        <v>#REF!</v>
      </c>
      <c r="HS219" t="e">
        <f>AND('GA55 Entry'!AB869,"AAAAAHx3t+I=")</f>
        <v>#VALUE!</v>
      </c>
      <c r="HT219" t="e">
        <f>AND('GA55 Entry'!AC869,"AAAAAHx3t+M=")</f>
        <v>#VALUE!</v>
      </c>
      <c r="HU219" t="e">
        <f>AND('GA55 Entry'!#REF!,"AAAAAHx3t+Q=")</f>
        <v>#REF!</v>
      </c>
      <c r="HV219">
        <f>IF('GA55 Entry'!870:870,"AAAAAHx3t+U=",0)</f>
        <v>0</v>
      </c>
      <c r="HW219" t="e">
        <f>AND('GA55 Entry'!B870,"AAAAAHx3t+Y=")</f>
        <v>#VALUE!</v>
      </c>
      <c r="HX219" t="e">
        <f>AND('GA55 Entry'!#REF!,"AAAAAHx3t+c=")</f>
        <v>#REF!</v>
      </c>
      <c r="HY219" t="e">
        <f>AND('GA55 Entry'!C870,"AAAAAHx3t+g=")</f>
        <v>#VALUE!</v>
      </c>
      <c r="HZ219" t="e">
        <f>AND('GA55 Entry'!#REF!,"AAAAAHx3t+k=")</f>
        <v>#REF!</v>
      </c>
      <c r="IA219" t="e">
        <f>AND('GA55 Entry'!#REF!,"AAAAAHx3t+o=")</f>
        <v>#REF!</v>
      </c>
      <c r="IB219" t="e">
        <f>AND('GA55 Entry'!#REF!,"AAAAAHx3t+s=")</f>
        <v>#REF!</v>
      </c>
      <c r="IC219" t="e">
        <f>AND('GA55 Entry'!#REF!,"AAAAAHx3t+w=")</f>
        <v>#REF!</v>
      </c>
      <c r="ID219" t="e">
        <f>AND('GA55 Entry'!#REF!,"AAAAAHx3t+0=")</f>
        <v>#REF!</v>
      </c>
      <c r="IE219" t="e">
        <f>AND('GA55 Entry'!D870,"AAAAAHx3t+4=")</f>
        <v>#VALUE!</v>
      </c>
      <c r="IF219" t="e">
        <f>AND('GA55 Entry'!#REF!,"AAAAAHx3t+8=")</f>
        <v>#REF!</v>
      </c>
      <c r="IG219" t="e">
        <f>AND('GA55 Entry'!E870,"AAAAAHx3t/A=")</f>
        <v>#VALUE!</v>
      </c>
      <c r="IH219" t="e">
        <f>AND('GA55 Entry'!F870,"AAAAAHx3t/E=")</f>
        <v>#VALUE!</v>
      </c>
      <c r="II219" t="e">
        <f>AND('GA55 Entry'!G870,"AAAAAHx3t/I=")</f>
        <v>#VALUE!</v>
      </c>
      <c r="IJ219" t="e">
        <f>AND('GA55 Entry'!H870,"AAAAAHx3t/M=")</f>
        <v>#VALUE!</v>
      </c>
      <c r="IK219" t="e">
        <f>AND('GA55 Entry'!I870,"AAAAAHx3t/Q=")</f>
        <v>#VALUE!</v>
      </c>
      <c r="IL219" t="e">
        <f>AND('GA55 Entry'!J870,"AAAAAHx3t/U=")</f>
        <v>#VALUE!</v>
      </c>
      <c r="IM219" t="e">
        <f>AND('GA55 Entry'!#REF!,"AAAAAHx3t/Y=")</f>
        <v>#REF!</v>
      </c>
      <c r="IN219" t="e">
        <f>AND('GA55 Entry'!K870,"AAAAAHx3t/c=")</f>
        <v>#VALUE!</v>
      </c>
      <c r="IO219" t="e">
        <f>AND('GA55 Entry'!L870,"AAAAAHx3t/g=")</f>
        <v>#VALUE!</v>
      </c>
      <c r="IP219" t="e">
        <f>AND('GA55 Entry'!M870,"AAAAAHx3t/k=")</f>
        <v>#VALUE!</v>
      </c>
      <c r="IQ219" t="e">
        <f>AND('GA55 Entry'!N870,"AAAAAHx3t/o=")</f>
        <v>#VALUE!</v>
      </c>
      <c r="IR219" t="e">
        <f>AND('GA55 Entry'!O870,"AAAAAHx3t/s=")</f>
        <v>#VALUE!</v>
      </c>
      <c r="IS219" t="e">
        <f>AND('GA55 Entry'!P870,"AAAAAHx3t/w=")</f>
        <v>#VALUE!</v>
      </c>
      <c r="IT219" t="e">
        <f>AND('GA55 Entry'!Q870,"AAAAAHx3t/0=")</f>
        <v>#VALUE!</v>
      </c>
      <c r="IU219" t="e">
        <f>AND('GA55 Entry'!S870,"AAAAAHx3t/4=")</f>
        <v>#VALUE!</v>
      </c>
      <c r="IV219" t="e">
        <f>AND('GA55 Entry'!#REF!,"AAAAAHx3t/8=")</f>
        <v>#REF!</v>
      </c>
    </row>
    <row r="220" spans="1:256">
      <c r="A220" t="e">
        <f>AND('GA55 Entry'!T870,"AAAAAH//ZwA=")</f>
        <v>#VALUE!</v>
      </c>
      <c r="B220" t="e">
        <f>AND('GA55 Entry'!U870,"AAAAAH//ZwE=")</f>
        <v>#VALUE!</v>
      </c>
      <c r="C220" t="e">
        <f>AND('GA55 Entry'!V870,"AAAAAH//ZwI=")</f>
        <v>#VALUE!</v>
      </c>
      <c r="D220" t="e">
        <f>AND('GA55 Entry'!#REF!,"AAAAAH//ZwM=")</f>
        <v>#REF!</v>
      </c>
      <c r="E220" t="e">
        <f>AND('GA55 Entry'!#REF!,"AAAAAH//ZwQ=")</f>
        <v>#REF!</v>
      </c>
      <c r="F220" t="e">
        <f>AND('GA55 Entry'!X870,"AAAAAH//ZwU=")</f>
        <v>#VALUE!</v>
      </c>
      <c r="G220" t="e">
        <f>AND('GA55 Entry'!Y870,"AAAAAH//ZwY=")</f>
        <v>#VALUE!</v>
      </c>
      <c r="H220" t="e">
        <f>AND('GA55 Entry'!#REF!,"AAAAAH//Zwc=")</f>
        <v>#REF!</v>
      </c>
      <c r="I220" t="e">
        <f>AND('GA55 Entry'!#REF!,"AAAAAH//Zwg=")</f>
        <v>#REF!</v>
      </c>
      <c r="J220" t="e">
        <f>AND('GA55 Entry'!#REF!,"AAAAAH//Zwk=")</f>
        <v>#REF!</v>
      </c>
      <c r="K220" t="e">
        <f>AND('GA55 Entry'!#REF!,"AAAAAH//Zwo=")</f>
        <v>#REF!</v>
      </c>
      <c r="L220" t="e">
        <f>AND('GA55 Entry'!#REF!,"AAAAAH//Zws=")</f>
        <v>#REF!</v>
      </c>
      <c r="M220" t="e">
        <f>AND('GA55 Entry'!#REF!,"AAAAAH//Zww=")</f>
        <v>#REF!</v>
      </c>
      <c r="N220" t="e">
        <f>AND('GA55 Entry'!#REF!,"AAAAAH//Zw0=")</f>
        <v>#REF!</v>
      </c>
      <c r="O220" t="e">
        <f>AND('GA55 Entry'!#REF!,"AAAAAH//Zw4=")</f>
        <v>#REF!</v>
      </c>
      <c r="P220" t="e">
        <f>AND('GA55 Entry'!#REF!,"AAAAAH//Zw8=")</f>
        <v>#REF!</v>
      </c>
      <c r="Q220" t="e">
        <f>AND('GA55 Entry'!Z870,"AAAAAH//ZxA=")</f>
        <v>#VALUE!</v>
      </c>
      <c r="R220" t="e">
        <f>AND('GA55 Entry'!AA870,"AAAAAH//ZxE=")</f>
        <v>#VALUE!</v>
      </c>
      <c r="S220" t="e">
        <f>AND('GA55 Entry'!#REF!,"AAAAAH//ZxI=")</f>
        <v>#REF!</v>
      </c>
      <c r="T220" t="e">
        <f>AND('GA55 Entry'!#REF!,"AAAAAH//ZxM=")</f>
        <v>#REF!</v>
      </c>
      <c r="U220" t="e">
        <f>AND('GA55 Entry'!#REF!,"AAAAAH//ZxQ=")</f>
        <v>#REF!</v>
      </c>
      <c r="V220" t="e">
        <f>AND('GA55 Entry'!AB870,"AAAAAH//ZxU=")</f>
        <v>#VALUE!</v>
      </c>
      <c r="W220" t="e">
        <f>AND('GA55 Entry'!AC870,"AAAAAH//ZxY=")</f>
        <v>#VALUE!</v>
      </c>
      <c r="X220" t="e">
        <f>AND('GA55 Entry'!#REF!,"AAAAAH//Zxc=")</f>
        <v>#REF!</v>
      </c>
      <c r="Y220">
        <f>IF('GA55 Entry'!871:871,"AAAAAH//Zxg=",0)</f>
        <v>0</v>
      </c>
      <c r="Z220" t="e">
        <f>AND('GA55 Entry'!B871,"AAAAAH//Zxk=")</f>
        <v>#VALUE!</v>
      </c>
      <c r="AA220" t="e">
        <f>AND('GA55 Entry'!#REF!,"AAAAAH//Zxo=")</f>
        <v>#REF!</v>
      </c>
      <c r="AB220" t="e">
        <f>AND('GA55 Entry'!C871,"AAAAAH//Zxs=")</f>
        <v>#VALUE!</v>
      </c>
      <c r="AC220" t="e">
        <f>AND('GA55 Entry'!#REF!,"AAAAAH//Zxw=")</f>
        <v>#REF!</v>
      </c>
      <c r="AD220" t="e">
        <f>AND('GA55 Entry'!#REF!,"AAAAAH//Zx0=")</f>
        <v>#REF!</v>
      </c>
      <c r="AE220" t="e">
        <f>AND('GA55 Entry'!#REF!,"AAAAAH//Zx4=")</f>
        <v>#REF!</v>
      </c>
      <c r="AF220" t="e">
        <f>AND('GA55 Entry'!#REF!,"AAAAAH//Zx8=")</f>
        <v>#REF!</v>
      </c>
      <c r="AG220" t="e">
        <f>AND('GA55 Entry'!#REF!,"AAAAAH//ZyA=")</f>
        <v>#REF!</v>
      </c>
      <c r="AH220" t="e">
        <f>AND('GA55 Entry'!D871,"AAAAAH//ZyE=")</f>
        <v>#VALUE!</v>
      </c>
      <c r="AI220" t="e">
        <f>AND('GA55 Entry'!#REF!,"AAAAAH//ZyI=")</f>
        <v>#REF!</v>
      </c>
      <c r="AJ220" t="e">
        <f>AND('GA55 Entry'!E871,"AAAAAH//ZyM=")</f>
        <v>#VALUE!</v>
      </c>
      <c r="AK220" t="e">
        <f>AND('GA55 Entry'!F871,"AAAAAH//ZyQ=")</f>
        <v>#VALUE!</v>
      </c>
      <c r="AL220" t="e">
        <f>AND('GA55 Entry'!G871,"AAAAAH//ZyU=")</f>
        <v>#VALUE!</v>
      </c>
      <c r="AM220" t="e">
        <f>AND('GA55 Entry'!H871,"AAAAAH//ZyY=")</f>
        <v>#VALUE!</v>
      </c>
      <c r="AN220" t="e">
        <f>AND('GA55 Entry'!I871,"AAAAAH//Zyc=")</f>
        <v>#VALUE!</v>
      </c>
      <c r="AO220" t="e">
        <f>AND('GA55 Entry'!J871,"AAAAAH//Zyg=")</f>
        <v>#VALUE!</v>
      </c>
      <c r="AP220" t="e">
        <f>AND('GA55 Entry'!#REF!,"AAAAAH//Zyk=")</f>
        <v>#REF!</v>
      </c>
      <c r="AQ220" t="e">
        <f>AND('GA55 Entry'!K871,"AAAAAH//Zyo=")</f>
        <v>#VALUE!</v>
      </c>
      <c r="AR220" t="e">
        <f>AND('GA55 Entry'!L871,"AAAAAH//Zys=")</f>
        <v>#VALUE!</v>
      </c>
      <c r="AS220" t="e">
        <f>AND('GA55 Entry'!M871,"AAAAAH//Zyw=")</f>
        <v>#VALUE!</v>
      </c>
      <c r="AT220" t="e">
        <f>AND('GA55 Entry'!N871,"AAAAAH//Zy0=")</f>
        <v>#VALUE!</v>
      </c>
      <c r="AU220" t="e">
        <f>AND('GA55 Entry'!O871,"AAAAAH//Zy4=")</f>
        <v>#VALUE!</v>
      </c>
      <c r="AV220" t="e">
        <f>AND('GA55 Entry'!P871,"AAAAAH//Zy8=")</f>
        <v>#VALUE!</v>
      </c>
      <c r="AW220" t="e">
        <f>AND('GA55 Entry'!Q871,"AAAAAH//ZzA=")</f>
        <v>#VALUE!</v>
      </c>
      <c r="AX220" t="e">
        <f>AND('GA55 Entry'!S871,"AAAAAH//ZzE=")</f>
        <v>#VALUE!</v>
      </c>
      <c r="AY220" t="e">
        <f>AND('GA55 Entry'!#REF!,"AAAAAH//ZzI=")</f>
        <v>#REF!</v>
      </c>
      <c r="AZ220" t="e">
        <f>AND('GA55 Entry'!T871,"AAAAAH//ZzM=")</f>
        <v>#VALUE!</v>
      </c>
      <c r="BA220" t="e">
        <f>AND('GA55 Entry'!U871,"AAAAAH//ZzQ=")</f>
        <v>#VALUE!</v>
      </c>
      <c r="BB220" t="e">
        <f>AND('GA55 Entry'!V871,"AAAAAH//ZzU=")</f>
        <v>#VALUE!</v>
      </c>
      <c r="BC220" t="e">
        <f>AND('GA55 Entry'!#REF!,"AAAAAH//ZzY=")</f>
        <v>#REF!</v>
      </c>
      <c r="BD220" t="e">
        <f>AND('GA55 Entry'!#REF!,"AAAAAH//Zzc=")</f>
        <v>#REF!</v>
      </c>
      <c r="BE220" t="e">
        <f>AND('GA55 Entry'!X871,"AAAAAH//Zzg=")</f>
        <v>#VALUE!</v>
      </c>
      <c r="BF220" t="e">
        <f>AND('GA55 Entry'!Y871,"AAAAAH//Zzk=")</f>
        <v>#VALUE!</v>
      </c>
      <c r="BG220" t="e">
        <f>AND('GA55 Entry'!#REF!,"AAAAAH//Zzo=")</f>
        <v>#REF!</v>
      </c>
      <c r="BH220" t="e">
        <f>AND('GA55 Entry'!#REF!,"AAAAAH//Zzs=")</f>
        <v>#REF!</v>
      </c>
      <c r="BI220" t="e">
        <f>AND('GA55 Entry'!#REF!,"AAAAAH//Zzw=")</f>
        <v>#REF!</v>
      </c>
      <c r="BJ220" t="e">
        <f>AND('GA55 Entry'!#REF!,"AAAAAH//Zz0=")</f>
        <v>#REF!</v>
      </c>
      <c r="BK220" t="e">
        <f>AND('GA55 Entry'!#REF!,"AAAAAH//Zz4=")</f>
        <v>#REF!</v>
      </c>
      <c r="BL220" t="e">
        <f>AND('GA55 Entry'!#REF!,"AAAAAH//Zz8=")</f>
        <v>#REF!</v>
      </c>
      <c r="BM220" t="e">
        <f>AND('GA55 Entry'!#REF!,"AAAAAH//Z0A=")</f>
        <v>#REF!</v>
      </c>
      <c r="BN220" t="e">
        <f>AND('GA55 Entry'!#REF!,"AAAAAH//Z0E=")</f>
        <v>#REF!</v>
      </c>
      <c r="BO220" t="e">
        <f>AND('GA55 Entry'!#REF!,"AAAAAH//Z0I=")</f>
        <v>#REF!</v>
      </c>
      <c r="BP220" t="e">
        <f>AND('GA55 Entry'!Z871,"AAAAAH//Z0M=")</f>
        <v>#VALUE!</v>
      </c>
      <c r="BQ220" t="e">
        <f>AND('GA55 Entry'!AA871,"AAAAAH//Z0Q=")</f>
        <v>#VALUE!</v>
      </c>
      <c r="BR220" t="e">
        <f>AND('GA55 Entry'!#REF!,"AAAAAH//Z0U=")</f>
        <v>#REF!</v>
      </c>
      <c r="BS220" t="e">
        <f>AND('GA55 Entry'!#REF!,"AAAAAH//Z0Y=")</f>
        <v>#REF!</v>
      </c>
      <c r="BT220" t="e">
        <f>AND('GA55 Entry'!#REF!,"AAAAAH//Z0c=")</f>
        <v>#REF!</v>
      </c>
      <c r="BU220" t="e">
        <f>AND('GA55 Entry'!AB871,"AAAAAH//Z0g=")</f>
        <v>#VALUE!</v>
      </c>
      <c r="BV220" t="e">
        <f>AND('GA55 Entry'!AC871,"AAAAAH//Z0k=")</f>
        <v>#VALUE!</v>
      </c>
      <c r="BW220" t="e">
        <f>AND('GA55 Entry'!#REF!,"AAAAAH//Z0o=")</f>
        <v>#REF!</v>
      </c>
      <c r="BX220">
        <f>IF('GA55 Entry'!872:872,"AAAAAH//Z0s=",0)</f>
        <v>0</v>
      </c>
      <c r="BY220" t="e">
        <f>AND('GA55 Entry'!B872,"AAAAAH//Z0w=")</f>
        <v>#VALUE!</v>
      </c>
      <c r="BZ220" t="e">
        <f>AND('GA55 Entry'!#REF!,"AAAAAH//Z00=")</f>
        <v>#REF!</v>
      </c>
      <c r="CA220" t="e">
        <f>AND('GA55 Entry'!C872,"AAAAAH//Z04=")</f>
        <v>#VALUE!</v>
      </c>
      <c r="CB220" t="e">
        <f>AND('GA55 Entry'!#REF!,"AAAAAH//Z08=")</f>
        <v>#REF!</v>
      </c>
      <c r="CC220" t="e">
        <f>AND('GA55 Entry'!#REF!,"AAAAAH//Z1A=")</f>
        <v>#REF!</v>
      </c>
      <c r="CD220" t="e">
        <f>AND('GA55 Entry'!#REF!,"AAAAAH//Z1E=")</f>
        <v>#REF!</v>
      </c>
      <c r="CE220" t="e">
        <f>AND('GA55 Entry'!#REF!,"AAAAAH//Z1I=")</f>
        <v>#REF!</v>
      </c>
      <c r="CF220" t="e">
        <f>AND('GA55 Entry'!#REF!,"AAAAAH//Z1M=")</f>
        <v>#REF!</v>
      </c>
      <c r="CG220" t="e">
        <f>AND('GA55 Entry'!D872,"AAAAAH//Z1Q=")</f>
        <v>#VALUE!</v>
      </c>
      <c r="CH220" t="e">
        <f>AND('GA55 Entry'!#REF!,"AAAAAH//Z1U=")</f>
        <v>#REF!</v>
      </c>
      <c r="CI220" t="e">
        <f>AND('GA55 Entry'!E872,"AAAAAH//Z1Y=")</f>
        <v>#VALUE!</v>
      </c>
      <c r="CJ220" t="e">
        <f>AND('GA55 Entry'!F872,"AAAAAH//Z1c=")</f>
        <v>#VALUE!</v>
      </c>
      <c r="CK220" t="e">
        <f>AND('GA55 Entry'!G872,"AAAAAH//Z1g=")</f>
        <v>#VALUE!</v>
      </c>
      <c r="CL220" t="e">
        <f>AND('GA55 Entry'!H872,"AAAAAH//Z1k=")</f>
        <v>#VALUE!</v>
      </c>
      <c r="CM220" t="e">
        <f>AND('GA55 Entry'!I872,"AAAAAH//Z1o=")</f>
        <v>#VALUE!</v>
      </c>
      <c r="CN220" t="e">
        <f>AND('GA55 Entry'!J872,"AAAAAH//Z1s=")</f>
        <v>#VALUE!</v>
      </c>
      <c r="CO220" t="e">
        <f>AND('GA55 Entry'!#REF!,"AAAAAH//Z1w=")</f>
        <v>#REF!</v>
      </c>
      <c r="CP220" t="e">
        <f>AND('GA55 Entry'!K872,"AAAAAH//Z10=")</f>
        <v>#VALUE!</v>
      </c>
      <c r="CQ220" t="e">
        <f>AND('GA55 Entry'!L872,"AAAAAH//Z14=")</f>
        <v>#VALUE!</v>
      </c>
      <c r="CR220" t="e">
        <f>AND('GA55 Entry'!M872,"AAAAAH//Z18=")</f>
        <v>#VALUE!</v>
      </c>
      <c r="CS220" t="e">
        <f>AND('GA55 Entry'!N872,"AAAAAH//Z2A=")</f>
        <v>#VALUE!</v>
      </c>
      <c r="CT220" t="e">
        <f>AND('GA55 Entry'!O872,"AAAAAH//Z2E=")</f>
        <v>#VALUE!</v>
      </c>
      <c r="CU220" t="e">
        <f>AND('GA55 Entry'!P872,"AAAAAH//Z2I=")</f>
        <v>#VALUE!</v>
      </c>
      <c r="CV220" t="e">
        <f>AND('GA55 Entry'!Q872,"AAAAAH//Z2M=")</f>
        <v>#VALUE!</v>
      </c>
      <c r="CW220" t="e">
        <f>AND('GA55 Entry'!S872,"AAAAAH//Z2Q=")</f>
        <v>#VALUE!</v>
      </c>
      <c r="CX220" t="e">
        <f>AND('GA55 Entry'!#REF!,"AAAAAH//Z2U=")</f>
        <v>#REF!</v>
      </c>
      <c r="CY220" t="e">
        <f>AND('GA55 Entry'!T872,"AAAAAH//Z2Y=")</f>
        <v>#VALUE!</v>
      </c>
      <c r="CZ220" t="e">
        <f>AND('GA55 Entry'!U872,"AAAAAH//Z2c=")</f>
        <v>#VALUE!</v>
      </c>
      <c r="DA220" t="e">
        <f>AND('GA55 Entry'!V872,"AAAAAH//Z2g=")</f>
        <v>#VALUE!</v>
      </c>
      <c r="DB220" t="e">
        <f>AND('GA55 Entry'!#REF!,"AAAAAH//Z2k=")</f>
        <v>#REF!</v>
      </c>
      <c r="DC220" t="e">
        <f>AND('GA55 Entry'!#REF!,"AAAAAH//Z2o=")</f>
        <v>#REF!</v>
      </c>
      <c r="DD220" t="e">
        <f>AND('GA55 Entry'!X872,"AAAAAH//Z2s=")</f>
        <v>#VALUE!</v>
      </c>
      <c r="DE220" t="e">
        <f>AND('GA55 Entry'!Y872,"AAAAAH//Z2w=")</f>
        <v>#VALUE!</v>
      </c>
      <c r="DF220" t="e">
        <f>AND('GA55 Entry'!#REF!,"AAAAAH//Z20=")</f>
        <v>#REF!</v>
      </c>
      <c r="DG220" t="e">
        <f>AND('GA55 Entry'!#REF!,"AAAAAH//Z24=")</f>
        <v>#REF!</v>
      </c>
      <c r="DH220" t="e">
        <f>AND('GA55 Entry'!#REF!,"AAAAAH//Z28=")</f>
        <v>#REF!</v>
      </c>
      <c r="DI220" t="e">
        <f>AND('GA55 Entry'!#REF!,"AAAAAH//Z3A=")</f>
        <v>#REF!</v>
      </c>
      <c r="DJ220" t="e">
        <f>AND('GA55 Entry'!#REF!,"AAAAAH//Z3E=")</f>
        <v>#REF!</v>
      </c>
      <c r="DK220" t="e">
        <f>AND('GA55 Entry'!#REF!,"AAAAAH//Z3I=")</f>
        <v>#REF!</v>
      </c>
      <c r="DL220" t="e">
        <f>AND('GA55 Entry'!#REF!,"AAAAAH//Z3M=")</f>
        <v>#REF!</v>
      </c>
      <c r="DM220" t="e">
        <f>AND('GA55 Entry'!#REF!,"AAAAAH//Z3Q=")</f>
        <v>#REF!</v>
      </c>
      <c r="DN220" t="e">
        <f>AND('GA55 Entry'!#REF!,"AAAAAH//Z3U=")</f>
        <v>#REF!</v>
      </c>
      <c r="DO220" t="e">
        <f>AND('GA55 Entry'!Z872,"AAAAAH//Z3Y=")</f>
        <v>#VALUE!</v>
      </c>
      <c r="DP220" t="e">
        <f>AND('GA55 Entry'!AA872,"AAAAAH//Z3c=")</f>
        <v>#VALUE!</v>
      </c>
      <c r="DQ220" t="e">
        <f>AND('GA55 Entry'!#REF!,"AAAAAH//Z3g=")</f>
        <v>#REF!</v>
      </c>
      <c r="DR220" t="e">
        <f>AND('GA55 Entry'!#REF!,"AAAAAH//Z3k=")</f>
        <v>#REF!</v>
      </c>
      <c r="DS220" t="e">
        <f>AND('GA55 Entry'!#REF!,"AAAAAH//Z3o=")</f>
        <v>#REF!</v>
      </c>
      <c r="DT220" t="e">
        <f>AND('GA55 Entry'!AB872,"AAAAAH//Z3s=")</f>
        <v>#VALUE!</v>
      </c>
      <c r="DU220" t="e">
        <f>AND('GA55 Entry'!AC872,"AAAAAH//Z3w=")</f>
        <v>#VALUE!</v>
      </c>
      <c r="DV220" t="e">
        <f>AND('GA55 Entry'!#REF!,"AAAAAH//Z30=")</f>
        <v>#REF!</v>
      </c>
      <c r="DW220">
        <f>IF('GA55 Entry'!873:873,"AAAAAH//Z34=",0)</f>
        <v>0</v>
      </c>
      <c r="DX220" t="e">
        <f>AND('GA55 Entry'!B873,"AAAAAH//Z38=")</f>
        <v>#VALUE!</v>
      </c>
      <c r="DY220" t="e">
        <f>AND('GA55 Entry'!#REF!,"AAAAAH//Z4A=")</f>
        <v>#REF!</v>
      </c>
      <c r="DZ220" t="e">
        <f>AND('GA55 Entry'!C873,"AAAAAH//Z4E=")</f>
        <v>#VALUE!</v>
      </c>
      <c r="EA220" t="e">
        <f>AND('GA55 Entry'!#REF!,"AAAAAH//Z4I=")</f>
        <v>#REF!</v>
      </c>
      <c r="EB220" t="e">
        <f>AND('GA55 Entry'!#REF!,"AAAAAH//Z4M=")</f>
        <v>#REF!</v>
      </c>
      <c r="EC220" t="e">
        <f>AND('GA55 Entry'!#REF!,"AAAAAH//Z4Q=")</f>
        <v>#REF!</v>
      </c>
      <c r="ED220" t="e">
        <f>AND('GA55 Entry'!#REF!,"AAAAAH//Z4U=")</f>
        <v>#REF!</v>
      </c>
      <c r="EE220" t="e">
        <f>AND('GA55 Entry'!#REF!,"AAAAAH//Z4Y=")</f>
        <v>#REF!</v>
      </c>
      <c r="EF220" t="e">
        <f>AND('GA55 Entry'!D873,"AAAAAH//Z4c=")</f>
        <v>#VALUE!</v>
      </c>
      <c r="EG220" t="e">
        <f>AND('GA55 Entry'!#REF!,"AAAAAH//Z4g=")</f>
        <v>#REF!</v>
      </c>
      <c r="EH220" t="e">
        <f>AND('GA55 Entry'!E873,"AAAAAH//Z4k=")</f>
        <v>#VALUE!</v>
      </c>
      <c r="EI220" t="e">
        <f>AND('GA55 Entry'!F873,"AAAAAH//Z4o=")</f>
        <v>#VALUE!</v>
      </c>
      <c r="EJ220" t="e">
        <f>AND('GA55 Entry'!G873,"AAAAAH//Z4s=")</f>
        <v>#VALUE!</v>
      </c>
      <c r="EK220" t="e">
        <f>AND('GA55 Entry'!H873,"AAAAAH//Z4w=")</f>
        <v>#VALUE!</v>
      </c>
      <c r="EL220" t="e">
        <f>AND('GA55 Entry'!I873,"AAAAAH//Z40=")</f>
        <v>#VALUE!</v>
      </c>
      <c r="EM220" t="e">
        <f>AND('GA55 Entry'!J873,"AAAAAH//Z44=")</f>
        <v>#VALUE!</v>
      </c>
      <c r="EN220" t="e">
        <f>AND('GA55 Entry'!#REF!,"AAAAAH//Z48=")</f>
        <v>#REF!</v>
      </c>
      <c r="EO220" t="e">
        <f>AND('GA55 Entry'!K873,"AAAAAH//Z5A=")</f>
        <v>#VALUE!</v>
      </c>
      <c r="EP220" t="e">
        <f>AND('GA55 Entry'!L873,"AAAAAH//Z5E=")</f>
        <v>#VALUE!</v>
      </c>
      <c r="EQ220" t="e">
        <f>AND('GA55 Entry'!M873,"AAAAAH//Z5I=")</f>
        <v>#VALUE!</v>
      </c>
      <c r="ER220" t="e">
        <f>AND('GA55 Entry'!N873,"AAAAAH//Z5M=")</f>
        <v>#VALUE!</v>
      </c>
      <c r="ES220" t="e">
        <f>AND('GA55 Entry'!O873,"AAAAAH//Z5Q=")</f>
        <v>#VALUE!</v>
      </c>
      <c r="ET220" t="e">
        <f>AND('GA55 Entry'!P873,"AAAAAH//Z5U=")</f>
        <v>#VALUE!</v>
      </c>
      <c r="EU220" t="e">
        <f>AND('GA55 Entry'!Q873,"AAAAAH//Z5Y=")</f>
        <v>#VALUE!</v>
      </c>
      <c r="EV220" t="e">
        <f>AND('GA55 Entry'!S873,"AAAAAH//Z5c=")</f>
        <v>#VALUE!</v>
      </c>
      <c r="EW220" t="e">
        <f>AND('GA55 Entry'!#REF!,"AAAAAH//Z5g=")</f>
        <v>#REF!</v>
      </c>
      <c r="EX220" t="e">
        <f>AND('GA55 Entry'!T873,"AAAAAH//Z5k=")</f>
        <v>#VALUE!</v>
      </c>
      <c r="EY220" t="e">
        <f>AND('GA55 Entry'!U873,"AAAAAH//Z5o=")</f>
        <v>#VALUE!</v>
      </c>
      <c r="EZ220" t="e">
        <f>AND('GA55 Entry'!V873,"AAAAAH//Z5s=")</f>
        <v>#VALUE!</v>
      </c>
      <c r="FA220" t="e">
        <f>AND('GA55 Entry'!#REF!,"AAAAAH//Z5w=")</f>
        <v>#REF!</v>
      </c>
      <c r="FB220" t="e">
        <f>AND('GA55 Entry'!#REF!,"AAAAAH//Z50=")</f>
        <v>#REF!</v>
      </c>
      <c r="FC220" t="e">
        <f>AND('GA55 Entry'!X873,"AAAAAH//Z54=")</f>
        <v>#VALUE!</v>
      </c>
      <c r="FD220" t="e">
        <f>AND('GA55 Entry'!Y873,"AAAAAH//Z58=")</f>
        <v>#VALUE!</v>
      </c>
      <c r="FE220" t="e">
        <f>AND('GA55 Entry'!#REF!,"AAAAAH//Z6A=")</f>
        <v>#REF!</v>
      </c>
      <c r="FF220" t="e">
        <f>AND('GA55 Entry'!#REF!,"AAAAAH//Z6E=")</f>
        <v>#REF!</v>
      </c>
      <c r="FG220" t="e">
        <f>AND('GA55 Entry'!#REF!,"AAAAAH//Z6I=")</f>
        <v>#REF!</v>
      </c>
      <c r="FH220" t="e">
        <f>AND('GA55 Entry'!#REF!,"AAAAAH//Z6M=")</f>
        <v>#REF!</v>
      </c>
      <c r="FI220" t="e">
        <f>AND('GA55 Entry'!#REF!,"AAAAAH//Z6Q=")</f>
        <v>#REF!</v>
      </c>
      <c r="FJ220" t="e">
        <f>AND('GA55 Entry'!#REF!,"AAAAAH//Z6U=")</f>
        <v>#REF!</v>
      </c>
      <c r="FK220" t="e">
        <f>AND('GA55 Entry'!#REF!,"AAAAAH//Z6Y=")</f>
        <v>#REF!</v>
      </c>
      <c r="FL220" t="e">
        <f>AND('GA55 Entry'!#REF!,"AAAAAH//Z6c=")</f>
        <v>#REF!</v>
      </c>
      <c r="FM220" t="e">
        <f>AND('GA55 Entry'!#REF!,"AAAAAH//Z6g=")</f>
        <v>#REF!</v>
      </c>
      <c r="FN220" t="e">
        <f>AND('GA55 Entry'!Z873,"AAAAAH//Z6k=")</f>
        <v>#VALUE!</v>
      </c>
      <c r="FO220" t="e">
        <f>AND('GA55 Entry'!AA873,"AAAAAH//Z6o=")</f>
        <v>#VALUE!</v>
      </c>
      <c r="FP220" t="e">
        <f>AND('GA55 Entry'!#REF!,"AAAAAH//Z6s=")</f>
        <v>#REF!</v>
      </c>
      <c r="FQ220" t="e">
        <f>AND('GA55 Entry'!#REF!,"AAAAAH//Z6w=")</f>
        <v>#REF!</v>
      </c>
      <c r="FR220" t="e">
        <f>AND('GA55 Entry'!#REF!,"AAAAAH//Z60=")</f>
        <v>#REF!</v>
      </c>
      <c r="FS220" t="e">
        <f>AND('GA55 Entry'!AB873,"AAAAAH//Z64=")</f>
        <v>#VALUE!</v>
      </c>
      <c r="FT220" t="e">
        <f>AND('GA55 Entry'!AC873,"AAAAAH//Z68=")</f>
        <v>#VALUE!</v>
      </c>
      <c r="FU220" t="e">
        <f>AND('GA55 Entry'!#REF!,"AAAAAH//Z7A=")</f>
        <v>#REF!</v>
      </c>
      <c r="FV220">
        <f>IF('GA55 Entry'!874:874,"AAAAAH//Z7E=",0)</f>
        <v>0</v>
      </c>
      <c r="FW220" t="e">
        <f>AND('GA55 Entry'!B874,"AAAAAH//Z7I=")</f>
        <v>#VALUE!</v>
      </c>
      <c r="FX220" t="e">
        <f>AND('GA55 Entry'!#REF!,"AAAAAH//Z7M=")</f>
        <v>#REF!</v>
      </c>
      <c r="FY220" t="e">
        <f>AND('GA55 Entry'!C874,"AAAAAH//Z7Q=")</f>
        <v>#VALUE!</v>
      </c>
      <c r="FZ220" t="e">
        <f>AND('GA55 Entry'!#REF!,"AAAAAH//Z7U=")</f>
        <v>#REF!</v>
      </c>
      <c r="GA220" t="e">
        <f>AND('GA55 Entry'!#REF!,"AAAAAH//Z7Y=")</f>
        <v>#REF!</v>
      </c>
      <c r="GB220" t="e">
        <f>AND('GA55 Entry'!#REF!,"AAAAAH//Z7c=")</f>
        <v>#REF!</v>
      </c>
      <c r="GC220" t="e">
        <f>AND('GA55 Entry'!#REF!,"AAAAAH//Z7g=")</f>
        <v>#REF!</v>
      </c>
      <c r="GD220" t="e">
        <f>AND('GA55 Entry'!#REF!,"AAAAAH//Z7k=")</f>
        <v>#REF!</v>
      </c>
      <c r="GE220" t="e">
        <f>AND('GA55 Entry'!D874,"AAAAAH//Z7o=")</f>
        <v>#VALUE!</v>
      </c>
      <c r="GF220" t="e">
        <f>AND('GA55 Entry'!#REF!,"AAAAAH//Z7s=")</f>
        <v>#REF!</v>
      </c>
      <c r="GG220" t="e">
        <f>AND('GA55 Entry'!E874,"AAAAAH//Z7w=")</f>
        <v>#VALUE!</v>
      </c>
      <c r="GH220" t="e">
        <f>AND('GA55 Entry'!F874,"AAAAAH//Z70=")</f>
        <v>#VALUE!</v>
      </c>
      <c r="GI220" t="e">
        <f>AND('GA55 Entry'!G874,"AAAAAH//Z74=")</f>
        <v>#VALUE!</v>
      </c>
      <c r="GJ220" t="e">
        <f>AND('GA55 Entry'!H874,"AAAAAH//Z78=")</f>
        <v>#VALUE!</v>
      </c>
      <c r="GK220" t="e">
        <f>AND('GA55 Entry'!I874,"AAAAAH//Z8A=")</f>
        <v>#VALUE!</v>
      </c>
      <c r="GL220" t="e">
        <f>AND('GA55 Entry'!J874,"AAAAAH//Z8E=")</f>
        <v>#VALUE!</v>
      </c>
      <c r="GM220" t="e">
        <f>AND('GA55 Entry'!#REF!,"AAAAAH//Z8I=")</f>
        <v>#REF!</v>
      </c>
      <c r="GN220" t="e">
        <f>AND('GA55 Entry'!K874,"AAAAAH//Z8M=")</f>
        <v>#VALUE!</v>
      </c>
      <c r="GO220" t="e">
        <f>AND('GA55 Entry'!L874,"AAAAAH//Z8Q=")</f>
        <v>#VALUE!</v>
      </c>
      <c r="GP220" t="e">
        <f>AND('GA55 Entry'!M874,"AAAAAH//Z8U=")</f>
        <v>#VALUE!</v>
      </c>
      <c r="GQ220" t="e">
        <f>AND('GA55 Entry'!N874,"AAAAAH//Z8Y=")</f>
        <v>#VALUE!</v>
      </c>
      <c r="GR220" t="e">
        <f>AND('GA55 Entry'!O874,"AAAAAH//Z8c=")</f>
        <v>#VALUE!</v>
      </c>
      <c r="GS220" t="e">
        <f>AND('GA55 Entry'!P874,"AAAAAH//Z8g=")</f>
        <v>#VALUE!</v>
      </c>
      <c r="GT220" t="e">
        <f>AND('GA55 Entry'!Q874,"AAAAAH//Z8k=")</f>
        <v>#VALUE!</v>
      </c>
      <c r="GU220" t="e">
        <f>AND('GA55 Entry'!S874,"AAAAAH//Z8o=")</f>
        <v>#VALUE!</v>
      </c>
      <c r="GV220" t="e">
        <f>AND('GA55 Entry'!#REF!,"AAAAAH//Z8s=")</f>
        <v>#REF!</v>
      </c>
      <c r="GW220" t="e">
        <f>AND('GA55 Entry'!T874,"AAAAAH//Z8w=")</f>
        <v>#VALUE!</v>
      </c>
      <c r="GX220" t="e">
        <f>AND('GA55 Entry'!U874,"AAAAAH//Z80=")</f>
        <v>#VALUE!</v>
      </c>
      <c r="GY220" t="e">
        <f>AND('GA55 Entry'!V874,"AAAAAH//Z84=")</f>
        <v>#VALUE!</v>
      </c>
      <c r="GZ220" t="e">
        <f>AND('GA55 Entry'!#REF!,"AAAAAH//Z88=")</f>
        <v>#REF!</v>
      </c>
      <c r="HA220" t="e">
        <f>AND('GA55 Entry'!#REF!,"AAAAAH//Z9A=")</f>
        <v>#REF!</v>
      </c>
      <c r="HB220" t="e">
        <f>AND('GA55 Entry'!X874,"AAAAAH//Z9E=")</f>
        <v>#VALUE!</v>
      </c>
      <c r="HC220" t="e">
        <f>AND('GA55 Entry'!Y874,"AAAAAH//Z9I=")</f>
        <v>#VALUE!</v>
      </c>
      <c r="HD220" t="e">
        <f>AND('GA55 Entry'!#REF!,"AAAAAH//Z9M=")</f>
        <v>#REF!</v>
      </c>
      <c r="HE220" t="e">
        <f>AND('GA55 Entry'!#REF!,"AAAAAH//Z9Q=")</f>
        <v>#REF!</v>
      </c>
      <c r="HF220" t="e">
        <f>AND('GA55 Entry'!#REF!,"AAAAAH//Z9U=")</f>
        <v>#REF!</v>
      </c>
      <c r="HG220" t="e">
        <f>AND('GA55 Entry'!#REF!,"AAAAAH//Z9Y=")</f>
        <v>#REF!</v>
      </c>
      <c r="HH220" t="e">
        <f>AND('GA55 Entry'!#REF!,"AAAAAH//Z9c=")</f>
        <v>#REF!</v>
      </c>
      <c r="HI220" t="e">
        <f>AND('GA55 Entry'!#REF!,"AAAAAH//Z9g=")</f>
        <v>#REF!</v>
      </c>
      <c r="HJ220" t="e">
        <f>AND('GA55 Entry'!#REF!,"AAAAAH//Z9k=")</f>
        <v>#REF!</v>
      </c>
      <c r="HK220" t="e">
        <f>AND('GA55 Entry'!#REF!,"AAAAAH//Z9o=")</f>
        <v>#REF!</v>
      </c>
      <c r="HL220" t="e">
        <f>AND('GA55 Entry'!#REF!,"AAAAAH//Z9s=")</f>
        <v>#REF!</v>
      </c>
      <c r="HM220" t="e">
        <f>AND('GA55 Entry'!Z874,"AAAAAH//Z9w=")</f>
        <v>#VALUE!</v>
      </c>
      <c r="HN220" t="e">
        <f>AND('GA55 Entry'!AA874,"AAAAAH//Z90=")</f>
        <v>#VALUE!</v>
      </c>
      <c r="HO220" t="e">
        <f>AND('GA55 Entry'!#REF!,"AAAAAH//Z94=")</f>
        <v>#REF!</v>
      </c>
      <c r="HP220" t="e">
        <f>AND('GA55 Entry'!#REF!,"AAAAAH//Z98=")</f>
        <v>#REF!</v>
      </c>
      <c r="HQ220" t="e">
        <f>AND('GA55 Entry'!#REF!,"AAAAAH//Z+A=")</f>
        <v>#REF!</v>
      </c>
      <c r="HR220" t="e">
        <f>AND('GA55 Entry'!AB874,"AAAAAH//Z+E=")</f>
        <v>#VALUE!</v>
      </c>
      <c r="HS220" t="e">
        <f>AND('GA55 Entry'!AC874,"AAAAAH//Z+I=")</f>
        <v>#VALUE!</v>
      </c>
      <c r="HT220" t="e">
        <f>AND('GA55 Entry'!#REF!,"AAAAAH//Z+M=")</f>
        <v>#REF!</v>
      </c>
      <c r="HU220">
        <f>IF('GA55 Entry'!875:875,"AAAAAH//Z+Q=",0)</f>
        <v>0</v>
      </c>
      <c r="HV220" t="e">
        <f>AND('GA55 Entry'!B875,"AAAAAH//Z+U=")</f>
        <v>#VALUE!</v>
      </c>
      <c r="HW220" t="e">
        <f>AND('GA55 Entry'!#REF!,"AAAAAH//Z+Y=")</f>
        <v>#REF!</v>
      </c>
      <c r="HX220" t="e">
        <f>AND('GA55 Entry'!C875,"AAAAAH//Z+c=")</f>
        <v>#VALUE!</v>
      </c>
      <c r="HY220" t="e">
        <f>AND('GA55 Entry'!#REF!,"AAAAAH//Z+g=")</f>
        <v>#REF!</v>
      </c>
      <c r="HZ220" t="e">
        <f>AND('GA55 Entry'!#REF!,"AAAAAH//Z+k=")</f>
        <v>#REF!</v>
      </c>
      <c r="IA220" t="e">
        <f>AND('GA55 Entry'!#REF!,"AAAAAH//Z+o=")</f>
        <v>#REF!</v>
      </c>
      <c r="IB220" t="e">
        <f>AND('GA55 Entry'!#REF!,"AAAAAH//Z+s=")</f>
        <v>#REF!</v>
      </c>
      <c r="IC220" t="e">
        <f>AND('GA55 Entry'!#REF!,"AAAAAH//Z+w=")</f>
        <v>#REF!</v>
      </c>
      <c r="ID220" t="e">
        <f>AND('GA55 Entry'!D875,"AAAAAH//Z+0=")</f>
        <v>#VALUE!</v>
      </c>
      <c r="IE220" t="e">
        <f>AND('GA55 Entry'!#REF!,"AAAAAH//Z+4=")</f>
        <v>#REF!</v>
      </c>
      <c r="IF220" t="e">
        <f>AND('GA55 Entry'!E875,"AAAAAH//Z+8=")</f>
        <v>#VALUE!</v>
      </c>
      <c r="IG220" t="e">
        <f>AND('GA55 Entry'!F875,"AAAAAH//Z/A=")</f>
        <v>#VALUE!</v>
      </c>
      <c r="IH220" t="e">
        <f>AND('GA55 Entry'!G875,"AAAAAH//Z/E=")</f>
        <v>#VALUE!</v>
      </c>
      <c r="II220" t="e">
        <f>AND('GA55 Entry'!H875,"AAAAAH//Z/I=")</f>
        <v>#VALUE!</v>
      </c>
      <c r="IJ220" t="e">
        <f>AND('GA55 Entry'!I875,"AAAAAH//Z/M=")</f>
        <v>#VALUE!</v>
      </c>
      <c r="IK220" t="e">
        <f>AND('GA55 Entry'!J875,"AAAAAH//Z/Q=")</f>
        <v>#VALUE!</v>
      </c>
      <c r="IL220" t="e">
        <f>AND('GA55 Entry'!#REF!,"AAAAAH//Z/U=")</f>
        <v>#REF!</v>
      </c>
      <c r="IM220" t="e">
        <f>AND('GA55 Entry'!K875,"AAAAAH//Z/Y=")</f>
        <v>#VALUE!</v>
      </c>
      <c r="IN220" t="e">
        <f>AND('GA55 Entry'!L875,"AAAAAH//Z/c=")</f>
        <v>#VALUE!</v>
      </c>
      <c r="IO220" t="e">
        <f>AND('GA55 Entry'!M875,"AAAAAH//Z/g=")</f>
        <v>#VALUE!</v>
      </c>
      <c r="IP220" t="e">
        <f>AND('GA55 Entry'!N875,"AAAAAH//Z/k=")</f>
        <v>#VALUE!</v>
      </c>
      <c r="IQ220" t="e">
        <f>AND('GA55 Entry'!O875,"AAAAAH//Z/o=")</f>
        <v>#VALUE!</v>
      </c>
      <c r="IR220" t="e">
        <f>AND('GA55 Entry'!P875,"AAAAAH//Z/s=")</f>
        <v>#VALUE!</v>
      </c>
      <c r="IS220" t="e">
        <f>AND('GA55 Entry'!Q875,"AAAAAH//Z/w=")</f>
        <v>#VALUE!</v>
      </c>
      <c r="IT220" t="e">
        <f>AND('GA55 Entry'!S875,"AAAAAH//Z/0=")</f>
        <v>#VALUE!</v>
      </c>
      <c r="IU220" t="e">
        <f>AND('GA55 Entry'!#REF!,"AAAAAH//Z/4=")</f>
        <v>#REF!</v>
      </c>
      <c r="IV220" t="e">
        <f>AND('GA55 Entry'!T875,"AAAAAH//Z/8=")</f>
        <v>#VALUE!</v>
      </c>
    </row>
    <row r="221" spans="1:256">
      <c r="A221" t="e">
        <f>AND('GA55 Entry'!U875,"AAAAAF79uQA=")</f>
        <v>#VALUE!</v>
      </c>
      <c r="B221" t="e">
        <f>AND('GA55 Entry'!V875,"AAAAAF79uQE=")</f>
        <v>#VALUE!</v>
      </c>
      <c r="C221" t="e">
        <f>AND('GA55 Entry'!#REF!,"AAAAAF79uQI=")</f>
        <v>#REF!</v>
      </c>
      <c r="D221" t="e">
        <f>AND('GA55 Entry'!#REF!,"AAAAAF79uQM=")</f>
        <v>#REF!</v>
      </c>
      <c r="E221" t="e">
        <f>AND('GA55 Entry'!X875,"AAAAAF79uQQ=")</f>
        <v>#VALUE!</v>
      </c>
      <c r="F221" t="e">
        <f>AND('GA55 Entry'!Y875,"AAAAAF79uQU=")</f>
        <v>#VALUE!</v>
      </c>
      <c r="G221" t="e">
        <f>AND('GA55 Entry'!#REF!,"AAAAAF79uQY=")</f>
        <v>#REF!</v>
      </c>
      <c r="H221" t="e">
        <f>AND('GA55 Entry'!#REF!,"AAAAAF79uQc=")</f>
        <v>#REF!</v>
      </c>
      <c r="I221" t="e">
        <f>AND('GA55 Entry'!#REF!,"AAAAAF79uQg=")</f>
        <v>#REF!</v>
      </c>
      <c r="J221" t="e">
        <f>AND('GA55 Entry'!#REF!,"AAAAAF79uQk=")</f>
        <v>#REF!</v>
      </c>
      <c r="K221" t="e">
        <f>AND('GA55 Entry'!#REF!,"AAAAAF79uQo=")</f>
        <v>#REF!</v>
      </c>
      <c r="L221" t="e">
        <f>AND('GA55 Entry'!#REF!,"AAAAAF79uQs=")</f>
        <v>#REF!</v>
      </c>
      <c r="M221" t="e">
        <f>AND('GA55 Entry'!#REF!,"AAAAAF79uQw=")</f>
        <v>#REF!</v>
      </c>
      <c r="N221" t="e">
        <f>AND('GA55 Entry'!#REF!,"AAAAAF79uQ0=")</f>
        <v>#REF!</v>
      </c>
      <c r="O221" t="e">
        <f>AND('GA55 Entry'!#REF!,"AAAAAF79uQ4=")</f>
        <v>#REF!</v>
      </c>
      <c r="P221" t="e">
        <f>AND('GA55 Entry'!Z875,"AAAAAF79uQ8=")</f>
        <v>#VALUE!</v>
      </c>
      <c r="Q221" t="e">
        <f>AND('GA55 Entry'!AA875,"AAAAAF79uRA=")</f>
        <v>#VALUE!</v>
      </c>
      <c r="R221" t="e">
        <f>AND('GA55 Entry'!#REF!,"AAAAAF79uRE=")</f>
        <v>#REF!</v>
      </c>
      <c r="S221" t="e">
        <f>AND('GA55 Entry'!#REF!,"AAAAAF79uRI=")</f>
        <v>#REF!</v>
      </c>
      <c r="T221" t="e">
        <f>AND('GA55 Entry'!#REF!,"AAAAAF79uRM=")</f>
        <v>#REF!</v>
      </c>
      <c r="U221" t="e">
        <f>AND('GA55 Entry'!AB875,"AAAAAF79uRQ=")</f>
        <v>#VALUE!</v>
      </c>
      <c r="V221" t="e">
        <f>AND('GA55 Entry'!AC875,"AAAAAF79uRU=")</f>
        <v>#VALUE!</v>
      </c>
      <c r="W221" t="e">
        <f>AND('GA55 Entry'!#REF!,"AAAAAF79uRY=")</f>
        <v>#REF!</v>
      </c>
      <c r="X221">
        <f>IF('GA55 Entry'!876:876,"AAAAAF79uRc=",0)</f>
        <v>0</v>
      </c>
      <c r="Y221" t="e">
        <f>AND('GA55 Entry'!B876,"AAAAAF79uRg=")</f>
        <v>#VALUE!</v>
      </c>
      <c r="Z221" t="e">
        <f>AND('GA55 Entry'!#REF!,"AAAAAF79uRk=")</f>
        <v>#REF!</v>
      </c>
      <c r="AA221" t="e">
        <f>AND('GA55 Entry'!C876,"AAAAAF79uRo=")</f>
        <v>#VALUE!</v>
      </c>
      <c r="AB221" t="e">
        <f>AND('GA55 Entry'!#REF!,"AAAAAF79uRs=")</f>
        <v>#REF!</v>
      </c>
      <c r="AC221" t="e">
        <f>AND('GA55 Entry'!#REF!,"AAAAAF79uRw=")</f>
        <v>#REF!</v>
      </c>
      <c r="AD221" t="e">
        <f>AND('GA55 Entry'!#REF!,"AAAAAF79uR0=")</f>
        <v>#REF!</v>
      </c>
      <c r="AE221" t="e">
        <f>AND('GA55 Entry'!#REF!,"AAAAAF79uR4=")</f>
        <v>#REF!</v>
      </c>
      <c r="AF221" t="e">
        <f>AND('GA55 Entry'!#REF!,"AAAAAF79uR8=")</f>
        <v>#REF!</v>
      </c>
      <c r="AG221" t="e">
        <f>AND('GA55 Entry'!D876,"AAAAAF79uSA=")</f>
        <v>#VALUE!</v>
      </c>
      <c r="AH221" t="e">
        <f>AND('GA55 Entry'!#REF!,"AAAAAF79uSE=")</f>
        <v>#REF!</v>
      </c>
      <c r="AI221" t="e">
        <f>AND('GA55 Entry'!E876,"AAAAAF79uSI=")</f>
        <v>#VALUE!</v>
      </c>
      <c r="AJ221" t="e">
        <f>AND('GA55 Entry'!F876,"AAAAAF79uSM=")</f>
        <v>#VALUE!</v>
      </c>
      <c r="AK221" t="e">
        <f>AND('GA55 Entry'!G876,"AAAAAF79uSQ=")</f>
        <v>#VALUE!</v>
      </c>
      <c r="AL221" t="e">
        <f>AND('GA55 Entry'!H876,"AAAAAF79uSU=")</f>
        <v>#VALUE!</v>
      </c>
      <c r="AM221" t="e">
        <f>AND('GA55 Entry'!I876,"AAAAAF79uSY=")</f>
        <v>#VALUE!</v>
      </c>
      <c r="AN221" t="e">
        <f>AND('GA55 Entry'!J876,"AAAAAF79uSc=")</f>
        <v>#VALUE!</v>
      </c>
      <c r="AO221" t="e">
        <f>AND('GA55 Entry'!#REF!,"AAAAAF79uSg=")</f>
        <v>#REF!</v>
      </c>
      <c r="AP221" t="e">
        <f>AND('GA55 Entry'!K876,"AAAAAF79uSk=")</f>
        <v>#VALUE!</v>
      </c>
      <c r="AQ221" t="e">
        <f>AND('GA55 Entry'!L876,"AAAAAF79uSo=")</f>
        <v>#VALUE!</v>
      </c>
      <c r="AR221" t="e">
        <f>AND('GA55 Entry'!M876,"AAAAAF79uSs=")</f>
        <v>#VALUE!</v>
      </c>
      <c r="AS221" t="e">
        <f>AND('GA55 Entry'!N876,"AAAAAF79uSw=")</f>
        <v>#VALUE!</v>
      </c>
      <c r="AT221" t="e">
        <f>AND('GA55 Entry'!O876,"AAAAAF79uS0=")</f>
        <v>#VALUE!</v>
      </c>
      <c r="AU221" t="e">
        <f>AND('GA55 Entry'!P876,"AAAAAF79uS4=")</f>
        <v>#VALUE!</v>
      </c>
      <c r="AV221" t="e">
        <f>AND('GA55 Entry'!Q876,"AAAAAF79uS8=")</f>
        <v>#VALUE!</v>
      </c>
      <c r="AW221" t="e">
        <f>AND('GA55 Entry'!S876,"AAAAAF79uTA=")</f>
        <v>#VALUE!</v>
      </c>
      <c r="AX221" t="e">
        <f>AND('GA55 Entry'!#REF!,"AAAAAF79uTE=")</f>
        <v>#REF!</v>
      </c>
      <c r="AY221" t="e">
        <f>AND('GA55 Entry'!T876,"AAAAAF79uTI=")</f>
        <v>#VALUE!</v>
      </c>
      <c r="AZ221" t="e">
        <f>AND('GA55 Entry'!U876,"AAAAAF79uTM=")</f>
        <v>#VALUE!</v>
      </c>
      <c r="BA221" t="e">
        <f>AND('GA55 Entry'!V876,"AAAAAF79uTQ=")</f>
        <v>#VALUE!</v>
      </c>
      <c r="BB221" t="e">
        <f>AND('GA55 Entry'!#REF!,"AAAAAF79uTU=")</f>
        <v>#REF!</v>
      </c>
      <c r="BC221" t="e">
        <f>AND('GA55 Entry'!#REF!,"AAAAAF79uTY=")</f>
        <v>#REF!</v>
      </c>
      <c r="BD221" t="e">
        <f>AND('GA55 Entry'!X876,"AAAAAF79uTc=")</f>
        <v>#VALUE!</v>
      </c>
      <c r="BE221" t="e">
        <f>AND('GA55 Entry'!Y876,"AAAAAF79uTg=")</f>
        <v>#VALUE!</v>
      </c>
      <c r="BF221" t="e">
        <f>AND('GA55 Entry'!#REF!,"AAAAAF79uTk=")</f>
        <v>#REF!</v>
      </c>
      <c r="BG221" t="e">
        <f>AND('GA55 Entry'!#REF!,"AAAAAF79uTo=")</f>
        <v>#REF!</v>
      </c>
      <c r="BH221" t="e">
        <f>AND('GA55 Entry'!#REF!,"AAAAAF79uTs=")</f>
        <v>#REF!</v>
      </c>
      <c r="BI221" t="e">
        <f>AND('GA55 Entry'!#REF!,"AAAAAF79uTw=")</f>
        <v>#REF!</v>
      </c>
      <c r="BJ221" t="e">
        <f>AND('GA55 Entry'!#REF!,"AAAAAF79uT0=")</f>
        <v>#REF!</v>
      </c>
      <c r="BK221" t="e">
        <f>AND('GA55 Entry'!#REF!,"AAAAAF79uT4=")</f>
        <v>#REF!</v>
      </c>
      <c r="BL221" t="e">
        <f>AND('GA55 Entry'!#REF!,"AAAAAF79uT8=")</f>
        <v>#REF!</v>
      </c>
      <c r="BM221" t="e">
        <f>AND('GA55 Entry'!#REF!,"AAAAAF79uUA=")</f>
        <v>#REF!</v>
      </c>
      <c r="BN221" t="e">
        <f>AND('GA55 Entry'!#REF!,"AAAAAF79uUE=")</f>
        <v>#REF!</v>
      </c>
      <c r="BO221" t="e">
        <f>AND('GA55 Entry'!Z876,"AAAAAF79uUI=")</f>
        <v>#VALUE!</v>
      </c>
      <c r="BP221" t="e">
        <f>AND('GA55 Entry'!AA876,"AAAAAF79uUM=")</f>
        <v>#VALUE!</v>
      </c>
      <c r="BQ221" t="e">
        <f>AND('GA55 Entry'!#REF!,"AAAAAF79uUQ=")</f>
        <v>#REF!</v>
      </c>
      <c r="BR221" t="e">
        <f>AND('GA55 Entry'!#REF!,"AAAAAF79uUU=")</f>
        <v>#REF!</v>
      </c>
      <c r="BS221" t="e">
        <f>AND('GA55 Entry'!#REF!,"AAAAAF79uUY=")</f>
        <v>#REF!</v>
      </c>
      <c r="BT221" t="e">
        <f>AND('GA55 Entry'!AB876,"AAAAAF79uUc=")</f>
        <v>#VALUE!</v>
      </c>
      <c r="BU221" t="e">
        <f>AND('GA55 Entry'!AC876,"AAAAAF79uUg=")</f>
        <v>#VALUE!</v>
      </c>
      <c r="BV221" t="e">
        <f>AND('GA55 Entry'!#REF!,"AAAAAF79uUk=")</f>
        <v>#REF!</v>
      </c>
      <c r="BW221">
        <f>IF('GA55 Entry'!877:877,"AAAAAF79uUo=",0)</f>
        <v>0</v>
      </c>
      <c r="BX221" t="e">
        <f>AND('GA55 Entry'!B877,"AAAAAF79uUs=")</f>
        <v>#VALUE!</v>
      </c>
      <c r="BY221" t="e">
        <f>AND('GA55 Entry'!#REF!,"AAAAAF79uUw=")</f>
        <v>#REF!</v>
      </c>
      <c r="BZ221" t="e">
        <f>AND('GA55 Entry'!C877,"AAAAAF79uU0=")</f>
        <v>#VALUE!</v>
      </c>
      <c r="CA221" t="e">
        <f>AND('GA55 Entry'!#REF!,"AAAAAF79uU4=")</f>
        <v>#REF!</v>
      </c>
      <c r="CB221" t="e">
        <f>AND('GA55 Entry'!#REF!,"AAAAAF79uU8=")</f>
        <v>#REF!</v>
      </c>
      <c r="CC221" t="e">
        <f>AND('GA55 Entry'!#REF!,"AAAAAF79uVA=")</f>
        <v>#REF!</v>
      </c>
      <c r="CD221" t="e">
        <f>AND('GA55 Entry'!#REF!,"AAAAAF79uVE=")</f>
        <v>#REF!</v>
      </c>
      <c r="CE221" t="e">
        <f>AND('GA55 Entry'!#REF!,"AAAAAF79uVI=")</f>
        <v>#REF!</v>
      </c>
      <c r="CF221" t="e">
        <f>AND('GA55 Entry'!D877,"AAAAAF79uVM=")</f>
        <v>#VALUE!</v>
      </c>
      <c r="CG221" t="e">
        <f>AND('GA55 Entry'!#REF!,"AAAAAF79uVQ=")</f>
        <v>#REF!</v>
      </c>
      <c r="CH221" t="e">
        <f>AND('GA55 Entry'!E877,"AAAAAF79uVU=")</f>
        <v>#VALUE!</v>
      </c>
      <c r="CI221" t="e">
        <f>AND('GA55 Entry'!F877,"AAAAAF79uVY=")</f>
        <v>#VALUE!</v>
      </c>
      <c r="CJ221" t="e">
        <f>AND('GA55 Entry'!G877,"AAAAAF79uVc=")</f>
        <v>#VALUE!</v>
      </c>
      <c r="CK221" t="e">
        <f>AND('GA55 Entry'!H877,"AAAAAF79uVg=")</f>
        <v>#VALUE!</v>
      </c>
      <c r="CL221" t="e">
        <f>AND('GA55 Entry'!I877,"AAAAAF79uVk=")</f>
        <v>#VALUE!</v>
      </c>
      <c r="CM221" t="e">
        <f>AND('GA55 Entry'!J877,"AAAAAF79uVo=")</f>
        <v>#VALUE!</v>
      </c>
      <c r="CN221" t="e">
        <f>AND('GA55 Entry'!#REF!,"AAAAAF79uVs=")</f>
        <v>#REF!</v>
      </c>
      <c r="CO221" t="e">
        <f>AND('GA55 Entry'!K877,"AAAAAF79uVw=")</f>
        <v>#VALUE!</v>
      </c>
      <c r="CP221" t="e">
        <f>AND('GA55 Entry'!L877,"AAAAAF79uV0=")</f>
        <v>#VALUE!</v>
      </c>
      <c r="CQ221" t="e">
        <f>AND('GA55 Entry'!M877,"AAAAAF79uV4=")</f>
        <v>#VALUE!</v>
      </c>
      <c r="CR221" t="e">
        <f>AND('GA55 Entry'!N877,"AAAAAF79uV8=")</f>
        <v>#VALUE!</v>
      </c>
      <c r="CS221" t="e">
        <f>AND('GA55 Entry'!O877,"AAAAAF79uWA=")</f>
        <v>#VALUE!</v>
      </c>
      <c r="CT221" t="e">
        <f>AND('GA55 Entry'!P877,"AAAAAF79uWE=")</f>
        <v>#VALUE!</v>
      </c>
      <c r="CU221" t="e">
        <f>AND('GA55 Entry'!Q877,"AAAAAF79uWI=")</f>
        <v>#VALUE!</v>
      </c>
      <c r="CV221" t="e">
        <f>AND('GA55 Entry'!S877,"AAAAAF79uWM=")</f>
        <v>#VALUE!</v>
      </c>
      <c r="CW221" t="e">
        <f>AND('GA55 Entry'!#REF!,"AAAAAF79uWQ=")</f>
        <v>#REF!</v>
      </c>
      <c r="CX221" t="e">
        <f>AND('GA55 Entry'!T877,"AAAAAF79uWU=")</f>
        <v>#VALUE!</v>
      </c>
      <c r="CY221" t="e">
        <f>AND('GA55 Entry'!U877,"AAAAAF79uWY=")</f>
        <v>#VALUE!</v>
      </c>
      <c r="CZ221" t="e">
        <f>AND('GA55 Entry'!V877,"AAAAAF79uWc=")</f>
        <v>#VALUE!</v>
      </c>
      <c r="DA221" t="e">
        <f>AND('GA55 Entry'!#REF!,"AAAAAF79uWg=")</f>
        <v>#REF!</v>
      </c>
      <c r="DB221" t="e">
        <f>AND('GA55 Entry'!#REF!,"AAAAAF79uWk=")</f>
        <v>#REF!</v>
      </c>
      <c r="DC221" t="e">
        <f>AND('GA55 Entry'!X877,"AAAAAF79uWo=")</f>
        <v>#VALUE!</v>
      </c>
      <c r="DD221" t="e">
        <f>AND('GA55 Entry'!Y877,"AAAAAF79uWs=")</f>
        <v>#VALUE!</v>
      </c>
      <c r="DE221" t="e">
        <f>AND('GA55 Entry'!#REF!,"AAAAAF79uWw=")</f>
        <v>#REF!</v>
      </c>
      <c r="DF221" t="e">
        <f>AND('GA55 Entry'!#REF!,"AAAAAF79uW0=")</f>
        <v>#REF!</v>
      </c>
      <c r="DG221" t="e">
        <f>AND('GA55 Entry'!#REF!,"AAAAAF79uW4=")</f>
        <v>#REF!</v>
      </c>
      <c r="DH221" t="e">
        <f>AND('GA55 Entry'!#REF!,"AAAAAF79uW8=")</f>
        <v>#REF!</v>
      </c>
      <c r="DI221" t="e">
        <f>AND('GA55 Entry'!#REF!,"AAAAAF79uXA=")</f>
        <v>#REF!</v>
      </c>
      <c r="DJ221" t="e">
        <f>AND('GA55 Entry'!#REF!,"AAAAAF79uXE=")</f>
        <v>#REF!</v>
      </c>
      <c r="DK221" t="e">
        <f>AND('GA55 Entry'!#REF!,"AAAAAF79uXI=")</f>
        <v>#REF!</v>
      </c>
      <c r="DL221" t="e">
        <f>AND('GA55 Entry'!#REF!,"AAAAAF79uXM=")</f>
        <v>#REF!</v>
      </c>
      <c r="DM221" t="e">
        <f>AND('GA55 Entry'!#REF!,"AAAAAF79uXQ=")</f>
        <v>#REF!</v>
      </c>
      <c r="DN221" t="e">
        <f>AND('GA55 Entry'!Z877,"AAAAAF79uXU=")</f>
        <v>#VALUE!</v>
      </c>
      <c r="DO221" t="e">
        <f>AND('GA55 Entry'!AA877,"AAAAAF79uXY=")</f>
        <v>#VALUE!</v>
      </c>
      <c r="DP221" t="e">
        <f>AND('GA55 Entry'!#REF!,"AAAAAF79uXc=")</f>
        <v>#REF!</v>
      </c>
      <c r="DQ221" t="e">
        <f>AND('GA55 Entry'!#REF!,"AAAAAF79uXg=")</f>
        <v>#REF!</v>
      </c>
      <c r="DR221" t="e">
        <f>AND('GA55 Entry'!#REF!,"AAAAAF79uXk=")</f>
        <v>#REF!</v>
      </c>
      <c r="DS221" t="e">
        <f>AND('GA55 Entry'!AB877,"AAAAAF79uXo=")</f>
        <v>#VALUE!</v>
      </c>
      <c r="DT221" t="e">
        <f>AND('GA55 Entry'!AC877,"AAAAAF79uXs=")</f>
        <v>#VALUE!</v>
      </c>
      <c r="DU221" t="e">
        <f>AND('GA55 Entry'!#REF!,"AAAAAF79uXw=")</f>
        <v>#REF!</v>
      </c>
      <c r="DV221">
        <f>IF('GA55 Entry'!878:878,"AAAAAF79uX0=",0)</f>
        <v>0</v>
      </c>
      <c r="DW221" t="e">
        <f>AND('GA55 Entry'!B878,"AAAAAF79uX4=")</f>
        <v>#VALUE!</v>
      </c>
      <c r="DX221" t="e">
        <f>AND('GA55 Entry'!#REF!,"AAAAAF79uX8=")</f>
        <v>#REF!</v>
      </c>
      <c r="DY221" t="e">
        <f>AND('GA55 Entry'!C878,"AAAAAF79uYA=")</f>
        <v>#VALUE!</v>
      </c>
      <c r="DZ221" t="e">
        <f>AND('GA55 Entry'!#REF!,"AAAAAF79uYE=")</f>
        <v>#REF!</v>
      </c>
      <c r="EA221" t="e">
        <f>AND('GA55 Entry'!#REF!,"AAAAAF79uYI=")</f>
        <v>#REF!</v>
      </c>
      <c r="EB221" t="e">
        <f>AND('GA55 Entry'!#REF!,"AAAAAF79uYM=")</f>
        <v>#REF!</v>
      </c>
      <c r="EC221" t="e">
        <f>AND('GA55 Entry'!#REF!,"AAAAAF79uYQ=")</f>
        <v>#REF!</v>
      </c>
      <c r="ED221" t="e">
        <f>AND('GA55 Entry'!#REF!,"AAAAAF79uYU=")</f>
        <v>#REF!</v>
      </c>
      <c r="EE221" t="e">
        <f>AND('GA55 Entry'!D878,"AAAAAF79uYY=")</f>
        <v>#VALUE!</v>
      </c>
      <c r="EF221" t="e">
        <f>AND('GA55 Entry'!#REF!,"AAAAAF79uYc=")</f>
        <v>#REF!</v>
      </c>
      <c r="EG221" t="e">
        <f>AND('GA55 Entry'!E878,"AAAAAF79uYg=")</f>
        <v>#VALUE!</v>
      </c>
      <c r="EH221" t="e">
        <f>AND('GA55 Entry'!F878,"AAAAAF79uYk=")</f>
        <v>#VALUE!</v>
      </c>
      <c r="EI221" t="e">
        <f>AND('GA55 Entry'!G878,"AAAAAF79uYo=")</f>
        <v>#VALUE!</v>
      </c>
      <c r="EJ221" t="e">
        <f>AND('GA55 Entry'!H878,"AAAAAF79uYs=")</f>
        <v>#VALUE!</v>
      </c>
      <c r="EK221" t="e">
        <f>AND('GA55 Entry'!I878,"AAAAAF79uYw=")</f>
        <v>#VALUE!</v>
      </c>
      <c r="EL221" t="e">
        <f>AND('GA55 Entry'!J878,"AAAAAF79uY0=")</f>
        <v>#VALUE!</v>
      </c>
      <c r="EM221" t="e">
        <f>AND('GA55 Entry'!#REF!,"AAAAAF79uY4=")</f>
        <v>#REF!</v>
      </c>
      <c r="EN221" t="e">
        <f>AND('GA55 Entry'!K878,"AAAAAF79uY8=")</f>
        <v>#VALUE!</v>
      </c>
      <c r="EO221" t="e">
        <f>AND('GA55 Entry'!L878,"AAAAAF79uZA=")</f>
        <v>#VALUE!</v>
      </c>
      <c r="EP221" t="e">
        <f>AND('GA55 Entry'!M878,"AAAAAF79uZE=")</f>
        <v>#VALUE!</v>
      </c>
      <c r="EQ221" t="e">
        <f>AND('GA55 Entry'!N878,"AAAAAF79uZI=")</f>
        <v>#VALUE!</v>
      </c>
      <c r="ER221" t="e">
        <f>AND('GA55 Entry'!O878,"AAAAAF79uZM=")</f>
        <v>#VALUE!</v>
      </c>
      <c r="ES221" t="e">
        <f>AND('GA55 Entry'!P878,"AAAAAF79uZQ=")</f>
        <v>#VALUE!</v>
      </c>
      <c r="ET221" t="e">
        <f>AND('GA55 Entry'!Q878,"AAAAAF79uZU=")</f>
        <v>#VALUE!</v>
      </c>
      <c r="EU221" t="e">
        <f>AND('GA55 Entry'!S878,"AAAAAF79uZY=")</f>
        <v>#VALUE!</v>
      </c>
      <c r="EV221" t="e">
        <f>AND('GA55 Entry'!#REF!,"AAAAAF79uZc=")</f>
        <v>#REF!</v>
      </c>
      <c r="EW221" t="e">
        <f>AND('GA55 Entry'!T878,"AAAAAF79uZg=")</f>
        <v>#VALUE!</v>
      </c>
      <c r="EX221" t="e">
        <f>AND('GA55 Entry'!U878,"AAAAAF79uZk=")</f>
        <v>#VALUE!</v>
      </c>
      <c r="EY221" t="e">
        <f>AND('GA55 Entry'!V878,"AAAAAF79uZo=")</f>
        <v>#VALUE!</v>
      </c>
      <c r="EZ221" t="e">
        <f>AND('GA55 Entry'!#REF!,"AAAAAF79uZs=")</f>
        <v>#REF!</v>
      </c>
      <c r="FA221" t="e">
        <f>AND('GA55 Entry'!#REF!,"AAAAAF79uZw=")</f>
        <v>#REF!</v>
      </c>
      <c r="FB221" t="e">
        <f>AND('GA55 Entry'!X878,"AAAAAF79uZ0=")</f>
        <v>#VALUE!</v>
      </c>
      <c r="FC221" t="e">
        <f>AND('GA55 Entry'!Y878,"AAAAAF79uZ4=")</f>
        <v>#VALUE!</v>
      </c>
      <c r="FD221" t="e">
        <f>AND('GA55 Entry'!#REF!,"AAAAAF79uZ8=")</f>
        <v>#REF!</v>
      </c>
      <c r="FE221" t="e">
        <f>AND('GA55 Entry'!#REF!,"AAAAAF79uaA=")</f>
        <v>#REF!</v>
      </c>
      <c r="FF221" t="e">
        <f>AND('GA55 Entry'!#REF!,"AAAAAF79uaE=")</f>
        <v>#REF!</v>
      </c>
      <c r="FG221" t="e">
        <f>AND('GA55 Entry'!#REF!,"AAAAAF79uaI=")</f>
        <v>#REF!</v>
      </c>
      <c r="FH221" t="e">
        <f>AND('GA55 Entry'!#REF!,"AAAAAF79uaM=")</f>
        <v>#REF!</v>
      </c>
      <c r="FI221" t="e">
        <f>AND('GA55 Entry'!#REF!,"AAAAAF79uaQ=")</f>
        <v>#REF!</v>
      </c>
      <c r="FJ221" t="e">
        <f>AND('GA55 Entry'!#REF!,"AAAAAF79uaU=")</f>
        <v>#REF!</v>
      </c>
      <c r="FK221" t="e">
        <f>AND('GA55 Entry'!#REF!,"AAAAAF79uaY=")</f>
        <v>#REF!</v>
      </c>
      <c r="FL221" t="e">
        <f>AND('GA55 Entry'!#REF!,"AAAAAF79uac=")</f>
        <v>#REF!</v>
      </c>
      <c r="FM221" t="e">
        <f>AND('GA55 Entry'!Z878,"AAAAAF79uag=")</f>
        <v>#VALUE!</v>
      </c>
      <c r="FN221" t="e">
        <f>AND('GA55 Entry'!AA878,"AAAAAF79uak=")</f>
        <v>#VALUE!</v>
      </c>
      <c r="FO221" t="e">
        <f>AND('GA55 Entry'!#REF!,"AAAAAF79uao=")</f>
        <v>#REF!</v>
      </c>
      <c r="FP221" t="e">
        <f>AND('GA55 Entry'!#REF!,"AAAAAF79uas=")</f>
        <v>#REF!</v>
      </c>
      <c r="FQ221" t="e">
        <f>AND('GA55 Entry'!#REF!,"AAAAAF79uaw=")</f>
        <v>#REF!</v>
      </c>
      <c r="FR221" t="e">
        <f>AND('GA55 Entry'!AB878,"AAAAAF79ua0=")</f>
        <v>#VALUE!</v>
      </c>
      <c r="FS221" t="e">
        <f>AND('GA55 Entry'!AC878,"AAAAAF79ua4=")</f>
        <v>#VALUE!</v>
      </c>
      <c r="FT221" t="e">
        <f>AND('GA55 Entry'!#REF!,"AAAAAF79ua8=")</f>
        <v>#REF!</v>
      </c>
      <c r="FU221">
        <f>IF('GA55 Entry'!879:879,"AAAAAF79ubA=",0)</f>
        <v>0</v>
      </c>
      <c r="FV221" t="e">
        <f>AND('GA55 Entry'!B879,"AAAAAF79ubE=")</f>
        <v>#VALUE!</v>
      </c>
      <c r="FW221" t="e">
        <f>AND('GA55 Entry'!#REF!,"AAAAAF79ubI=")</f>
        <v>#REF!</v>
      </c>
      <c r="FX221" t="e">
        <f>AND('GA55 Entry'!C879,"AAAAAF79ubM=")</f>
        <v>#VALUE!</v>
      </c>
      <c r="FY221" t="e">
        <f>AND('GA55 Entry'!#REF!,"AAAAAF79ubQ=")</f>
        <v>#REF!</v>
      </c>
      <c r="FZ221" t="e">
        <f>AND('GA55 Entry'!#REF!,"AAAAAF79ubU=")</f>
        <v>#REF!</v>
      </c>
      <c r="GA221" t="e">
        <f>AND('GA55 Entry'!#REF!,"AAAAAF79ubY=")</f>
        <v>#REF!</v>
      </c>
      <c r="GB221" t="e">
        <f>AND('GA55 Entry'!#REF!,"AAAAAF79ubc=")</f>
        <v>#REF!</v>
      </c>
      <c r="GC221" t="e">
        <f>AND('GA55 Entry'!#REF!,"AAAAAF79ubg=")</f>
        <v>#REF!</v>
      </c>
      <c r="GD221" t="e">
        <f>AND('GA55 Entry'!D879,"AAAAAF79ubk=")</f>
        <v>#VALUE!</v>
      </c>
      <c r="GE221" t="e">
        <f>AND('GA55 Entry'!#REF!,"AAAAAF79ubo=")</f>
        <v>#REF!</v>
      </c>
      <c r="GF221" t="e">
        <f>AND('GA55 Entry'!E879,"AAAAAF79ubs=")</f>
        <v>#VALUE!</v>
      </c>
      <c r="GG221" t="e">
        <f>AND('GA55 Entry'!F879,"AAAAAF79ubw=")</f>
        <v>#VALUE!</v>
      </c>
      <c r="GH221" t="e">
        <f>AND('GA55 Entry'!G879,"AAAAAF79ub0=")</f>
        <v>#VALUE!</v>
      </c>
      <c r="GI221" t="e">
        <f>AND('GA55 Entry'!H879,"AAAAAF79ub4=")</f>
        <v>#VALUE!</v>
      </c>
      <c r="GJ221" t="e">
        <f>AND('GA55 Entry'!I879,"AAAAAF79ub8=")</f>
        <v>#VALUE!</v>
      </c>
      <c r="GK221" t="e">
        <f>AND('GA55 Entry'!J879,"AAAAAF79ucA=")</f>
        <v>#VALUE!</v>
      </c>
      <c r="GL221" t="e">
        <f>AND('GA55 Entry'!#REF!,"AAAAAF79ucE=")</f>
        <v>#REF!</v>
      </c>
      <c r="GM221" t="e">
        <f>AND('GA55 Entry'!K879,"AAAAAF79ucI=")</f>
        <v>#VALUE!</v>
      </c>
      <c r="GN221" t="e">
        <f>AND('GA55 Entry'!L879,"AAAAAF79ucM=")</f>
        <v>#VALUE!</v>
      </c>
      <c r="GO221" t="e">
        <f>AND('GA55 Entry'!M879,"AAAAAF79ucQ=")</f>
        <v>#VALUE!</v>
      </c>
      <c r="GP221" t="e">
        <f>AND('GA55 Entry'!N879,"AAAAAF79ucU=")</f>
        <v>#VALUE!</v>
      </c>
      <c r="GQ221" t="e">
        <f>AND('GA55 Entry'!O879,"AAAAAF79ucY=")</f>
        <v>#VALUE!</v>
      </c>
      <c r="GR221" t="e">
        <f>AND('GA55 Entry'!P879,"AAAAAF79ucc=")</f>
        <v>#VALUE!</v>
      </c>
      <c r="GS221" t="e">
        <f>AND('GA55 Entry'!Q879,"AAAAAF79ucg=")</f>
        <v>#VALUE!</v>
      </c>
      <c r="GT221" t="e">
        <f>AND('GA55 Entry'!S879,"AAAAAF79uck=")</f>
        <v>#VALUE!</v>
      </c>
      <c r="GU221" t="e">
        <f>AND('GA55 Entry'!#REF!,"AAAAAF79uco=")</f>
        <v>#REF!</v>
      </c>
      <c r="GV221" t="e">
        <f>AND('GA55 Entry'!T879,"AAAAAF79ucs=")</f>
        <v>#VALUE!</v>
      </c>
      <c r="GW221" t="e">
        <f>AND('GA55 Entry'!U879,"AAAAAF79ucw=")</f>
        <v>#VALUE!</v>
      </c>
      <c r="GX221" t="e">
        <f>AND('GA55 Entry'!V879,"AAAAAF79uc0=")</f>
        <v>#VALUE!</v>
      </c>
      <c r="GY221" t="e">
        <f>AND('GA55 Entry'!#REF!,"AAAAAF79uc4=")</f>
        <v>#REF!</v>
      </c>
      <c r="GZ221" t="e">
        <f>AND('GA55 Entry'!#REF!,"AAAAAF79uc8=")</f>
        <v>#REF!</v>
      </c>
      <c r="HA221" t="e">
        <f>AND('GA55 Entry'!X879,"AAAAAF79udA=")</f>
        <v>#VALUE!</v>
      </c>
      <c r="HB221" t="e">
        <f>AND('GA55 Entry'!Y879,"AAAAAF79udE=")</f>
        <v>#VALUE!</v>
      </c>
      <c r="HC221" t="e">
        <f>AND('GA55 Entry'!#REF!,"AAAAAF79udI=")</f>
        <v>#REF!</v>
      </c>
      <c r="HD221" t="e">
        <f>AND('GA55 Entry'!#REF!,"AAAAAF79udM=")</f>
        <v>#REF!</v>
      </c>
      <c r="HE221" t="e">
        <f>AND('GA55 Entry'!#REF!,"AAAAAF79udQ=")</f>
        <v>#REF!</v>
      </c>
      <c r="HF221" t="e">
        <f>AND('GA55 Entry'!#REF!,"AAAAAF79udU=")</f>
        <v>#REF!</v>
      </c>
      <c r="HG221" t="e">
        <f>AND('GA55 Entry'!#REF!,"AAAAAF79udY=")</f>
        <v>#REF!</v>
      </c>
      <c r="HH221" t="e">
        <f>AND('GA55 Entry'!#REF!,"AAAAAF79udc=")</f>
        <v>#REF!</v>
      </c>
      <c r="HI221" t="e">
        <f>AND('GA55 Entry'!#REF!,"AAAAAF79udg=")</f>
        <v>#REF!</v>
      </c>
      <c r="HJ221" t="e">
        <f>AND('GA55 Entry'!#REF!,"AAAAAF79udk=")</f>
        <v>#REF!</v>
      </c>
      <c r="HK221" t="e">
        <f>AND('GA55 Entry'!#REF!,"AAAAAF79udo=")</f>
        <v>#REF!</v>
      </c>
      <c r="HL221" t="e">
        <f>AND('GA55 Entry'!Z879,"AAAAAF79uds=")</f>
        <v>#VALUE!</v>
      </c>
      <c r="HM221" t="e">
        <f>AND('GA55 Entry'!AA879,"AAAAAF79udw=")</f>
        <v>#VALUE!</v>
      </c>
      <c r="HN221" t="e">
        <f>AND('GA55 Entry'!#REF!,"AAAAAF79ud0=")</f>
        <v>#REF!</v>
      </c>
      <c r="HO221" t="e">
        <f>AND('GA55 Entry'!#REF!,"AAAAAF79ud4=")</f>
        <v>#REF!</v>
      </c>
      <c r="HP221" t="e">
        <f>AND('GA55 Entry'!#REF!,"AAAAAF79ud8=")</f>
        <v>#REF!</v>
      </c>
      <c r="HQ221" t="e">
        <f>AND('GA55 Entry'!AB879,"AAAAAF79ueA=")</f>
        <v>#VALUE!</v>
      </c>
      <c r="HR221" t="e">
        <f>AND('GA55 Entry'!AC879,"AAAAAF79ueE=")</f>
        <v>#VALUE!</v>
      </c>
      <c r="HS221" t="e">
        <f>AND('GA55 Entry'!#REF!,"AAAAAF79ueI=")</f>
        <v>#REF!</v>
      </c>
      <c r="HT221">
        <f>IF('GA55 Entry'!880:880,"AAAAAF79ueM=",0)</f>
        <v>0</v>
      </c>
      <c r="HU221" t="e">
        <f>AND('GA55 Entry'!B880,"AAAAAF79ueQ=")</f>
        <v>#VALUE!</v>
      </c>
      <c r="HV221" t="e">
        <f>AND('GA55 Entry'!#REF!,"AAAAAF79ueU=")</f>
        <v>#REF!</v>
      </c>
      <c r="HW221" t="e">
        <f>AND('GA55 Entry'!C880,"AAAAAF79ueY=")</f>
        <v>#VALUE!</v>
      </c>
      <c r="HX221" t="e">
        <f>AND('GA55 Entry'!#REF!,"AAAAAF79uec=")</f>
        <v>#REF!</v>
      </c>
      <c r="HY221" t="e">
        <f>AND('GA55 Entry'!#REF!,"AAAAAF79ueg=")</f>
        <v>#REF!</v>
      </c>
      <c r="HZ221" t="e">
        <f>AND('GA55 Entry'!#REF!,"AAAAAF79uek=")</f>
        <v>#REF!</v>
      </c>
      <c r="IA221" t="e">
        <f>AND('GA55 Entry'!#REF!,"AAAAAF79ueo=")</f>
        <v>#REF!</v>
      </c>
      <c r="IB221" t="e">
        <f>AND('GA55 Entry'!#REF!,"AAAAAF79ues=")</f>
        <v>#REF!</v>
      </c>
      <c r="IC221" t="e">
        <f>AND('GA55 Entry'!D880,"AAAAAF79uew=")</f>
        <v>#VALUE!</v>
      </c>
      <c r="ID221" t="e">
        <f>AND('GA55 Entry'!#REF!,"AAAAAF79ue0=")</f>
        <v>#REF!</v>
      </c>
      <c r="IE221" t="e">
        <f>AND('GA55 Entry'!E880,"AAAAAF79ue4=")</f>
        <v>#VALUE!</v>
      </c>
      <c r="IF221" t="e">
        <f>AND('GA55 Entry'!F880,"AAAAAF79ue8=")</f>
        <v>#VALUE!</v>
      </c>
      <c r="IG221" t="e">
        <f>AND('GA55 Entry'!G880,"AAAAAF79ufA=")</f>
        <v>#VALUE!</v>
      </c>
      <c r="IH221" t="e">
        <f>AND('GA55 Entry'!H880,"AAAAAF79ufE=")</f>
        <v>#VALUE!</v>
      </c>
      <c r="II221" t="e">
        <f>AND('GA55 Entry'!I880,"AAAAAF79ufI=")</f>
        <v>#VALUE!</v>
      </c>
      <c r="IJ221" t="e">
        <f>AND('GA55 Entry'!J880,"AAAAAF79ufM=")</f>
        <v>#VALUE!</v>
      </c>
      <c r="IK221" t="e">
        <f>AND('GA55 Entry'!#REF!,"AAAAAF79ufQ=")</f>
        <v>#REF!</v>
      </c>
      <c r="IL221" t="e">
        <f>AND('GA55 Entry'!K880,"AAAAAF79ufU=")</f>
        <v>#VALUE!</v>
      </c>
      <c r="IM221" t="e">
        <f>AND('GA55 Entry'!L880,"AAAAAF79ufY=")</f>
        <v>#VALUE!</v>
      </c>
      <c r="IN221" t="e">
        <f>AND('GA55 Entry'!M880,"AAAAAF79ufc=")</f>
        <v>#VALUE!</v>
      </c>
      <c r="IO221" t="e">
        <f>AND('GA55 Entry'!N880,"AAAAAF79ufg=")</f>
        <v>#VALUE!</v>
      </c>
      <c r="IP221" t="e">
        <f>AND('GA55 Entry'!O880,"AAAAAF79ufk=")</f>
        <v>#VALUE!</v>
      </c>
      <c r="IQ221" t="e">
        <f>AND('GA55 Entry'!P880,"AAAAAF79ufo=")</f>
        <v>#VALUE!</v>
      </c>
      <c r="IR221" t="e">
        <f>AND('GA55 Entry'!Q880,"AAAAAF79ufs=")</f>
        <v>#VALUE!</v>
      </c>
      <c r="IS221" t="e">
        <f>AND('GA55 Entry'!S880,"AAAAAF79ufw=")</f>
        <v>#VALUE!</v>
      </c>
      <c r="IT221" t="e">
        <f>AND('GA55 Entry'!#REF!,"AAAAAF79uf0=")</f>
        <v>#REF!</v>
      </c>
      <c r="IU221" t="e">
        <f>AND('GA55 Entry'!T880,"AAAAAF79uf4=")</f>
        <v>#VALUE!</v>
      </c>
      <c r="IV221" t="e">
        <f>AND('GA55 Entry'!U880,"AAAAAF79uf8=")</f>
        <v>#VALUE!</v>
      </c>
    </row>
    <row r="222" spans="1:256">
      <c r="A222" t="e">
        <f>AND('GA55 Entry'!V880,"AAAAACON+wA=")</f>
        <v>#VALUE!</v>
      </c>
      <c r="B222" t="e">
        <f>AND('GA55 Entry'!#REF!,"AAAAACON+wE=")</f>
        <v>#REF!</v>
      </c>
      <c r="C222" t="e">
        <f>AND('GA55 Entry'!#REF!,"AAAAACON+wI=")</f>
        <v>#REF!</v>
      </c>
      <c r="D222" t="e">
        <f>AND('GA55 Entry'!X880,"AAAAACON+wM=")</f>
        <v>#VALUE!</v>
      </c>
      <c r="E222" t="e">
        <f>AND('GA55 Entry'!Y880,"AAAAACON+wQ=")</f>
        <v>#VALUE!</v>
      </c>
      <c r="F222" t="e">
        <f>AND('GA55 Entry'!#REF!,"AAAAACON+wU=")</f>
        <v>#REF!</v>
      </c>
      <c r="G222" t="e">
        <f>AND('GA55 Entry'!#REF!,"AAAAACON+wY=")</f>
        <v>#REF!</v>
      </c>
      <c r="H222" t="e">
        <f>AND('GA55 Entry'!#REF!,"AAAAACON+wc=")</f>
        <v>#REF!</v>
      </c>
      <c r="I222" t="e">
        <f>AND('GA55 Entry'!#REF!,"AAAAACON+wg=")</f>
        <v>#REF!</v>
      </c>
      <c r="J222" t="e">
        <f>AND('GA55 Entry'!#REF!,"AAAAACON+wk=")</f>
        <v>#REF!</v>
      </c>
      <c r="K222" t="e">
        <f>AND('GA55 Entry'!#REF!,"AAAAACON+wo=")</f>
        <v>#REF!</v>
      </c>
      <c r="L222" t="e">
        <f>AND('GA55 Entry'!#REF!,"AAAAACON+ws=")</f>
        <v>#REF!</v>
      </c>
      <c r="M222" t="e">
        <f>AND('GA55 Entry'!#REF!,"AAAAACON+ww=")</f>
        <v>#REF!</v>
      </c>
      <c r="N222" t="e">
        <f>AND('GA55 Entry'!#REF!,"AAAAACON+w0=")</f>
        <v>#REF!</v>
      </c>
      <c r="O222" t="e">
        <f>AND('GA55 Entry'!Z880,"AAAAACON+w4=")</f>
        <v>#VALUE!</v>
      </c>
      <c r="P222" t="e">
        <f>AND('GA55 Entry'!AA880,"AAAAACON+w8=")</f>
        <v>#VALUE!</v>
      </c>
      <c r="Q222" t="e">
        <f>AND('GA55 Entry'!#REF!,"AAAAACON+xA=")</f>
        <v>#REF!</v>
      </c>
      <c r="R222" t="e">
        <f>AND('GA55 Entry'!#REF!,"AAAAACON+xE=")</f>
        <v>#REF!</v>
      </c>
      <c r="S222" t="e">
        <f>AND('GA55 Entry'!#REF!,"AAAAACON+xI=")</f>
        <v>#REF!</v>
      </c>
      <c r="T222" t="e">
        <f>AND('GA55 Entry'!AB880,"AAAAACON+xM=")</f>
        <v>#VALUE!</v>
      </c>
      <c r="U222" t="e">
        <f>AND('GA55 Entry'!AC880,"AAAAACON+xQ=")</f>
        <v>#VALUE!</v>
      </c>
      <c r="V222" t="e">
        <f>AND('GA55 Entry'!#REF!,"AAAAACON+xU=")</f>
        <v>#REF!</v>
      </c>
      <c r="W222">
        <f>IF('GA55 Entry'!881:881,"AAAAACON+xY=",0)</f>
        <v>0</v>
      </c>
      <c r="X222" t="e">
        <f>AND('GA55 Entry'!B881,"AAAAACON+xc=")</f>
        <v>#VALUE!</v>
      </c>
      <c r="Y222" t="e">
        <f>AND('GA55 Entry'!#REF!,"AAAAACON+xg=")</f>
        <v>#REF!</v>
      </c>
      <c r="Z222" t="e">
        <f>AND('GA55 Entry'!C881,"AAAAACON+xk=")</f>
        <v>#VALUE!</v>
      </c>
      <c r="AA222" t="e">
        <f>AND('GA55 Entry'!#REF!,"AAAAACON+xo=")</f>
        <v>#REF!</v>
      </c>
      <c r="AB222" t="e">
        <f>AND('GA55 Entry'!#REF!,"AAAAACON+xs=")</f>
        <v>#REF!</v>
      </c>
      <c r="AC222" t="e">
        <f>AND('GA55 Entry'!#REF!,"AAAAACON+xw=")</f>
        <v>#REF!</v>
      </c>
      <c r="AD222" t="e">
        <f>AND('GA55 Entry'!#REF!,"AAAAACON+x0=")</f>
        <v>#REF!</v>
      </c>
      <c r="AE222" t="e">
        <f>AND('GA55 Entry'!#REF!,"AAAAACON+x4=")</f>
        <v>#REF!</v>
      </c>
      <c r="AF222" t="e">
        <f>AND('GA55 Entry'!D881,"AAAAACON+x8=")</f>
        <v>#VALUE!</v>
      </c>
      <c r="AG222" t="e">
        <f>AND('GA55 Entry'!#REF!,"AAAAACON+yA=")</f>
        <v>#REF!</v>
      </c>
      <c r="AH222" t="e">
        <f>AND('GA55 Entry'!E881,"AAAAACON+yE=")</f>
        <v>#VALUE!</v>
      </c>
      <c r="AI222" t="e">
        <f>AND('GA55 Entry'!F881,"AAAAACON+yI=")</f>
        <v>#VALUE!</v>
      </c>
      <c r="AJ222" t="e">
        <f>AND('GA55 Entry'!G881,"AAAAACON+yM=")</f>
        <v>#VALUE!</v>
      </c>
      <c r="AK222" t="e">
        <f>AND('GA55 Entry'!H881,"AAAAACON+yQ=")</f>
        <v>#VALUE!</v>
      </c>
      <c r="AL222" t="e">
        <f>AND('GA55 Entry'!I881,"AAAAACON+yU=")</f>
        <v>#VALUE!</v>
      </c>
      <c r="AM222" t="e">
        <f>AND('GA55 Entry'!J881,"AAAAACON+yY=")</f>
        <v>#VALUE!</v>
      </c>
      <c r="AN222" t="e">
        <f>AND('GA55 Entry'!#REF!,"AAAAACON+yc=")</f>
        <v>#REF!</v>
      </c>
      <c r="AO222" t="e">
        <f>AND('GA55 Entry'!K881,"AAAAACON+yg=")</f>
        <v>#VALUE!</v>
      </c>
      <c r="AP222" t="e">
        <f>AND('GA55 Entry'!L881,"AAAAACON+yk=")</f>
        <v>#VALUE!</v>
      </c>
      <c r="AQ222" t="e">
        <f>AND('GA55 Entry'!M881,"AAAAACON+yo=")</f>
        <v>#VALUE!</v>
      </c>
      <c r="AR222" t="e">
        <f>AND('GA55 Entry'!N881,"AAAAACON+ys=")</f>
        <v>#VALUE!</v>
      </c>
      <c r="AS222" t="e">
        <f>AND('GA55 Entry'!O881,"AAAAACON+yw=")</f>
        <v>#VALUE!</v>
      </c>
      <c r="AT222" t="e">
        <f>AND('GA55 Entry'!P881,"AAAAACON+y0=")</f>
        <v>#VALUE!</v>
      </c>
      <c r="AU222" t="e">
        <f>AND('GA55 Entry'!Q881,"AAAAACON+y4=")</f>
        <v>#VALUE!</v>
      </c>
      <c r="AV222" t="e">
        <f>AND('GA55 Entry'!S881,"AAAAACON+y8=")</f>
        <v>#VALUE!</v>
      </c>
      <c r="AW222" t="e">
        <f>AND('GA55 Entry'!#REF!,"AAAAACON+zA=")</f>
        <v>#REF!</v>
      </c>
      <c r="AX222" t="e">
        <f>AND('GA55 Entry'!T881,"AAAAACON+zE=")</f>
        <v>#VALUE!</v>
      </c>
      <c r="AY222" t="e">
        <f>AND('GA55 Entry'!U881,"AAAAACON+zI=")</f>
        <v>#VALUE!</v>
      </c>
      <c r="AZ222" t="e">
        <f>AND('GA55 Entry'!V881,"AAAAACON+zM=")</f>
        <v>#VALUE!</v>
      </c>
      <c r="BA222" t="e">
        <f>AND('GA55 Entry'!#REF!,"AAAAACON+zQ=")</f>
        <v>#REF!</v>
      </c>
      <c r="BB222" t="e">
        <f>AND('GA55 Entry'!#REF!,"AAAAACON+zU=")</f>
        <v>#REF!</v>
      </c>
      <c r="BC222" t="e">
        <f>AND('GA55 Entry'!X881,"AAAAACON+zY=")</f>
        <v>#VALUE!</v>
      </c>
      <c r="BD222" t="e">
        <f>AND('GA55 Entry'!Y881,"AAAAACON+zc=")</f>
        <v>#VALUE!</v>
      </c>
      <c r="BE222" t="e">
        <f>AND('GA55 Entry'!#REF!,"AAAAACON+zg=")</f>
        <v>#REF!</v>
      </c>
      <c r="BF222" t="e">
        <f>AND('GA55 Entry'!#REF!,"AAAAACON+zk=")</f>
        <v>#REF!</v>
      </c>
      <c r="BG222" t="e">
        <f>AND('GA55 Entry'!#REF!,"AAAAACON+zo=")</f>
        <v>#REF!</v>
      </c>
      <c r="BH222" t="e">
        <f>AND('GA55 Entry'!#REF!,"AAAAACON+zs=")</f>
        <v>#REF!</v>
      </c>
      <c r="BI222" t="e">
        <f>AND('GA55 Entry'!#REF!,"AAAAACON+zw=")</f>
        <v>#REF!</v>
      </c>
      <c r="BJ222" t="e">
        <f>AND('GA55 Entry'!#REF!,"AAAAACON+z0=")</f>
        <v>#REF!</v>
      </c>
      <c r="BK222" t="e">
        <f>AND('GA55 Entry'!#REF!,"AAAAACON+z4=")</f>
        <v>#REF!</v>
      </c>
      <c r="BL222" t="e">
        <f>AND('GA55 Entry'!#REF!,"AAAAACON+z8=")</f>
        <v>#REF!</v>
      </c>
      <c r="BM222" t="e">
        <f>AND('GA55 Entry'!#REF!,"AAAAACON+0A=")</f>
        <v>#REF!</v>
      </c>
      <c r="BN222" t="e">
        <f>AND('GA55 Entry'!Z881,"AAAAACON+0E=")</f>
        <v>#VALUE!</v>
      </c>
      <c r="BO222" t="e">
        <f>AND('GA55 Entry'!AA881,"AAAAACON+0I=")</f>
        <v>#VALUE!</v>
      </c>
      <c r="BP222" t="e">
        <f>AND('GA55 Entry'!#REF!,"AAAAACON+0M=")</f>
        <v>#REF!</v>
      </c>
      <c r="BQ222" t="e">
        <f>AND('GA55 Entry'!#REF!,"AAAAACON+0Q=")</f>
        <v>#REF!</v>
      </c>
      <c r="BR222" t="e">
        <f>AND('GA55 Entry'!#REF!,"AAAAACON+0U=")</f>
        <v>#REF!</v>
      </c>
      <c r="BS222" t="e">
        <f>AND('GA55 Entry'!AB881,"AAAAACON+0Y=")</f>
        <v>#VALUE!</v>
      </c>
      <c r="BT222" t="e">
        <f>AND('GA55 Entry'!AC881,"AAAAACON+0c=")</f>
        <v>#VALUE!</v>
      </c>
      <c r="BU222" t="e">
        <f>AND('GA55 Entry'!#REF!,"AAAAACON+0g=")</f>
        <v>#REF!</v>
      </c>
      <c r="BV222">
        <f>IF('GA55 Entry'!882:882,"AAAAACON+0k=",0)</f>
        <v>0</v>
      </c>
      <c r="BW222" t="e">
        <f>AND('GA55 Entry'!B882,"AAAAACON+0o=")</f>
        <v>#VALUE!</v>
      </c>
      <c r="BX222" t="e">
        <f>AND('GA55 Entry'!#REF!,"AAAAACON+0s=")</f>
        <v>#REF!</v>
      </c>
      <c r="BY222" t="e">
        <f>AND('GA55 Entry'!C882,"AAAAACON+0w=")</f>
        <v>#VALUE!</v>
      </c>
      <c r="BZ222" t="e">
        <f>AND('GA55 Entry'!#REF!,"AAAAACON+00=")</f>
        <v>#REF!</v>
      </c>
      <c r="CA222" t="e">
        <f>AND('GA55 Entry'!#REF!,"AAAAACON+04=")</f>
        <v>#REF!</v>
      </c>
      <c r="CB222" t="e">
        <f>AND('GA55 Entry'!#REF!,"AAAAACON+08=")</f>
        <v>#REF!</v>
      </c>
      <c r="CC222" t="e">
        <f>AND('GA55 Entry'!#REF!,"AAAAACON+1A=")</f>
        <v>#REF!</v>
      </c>
      <c r="CD222" t="e">
        <f>AND('GA55 Entry'!#REF!,"AAAAACON+1E=")</f>
        <v>#REF!</v>
      </c>
      <c r="CE222" t="e">
        <f>AND('GA55 Entry'!D882,"AAAAACON+1I=")</f>
        <v>#VALUE!</v>
      </c>
      <c r="CF222" t="e">
        <f>AND('GA55 Entry'!#REF!,"AAAAACON+1M=")</f>
        <v>#REF!</v>
      </c>
      <c r="CG222" t="e">
        <f>AND('GA55 Entry'!E882,"AAAAACON+1Q=")</f>
        <v>#VALUE!</v>
      </c>
      <c r="CH222" t="e">
        <f>AND('GA55 Entry'!F882,"AAAAACON+1U=")</f>
        <v>#VALUE!</v>
      </c>
      <c r="CI222" t="e">
        <f>AND('GA55 Entry'!G882,"AAAAACON+1Y=")</f>
        <v>#VALUE!</v>
      </c>
      <c r="CJ222" t="e">
        <f>AND('GA55 Entry'!H882,"AAAAACON+1c=")</f>
        <v>#VALUE!</v>
      </c>
      <c r="CK222" t="e">
        <f>AND('GA55 Entry'!I882,"AAAAACON+1g=")</f>
        <v>#VALUE!</v>
      </c>
      <c r="CL222" t="e">
        <f>AND('GA55 Entry'!J882,"AAAAACON+1k=")</f>
        <v>#VALUE!</v>
      </c>
      <c r="CM222" t="e">
        <f>AND('GA55 Entry'!#REF!,"AAAAACON+1o=")</f>
        <v>#REF!</v>
      </c>
      <c r="CN222" t="e">
        <f>AND('GA55 Entry'!K882,"AAAAACON+1s=")</f>
        <v>#VALUE!</v>
      </c>
      <c r="CO222" t="e">
        <f>AND('GA55 Entry'!L882,"AAAAACON+1w=")</f>
        <v>#VALUE!</v>
      </c>
      <c r="CP222" t="e">
        <f>AND('GA55 Entry'!M882,"AAAAACON+10=")</f>
        <v>#VALUE!</v>
      </c>
      <c r="CQ222" t="e">
        <f>AND('GA55 Entry'!N882,"AAAAACON+14=")</f>
        <v>#VALUE!</v>
      </c>
      <c r="CR222" t="e">
        <f>AND('GA55 Entry'!O882,"AAAAACON+18=")</f>
        <v>#VALUE!</v>
      </c>
      <c r="CS222" t="e">
        <f>AND('GA55 Entry'!P882,"AAAAACON+2A=")</f>
        <v>#VALUE!</v>
      </c>
      <c r="CT222" t="e">
        <f>AND('GA55 Entry'!Q882,"AAAAACON+2E=")</f>
        <v>#VALUE!</v>
      </c>
      <c r="CU222" t="e">
        <f>AND('GA55 Entry'!S882,"AAAAACON+2I=")</f>
        <v>#VALUE!</v>
      </c>
      <c r="CV222" t="e">
        <f>AND('GA55 Entry'!#REF!,"AAAAACON+2M=")</f>
        <v>#REF!</v>
      </c>
      <c r="CW222" t="e">
        <f>AND('GA55 Entry'!T882,"AAAAACON+2Q=")</f>
        <v>#VALUE!</v>
      </c>
      <c r="CX222" t="e">
        <f>AND('GA55 Entry'!U882,"AAAAACON+2U=")</f>
        <v>#VALUE!</v>
      </c>
      <c r="CY222" t="e">
        <f>AND('GA55 Entry'!V882,"AAAAACON+2Y=")</f>
        <v>#VALUE!</v>
      </c>
      <c r="CZ222" t="e">
        <f>AND('GA55 Entry'!#REF!,"AAAAACON+2c=")</f>
        <v>#REF!</v>
      </c>
      <c r="DA222" t="e">
        <f>AND('GA55 Entry'!#REF!,"AAAAACON+2g=")</f>
        <v>#REF!</v>
      </c>
      <c r="DB222" t="e">
        <f>AND('GA55 Entry'!X882,"AAAAACON+2k=")</f>
        <v>#VALUE!</v>
      </c>
      <c r="DC222" t="e">
        <f>AND('GA55 Entry'!Y882,"AAAAACON+2o=")</f>
        <v>#VALUE!</v>
      </c>
      <c r="DD222" t="e">
        <f>AND('GA55 Entry'!#REF!,"AAAAACON+2s=")</f>
        <v>#REF!</v>
      </c>
      <c r="DE222" t="e">
        <f>AND('GA55 Entry'!#REF!,"AAAAACON+2w=")</f>
        <v>#REF!</v>
      </c>
      <c r="DF222" t="e">
        <f>AND('GA55 Entry'!#REF!,"AAAAACON+20=")</f>
        <v>#REF!</v>
      </c>
      <c r="DG222" t="e">
        <f>AND('GA55 Entry'!#REF!,"AAAAACON+24=")</f>
        <v>#REF!</v>
      </c>
      <c r="DH222" t="e">
        <f>AND('GA55 Entry'!#REF!,"AAAAACON+28=")</f>
        <v>#REF!</v>
      </c>
      <c r="DI222" t="e">
        <f>AND('GA55 Entry'!#REF!,"AAAAACON+3A=")</f>
        <v>#REF!</v>
      </c>
      <c r="DJ222" t="e">
        <f>AND('GA55 Entry'!#REF!,"AAAAACON+3E=")</f>
        <v>#REF!</v>
      </c>
      <c r="DK222" t="e">
        <f>AND('GA55 Entry'!#REF!,"AAAAACON+3I=")</f>
        <v>#REF!</v>
      </c>
      <c r="DL222" t="e">
        <f>AND('GA55 Entry'!#REF!,"AAAAACON+3M=")</f>
        <v>#REF!</v>
      </c>
      <c r="DM222" t="e">
        <f>AND('GA55 Entry'!Z882,"AAAAACON+3Q=")</f>
        <v>#VALUE!</v>
      </c>
      <c r="DN222" t="e">
        <f>AND('GA55 Entry'!AA882,"AAAAACON+3U=")</f>
        <v>#VALUE!</v>
      </c>
      <c r="DO222" t="e">
        <f>AND('GA55 Entry'!#REF!,"AAAAACON+3Y=")</f>
        <v>#REF!</v>
      </c>
      <c r="DP222" t="e">
        <f>AND('GA55 Entry'!#REF!,"AAAAACON+3c=")</f>
        <v>#REF!</v>
      </c>
      <c r="DQ222" t="e">
        <f>AND('GA55 Entry'!#REF!,"AAAAACON+3g=")</f>
        <v>#REF!</v>
      </c>
      <c r="DR222" t="e">
        <f>AND('GA55 Entry'!AB882,"AAAAACON+3k=")</f>
        <v>#VALUE!</v>
      </c>
      <c r="DS222" t="e">
        <f>AND('GA55 Entry'!AC882,"AAAAACON+3o=")</f>
        <v>#VALUE!</v>
      </c>
      <c r="DT222" t="e">
        <f>AND('GA55 Entry'!#REF!,"AAAAACON+3s=")</f>
        <v>#REF!</v>
      </c>
      <c r="DU222">
        <f>IF('GA55 Entry'!883:883,"AAAAACON+3w=",0)</f>
        <v>0</v>
      </c>
      <c r="DV222" t="e">
        <f>AND('GA55 Entry'!B883,"AAAAACON+30=")</f>
        <v>#VALUE!</v>
      </c>
      <c r="DW222" t="e">
        <f>AND('GA55 Entry'!#REF!,"AAAAACON+34=")</f>
        <v>#REF!</v>
      </c>
      <c r="DX222" t="e">
        <f>AND('GA55 Entry'!C883,"AAAAACON+38=")</f>
        <v>#VALUE!</v>
      </c>
      <c r="DY222" t="e">
        <f>AND('GA55 Entry'!#REF!,"AAAAACON+4A=")</f>
        <v>#REF!</v>
      </c>
      <c r="DZ222" t="e">
        <f>AND('GA55 Entry'!#REF!,"AAAAACON+4E=")</f>
        <v>#REF!</v>
      </c>
      <c r="EA222" t="e">
        <f>AND('GA55 Entry'!#REF!,"AAAAACON+4I=")</f>
        <v>#REF!</v>
      </c>
      <c r="EB222" t="e">
        <f>AND('GA55 Entry'!#REF!,"AAAAACON+4M=")</f>
        <v>#REF!</v>
      </c>
      <c r="EC222" t="e">
        <f>AND('GA55 Entry'!#REF!,"AAAAACON+4Q=")</f>
        <v>#REF!</v>
      </c>
      <c r="ED222" t="e">
        <f>AND('GA55 Entry'!D883,"AAAAACON+4U=")</f>
        <v>#VALUE!</v>
      </c>
      <c r="EE222" t="e">
        <f>AND('GA55 Entry'!#REF!,"AAAAACON+4Y=")</f>
        <v>#REF!</v>
      </c>
      <c r="EF222" t="e">
        <f>AND('GA55 Entry'!E883,"AAAAACON+4c=")</f>
        <v>#VALUE!</v>
      </c>
      <c r="EG222" t="e">
        <f>AND('GA55 Entry'!F883,"AAAAACON+4g=")</f>
        <v>#VALUE!</v>
      </c>
      <c r="EH222" t="e">
        <f>AND('GA55 Entry'!G883,"AAAAACON+4k=")</f>
        <v>#VALUE!</v>
      </c>
      <c r="EI222" t="e">
        <f>AND('GA55 Entry'!H883,"AAAAACON+4o=")</f>
        <v>#VALUE!</v>
      </c>
      <c r="EJ222" t="e">
        <f>AND('GA55 Entry'!I883,"AAAAACON+4s=")</f>
        <v>#VALUE!</v>
      </c>
      <c r="EK222" t="e">
        <f>AND('GA55 Entry'!J883,"AAAAACON+4w=")</f>
        <v>#VALUE!</v>
      </c>
      <c r="EL222" t="e">
        <f>AND('GA55 Entry'!#REF!,"AAAAACON+40=")</f>
        <v>#REF!</v>
      </c>
      <c r="EM222" t="e">
        <f>AND('GA55 Entry'!K883,"AAAAACON+44=")</f>
        <v>#VALUE!</v>
      </c>
      <c r="EN222" t="e">
        <f>AND('GA55 Entry'!L883,"AAAAACON+48=")</f>
        <v>#VALUE!</v>
      </c>
      <c r="EO222" t="e">
        <f>AND('GA55 Entry'!M883,"AAAAACON+5A=")</f>
        <v>#VALUE!</v>
      </c>
      <c r="EP222" t="e">
        <f>AND('GA55 Entry'!N883,"AAAAACON+5E=")</f>
        <v>#VALUE!</v>
      </c>
      <c r="EQ222" t="e">
        <f>AND('GA55 Entry'!O883,"AAAAACON+5I=")</f>
        <v>#VALUE!</v>
      </c>
      <c r="ER222" t="e">
        <f>AND('GA55 Entry'!P883,"AAAAACON+5M=")</f>
        <v>#VALUE!</v>
      </c>
      <c r="ES222" t="e">
        <f>AND('GA55 Entry'!Q883,"AAAAACON+5Q=")</f>
        <v>#VALUE!</v>
      </c>
      <c r="ET222" t="e">
        <f>AND('GA55 Entry'!S883,"AAAAACON+5U=")</f>
        <v>#VALUE!</v>
      </c>
      <c r="EU222" t="e">
        <f>AND('GA55 Entry'!#REF!,"AAAAACON+5Y=")</f>
        <v>#REF!</v>
      </c>
      <c r="EV222" t="e">
        <f>AND('GA55 Entry'!T883,"AAAAACON+5c=")</f>
        <v>#VALUE!</v>
      </c>
      <c r="EW222" t="e">
        <f>AND('GA55 Entry'!U883,"AAAAACON+5g=")</f>
        <v>#VALUE!</v>
      </c>
      <c r="EX222" t="e">
        <f>AND('GA55 Entry'!V883,"AAAAACON+5k=")</f>
        <v>#VALUE!</v>
      </c>
      <c r="EY222" t="e">
        <f>AND('GA55 Entry'!#REF!,"AAAAACON+5o=")</f>
        <v>#REF!</v>
      </c>
      <c r="EZ222" t="e">
        <f>AND('GA55 Entry'!#REF!,"AAAAACON+5s=")</f>
        <v>#REF!</v>
      </c>
      <c r="FA222" t="e">
        <f>AND('GA55 Entry'!X883,"AAAAACON+5w=")</f>
        <v>#VALUE!</v>
      </c>
      <c r="FB222" t="e">
        <f>AND('GA55 Entry'!Y883,"AAAAACON+50=")</f>
        <v>#VALUE!</v>
      </c>
      <c r="FC222" t="e">
        <f>AND('GA55 Entry'!#REF!,"AAAAACON+54=")</f>
        <v>#REF!</v>
      </c>
      <c r="FD222" t="e">
        <f>AND('GA55 Entry'!#REF!,"AAAAACON+58=")</f>
        <v>#REF!</v>
      </c>
      <c r="FE222" t="e">
        <f>AND('GA55 Entry'!#REF!,"AAAAACON+6A=")</f>
        <v>#REF!</v>
      </c>
      <c r="FF222" t="e">
        <f>AND('GA55 Entry'!#REF!,"AAAAACON+6E=")</f>
        <v>#REF!</v>
      </c>
      <c r="FG222" t="e">
        <f>AND('GA55 Entry'!#REF!,"AAAAACON+6I=")</f>
        <v>#REF!</v>
      </c>
      <c r="FH222" t="e">
        <f>AND('GA55 Entry'!#REF!,"AAAAACON+6M=")</f>
        <v>#REF!</v>
      </c>
      <c r="FI222" t="e">
        <f>AND('GA55 Entry'!#REF!,"AAAAACON+6Q=")</f>
        <v>#REF!</v>
      </c>
      <c r="FJ222" t="e">
        <f>AND('GA55 Entry'!#REF!,"AAAAACON+6U=")</f>
        <v>#REF!</v>
      </c>
      <c r="FK222" t="e">
        <f>AND('GA55 Entry'!#REF!,"AAAAACON+6Y=")</f>
        <v>#REF!</v>
      </c>
      <c r="FL222" t="e">
        <f>AND('GA55 Entry'!Z883,"AAAAACON+6c=")</f>
        <v>#VALUE!</v>
      </c>
      <c r="FM222" t="e">
        <f>AND('GA55 Entry'!AA883,"AAAAACON+6g=")</f>
        <v>#VALUE!</v>
      </c>
      <c r="FN222" t="e">
        <f>AND('GA55 Entry'!#REF!,"AAAAACON+6k=")</f>
        <v>#REF!</v>
      </c>
      <c r="FO222" t="e">
        <f>AND('GA55 Entry'!#REF!,"AAAAACON+6o=")</f>
        <v>#REF!</v>
      </c>
      <c r="FP222" t="e">
        <f>AND('GA55 Entry'!#REF!,"AAAAACON+6s=")</f>
        <v>#REF!</v>
      </c>
      <c r="FQ222" t="e">
        <f>AND('GA55 Entry'!AB883,"AAAAACON+6w=")</f>
        <v>#VALUE!</v>
      </c>
      <c r="FR222" t="e">
        <f>AND('GA55 Entry'!AC883,"AAAAACON+60=")</f>
        <v>#VALUE!</v>
      </c>
      <c r="FS222" t="e">
        <f>AND('GA55 Entry'!#REF!,"AAAAACON+64=")</f>
        <v>#REF!</v>
      </c>
      <c r="FT222">
        <f>IF('GA55 Entry'!884:884,"AAAAACON+68=",0)</f>
        <v>0</v>
      </c>
      <c r="FU222" t="e">
        <f>AND('GA55 Entry'!B884,"AAAAACON+7A=")</f>
        <v>#VALUE!</v>
      </c>
      <c r="FV222" t="e">
        <f>AND('GA55 Entry'!#REF!,"AAAAACON+7E=")</f>
        <v>#REF!</v>
      </c>
      <c r="FW222" t="e">
        <f>AND('GA55 Entry'!C884,"AAAAACON+7I=")</f>
        <v>#VALUE!</v>
      </c>
      <c r="FX222" t="e">
        <f>AND('GA55 Entry'!#REF!,"AAAAACON+7M=")</f>
        <v>#REF!</v>
      </c>
      <c r="FY222" t="e">
        <f>AND('GA55 Entry'!#REF!,"AAAAACON+7Q=")</f>
        <v>#REF!</v>
      </c>
      <c r="FZ222" t="e">
        <f>AND('GA55 Entry'!#REF!,"AAAAACON+7U=")</f>
        <v>#REF!</v>
      </c>
      <c r="GA222" t="e">
        <f>AND('GA55 Entry'!#REF!,"AAAAACON+7Y=")</f>
        <v>#REF!</v>
      </c>
      <c r="GB222" t="e">
        <f>AND('GA55 Entry'!#REF!,"AAAAACON+7c=")</f>
        <v>#REF!</v>
      </c>
      <c r="GC222" t="e">
        <f>AND('GA55 Entry'!D884,"AAAAACON+7g=")</f>
        <v>#VALUE!</v>
      </c>
      <c r="GD222" t="e">
        <f>AND('GA55 Entry'!#REF!,"AAAAACON+7k=")</f>
        <v>#REF!</v>
      </c>
      <c r="GE222" t="e">
        <f>AND('GA55 Entry'!E884,"AAAAACON+7o=")</f>
        <v>#VALUE!</v>
      </c>
      <c r="GF222" t="e">
        <f>AND('GA55 Entry'!F884,"AAAAACON+7s=")</f>
        <v>#VALUE!</v>
      </c>
      <c r="GG222" t="e">
        <f>AND('GA55 Entry'!G884,"AAAAACON+7w=")</f>
        <v>#VALUE!</v>
      </c>
      <c r="GH222" t="e">
        <f>AND('GA55 Entry'!H884,"AAAAACON+70=")</f>
        <v>#VALUE!</v>
      </c>
      <c r="GI222" t="e">
        <f>AND('GA55 Entry'!I884,"AAAAACON+74=")</f>
        <v>#VALUE!</v>
      </c>
      <c r="GJ222" t="e">
        <f>AND('GA55 Entry'!J884,"AAAAACON+78=")</f>
        <v>#VALUE!</v>
      </c>
      <c r="GK222" t="e">
        <f>AND('GA55 Entry'!#REF!,"AAAAACON+8A=")</f>
        <v>#REF!</v>
      </c>
      <c r="GL222" t="e">
        <f>AND('GA55 Entry'!K884,"AAAAACON+8E=")</f>
        <v>#VALUE!</v>
      </c>
      <c r="GM222" t="e">
        <f>AND('GA55 Entry'!L884,"AAAAACON+8I=")</f>
        <v>#VALUE!</v>
      </c>
      <c r="GN222" t="e">
        <f>AND('GA55 Entry'!M884,"AAAAACON+8M=")</f>
        <v>#VALUE!</v>
      </c>
      <c r="GO222" t="e">
        <f>AND('GA55 Entry'!N884,"AAAAACON+8Q=")</f>
        <v>#VALUE!</v>
      </c>
      <c r="GP222" t="e">
        <f>AND('GA55 Entry'!O884,"AAAAACON+8U=")</f>
        <v>#VALUE!</v>
      </c>
      <c r="GQ222" t="e">
        <f>AND('GA55 Entry'!P884,"AAAAACON+8Y=")</f>
        <v>#VALUE!</v>
      </c>
      <c r="GR222" t="e">
        <f>AND('GA55 Entry'!Q884,"AAAAACON+8c=")</f>
        <v>#VALUE!</v>
      </c>
      <c r="GS222" t="e">
        <f>AND('GA55 Entry'!S884,"AAAAACON+8g=")</f>
        <v>#VALUE!</v>
      </c>
      <c r="GT222" t="e">
        <f>AND('GA55 Entry'!#REF!,"AAAAACON+8k=")</f>
        <v>#REF!</v>
      </c>
      <c r="GU222" t="e">
        <f>AND('GA55 Entry'!T884,"AAAAACON+8o=")</f>
        <v>#VALUE!</v>
      </c>
      <c r="GV222" t="e">
        <f>AND('GA55 Entry'!U884,"AAAAACON+8s=")</f>
        <v>#VALUE!</v>
      </c>
      <c r="GW222" t="e">
        <f>AND('GA55 Entry'!V884,"AAAAACON+8w=")</f>
        <v>#VALUE!</v>
      </c>
      <c r="GX222" t="e">
        <f>AND('GA55 Entry'!#REF!,"AAAAACON+80=")</f>
        <v>#REF!</v>
      </c>
      <c r="GY222" t="e">
        <f>AND('GA55 Entry'!#REF!,"AAAAACON+84=")</f>
        <v>#REF!</v>
      </c>
      <c r="GZ222" t="e">
        <f>AND('GA55 Entry'!X884,"AAAAACON+88=")</f>
        <v>#VALUE!</v>
      </c>
      <c r="HA222" t="e">
        <f>AND('GA55 Entry'!Y884,"AAAAACON+9A=")</f>
        <v>#VALUE!</v>
      </c>
      <c r="HB222" t="e">
        <f>AND('GA55 Entry'!#REF!,"AAAAACON+9E=")</f>
        <v>#REF!</v>
      </c>
      <c r="HC222" t="e">
        <f>AND('GA55 Entry'!#REF!,"AAAAACON+9I=")</f>
        <v>#REF!</v>
      </c>
      <c r="HD222" t="e">
        <f>AND('GA55 Entry'!#REF!,"AAAAACON+9M=")</f>
        <v>#REF!</v>
      </c>
      <c r="HE222" t="e">
        <f>AND('GA55 Entry'!#REF!,"AAAAACON+9Q=")</f>
        <v>#REF!</v>
      </c>
      <c r="HF222" t="e">
        <f>AND('GA55 Entry'!#REF!,"AAAAACON+9U=")</f>
        <v>#REF!</v>
      </c>
      <c r="HG222" t="e">
        <f>AND('GA55 Entry'!#REF!,"AAAAACON+9Y=")</f>
        <v>#REF!</v>
      </c>
      <c r="HH222" t="e">
        <f>AND('GA55 Entry'!#REF!,"AAAAACON+9c=")</f>
        <v>#REF!</v>
      </c>
      <c r="HI222" t="e">
        <f>AND('GA55 Entry'!#REF!,"AAAAACON+9g=")</f>
        <v>#REF!</v>
      </c>
      <c r="HJ222" t="e">
        <f>AND('GA55 Entry'!#REF!,"AAAAACON+9k=")</f>
        <v>#REF!</v>
      </c>
      <c r="HK222" t="e">
        <f>AND('GA55 Entry'!Z884,"AAAAACON+9o=")</f>
        <v>#VALUE!</v>
      </c>
      <c r="HL222" t="e">
        <f>AND('GA55 Entry'!AA884,"AAAAACON+9s=")</f>
        <v>#VALUE!</v>
      </c>
      <c r="HM222" t="e">
        <f>AND('GA55 Entry'!#REF!,"AAAAACON+9w=")</f>
        <v>#REF!</v>
      </c>
      <c r="HN222" t="e">
        <f>AND('GA55 Entry'!#REF!,"AAAAACON+90=")</f>
        <v>#REF!</v>
      </c>
      <c r="HO222" t="e">
        <f>AND('GA55 Entry'!#REF!,"AAAAACON+94=")</f>
        <v>#REF!</v>
      </c>
      <c r="HP222" t="e">
        <f>AND('GA55 Entry'!AB884,"AAAAACON+98=")</f>
        <v>#VALUE!</v>
      </c>
      <c r="HQ222" t="e">
        <f>AND('GA55 Entry'!AC884,"AAAAACON++A=")</f>
        <v>#VALUE!</v>
      </c>
      <c r="HR222" t="e">
        <f>AND('GA55 Entry'!#REF!,"AAAAACON++E=")</f>
        <v>#REF!</v>
      </c>
      <c r="HS222">
        <f>IF('GA55 Entry'!885:885,"AAAAACON++I=",0)</f>
        <v>0</v>
      </c>
      <c r="HT222" t="e">
        <f>AND('GA55 Entry'!B885,"AAAAACON++M=")</f>
        <v>#VALUE!</v>
      </c>
      <c r="HU222" t="e">
        <f>AND('GA55 Entry'!#REF!,"AAAAACON++Q=")</f>
        <v>#REF!</v>
      </c>
      <c r="HV222" t="e">
        <f>AND('GA55 Entry'!C885,"AAAAACON++U=")</f>
        <v>#VALUE!</v>
      </c>
      <c r="HW222" t="e">
        <f>AND('GA55 Entry'!#REF!,"AAAAACON++Y=")</f>
        <v>#REF!</v>
      </c>
      <c r="HX222" t="e">
        <f>AND('GA55 Entry'!#REF!,"AAAAACON++c=")</f>
        <v>#REF!</v>
      </c>
      <c r="HY222" t="e">
        <f>AND('GA55 Entry'!#REF!,"AAAAACON++g=")</f>
        <v>#REF!</v>
      </c>
      <c r="HZ222" t="e">
        <f>AND('GA55 Entry'!#REF!,"AAAAACON++k=")</f>
        <v>#REF!</v>
      </c>
      <c r="IA222" t="e">
        <f>AND('GA55 Entry'!#REF!,"AAAAACON++o=")</f>
        <v>#REF!</v>
      </c>
      <c r="IB222" t="e">
        <f>AND('GA55 Entry'!D885,"AAAAACON++s=")</f>
        <v>#VALUE!</v>
      </c>
      <c r="IC222" t="e">
        <f>AND('GA55 Entry'!#REF!,"AAAAACON++w=")</f>
        <v>#REF!</v>
      </c>
      <c r="ID222" t="e">
        <f>AND('GA55 Entry'!E885,"AAAAACON++0=")</f>
        <v>#VALUE!</v>
      </c>
      <c r="IE222" t="e">
        <f>AND('GA55 Entry'!F885,"AAAAACON++4=")</f>
        <v>#VALUE!</v>
      </c>
      <c r="IF222" t="e">
        <f>AND('GA55 Entry'!G885,"AAAAACON++8=")</f>
        <v>#VALUE!</v>
      </c>
      <c r="IG222" t="e">
        <f>AND('GA55 Entry'!H885,"AAAAACON+/A=")</f>
        <v>#VALUE!</v>
      </c>
      <c r="IH222" t="e">
        <f>AND('GA55 Entry'!I885,"AAAAACON+/E=")</f>
        <v>#VALUE!</v>
      </c>
      <c r="II222" t="e">
        <f>AND('GA55 Entry'!J885,"AAAAACON+/I=")</f>
        <v>#VALUE!</v>
      </c>
      <c r="IJ222" t="e">
        <f>AND('GA55 Entry'!#REF!,"AAAAACON+/M=")</f>
        <v>#REF!</v>
      </c>
      <c r="IK222" t="e">
        <f>AND('GA55 Entry'!K885,"AAAAACON+/Q=")</f>
        <v>#VALUE!</v>
      </c>
      <c r="IL222" t="e">
        <f>AND('GA55 Entry'!L885,"AAAAACON+/U=")</f>
        <v>#VALUE!</v>
      </c>
      <c r="IM222" t="e">
        <f>AND('GA55 Entry'!M885,"AAAAACON+/Y=")</f>
        <v>#VALUE!</v>
      </c>
      <c r="IN222" t="e">
        <f>AND('GA55 Entry'!N885,"AAAAACON+/c=")</f>
        <v>#VALUE!</v>
      </c>
      <c r="IO222" t="e">
        <f>AND('GA55 Entry'!O885,"AAAAACON+/g=")</f>
        <v>#VALUE!</v>
      </c>
      <c r="IP222" t="e">
        <f>AND('GA55 Entry'!P885,"AAAAACON+/k=")</f>
        <v>#VALUE!</v>
      </c>
      <c r="IQ222" t="e">
        <f>AND('GA55 Entry'!Q885,"AAAAACON+/o=")</f>
        <v>#VALUE!</v>
      </c>
      <c r="IR222" t="e">
        <f>AND('GA55 Entry'!S885,"AAAAACON+/s=")</f>
        <v>#VALUE!</v>
      </c>
      <c r="IS222" t="e">
        <f>AND('GA55 Entry'!#REF!,"AAAAACON+/w=")</f>
        <v>#REF!</v>
      </c>
      <c r="IT222" t="e">
        <f>AND('GA55 Entry'!T885,"AAAAACON+/0=")</f>
        <v>#VALUE!</v>
      </c>
      <c r="IU222" t="e">
        <f>AND('GA55 Entry'!U885,"AAAAACON+/4=")</f>
        <v>#VALUE!</v>
      </c>
      <c r="IV222" t="e">
        <f>AND('GA55 Entry'!V885,"AAAAACON+/8=")</f>
        <v>#VALUE!</v>
      </c>
    </row>
    <row r="223" spans="1:256">
      <c r="A223" t="e">
        <f>AND('GA55 Entry'!#REF!,"AAAAAEf57wA=")</f>
        <v>#REF!</v>
      </c>
      <c r="B223" t="e">
        <f>AND('GA55 Entry'!#REF!,"AAAAAEf57wE=")</f>
        <v>#REF!</v>
      </c>
      <c r="C223" t="e">
        <f>AND('GA55 Entry'!X885,"AAAAAEf57wI=")</f>
        <v>#VALUE!</v>
      </c>
      <c r="D223" t="e">
        <f>AND('GA55 Entry'!Y885,"AAAAAEf57wM=")</f>
        <v>#VALUE!</v>
      </c>
      <c r="E223" t="e">
        <f>AND('GA55 Entry'!#REF!,"AAAAAEf57wQ=")</f>
        <v>#REF!</v>
      </c>
      <c r="F223" t="e">
        <f>AND('GA55 Entry'!#REF!,"AAAAAEf57wU=")</f>
        <v>#REF!</v>
      </c>
      <c r="G223" t="e">
        <f>AND('GA55 Entry'!#REF!,"AAAAAEf57wY=")</f>
        <v>#REF!</v>
      </c>
      <c r="H223" t="e">
        <f>AND('GA55 Entry'!#REF!,"AAAAAEf57wc=")</f>
        <v>#REF!</v>
      </c>
      <c r="I223" t="e">
        <f>AND('GA55 Entry'!#REF!,"AAAAAEf57wg=")</f>
        <v>#REF!</v>
      </c>
      <c r="J223" t="e">
        <f>AND('GA55 Entry'!#REF!,"AAAAAEf57wk=")</f>
        <v>#REF!</v>
      </c>
      <c r="K223" t="e">
        <f>AND('GA55 Entry'!#REF!,"AAAAAEf57wo=")</f>
        <v>#REF!</v>
      </c>
      <c r="L223" t="e">
        <f>AND('GA55 Entry'!#REF!,"AAAAAEf57ws=")</f>
        <v>#REF!</v>
      </c>
      <c r="M223" t="e">
        <f>AND('GA55 Entry'!#REF!,"AAAAAEf57ww=")</f>
        <v>#REF!</v>
      </c>
      <c r="N223" t="e">
        <f>AND('GA55 Entry'!Z885,"AAAAAEf57w0=")</f>
        <v>#VALUE!</v>
      </c>
      <c r="O223" t="e">
        <f>AND('GA55 Entry'!AA885,"AAAAAEf57w4=")</f>
        <v>#VALUE!</v>
      </c>
      <c r="P223" t="e">
        <f>AND('GA55 Entry'!#REF!,"AAAAAEf57w8=")</f>
        <v>#REF!</v>
      </c>
      <c r="Q223" t="e">
        <f>AND('GA55 Entry'!#REF!,"AAAAAEf57xA=")</f>
        <v>#REF!</v>
      </c>
      <c r="R223" t="e">
        <f>AND('GA55 Entry'!#REF!,"AAAAAEf57xE=")</f>
        <v>#REF!</v>
      </c>
      <c r="S223" t="e">
        <f>AND('GA55 Entry'!AB885,"AAAAAEf57xI=")</f>
        <v>#VALUE!</v>
      </c>
      <c r="T223" t="e">
        <f>AND('GA55 Entry'!AC885,"AAAAAEf57xM=")</f>
        <v>#VALUE!</v>
      </c>
      <c r="U223" t="e">
        <f>AND('GA55 Entry'!#REF!,"AAAAAEf57xQ=")</f>
        <v>#REF!</v>
      </c>
      <c r="V223">
        <f>IF('GA55 Entry'!886:886,"AAAAAEf57xU=",0)</f>
        <v>0</v>
      </c>
      <c r="W223" t="e">
        <f>AND('GA55 Entry'!B886,"AAAAAEf57xY=")</f>
        <v>#VALUE!</v>
      </c>
      <c r="X223" t="e">
        <f>AND('GA55 Entry'!#REF!,"AAAAAEf57xc=")</f>
        <v>#REF!</v>
      </c>
      <c r="Y223" t="e">
        <f>AND('GA55 Entry'!C886,"AAAAAEf57xg=")</f>
        <v>#VALUE!</v>
      </c>
      <c r="Z223" t="e">
        <f>AND('GA55 Entry'!#REF!,"AAAAAEf57xk=")</f>
        <v>#REF!</v>
      </c>
      <c r="AA223" t="e">
        <f>AND('GA55 Entry'!#REF!,"AAAAAEf57xo=")</f>
        <v>#REF!</v>
      </c>
      <c r="AB223" t="e">
        <f>AND('GA55 Entry'!#REF!,"AAAAAEf57xs=")</f>
        <v>#REF!</v>
      </c>
      <c r="AC223" t="e">
        <f>AND('GA55 Entry'!#REF!,"AAAAAEf57xw=")</f>
        <v>#REF!</v>
      </c>
      <c r="AD223" t="e">
        <f>AND('GA55 Entry'!#REF!,"AAAAAEf57x0=")</f>
        <v>#REF!</v>
      </c>
      <c r="AE223" t="e">
        <f>AND('GA55 Entry'!D886,"AAAAAEf57x4=")</f>
        <v>#VALUE!</v>
      </c>
      <c r="AF223" t="e">
        <f>AND('GA55 Entry'!#REF!,"AAAAAEf57x8=")</f>
        <v>#REF!</v>
      </c>
      <c r="AG223" t="e">
        <f>AND('GA55 Entry'!E886,"AAAAAEf57yA=")</f>
        <v>#VALUE!</v>
      </c>
      <c r="AH223" t="e">
        <f>AND('GA55 Entry'!F886,"AAAAAEf57yE=")</f>
        <v>#VALUE!</v>
      </c>
      <c r="AI223" t="e">
        <f>AND('GA55 Entry'!G886,"AAAAAEf57yI=")</f>
        <v>#VALUE!</v>
      </c>
      <c r="AJ223" t="e">
        <f>AND('GA55 Entry'!H886,"AAAAAEf57yM=")</f>
        <v>#VALUE!</v>
      </c>
      <c r="AK223" t="e">
        <f>AND('GA55 Entry'!I886,"AAAAAEf57yQ=")</f>
        <v>#VALUE!</v>
      </c>
      <c r="AL223" t="e">
        <f>AND('GA55 Entry'!J886,"AAAAAEf57yU=")</f>
        <v>#VALUE!</v>
      </c>
      <c r="AM223" t="e">
        <f>AND('GA55 Entry'!#REF!,"AAAAAEf57yY=")</f>
        <v>#REF!</v>
      </c>
      <c r="AN223" t="e">
        <f>AND('GA55 Entry'!K886,"AAAAAEf57yc=")</f>
        <v>#VALUE!</v>
      </c>
      <c r="AO223" t="e">
        <f>AND('GA55 Entry'!L886,"AAAAAEf57yg=")</f>
        <v>#VALUE!</v>
      </c>
      <c r="AP223" t="e">
        <f>AND('GA55 Entry'!M886,"AAAAAEf57yk=")</f>
        <v>#VALUE!</v>
      </c>
      <c r="AQ223" t="e">
        <f>AND('GA55 Entry'!N886,"AAAAAEf57yo=")</f>
        <v>#VALUE!</v>
      </c>
      <c r="AR223" t="e">
        <f>AND('GA55 Entry'!O886,"AAAAAEf57ys=")</f>
        <v>#VALUE!</v>
      </c>
      <c r="AS223" t="e">
        <f>AND('GA55 Entry'!P886,"AAAAAEf57yw=")</f>
        <v>#VALUE!</v>
      </c>
      <c r="AT223" t="e">
        <f>AND('GA55 Entry'!Q886,"AAAAAEf57y0=")</f>
        <v>#VALUE!</v>
      </c>
      <c r="AU223" t="e">
        <f>AND('GA55 Entry'!S886,"AAAAAEf57y4=")</f>
        <v>#VALUE!</v>
      </c>
      <c r="AV223" t="e">
        <f>AND('GA55 Entry'!#REF!,"AAAAAEf57y8=")</f>
        <v>#REF!</v>
      </c>
      <c r="AW223" t="e">
        <f>AND('GA55 Entry'!T886,"AAAAAEf57zA=")</f>
        <v>#VALUE!</v>
      </c>
      <c r="AX223" t="e">
        <f>AND('GA55 Entry'!U886,"AAAAAEf57zE=")</f>
        <v>#VALUE!</v>
      </c>
      <c r="AY223" t="e">
        <f>AND('GA55 Entry'!V886,"AAAAAEf57zI=")</f>
        <v>#VALUE!</v>
      </c>
      <c r="AZ223" t="e">
        <f>AND('GA55 Entry'!#REF!,"AAAAAEf57zM=")</f>
        <v>#REF!</v>
      </c>
      <c r="BA223" t="e">
        <f>AND('GA55 Entry'!#REF!,"AAAAAEf57zQ=")</f>
        <v>#REF!</v>
      </c>
      <c r="BB223" t="e">
        <f>AND('GA55 Entry'!X886,"AAAAAEf57zU=")</f>
        <v>#VALUE!</v>
      </c>
      <c r="BC223" t="e">
        <f>AND('GA55 Entry'!Y886,"AAAAAEf57zY=")</f>
        <v>#VALUE!</v>
      </c>
      <c r="BD223" t="e">
        <f>AND('GA55 Entry'!#REF!,"AAAAAEf57zc=")</f>
        <v>#REF!</v>
      </c>
      <c r="BE223" t="e">
        <f>AND('GA55 Entry'!#REF!,"AAAAAEf57zg=")</f>
        <v>#REF!</v>
      </c>
      <c r="BF223" t="e">
        <f>AND('GA55 Entry'!#REF!,"AAAAAEf57zk=")</f>
        <v>#REF!</v>
      </c>
      <c r="BG223" t="e">
        <f>AND('GA55 Entry'!#REF!,"AAAAAEf57zo=")</f>
        <v>#REF!</v>
      </c>
      <c r="BH223" t="e">
        <f>AND('GA55 Entry'!#REF!,"AAAAAEf57zs=")</f>
        <v>#REF!</v>
      </c>
      <c r="BI223" t="e">
        <f>AND('GA55 Entry'!#REF!,"AAAAAEf57zw=")</f>
        <v>#REF!</v>
      </c>
      <c r="BJ223" t="e">
        <f>AND('GA55 Entry'!#REF!,"AAAAAEf57z0=")</f>
        <v>#REF!</v>
      </c>
      <c r="BK223" t="e">
        <f>AND('GA55 Entry'!#REF!,"AAAAAEf57z4=")</f>
        <v>#REF!</v>
      </c>
      <c r="BL223" t="e">
        <f>AND('GA55 Entry'!#REF!,"AAAAAEf57z8=")</f>
        <v>#REF!</v>
      </c>
      <c r="BM223" t="e">
        <f>AND('GA55 Entry'!Z886,"AAAAAEf570A=")</f>
        <v>#VALUE!</v>
      </c>
      <c r="BN223" t="e">
        <f>AND('GA55 Entry'!AA886,"AAAAAEf570E=")</f>
        <v>#VALUE!</v>
      </c>
      <c r="BO223" t="e">
        <f>AND('GA55 Entry'!#REF!,"AAAAAEf570I=")</f>
        <v>#REF!</v>
      </c>
      <c r="BP223" t="e">
        <f>AND('GA55 Entry'!#REF!,"AAAAAEf570M=")</f>
        <v>#REF!</v>
      </c>
      <c r="BQ223" t="e">
        <f>AND('GA55 Entry'!#REF!,"AAAAAEf570Q=")</f>
        <v>#REF!</v>
      </c>
      <c r="BR223" t="e">
        <f>AND('GA55 Entry'!AB886,"AAAAAEf570U=")</f>
        <v>#VALUE!</v>
      </c>
      <c r="BS223" t="e">
        <f>AND('GA55 Entry'!AC886,"AAAAAEf570Y=")</f>
        <v>#VALUE!</v>
      </c>
      <c r="BT223" t="e">
        <f>AND('GA55 Entry'!#REF!,"AAAAAEf570c=")</f>
        <v>#REF!</v>
      </c>
      <c r="BU223">
        <f>IF('GA55 Entry'!887:887,"AAAAAEf570g=",0)</f>
        <v>0</v>
      </c>
      <c r="BV223" t="e">
        <f>AND('GA55 Entry'!B887,"AAAAAEf570k=")</f>
        <v>#VALUE!</v>
      </c>
      <c r="BW223" t="e">
        <f>AND('GA55 Entry'!#REF!,"AAAAAEf570o=")</f>
        <v>#REF!</v>
      </c>
      <c r="BX223" t="e">
        <f>AND('GA55 Entry'!C887,"AAAAAEf570s=")</f>
        <v>#VALUE!</v>
      </c>
      <c r="BY223" t="e">
        <f>AND('GA55 Entry'!#REF!,"AAAAAEf570w=")</f>
        <v>#REF!</v>
      </c>
      <c r="BZ223" t="e">
        <f>AND('GA55 Entry'!#REF!,"AAAAAEf5700=")</f>
        <v>#REF!</v>
      </c>
      <c r="CA223" t="e">
        <f>AND('GA55 Entry'!#REF!,"AAAAAEf5704=")</f>
        <v>#REF!</v>
      </c>
      <c r="CB223" t="e">
        <f>AND('GA55 Entry'!#REF!,"AAAAAEf5708=")</f>
        <v>#REF!</v>
      </c>
      <c r="CC223" t="e">
        <f>AND('GA55 Entry'!#REF!,"AAAAAEf571A=")</f>
        <v>#REF!</v>
      </c>
      <c r="CD223" t="e">
        <f>AND('GA55 Entry'!D887,"AAAAAEf571E=")</f>
        <v>#VALUE!</v>
      </c>
      <c r="CE223" t="e">
        <f>AND('GA55 Entry'!#REF!,"AAAAAEf571I=")</f>
        <v>#REF!</v>
      </c>
      <c r="CF223" t="e">
        <f>AND('GA55 Entry'!E887,"AAAAAEf571M=")</f>
        <v>#VALUE!</v>
      </c>
      <c r="CG223" t="e">
        <f>AND('GA55 Entry'!F887,"AAAAAEf571Q=")</f>
        <v>#VALUE!</v>
      </c>
      <c r="CH223" t="e">
        <f>AND('GA55 Entry'!G887,"AAAAAEf571U=")</f>
        <v>#VALUE!</v>
      </c>
      <c r="CI223" t="e">
        <f>AND('GA55 Entry'!H887,"AAAAAEf571Y=")</f>
        <v>#VALUE!</v>
      </c>
      <c r="CJ223" t="e">
        <f>AND('GA55 Entry'!I887,"AAAAAEf571c=")</f>
        <v>#VALUE!</v>
      </c>
      <c r="CK223" t="e">
        <f>AND('GA55 Entry'!J887,"AAAAAEf571g=")</f>
        <v>#VALUE!</v>
      </c>
      <c r="CL223" t="e">
        <f>AND('GA55 Entry'!#REF!,"AAAAAEf571k=")</f>
        <v>#REF!</v>
      </c>
      <c r="CM223" t="e">
        <f>AND('GA55 Entry'!K887,"AAAAAEf571o=")</f>
        <v>#VALUE!</v>
      </c>
      <c r="CN223" t="e">
        <f>AND('GA55 Entry'!L887,"AAAAAEf571s=")</f>
        <v>#VALUE!</v>
      </c>
      <c r="CO223" t="e">
        <f>AND('GA55 Entry'!M887,"AAAAAEf571w=")</f>
        <v>#VALUE!</v>
      </c>
      <c r="CP223" t="e">
        <f>AND('GA55 Entry'!N887,"AAAAAEf5710=")</f>
        <v>#VALUE!</v>
      </c>
      <c r="CQ223" t="e">
        <f>AND('GA55 Entry'!O887,"AAAAAEf5714=")</f>
        <v>#VALUE!</v>
      </c>
      <c r="CR223" t="e">
        <f>AND('GA55 Entry'!P887,"AAAAAEf5718=")</f>
        <v>#VALUE!</v>
      </c>
      <c r="CS223" t="e">
        <f>AND('GA55 Entry'!Q887,"AAAAAEf572A=")</f>
        <v>#VALUE!</v>
      </c>
      <c r="CT223" t="e">
        <f>AND('GA55 Entry'!S887,"AAAAAEf572E=")</f>
        <v>#VALUE!</v>
      </c>
      <c r="CU223" t="e">
        <f>AND('GA55 Entry'!#REF!,"AAAAAEf572I=")</f>
        <v>#REF!</v>
      </c>
      <c r="CV223" t="e">
        <f>AND('GA55 Entry'!T887,"AAAAAEf572M=")</f>
        <v>#VALUE!</v>
      </c>
      <c r="CW223" t="e">
        <f>AND('GA55 Entry'!U887,"AAAAAEf572Q=")</f>
        <v>#VALUE!</v>
      </c>
      <c r="CX223" t="e">
        <f>AND('GA55 Entry'!V887,"AAAAAEf572U=")</f>
        <v>#VALUE!</v>
      </c>
      <c r="CY223" t="e">
        <f>AND('GA55 Entry'!#REF!,"AAAAAEf572Y=")</f>
        <v>#REF!</v>
      </c>
      <c r="CZ223" t="e">
        <f>AND('GA55 Entry'!#REF!,"AAAAAEf572c=")</f>
        <v>#REF!</v>
      </c>
      <c r="DA223" t="e">
        <f>AND('GA55 Entry'!X887,"AAAAAEf572g=")</f>
        <v>#VALUE!</v>
      </c>
      <c r="DB223" t="e">
        <f>AND('GA55 Entry'!Y887,"AAAAAEf572k=")</f>
        <v>#VALUE!</v>
      </c>
      <c r="DC223" t="e">
        <f>AND('GA55 Entry'!#REF!,"AAAAAEf572o=")</f>
        <v>#REF!</v>
      </c>
      <c r="DD223" t="e">
        <f>AND('GA55 Entry'!#REF!,"AAAAAEf572s=")</f>
        <v>#REF!</v>
      </c>
      <c r="DE223" t="e">
        <f>AND('GA55 Entry'!#REF!,"AAAAAEf572w=")</f>
        <v>#REF!</v>
      </c>
      <c r="DF223" t="e">
        <f>AND('GA55 Entry'!#REF!,"AAAAAEf5720=")</f>
        <v>#REF!</v>
      </c>
      <c r="DG223" t="e">
        <f>AND('GA55 Entry'!#REF!,"AAAAAEf5724=")</f>
        <v>#REF!</v>
      </c>
      <c r="DH223" t="e">
        <f>AND('GA55 Entry'!#REF!,"AAAAAEf5728=")</f>
        <v>#REF!</v>
      </c>
      <c r="DI223" t="e">
        <f>AND('GA55 Entry'!#REF!,"AAAAAEf573A=")</f>
        <v>#REF!</v>
      </c>
      <c r="DJ223" t="e">
        <f>AND('GA55 Entry'!#REF!,"AAAAAEf573E=")</f>
        <v>#REF!</v>
      </c>
      <c r="DK223" t="e">
        <f>AND('GA55 Entry'!#REF!,"AAAAAEf573I=")</f>
        <v>#REF!</v>
      </c>
      <c r="DL223" t="e">
        <f>AND('GA55 Entry'!Z887,"AAAAAEf573M=")</f>
        <v>#VALUE!</v>
      </c>
      <c r="DM223" t="e">
        <f>AND('GA55 Entry'!AA887,"AAAAAEf573Q=")</f>
        <v>#VALUE!</v>
      </c>
      <c r="DN223" t="e">
        <f>AND('GA55 Entry'!#REF!,"AAAAAEf573U=")</f>
        <v>#REF!</v>
      </c>
      <c r="DO223" t="e">
        <f>AND('GA55 Entry'!#REF!,"AAAAAEf573Y=")</f>
        <v>#REF!</v>
      </c>
      <c r="DP223" t="e">
        <f>AND('GA55 Entry'!#REF!,"AAAAAEf573c=")</f>
        <v>#REF!</v>
      </c>
      <c r="DQ223" t="e">
        <f>AND('GA55 Entry'!AB887,"AAAAAEf573g=")</f>
        <v>#VALUE!</v>
      </c>
      <c r="DR223" t="e">
        <f>AND('GA55 Entry'!AC887,"AAAAAEf573k=")</f>
        <v>#VALUE!</v>
      </c>
      <c r="DS223" t="e">
        <f>AND('GA55 Entry'!#REF!,"AAAAAEf573o=")</f>
        <v>#REF!</v>
      </c>
      <c r="DT223">
        <f>IF('GA55 Entry'!888:888,"AAAAAEf573s=",0)</f>
        <v>0</v>
      </c>
      <c r="DU223" t="e">
        <f>AND('GA55 Entry'!B888,"AAAAAEf573w=")</f>
        <v>#VALUE!</v>
      </c>
      <c r="DV223" t="e">
        <f>AND('GA55 Entry'!#REF!,"AAAAAEf5730=")</f>
        <v>#REF!</v>
      </c>
      <c r="DW223" t="e">
        <f>AND('GA55 Entry'!C888,"AAAAAEf5734=")</f>
        <v>#VALUE!</v>
      </c>
      <c r="DX223" t="e">
        <f>AND('GA55 Entry'!#REF!,"AAAAAEf5738=")</f>
        <v>#REF!</v>
      </c>
      <c r="DY223" t="e">
        <f>AND('GA55 Entry'!#REF!,"AAAAAEf574A=")</f>
        <v>#REF!</v>
      </c>
      <c r="DZ223" t="e">
        <f>AND('GA55 Entry'!#REF!,"AAAAAEf574E=")</f>
        <v>#REF!</v>
      </c>
      <c r="EA223" t="e">
        <f>AND('GA55 Entry'!#REF!,"AAAAAEf574I=")</f>
        <v>#REF!</v>
      </c>
      <c r="EB223" t="e">
        <f>AND('GA55 Entry'!#REF!,"AAAAAEf574M=")</f>
        <v>#REF!</v>
      </c>
      <c r="EC223" t="e">
        <f>AND('GA55 Entry'!D888,"AAAAAEf574Q=")</f>
        <v>#VALUE!</v>
      </c>
      <c r="ED223" t="e">
        <f>AND('GA55 Entry'!#REF!,"AAAAAEf574U=")</f>
        <v>#REF!</v>
      </c>
      <c r="EE223" t="e">
        <f>AND('GA55 Entry'!E888,"AAAAAEf574Y=")</f>
        <v>#VALUE!</v>
      </c>
      <c r="EF223" t="e">
        <f>AND('GA55 Entry'!F888,"AAAAAEf574c=")</f>
        <v>#VALUE!</v>
      </c>
      <c r="EG223" t="e">
        <f>AND('GA55 Entry'!G888,"AAAAAEf574g=")</f>
        <v>#VALUE!</v>
      </c>
      <c r="EH223" t="e">
        <f>AND('GA55 Entry'!H888,"AAAAAEf574k=")</f>
        <v>#VALUE!</v>
      </c>
      <c r="EI223" t="e">
        <f>AND('GA55 Entry'!I888,"AAAAAEf574o=")</f>
        <v>#VALUE!</v>
      </c>
      <c r="EJ223" t="e">
        <f>AND('GA55 Entry'!J888,"AAAAAEf574s=")</f>
        <v>#VALUE!</v>
      </c>
      <c r="EK223" t="e">
        <f>AND('GA55 Entry'!#REF!,"AAAAAEf574w=")</f>
        <v>#REF!</v>
      </c>
      <c r="EL223" t="e">
        <f>AND('GA55 Entry'!K888,"AAAAAEf5740=")</f>
        <v>#VALUE!</v>
      </c>
      <c r="EM223" t="e">
        <f>AND('GA55 Entry'!L888,"AAAAAEf5744=")</f>
        <v>#VALUE!</v>
      </c>
      <c r="EN223" t="e">
        <f>AND('GA55 Entry'!M888,"AAAAAEf5748=")</f>
        <v>#VALUE!</v>
      </c>
      <c r="EO223" t="e">
        <f>AND('GA55 Entry'!N888,"AAAAAEf575A=")</f>
        <v>#VALUE!</v>
      </c>
      <c r="EP223" t="e">
        <f>AND('GA55 Entry'!O888,"AAAAAEf575E=")</f>
        <v>#VALUE!</v>
      </c>
      <c r="EQ223" t="e">
        <f>AND('GA55 Entry'!P888,"AAAAAEf575I=")</f>
        <v>#VALUE!</v>
      </c>
      <c r="ER223" t="e">
        <f>AND('GA55 Entry'!Q888,"AAAAAEf575M=")</f>
        <v>#VALUE!</v>
      </c>
      <c r="ES223" t="e">
        <f>AND('GA55 Entry'!S888,"AAAAAEf575Q=")</f>
        <v>#VALUE!</v>
      </c>
      <c r="ET223" t="e">
        <f>AND('GA55 Entry'!#REF!,"AAAAAEf575U=")</f>
        <v>#REF!</v>
      </c>
      <c r="EU223" t="e">
        <f>AND('GA55 Entry'!T888,"AAAAAEf575Y=")</f>
        <v>#VALUE!</v>
      </c>
      <c r="EV223" t="e">
        <f>AND('GA55 Entry'!U888,"AAAAAEf575c=")</f>
        <v>#VALUE!</v>
      </c>
      <c r="EW223" t="e">
        <f>AND('GA55 Entry'!V888,"AAAAAEf575g=")</f>
        <v>#VALUE!</v>
      </c>
      <c r="EX223" t="e">
        <f>AND('GA55 Entry'!#REF!,"AAAAAEf575k=")</f>
        <v>#REF!</v>
      </c>
      <c r="EY223" t="e">
        <f>AND('GA55 Entry'!#REF!,"AAAAAEf575o=")</f>
        <v>#REF!</v>
      </c>
      <c r="EZ223" t="e">
        <f>AND('GA55 Entry'!X888,"AAAAAEf575s=")</f>
        <v>#VALUE!</v>
      </c>
      <c r="FA223" t="e">
        <f>AND('GA55 Entry'!Y888,"AAAAAEf575w=")</f>
        <v>#VALUE!</v>
      </c>
      <c r="FB223" t="e">
        <f>AND('GA55 Entry'!#REF!,"AAAAAEf5750=")</f>
        <v>#REF!</v>
      </c>
      <c r="FC223" t="e">
        <f>AND('GA55 Entry'!#REF!,"AAAAAEf5754=")</f>
        <v>#REF!</v>
      </c>
      <c r="FD223" t="e">
        <f>AND('GA55 Entry'!#REF!,"AAAAAEf5758=")</f>
        <v>#REF!</v>
      </c>
      <c r="FE223" t="e">
        <f>AND('GA55 Entry'!#REF!,"AAAAAEf576A=")</f>
        <v>#REF!</v>
      </c>
      <c r="FF223" t="e">
        <f>AND('GA55 Entry'!#REF!,"AAAAAEf576E=")</f>
        <v>#REF!</v>
      </c>
      <c r="FG223" t="e">
        <f>AND('GA55 Entry'!#REF!,"AAAAAEf576I=")</f>
        <v>#REF!</v>
      </c>
      <c r="FH223" t="e">
        <f>AND('GA55 Entry'!#REF!,"AAAAAEf576M=")</f>
        <v>#REF!</v>
      </c>
      <c r="FI223" t="e">
        <f>AND('GA55 Entry'!#REF!,"AAAAAEf576Q=")</f>
        <v>#REF!</v>
      </c>
      <c r="FJ223" t="e">
        <f>AND('GA55 Entry'!#REF!,"AAAAAEf576U=")</f>
        <v>#REF!</v>
      </c>
      <c r="FK223" t="e">
        <f>AND('GA55 Entry'!Z888,"AAAAAEf576Y=")</f>
        <v>#VALUE!</v>
      </c>
      <c r="FL223" t="e">
        <f>AND('GA55 Entry'!AA888,"AAAAAEf576c=")</f>
        <v>#VALUE!</v>
      </c>
      <c r="FM223" t="e">
        <f>AND('GA55 Entry'!#REF!,"AAAAAEf576g=")</f>
        <v>#REF!</v>
      </c>
      <c r="FN223" t="e">
        <f>AND('GA55 Entry'!#REF!,"AAAAAEf576k=")</f>
        <v>#REF!</v>
      </c>
      <c r="FO223" t="e">
        <f>AND('GA55 Entry'!#REF!,"AAAAAEf576o=")</f>
        <v>#REF!</v>
      </c>
      <c r="FP223" t="e">
        <f>AND('GA55 Entry'!AB888,"AAAAAEf576s=")</f>
        <v>#VALUE!</v>
      </c>
      <c r="FQ223" t="e">
        <f>AND('GA55 Entry'!AC888,"AAAAAEf576w=")</f>
        <v>#VALUE!</v>
      </c>
      <c r="FR223" t="e">
        <f>AND('GA55 Entry'!#REF!,"AAAAAEf5760=")</f>
        <v>#REF!</v>
      </c>
      <c r="FS223">
        <f>IF('GA55 Entry'!889:889,"AAAAAEf5764=",0)</f>
        <v>0</v>
      </c>
      <c r="FT223" t="e">
        <f>AND('GA55 Entry'!B889,"AAAAAEf5768=")</f>
        <v>#VALUE!</v>
      </c>
      <c r="FU223" t="e">
        <f>AND('GA55 Entry'!#REF!,"AAAAAEf577A=")</f>
        <v>#REF!</v>
      </c>
      <c r="FV223" t="e">
        <f>AND('GA55 Entry'!C889,"AAAAAEf577E=")</f>
        <v>#VALUE!</v>
      </c>
      <c r="FW223" t="e">
        <f>AND('GA55 Entry'!#REF!,"AAAAAEf577I=")</f>
        <v>#REF!</v>
      </c>
      <c r="FX223" t="e">
        <f>AND('GA55 Entry'!#REF!,"AAAAAEf577M=")</f>
        <v>#REF!</v>
      </c>
      <c r="FY223" t="e">
        <f>AND('GA55 Entry'!#REF!,"AAAAAEf577Q=")</f>
        <v>#REF!</v>
      </c>
      <c r="FZ223" t="e">
        <f>AND('GA55 Entry'!#REF!,"AAAAAEf577U=")</f>
        <v>#REF!</v>
      </c>
      <c r="GA223" t="e">
        <f>AND('GA55 Entry'!#REF!,"AAAAAEf577Y=")</f>
        <v>#REF!</v>
      </c>
      <c r="GB223" t="e">
        <f>AND('GA55 Entry'!D889,"AAAAAEf577c=")</f>
        <v>#VALUE!</v>
      </c>
      <c r="GC223" t="e">
        <f>AND('GA55 Entry'!#REF!,"AAAAAEf577g=")</f>
        <v>#REF!</v>
      </c>
      <c r="GD223" t="e">
        <f>AND('GA55 Entry'!E889,"AAAAAEf577k=")</f>
        <v>#VALUE!</v>
      </c>
      <c r="GE223" t="e">
        <f>AND('GA55 Entry'!F889,"AAAAAEf577o=")</f>
        <v>#VALUE!</v>
      </c>
      <c r="GF223" t="e">
        <f>AND('GA55 Entry'!G889,"AAAAAEf577s=")</f>
        <v>#VALUE!</v>
      </c>
      <c r="GG223" t="e">
        <f>AND('GA55 Entry'!H889,"AAAAAEf577w=")</f>
        <v>#VALUE!</v>
      </c>
      <c r="GH223" t="e">
        <f>AND('GA55 Entry'!I889,"AAAAAEf5770=")</f>
        <v>#VALUE!</v>
      </c>
      <c r="GI223" t="e">
        <f>AND('GA55 Entry'!J889,"AAAAAEf5774=")</f>
        <v>#VALUE!</v>
      </c>
      <c r="GJ223" t="e">
        <f>AND('GA55 Entry'!#REF!,"AAAAAEf5778=")</f>
        <v>#REF!</v>
      </c>
      <c r="GK223" t="e">
        <f>AND('GA55 Entry'!K889,"AAAAAEf578A=")</f>
        <v>#VALUE!</v>
      </c>
      <c r="GL223" t="e">
        <f>AND('GA55 Entry'!L889,"AAAAAEf578E=")</f>
        <v>#VALUE!</v>
      </c>
      <c r="GM223" t="e">
        <f>AND('GA55 Entry'!M889,"AAAAAEf578I=")</f>
        <v>#VALUE!</v>
      </c>
      <c r="GN223" t="e">
        <f>AND('GA55 Entry'!N889,"AAAAAEf578M=")</f>
        <v>#VALUE!</v>
      </c>
      <c r="GO223" t="e">
        <f>AND('GA55 Entry'!O889,"AAAAAEf578Q=")</f>
        <v>#VALUE!</v>
      </c>
      <c r="GP223" t="e">
        <f>AND('GA55 Entry'!P889,"AAAAAEf578U=")</f>
        <v>#VALUE!</v>
      </c>
      <c r="GQ223" t="e">
        <f>AND('GA55 Entry'!Q889,"AAAAAEf578Y=")</f>
        <v>#VALUE!</v>
      </c>
      <c r="GR223" t="e">
        <f>AND('GA55 Entry'!S889,"AAAAAEf578c=")</f>
        <v>#VALUE!</v>
      </c>
      <c r="GS223" t="e">
        <f>AND('GA55 Entry'!#REF!,"AAAAAEf578g=")</f>
        <v>#REF!</v>
      </c>
      <c r="GT223" t="e">
        <f>AND('GA55 Entry'!T889,"AAAAAEf578k=")</f>
        <v>#VALUE!</v>
      </c>
      <c r="GU223" t="e">
        <f>AND('GA55 Entry'!U889,"AAAAAEf578o=")</f>
        <v>#VALUE!</v>
      </c>
      <c r="GV223" t="e">
        <f>AND('GA55 Entry'!V889,"AAAAAEf578s=")</f>
        <v>#VALUE!</v>
      </c>
      <c r="GW223" t="e">
        <f>AND('GA55 Entry'!#REF!,"AAAAAEf578w=")</f>
        <v>#REF!</v>
      </c>
      <c r="GX223" t="e">
        <f>AND('GA55 Entry'!#REF!,"AAAAAEf5780=")</f>
        <v>#REF!</v>
      </c>
      <c r="GY223" t="e">
        <f>AND('GA55 Entry'!X889,"AAAAAEf5784=")</f>
        <v>#VALUE!</v>
      </c>
      <c r="GZ223" t="e">
        <f>AND('GA55 Entry'!Y889,"AAAAAEf5788=")</f>
        <v>#VALUE!</v>
      </c>
      <c r="HA223" t="e">
        <f>AND('GA55 Entry'!#REF!,"AAAAAEf579A=")</f>
        <v>#REF!</v>
      </c>
      <c r="HB223" t="e">
        <f>AND('GA55 Entry'!#REF!,"AAAAAEf579E=")</f>
        <v>#REF!</v>
      </c>
      <c r="HC223" t="e">
        <f>AND('GA55 Entry'!#REF!,"AAAAAEf579I=")</f>
        <v>#REF!</v>
      </c>
      <c r="HD223" t="e">
        <f>AND('GA55 Entry'!#REF!,"AAAAAEf579M=")</f>
        <v>#REF!</v>
      </c>
      <c r="HE223" t="e">
        <f>AND('GA55 Entry'!#REF!,"AAAAAEf579Q=")</f>
        <v>#REF!</v>
      </c>
      <c r="HF223" t="e">
        <f>AND('GA55 Entry'!#REF!,"AAAAAEf579U=")</f>
        <v>#REF!</v>
      </c>
      <c r="HG223" t="e">
        <f>AND('GA55 Entry'!#REF!,"AAAAAEf579Y=")</f>
        <v>#REF!</v>
      </c>
      <c r="HH223" t="e">
        <f>AND('GA55 Entry'!#REF!,"AAAAAEf579c=")</f>
        <v>#REF!</v>
      </c>
      <c r="HI223" t="e">
        <f>AND('GA55 Entry'!#REF!,"AAAAAEf579g=")</f>
        <v>#REF!</v>
      </c>
      <c r="HJ223" t="e">
        <f>AND('GA55 Entry'!Z889,"AAAAAEf579k=")</f>
        <v>#VALUE!</v>
      </c>
      <c r="HK223" t="e">
        <f>AND('GA55 Entry'!AA889,"AAAAAEf579o=")</f>
        <v>#VALUE!</v>
      </c>
      <c r="HL223" t="e">
        <f>AND('GA55 Entry'!#REF!,"AAAAAEf579s=")</f>
        <v>#REF!</v>
      </c>
      <c r="HM223" t="e">
        <f>AND('GA55 Entry'!#REF!,"AAAAAEf579w=")</f>
        <v>#REF!</v>
      </c>
      <c r="HN223" t="e">
        <f>AND('GA55 Entry'!#REF!,"AAAAAEf5790=")</f>
        <v>#REF!</v>
      </c>
      <c r="HO223" t="e">
        <f>AND('GA55 Entry'!AB889,"AAAAAEf5794=")</f>
        <v>#VALUE!</v>
      </c>
      <c r="HP223" t="e">
        <f>AND('GA55 Entry'!AC889,"AAAAAEf5798=")</f>
        <v>#VALUE!</v>
      </c>
      <c r="HQ223" t="e">
        <f>AND('GA55 Entry'!#REF!,"AAAAAEf57+A=")</f>
        <v>#REF!</v>
      </c>
      <c r="HR223">
        <f>IF('GA55 Entry'!890:890,"AAAAAEf57+E=",0)</f>
        <v>0</v>
      </c>
      <c r="HS223" t="e">
        <f>AND('GA55 Entry'!B890,"AAAAAEf57+I=")</f>
        <v>#VALUE!</v>
      </c>
      <c r="HT223" t="e">
        <f>AND('GA55 Entry'!#REF!,"AAAAAEf57+M=")</f>
        <v>#REF!</v>
      </c>
      <c r="HU223" t="e">
        <f>AND('GA55 Entry'!C890,"AAAAAEf57+Q=")</f>
        <v>#VALUE!</v>
      </c>
      <c r="HV223" t="e">
        <f>AND('GA55 Entry'!#REF!,"AAAAAEf57+U=")</f>
        <v>#REF!</v>
      </c>
      <c r="HW223" t="e">
        <f>AND('GA55 Entry'!#REF!,"AAAAAEf57+Y=")</f>
        <v>#REF!</v>
      </c>
      <c r="HX223" t="e">
        <f>AND('GA55 Entry'!#REF!,"AAAAAEf57+c=")</f>
        <v>#REF!</v>
      </c>
      <c r="HY223" t="e">
        <f>AND('GA55 Entry'!#REF!,"AAAAAEf57+g=")</f>
        <v>#REF!</v>
      </c>
      <c r="HZ223" t="e">
        <f>AND('GA55 Entry'!#REF!,"AAAAAEf57+k=")</f>
        <v>#REF!</v>
      </c>
      <c r="IA223" t="e">
        <f>AND('GA55 Entry'!D890,"AAAAAEf57+o=")</f>
        <v>#VALUE!</v>
      </c>
      <c r="IB223" t="e">
        <f>AND('GA55 Entry'!#REF!,"AAAAAEf57+s=")</f>
        <v>#REF!</v>
      </c>
      <c r="IC223" t="e">
        <f>AND('GA55 Entry'!E890,"AAAAAEf57+w=")</f>
        <v>#VALUE!</v>
      </c>
      <c r="ID223" t="e">
        <f>AND('GA55 Entry'!F890,"AAAAAEf57+0=")</f>
        <v>#VALUE!</v>
      </c>
      <c r="IE223" t="e">
        <f>AND('GA55 Entry'!G890,"AAAAAEf57+4=")</f>
        <v>#VALUE!</v>
      </c>
      <c r="IF223" t="e">
        <f>AND('GA55 Entry'!H890,"AAAAAEf57+8=")</f>
        <v>#VALUE!</v>
      </c>
      <c r="IG223" t="e">
        <f>AND('GA55 Entry'!I890,"AAAAAEf57/A=")</f>
        <v>#VALUE!</v>
      </c>
      <c r="IH223" t="e">
        <f>AND('GA55 Entry'!J890,"AAAAAEf57/E=")</f>
        <v>#VALUE!</v>
      </c>
      <c r="II223" t="e">
        <f>AND('GA55 Entry'!#REF!,"AAAAAEf57/I=")</f>
        <v>#REF!</v>
      </c>
      <c r="IJ223" t="e">
        <f>AND('GA55 Entry'!K890,"AAAAAEf57/M=")</f>
        <v>#VALUE!</v>
      </c>
      <c r="IK223" t="e">
        <f>AND('GA55 Entry'!L890,"AAAAAEf57/Q=")</f>
        <v>#VALUE!</v>
      </c>
      <c r="IL223" t="e">
        <f>AND('GA55 Entry'!M890,"AAAAAEf57/U=")</f>
        <v>#VALUE!</v>
      </c>
      <c r="IM223" t="e">
        <f>AND('GA55 Entry'!N890,"AAAAAEf57/Y=")</f>
        <v>#VALUE!</v>
      </c>
      <c r="IN223" t="e">
        <f>AND('GA55 Entry'!O890,"AAAAAEf57/c=")</f>
        <v>#VALUE!</v>
      </c>
      <c r="IO223" t="e">
        <f>AND('GA55 Entry'!P890,"AAAAAEf57/g=")</f>
        <v>#VALUE!</v>
      </c>
      <c r="IP223" t="e">
        <f>AND('GA55 Entry'!Q890,"AAAAAEf57/k=")</f>
        <v>#VALUE!</v>
      </c>
      <c r="IQ223" t="e">
        <f>AND('GA55 Entry'!S890,"AAAAAEf57/o=")</f>
        <v>#VALUE!</v>
      </c>
      <c r="IR223" t="e">
        <f>AND('GA55 Entry'!#REF!,"AAAAAEf57/s=")</f>
        <v>#REF!</v>
      </c>
      <c r="IS223" t="e">
        <f>AND('GA55 Entry'!T890,"AAAAAEf57/w=")</f>
        <v>#VALUE!</v>
      </c>
      <c r="IT223" t="e">
        <f>AND('GA55 Entry'!U890,"AAAAAEf57/0=")</f>
        <v>#VALUE!</v>
      </c>
      <c r="IU223" t="e">
        <f>AND('GA55 Entry'!V890,"AAAAAEf57/4=")</f>
        <v>#VALUE!</v>
      </c>
      <c r="IV223" t="e">
        <f>AND('GA55 Entry'!#REF!,"AAAAAEf57/8=")</f>
        <v>#REF!</v>
      </c>
    </row>
    <row r="224" spans="1:256">
      <c r="A224" t="e">
        <f>AND('GA55 Entry'!#REF!,"AAAAAHu0TwA=")</f>
        <v>#REF!</v>
      </c>
      <c r="B224" t="e">
        <f>AND('GA55 Entry'!X890,"AAAAAHu0TwE=")</f>
        <v>#VALUE!</v>
      </c>
      <c r="C224" t="e">
        <f>AND('GA55 Entry'!Y890,"AAAAAHu0TwI=")</f>
        <v>#VALUE!</v>
      </c>
      <c r="D224" t="e">
        <f>AND('GA55 Entry'!#REF!,"AAAAAHu0TwM=")</f>
        <v>#REF!</v>
      </c>
      <c r="E224" t="e">
        <f>AND('GA55 Entry'!#REF!,"AAAAAHu0TwQ=")</f>
        <v>#REF!</v>
      </c>
      <c r="F224" t="e">
        <f>AND('GA55 Entry'!#REF!,"AAAAAHu0TwU=")</f>
        <v>#REF!</v>
      </c>
      <c r="G224" t="e">
        <f>AND('GA55 Entry'!#REF!,"AAAAAHu0TwY=")</f>
        <v>#REF!</v>
      </c>
      <c r="H224" t="e">
        <f>AND('GA55 Entry'!#REF!,"AAAAAHu0Twc=")</f>
        <v>#REF!</v>
      </c>
      <c r="I224" t="e">
        <f>AND('GA55 Entry'!#REF!,"AAAAAHu0Twg=")</f>
        <v>#REF!</v>
      </c>
      <c r="J224" t="e">
        <f>AND('GA55 Entry'!#REF!,"AAAAAHu0Twk=")</f>
        <v>#REF!</v>
      </c>
      <c r="K224" t="e">
        <f>AND('GA55 Entry'!#REF!,"AAAAAHu0Two=")</f>
        <v>#REF!</v>
      </c>
      <c r="L224" t="e">
        <f>AND('GA55 Entry'!#REF!,"AAAAAHu0Tws=")</f>
        <v>#REF!</v>
      </c>
      <c r="M224" t="e">
        <f>AND('GA55 Entry'!Z890,"AAAAAHu0Tww=")</f>
        <v>#VALUE!</v>
      </c>
      <c r="N224" t="e">
        <f>AND('GA55 Entry'!AA890,"AAAAAHu0Tw0=")</f>
        <v>#VALUE!</v>
      </c>
      <c r="O224" t="e">
        <f>AND('GA55 Entry'!#REF!,"AAAAAHu0Tw4=")</f>
        <v>#REF!</v>
      </c>
      <c r="P224" t="e">
        <f>AND('GA55 Entry'!#REF!,"AAAAAHu0Tw8=")</f>
        <v>#REF!</v>
      </c>
      <c r="Q224" t="e">
        <f>AND('GA55 Entry'!#REF!,"AAAAAHu0TxA=")</f>
        <v>#REF!</v>
      </c>
      <c r="R224" t="e">
        <f>AND('GA55 Entry'!AB890,"AAAAAHu0TxE=")</f>
        <v>#VALUE!</v>
      </c>
      <c r="S224" t="e">
        <f>AND('GA55 Entry'!AC890,"AAAAAHu0TxI=")</f>
        <v>#VALUE!</v>
      </c>
      <c r="T224" t="e">
        <f>AND('GA55 Entry'!#REF!,"AAAAAHu0TxM=")</f>
        <v>#REF!</v>
      </c>
      <c r="U224">
        <f>IF('GA55 Entry'!891:891,"AAAAAHu0TxQ=",0)</f>
        <v>0</v>
      </c>
      <c r="V224" t="e">
        <f>AND('GA55 Entry'!B891,"AAAAAHu0TxU=")</f>
        <v>#VALUE!</v>
      </c>
      <c r="W224" t="e">
        <f>AND('GA55 Entry'!#REF!,"AAAAAHu0TxY=")</f>
        <v>#REF!</v>
      </c>
      <c r="X224" t="e">
        <f>AND('GA55 Entry'!C891,"AAAAAHu0Txc=")</f>
        <v>#VALUE!</v>
      </c>
      <c r="Y224" t="e">
        <f>AND('GA55 Entry'!#REF!,"AAAAAHu0Txg=")</f>
        <v>#REF!</v>
      </c>
      <c r="Z224" t="e">
        <f>AND('GA55 Entry'!#REF!,"AAAAAHu0Txk=")</f>
        <v>#REF!</v>
      </c>
      <c r="AA224" t="e">
        <f>AND('GA55 Entry'!#REF!,"AAAAAHu0Txo=")</f>
        <v>#REF!</v>
      </c>
      <c r="AB224" t="e">
        <f>AND('GA55 Entry'!#REF!,"AAAAAHu0Txs=")</f>
        <v>#REF!</v>
      </c>
      <c r="AC224" t="e">
        <f>AND('GA55 Entry'!#REF!,"AAAAAHu0Txw=")</f>
        <v>#REF!</v>
      </c>
      <c r="AD224" t="e">
        <f>AND('GA55 Entry'!D891,"AAAAAHu0Tx0=")</f>
        <v>#VALUE!</v>
      </c>
      <c r="AE224" t="e">
        <f>AND('GA55 Entry'!#REF!,"AAAAAHu0Tx4=")</f>
        <v>#REF!</v>
      </c>
      <c r="AF224" t="e">
        <f>AND('GA55 Entry'!E891,"AAAAAHu0Tx8=")</f>
        <v>#VALUE!</v>
      </c>
      <c r="AG224" t="e">
        <f>AND('GA55 Entry'!F891,"AAAAAHu0TyA=")</f>
        <v>#VALUE!</v>
      </c>
      <c r="AH224" t="e">
        <f>AND('GA55 Entry'!G891,"AAAAAHu0TyE=")</f>
        <v>#VALUE!</v>
      </c>
      <c r="AI224" t="e">
        <f>AND('GA55 Entry'!H891,"AAAAAHu0TyI=")</f>
        <v>#VALUE!</v>
      </c>
      <c r="AJ224" t="e">
        <f>AND('GA55 Entry'!I891,"AAAAAHu0TyM=")</f>
        <v>#VALUE!</v>
      </c>
      <c r="AK224" t="e">
        <f>AND('GA55 Entry'!J891,"AAAAAHu0TyQ=")</f>
        <v>#VALUE!</v>
      </c>
      <c r="AL224" t="e">
        <f>AND('GA55 Entry'!#REF!,"AAAAAHu0TyU=")</f>
        <v>#REF!</v>
      </c>
      <c r="AM224" t="e">
        <f>AND('GA55 Entry'!K891,"AAAAAHu0TyY=")</f>
        <v>#VALUE!</v>
      </c>
      <c r="AN224" t="e">
        <f>AND('GA55 Entry'!L891,"AAAAAHu0Tyc=")</f>
        <v>#VALUE!</v>
      </c>
      <c r="AO224" t="e">
        <f>AND('GA55 Entry'!M891,"AAAAAHu0Tyg=")</f>
        <v>#VALUE!</v>
      </c>
      <c r="AP224" t="e">
        <f>AND('GA55 Entry'!N891,"AAAAAHu0Tyk=")</f>
        <v>#VALUE!</v>
      </c>
      <c r="AQ224" t="e">
        <f>AND('GA55 Entry'!O891,"AAAAAHu0Tyo=")</f>
        <v>#VALUE!</v>
      </c>
      <c r="AR224" t="e">
        <f>AND('GA55 Entry'!P891,"AAAAAHu0Tys=")</f>
        <v>#VALUE!</v>
      </c>
      <c r="AS224" t="e">
        <f>AND('GA55 Entry'!Q891,"AAAAAHu0Tyw=")</f>
        <v>#VALUE!</v>
      </c>
      <c r="AT224" t="e">
        <f>AND('GA55 Entry'!S891,"AAAAAHu0Ty0=")</f>
        <v>#VALUE!</v>
      </c>
      <c r="AU224" t="e">
        <f>AND('GA55 Entry'!#REF!,"AAAAAHu0Ty4=")</f>
        <v>#REF!</v>
      </c>
      <c r="AV224" t="e">
        <f>AND('GA55 Entry'!T891,"AAAAAHu0Ty8=")</f>
        <v>#VALUE!</v>
      </c>
      <c r="AW224" t="e">
        <f>AND('GA55 Entry'!U891,"AAAAAHu0TzA=")</f>
        <v>#VALUE!</v>
      </c>
      <c r="AX224" t="e">
        <f>AND('GA55 Entry'!V891,"AAAAAHu0TzE=")</f>
        <v>#VALUE!</v>
      </c>
      <c r="AY224" t="e">
        <f>AND('GA55 Entry'!#REF!,"AAAAAHu0TzI=")</f>
        <v>#REF!</v>
      </c>
      <c r="AZ224" t="e">
        <f>AND('GA55 Entry'!#REF!,"AAAAAHu0TzM=")</f>
        <v>#REF!</v>
      </c>
      <c r="BA224" t="e">
        <f>AND('GA55 Entry'!X891,"AAAAAHu0TzQ=")</f>
        <v>#VALUE!</v>
      </c>
      <c r="BB224" t="e">
        <f>AND('GA55 Entry'!Y891,"AAAAAHu0TzU=")</f>
        <v>#VALUE!</v>
      </c>
      <c r="BC224" t="e">
        <f>AND('GA55 Entry'!#REF!,"AAAAAHu0TzY=")</f>
        <v>#REF!</v>
      </c>
      <c r="BD224" t="e">
        <f>AND('GA55 Entry'!#REF!,"AAAAAHu0Tzc=")</f>
        <v>#REF!</v>
      </c>
      <c r="BE224" t="e">
        <f>AND('GA55 Entry'!#REF!,"AAAAAHu0Tzg=")</f>
        <v>#REF!</v>
      </c>
      <c r="BF224" t="e">
        <f>AND('GA55 Entry'!#REF!,"AAAAAHu0Tzk=")</f>
        <v>#REF!</v>
      </c>
      <c r="BG224" t="e">
        <f>AND('GA55 Entry'!#REF!,"AAAAAHu0Tzo=")</f>
        <v>#REF!</v>
      </c>
      <c r="BH224" t="e">
        <f>AND('GA55 Entry'!#REF!,"AAAAAHu0Tzs=")</f>
        <v>#REF!</v>
      </c>
      <c r="BI224" t="e">
        <f>AND('GA55 Entry'!#REF!,"AAAAAHu0Tzw=")</f>
        <v>#REF!</v>
      </c>
      <c r="BJ224" t="e">
        <f>AND('GA55 Entry'!#REF!,"AAAAAHu0Tz0=")</f>
        <v>#REF!</v>
      </c>
      <c r="BK224" t="e">
        <f>AND('GA55 Entry'!#REF!,"AAAAAHu0Tz4=")</f>
        <v>#REF!</v>
      </c>
      <c r="BL224" t="e">
        <f>AND('GA55 Entry'!Z891,"AAAAAHu0Tz8=")</f>
        <v>#VALUE!</v>
      </c>
      <c r="BM224" t="e">
        <f>AND('GA55 Entry'!AA891,"AAAAAHu0T0A=")</f>
        <v>#VALUE!</v>
      </c>
      <c r="BN224" t="e">
        <f>AND('GA55 Entry'!#REF!,"AAAAAHu0T0E=")</f>
        <v>#REF!</v>
      </c>
      <c r="BO224" t="e">
        <f>AND('GA55 Entry'!#REF!,"AAAAAHu0T0I=")</f>
        <v>#REF!</v>
      </c>
      <c r="BP224" t="e">
        <f>AND('GA55 Entry'!#REF!,"AAAAAHu0T0M=")</f>
        <v>#REF!</v>
      </c>
      <c r="BQ224" t="e">
        <f>AND('GA55 Entry'!AB891,"AAAAAHu0T0Q=")</f>
        <v>#VALUE!</v>
      </c>
      <c r="BR224" t="e">
        <f>AND('GA55 Entry'!AC891,"AAAAAHu0T0U=")</f>
        <v>#VALUE!</v>
      </c>
      <c r="BS224" t="e">
        <f>AND('GA55 Entry'!#REF!,"AAAAAHu0T0Y=")</f>
        <v>#REF!</v>
      </c>
      <c r="BT224">
        <f>IF('GA55 Entry'!892:892,"AAAAAHu0T0c=",0)</f>
        <v>0</v>
      </c>
      <c r="BU224" t="e">
        <f>AND('GA55 Entry'!B892,"AAAAAHu0T0g=")</f>
        <v>#VALUE!</v>
      </c>
      <c r="BV224" t="e">
        <f>AND('GA55 Entry'!#REF!,"AAAAAHu0T0k=")</f>
        <v>#REF!</v>
      </c>
      <c r="BW224" t="e">
        <f>AND('GA55 Entry'!C892,"AAAAAHu0T0o=")</f>
        <v>#VALUE!</v>
      </c>
      <c r="BX224" t="e">
        <f>AND('GA55 Entry'!#REF!,"AAAAAHu0T0s=")</f>
        <v>#REF!</v>
      </c>
      <c r="BY224" t="e">
        <f>AND('GA55 Entry'!#REF!,"AAAAAHu0T0w=")</f>
        <v>#REF!</v>
      </c>
      <c r="BZ224" t="e">
        <f>AND('GA55 Entry'!#REF!,"AAAAAHu0T00=")</f>
        <v>#REF!</v>
      </c>
      <c r="CA224" t="e">
        <f>AND('GA55 Entry'!#REF!,"AAAAAHu0T04=")</f>
        <v>#REF!</v>
      </c>
      <c r="CB224" t="e">
        <f>AND('GA55 Entry'!#REF!,"AAAAAHu0T08=")</f>
        <v>#REF!</v>
      </c>
      <c r="CC224" t="e">
        <f>AND('GA55 Entry'!D892,"AAAAAHu0T1A=")</f>
        <v>#VALUE!</v>
      </c>
      <c r="CD224" t="e">
        <f>AND('GA55 Entry'!#REF!,"AAAAAHu0T1E=")</f>
        <v>#REF!</v>
      </c>
      <c r="CE224" t="e">
        <f>AND('GA55 Entry'!E892,"AAAAAHu0T1I=")</f>
        <v>#VALUE!</v>
      </c>
      <c r="CF224" t="e">
        <f>AND('GA55 Entry'!F892,"AAAAAHu0T1M=")</f>
        <v>#VALUE!</v>
      </c>
      <c r="CG224" t="e">
        <f>AND('GA55 Entry'!G892,"AAAAAHu0T1Q=")</f>
        <v>#VALUE!</v>
      </c>
      <c r="CH224" t="e">
        <f>AND('GA55 Entry'!H892,"AAAAAHu0T1U=")</f>
        <v>#VALUE!</v>
      </c>
      <c r="CI224" t="e">
        <f>AND('GA55 Entry'!I892,"AAAAAHu0T1Y=")</f>
        <v>#VALUE!</v>
      </c>
      <c r="CJ224" t="e">
        <f>AND('GA55 Entry'!J892,"AAAAAHu0T1c=")</f>
        <v>#VALUE!</v>
      </c>
      <c r="CK224" t="e">
        <f>AND('GA55 Entry'!#REF!,"AAAAAHu0T1g=")</f>
        <v>#REF!</v>
      </c>
      <c r="CL224" t="e">
        <f>AND('GA55 Entry'!K892,"AAAAAHu0T1k=")</f>
        <v>#VALUE!</v>
      </c>
      <c r="CM224" t="e">
        <f>AND('GA55 Entry'!L892,"AAAAAHu0T1o=")</f>
        <v>#VALUE!</v>
      </c>
      <c r="CN224" t="e">
        <f>AND('GA55 Entry'!M892,"AAAAAHu0T1s=")</f>
        <v>#VALUE!</v>
      </c>
      <c r="CO224" t="e">
        <f>AND('GA55 Entry'!N892,"AAAAAHu0T1w=")</f>
        <v>#VALUE!</v>
      </c>
      <c r="CP224" t="e">
        <f>AND('GA55 Entry'!O892,"AAAAAHu0T10=")</f>
        <v>#VALUE!</v>
      </c>
      <c r="CQ224" t="e">
        <f>AND('GA55 Entry'!P892,"AAAAAHu0T14=")</f>
        <v>#VALUE!</v>
      </c>
      <c r="CR224" t="e">
        <f>AND('GA55 Entry'!Q892,"AAAAAHu0T18=")</f>
        <v>#VALUE!</v>
      </c>
      <c r="CS224" t="e">
        <f>AND('GA55 Entry'!S892,"AAAAAHu0T2A=")</f>
        <v>#VALUE!</v>
      </c>
      <c r="CT224" t="e">
        <f>AND('GA55 Entry'!#REF!,"AAAAAHu0T2E=")</f>
        <v>#REF!</v>
      </c>
      <c r="CU224" t="e">
        <f>AND('GA55 Entry'!T892,"AAAAAHu0T2I=")</f>
        <v>#VALUE!</v>
      </c>
      <c r="CV224" t="e">
        <f>AND('GA55 Entry'!U892,"AAAAAHu0T2M=")</f>
        <v>#VALUE!</v>
      </c>
      <c r="CW224" t="e">
        <f>AND('GA55 Entry'!V892,"AAAAAHu0T2Q=")</f>
        <v>#VALUE!</v>
      </c>
      <c r="CX224" t="e">
        <f>AND('GA55 Entry'!#REF!,"AAAAAHu0T2U=")</f>
        <v>#REF!</v>
      </c>
      <c r="CY224" t="e">
        <f>AND('GA55 Entry'!#REF!,"AAAAAHu0T2Y=")</f>
        <v>#REF!</v>
      </c>
      <c r="CZ224" t="e">
        <f>AND('GA55 Entry'!X892,"AAAAAHu0T2c=")</f>
        <v>#VALUE!</v>
      </c>
      <c r="DA224" t="e">
        <f>AND('GA55 Entry'!Y892,"AAAAAHu0T2g=")</f>
        <v>#VALUE!</v>
      </c>
      <c r="DB224" t="e">
        <f>AND('GA55 Entry'!#REF!,"AAAAAHu0T2k=")</f>
        <v>#REF!</v>
      </c>
      <c r="DC224" t="e">
        <f>AND('GA55 Entry'!#REF!,"AAAAAHu0T2o=")</f>
        <v>#REF!</v>
      </c>
      <c r="DD224" t="e">
        <f>AND('GA55 Entry'!#REF!,"AAAAAHu0T2s=")</f>
        <v>#REF!</v>
      </c>
      <c r="DE224" t="e">
        <f>AND('GA55 Entry'!#REF!,"AAAAAHu0T2w=")</f>
        <v>#REF!</v>
      </c>
      <c r="DF224" t="e">
        <f>AND('GA55 Entry'!#REF!,"AAAAAHu0T20=")</f>
        <v>#REF!</v>
      </c>
      <c r="DG224" t="e">
        <f>AND('GA55 Entry'!#REF!,"AAAAAHu0T24=")</f>
        <v>#REF!</v>
      </c>
      <c r="DH224" t="e">
        <f>AND('GA55 Entry'!#REF!,"AAAAAHu0T28=")</f>
        <v>#REF!</v>
      </c>
      <c r="DI224" t="e">
        <f>AND('GA55 Entry'!#REF!,"AAAAAHu0T3A=")</f>
        <v>#REF!</v>
      </c>
      <c r="DJ224" t="e">
        <f>AND('GA55 Entry'!#REF!,"AAAAAHu0T3E=")</f>
        <v>#REF!</v>
      </c>
      <c r="DK224" t="e">
        <f>AND('GA55 Entry'!Z892,"AAAAAHu0T3I=")</f>
        <v>#VALUE!</v>
      </c>
      <c r="DL224" t="e">
        <f>AND('GA55 Entry'!AA892,"AAAAAHu0T3M=")</f>
        <v>#VALUE!</v>
      </c>
      <c r="DM224" t="e">
        <f>AND('GA55 Entry'!#REF!,"AAAAAHu0T3Q=")</f>
        <v>#REF!</v>
      </c>
      <c r="DN224" t="e">
        <f>AND('GA55 Entry'!#REF!,"AAAAAHu0T3U=")</f>
        <v>#REF!</v>
      </c>
      <c r="DO224" t="e">
        <f>AND('GA55 Entry'!#REF!,"AAAAAHu0T3Y=")</f>
        <v>#REF!</v>
      </c>
      <c r="DP224" t="e">
        <f>AND('GA55 Entry'!AB892,"AAAAAHu0T3c=")</f>
        <v>#VALUE!</v>
      </c>
      <c r="DQ224" t="e">
        <f>AND('GA55 Entry'!AC892,"AAAAAHu0T3g=")</f>
        <v>#VALUE!</v>
      </c>
      <c r="DR224" t="e">
        <f>AND('GA55 Entry'!#REF!,"AAAAAHu0T3k=")</f>
        <v>#REF!</v>
      </c>
      <c r="DS224">
        <f>IF('GA55 Entry'!893:893,"AAAAAHu0T3o=",0)</f>
        <v>0</v>
      </c>
      <c r="DT224" t="e">
        <f>AND('GA55 Entry'!B893,"AAAAAHu0T3s=")</f>
        <v>#VALUE!</v>
      </c>
      <c r="DU224" t="e">
        <f>AND('GA55 Entry'!#REF!,"AAAAAHu0T3w=")</f>
        <v>#REF!</v>
      </c>
      <c r="DV224" t="e">
        <f>AND('GA55 Entry'!C893,"AAAAAHu0T30=")</f>
        <v>#VALUE!</v>
      </c>
      <c r="DW224" t="e">
        <f>AND('GA55 Entry'!#REF!,"AAAAAHu0T34=")</f>
        <v>#REF!</v>
      </c>
      <c r="DX224" t="e">
        <f>AND('GA55 Entry'!#REF!,"AAAAAHu0T38=")</f>
        <v>#REF!</v>
      </c>
      <c r="DY224" t="e">
        <f>AND('GA55 Entry'!#REF!,"AAAAAHu0T4A=")</f>
        <v>#REF!</v>
      </c>
      <c r="DZ224" t="e">
        <f>AND('GA55 Entry'!#REF!,"AAAAAHu0T4E=")</f>
        <v>#REF!</v>
      </c>
      <c r="EA224" t="e">
        <f>AND('GA55 Entry'!#REF!,"AAAAAHu0T4I=")</f>
        <v>#REF!</v>
      </c>
      <c r="EB224" t="e">
        <f>AND('GA55 Entry'!D893,"AAAAAHu0T4M=")</f>
        <v>#VALUE!</v>
      </c>
      <c r="EC224" t="e">
        <f>AND('GA55 Entry'!#REF!,"AAAAAHu0T4Q=")</f>
        <v>#REF!</v>
      </c>
      <c r="ED224" t="e">
        <f>AND('GA55 Entry'!E893,"AAAAAHu0T4U=")</f>
        <v>#VALUE!</v>
      </c>
      <c r="EE224" t="e">
        <f>AND('GA55 Entry'!F893,"AAAAAHu0T4Y=")</f>
        <v>#VALUE!</v>
      </c>
      <c r="EF224" t="e">
        <f>AND('GA55 Entry'!G893,"AAAAAHu0T4c=")</f>
        <v>#VALUE!</v>
      </c>
      <c r="EG224" t="e">
        <f>AND('GA55 Entry'!H893,"AAAAAHu0T4g=")</f>
        <v>#VALUE!</v>
      </c>
      <c r="EH224" t="e">
        <f>AND('GA55 Entry'!I893,"AAAAAHu0T4k=")</f>
        <v>#VALUE!</v>
      </c>
      <c r="EI224" t="e">
        <f>AND('GA55 Entry'!J893,"AAAAAHu0T4o=")</f>
        <v>#VALUE!</v>
      </c>
      <c r="EJ224" t="e">
        <f>AND('GA55 Entry'!#REF!,"AAAAAHu0T4s=")</f>
        <v>#REF!</v>
      </c>
      <c r="EK224" t="e">
        <f>AND('GA55 Entry'!K893,"AAAAAHu0T4w=")</f>
        <v>#VALUE!</v>
      </c>
      <c r="EL224" t="e">
        <f>AND('GA55 Entry'!L893,"AAAAAHu0T40=")</f>
        <v>#VALUE!</v>
      </c>
      <c r="EM224" t="e">
        <f>AND('GA55 Entry'!M893,"AAAAAHu0T44=")</f>
        <v>#VALUE!</v>
      </c>
      <c r="EN224" t="e">
        <f>AND('GA55 Entry'!N893,"AAAAAHu0T48=")</f>
        <v>#VALUE!</v>
      </c>
      <c r="EO224" t="e">
        <f>AND('GA55 Entry'!O893,"AAAAAHu0T5A=")</f>
        <v>#VALUE!</v>
      </c>
      <c r="EP224" t="e">
        <f>AND('GA55 Entry'!P893,"AAAAAHu0T5E=")</f>
        <v>#VALUE!</v>
      </c>
      <c r="EQ224" t="e">
        <f>AND('GA55 Entry'!Q893,"AAAAAHu0T5I=")</f>
        <v>#VALUE!</v>
      </c>
      <c r="ER224" t="e">
        <f>AND('GA55 Entry'!S893,"AAAAAHu0T5M=")</f>
        <v>#VALUE!</v>
      </c>
      <c r="ES224" t="e">
        <f>AND('GA55 Entry'!#REF!,"AAAAAHu0T5Q=")</f>
        <v>#REF!</v>
      </c>
      <c r="ET224" t="e">
        <f>AND('GA55 Entry'!T893,"AAAAAHu0T5U=")</f>
        <v>#VALUE!</v>
      </c>
      <c r="EU224" t="e">
        <f>AND('GA55 Entry'!U893,"AAAAAHu0T5Y=")</f>
        <v>#VALUE!</v>
      </c>
      <c r="EV224" t="e">
        <f>AND('GA55 Entry'!V893,"AAAAAHu0T5c=")</f>
        <v>#VALUE!</v>
      </c>
      <c r="EW224" t="e">
        <f>AND('GA55 Entry'!#REF!,"AAAAAHu0T5g=")</f>
        <v>#REF!</v>
      </c>
      <c r="EX224" t="e">
        <f>AND('GA55 Entry'!#REF!,"AAAAAHu0T5k=")</f>
        <v>#REF!</v>
      </c>
      <c r="EY224" t="e">
        <f>AND('GA55 Entry'!X893,"AAAAAHu0T5o=")</f>
        <v>#VALUE!</v>
      </c>
      <c r="EZ224" t="e">
        <f>AND('GA55 Entry'!Y893,"AAAAAHu0T5s=")</f>
        <v>#VALUE!</v>
      </c>
      <c r="FA224" t="e">
        <f>AND('GA55 Entry'!#REF!,"AAAAAHu0T5w=")</f>
        <v>#REF!</v>
      </c>
      <c r="FB224" t="e">
        <f>AND('GA55 Entry'!#REF!,"AAAAAHu0T50=")</f>
        <v>#REF!</v>
      </c>
      <c r="FC224" t="e">
        <f>AND('GA55 Entry'!#REF!,"AAAAAHu0T54=")</f>
        <v>#REF!</v>
      </c>
      <c r="FD224" t="e">
        <f>AND('GA55 Entry'!#REF!,"AAAAAHu0T58=")</f>
        <v>#REF!</v>
      </c>
      <c r="FE224" t="e">
        <f>AND('GA55 Entry'!#REF!,"AAAAAHu0T6A=")</f>
        <v>#REF!</v>
      </c>
      <c r="FF224" t="e">
        <f>AND('GA55 Entry'!#REF!,"AAAAAHu0T6E=")</f>
        <v>#REF!</v>
      </c>
      <c r="FG224" t="e">
        <f>AND('GA55 Entry'!#REF!,"AAAAAHu0T6I=")</f>
        <v>#REF!</v>
      </c>
      <c r="FH224" t="e">
        <f>AND('GA55 Entry'!#REF!,"AAAAAHu0T6M=")</f>
        <v>#REF!</v>
      </c>
      <c r="FI224" t="e">
        <f>AND('GA55 Entry'!#REF!,"AAAAAHu0T6Q=")</f>
        <v>#REF!</v>
      </c>
      <c r="FJ224" t="e">
        <f>AND('GA55 Entry'!Z893,"AAAAAHu0T6U=")</f>
        <v>#VALUE!</v>
      </c>
      <c r="FK224" t="e">
        <f>AND('GA55 Entry'!AA893,"AAAAAHu0T6Y=")</f>
        <v>#VALUE!</v>
      </c>
      <c r="FL224" t="e">
        <f>AND('GA55 Entry'!#REF!,"AAAAAHu0T6c=")</f>
        <v>#REF!</v>
      </c>
      <c r="FM224" t="e">
        <f>AND('GA55 Entry'!#REF!,"AAAAAHu0T6g=")</f>
        <v>#REF!</v>
      </c>
      <c r="FN224" t="e">
        <f>AND('GA55 Entry'!#REF!,"AAAAAHu0T6k=")</f>
        <v>#REF!</v>
      </c>
      <c r="FO224" t="e">
        <f>AND('GA55 Entry'!AB893,"AAAAAHu0T6o=")</f>
        <v>#VALUE!</v>
      </c>
      <c r="FP224" t="e">
        <f>AND('GA55 Entry'!AC893,"AAAAAHu0T6s=")</f>
        <v>#VALUE!</v>
      </c>
      <c r="FQ224" t="e">
        <f>AND('GA55 Entry'!#REF!,"AAAAAHu0T6w=")</f>
        <v>#REF!</v>
      </c>
      <c r="FR224">
        <f>IF('GA55 Entry'!894:894,"AAAAAHu0T60=",0)</f>
        <v>0</v>
      </c>
      <c r="FS224" t="e">
        <f>AND('GA55 Entry'!B894,"AAAAAHu0T64=")</f>
        <v>#VALUE!</v>
      </c>
      <c r="FT224" t="e">
        <f>AND('GA55 Entry'!#REF!,"AAAAAHu0T68=")</f>
        <v>#REF!</v>
      </c>
      <c r="FU224" t="e">
        <f>AND('GA55 Entry'!C894,"AAAAAHu0T7A=")</f>
        <v>#VALUE!</v>
      </c>
      <c r="FV224" t="e">
        <f>AND('GA55 Entry'!#REF!,"AAAAAHu0T7E=")</f>
        <v>#REF!</v>
      </c>
      <c r="FW224" t="e">
        <f>AND('GA55 Entry'!#REF!,"AAAAAHu0T7I=")</f>
        <v>#REF!</v>
      </c>
      <c r="FX224" t="e">
        <f>AND('GA55 Entry'!#REF!,"AAAAAHu0T7M=")</f>
        <v>#REF!</v>
      </c>
      <c r="FY224" t="e">
        <f>AND('GA55 Entry'!#REF!,"AAAAAHu0T7Q=")</f>
        <v>#REF!</v>
      </c>
      <c r="FZ224" t="e">
        <f>AND('GA55 Entry'!#REF!,"AAAAAHu0T7U=")</f>
        <v>#REF!</v>
      </c>
      <c r="GA224" t="e">
        <f>AND('GA55 Entry'!D894,"AAAAAHu0T7Y=")</f>
        <v>#VALUE!</v>
      </c>
      <c r="GB224" t="e">
        <f>AND('GA55 Entry'!#REF!,"AAAAAHu0T7c=")</f>
        <v>#REF!</v>
      </c>
      <c r="GC224" t="e">
        <f>AND('GA55 Entry'!E894,"AAAAAHu0T7g=")</f>
        <v>#VALUE!</v>
      </c>
      <c r="GD224" t="e">
        <f>AND('GA55 Entry'!F894,"AAAAAHu0T7k=")</f>
        <v>#VALUE!</v>
      </c>
      <c r="GE224" t="e">
        <f>AND('GA55 Entry'!G894,"AAAAAHu0T7o=")</f>
        <v>#VALUE!</v>
      </c>
      <c r="GF224" t="e">
        <f>AND('GA55 Entry'!H894,"AAAAAHu0T7s=")</f>
        <v>#VALUE!</v>
      </c>
      <c r="GG224" t="e">
        <f>AND('GA55 Entry'!I894,"AAAAAHu0T7w=")</f>
        <v>#VALUE!</v>
      </c>
      <c r="GH224" t="e">
        <f>AND('GA55 Entry'!J894,"AAAAAHu0T70=")</f>
        <v>#VALUE!</v>
      </c>
      <c r="GI224" t="e">
        <f>AND('GA55 Entry'!#REF!,"AAAAAHu0T74=")</f>
        <v>#REF!</v>
      </c>
      <c r="GJ224" t="e">
        <f>AND('GA55 Entry'!K894,"AAAAAHu0T78=")</f>
        <v>#VALUE!</v>
      </c>
      <c r="GK224" t="e">
        <f>AND('GA55 Entry'!L894,"AAAAAHu0T8A=")</f>
        <v>#VALUE!</v>
      </c>
      <c r="GL224" t="e">
        <f>AND('GA55 Entry'!M894,"AAAAAHu0T8E=")</f>
        <v>#VALUE!</v>
      </c>
      <c r="GM224" t="e">
        <f>AND('GA55 Entry'!N894,"AAAAAHu0T8I=")</f>
        <v>#VALUE!</v>
      </c>
      <c r="GN224" t="e">
        <f>AND('GA55 Entry'!O894,"AAAAAHu0T8M=")</f>
        <v>#VALUE!</v>
      </c>
      <c r="GO224" t="e">
        <f>AND('GA55 Entry'!P894,"AAAAAHu0T8Q=")</f>
        <v>#VALUE!</v>
      </c>
      <c r="GP224" t="e">
        <f>AND('GA55 Entry'!Q894,"AAAAAHu0T8U=")</f>
        <v>#VALUE!</v>
      </c>
      <c r="GQ224" t="e">
        <f>AND('GA55 Entry'!S894,"AAAAAHu0T8Y=")</f>
        <v>#VALUE!</v>
      </c>
      <c r="GR224" t="e">
        <f>AND('GA55 Entry'!#REF!,"AAAAAHu0T8c=")</f>
        <v>#REF!</v>
      </c>
      <c r="GS224" t="e">
        <f>AND('GA55 Entry'!T894,"AAAAAHu0T8g=")</f>
        <v>#VALUE!</v>
      </c>
      <c r="GT224" t="e">
        <f>AND('GA55 Entry'!U894,"AAAAAHu0T8k=")</f>
        <v>#VALUE!</v>
      </c>
      <c r="GU224" t="e">
        <f>AND('GA55 Entry'!V894,"AAAAAHu0T8o=")</f>
        <v>#VALUE!</v>
      </c>
      <c r="GV224" t="e">
        <f>AND('GA55 Entry'!#REF!,"AAAAAHu0T8s=")</f>
        <v>#REF!</v>
      </c>
      <c r="GW224" t="e">
        <f>AND('GA55 Entry'!#REF!,"AAAAAHu0T8w=")</f>
        <v>#REF!</v>
      </c>
      <c r="GX224" t="e">
        <f>AND('GA55 Entry'!X894,"AAAAAHu0T80=")</f>
        <v>#VALUE!</v>
      </c>
      <c r="GY224" t="e">
        <f>AND('GA55 Entry'!Y894,"AAAAAHu0T84=")</f>
        <v>#VALUE!</v>
      </c>
      <c r="GZ224" t="e">
        <f>AND('GA55 Entry'!#REF!,"AAAAAHu0T88=")</f>
        <v>#REF!</v>
      </c>
      <c r="HA224" t="e">
        <f>AND('GA55 Entry'!#REF!,"AAAAAHu0T9A=")</f>
        <v>#REF!</v>
      </c>
      <c r="HB224" t="e">
        <f>AND('GA55 Entry'!#REF!,"AAAAAHu0T9E=")</f>
        <v>#REF!</v>
      </c>
      <c r="HC224" t="e">
        <f>AND('GA55 Entry'!#REF!,"AAAAAHu0T9I=")</f>
        <v>#REF!</v>
      </c>
      <c r="HD224" t="e">
        <f>AND('GA55 Entry'!#REF!,"AAAAAHu0T9M=")</f>
        <v>#REF!</v>
      </c>
      <c r="HE224" t="e">
        <f>AND('GA55 Entry'!#REF!,"AAAAAHu0T9Q=")</f>
        <v>#REF!</v>
      </c>
      <c r="HF224" t="e">
        <f>AND('GA55 Entry'!#REF!,"AAAAAHu0T9U=")</f>
        <v>#REF!</v>
      </c>
      <c r="HG224" t="e">
        <f>AND('GA55 Entry'!#REF!,"AAAAAHu0T9Y=")</f>
        <v>#REF!</v>
      </c>
      <c r="HH224" t="e">
        <f>AND('GA55 Entry'!#REF!,"AAAAAHu0T9c=")</f>
        <v>#REF!</v>
      </c>
      <c r="HI224" t="e">
        <f>AND('GA55 Entry'!Z894,"AAAAAHu0T9g=")</f>
        <v>#VALUE!</v>
      </c>
      <c r="HJ224" t="e">
        <f>AND('GA55 Entry'!AA894,"AAAAAHu0T9k=")</f>
        <v>#VALUE!</v>
      </c>
      <c r="HK224" t="e">
        <f>AND('GA55 Entry'!#REF!,"AAAAAHu0T9o=")</f>
        <v>#REF!</v>
      </c>
      <c r="HL224" t="e">
        <f>AND('GA55 Entry'!#REF!,"AAAAAHu0T9s=")</f>
        <v>#REF!</v>
      </c>
      <c r="HM224" t="e">
        <f>AND('GA55 Entry'!#REF!,"AAAAAHu0T9w=")</f>
        <v>#REF!</v>
      </c>
      <c r="HN224" t="e">
        <f>AND('GA55 Entry'!AB894,"AAAAAHu0T90=")</f>
        <v>#VALUE!</v>
      </c>
      <c r="HO224" t="e">
        <f>AND('GA55 Entry'!AC894,"AAAAAHu0T94=")</f>
        <v>#VALUE!</v>
      </c>
      <c r="HP224" t="e">
        <f>AND('GA55 Entry'!#REF!,"AAAAAHu0T98=")</f>
        <v>#REF!</v>
      </c>
      <c r="HQ224">
        <f>IF('GA55 Entry'!895:895,"AAAAAHu0T+A=",0)</f>
        <v>0</v>
      </c>
      <c r="HR224" t="e">
        <f>AND('GA55 Entry'!B895,"AAAAAHu0T+E=")</f>
        <v>#VALUE!</v>
      </c>
      <c r="HS224" t="e">
        <f>AND('GA55 Entry'!#REF!,"AAAAAHu0T+I=")</f>
        <v>#REF!</v>
      </c>
      <c r="HT224" t="e">
        <f>AND('GA55 Entry'!C895,"AAAAAHu0T+M=")</f>
        <v>#VALUE!</v>
      </c>
      <c r="HU224" t="e">
        <f>AND('GA55 Entry'!#REF!,"AAAAAHu0T+Q=")</f>
        <v>#REF!</v>
      </c>
      <c r="HV224" t="e">
        <f>AND('GA55 Entry'!#REF!,"AAAAAHu0T+U=")</f>
        <v>#REF!</v>
      </c>
      <c r="HW224" t="e">
        <f>AND('GA55 Entry'!#REF!,"AAAAAHu0T+Y=")</f>
        <v>#REF!</v>
      </c>
      <c r="HX224" t="e">
        <f>AND('GA55 Entry'!#REF!,"AAAAAHu0T+c=")</f>
        <v>#REF!</v>
      </c>
      <c r="HY224" t="e">
        <f>AND('GA55 Entry'!#REF!,"AAAAAHu0T+g=")</f>
        <v>#REF!</v>
      </c>
      <c r="HZ224" t="e">
        <f>AND('GA55 Entry'!D895,"AAAAAHu0T+k=")</f>
        <v>#VALUE!</v>
      </c>
      <c r="IA224" t="e">
        <f>AND('GA55 Entry'!#REF!,"AAAAAHu0T+o=")</f>
        <v>#REF!</v>
      </c>
      <c r="IB224" t="e">
        <f>AND('GA55 Entry'!E895,"AAAAAHu0T+s=")</f>
        <v>#VALUE!</v>
      </c>
      <c r="IC224" t="e">
        <f>AND('GA55 Entry'!F895,"AAAAAHu0T+w=")</f>
        <v>#VALUE!</v>
      </c>
      <c r="ID224" t="e">
        <f>AND('GA55 Entry'!G895,"AAAAAHu0T+0=")</f>
        <v>#VALUE!</v>
      </c>
      <c r="IE224" t="e">
        <f>AND('GA55 Entry'!H895,"AAAAAHu0T+4=")</f>
        <v>#VALUE!</v>
      </c>
      <c r="IF224" t="e">
        <f>AND('GA55 Entry'!I895,"AAAAAHu0T+8=")</f>
        <v>#VALUE!</v>
      </c>
      <c r="IG224" t="e">
        <f>AND('GA55 Entry'!J895,"AAAAAHu0T/A=")</f>
        <v>#VALUE!</v>
      </c>
      <c r="IH224" t="e">
        <f>AND('GA55 Entry'!#REF!,"AAAAAHu0T/E=")</f>
        <v>#REF!</v>
      </c>
      <c r="II224" t="e">
        <f>AND('GA55 Entry'!K895,"AAAAAHu0T/I=")</f>
        <v>#VALUE!</v>
      </c>
      <c r="IJ224" t="e">
        <f>AND('GA55 Entry'!L895,"AAAAAHu0T/M=")</f>
        <v>#VALUE!</v>
      </c>
      <c r="IK224" t="e">
        <f>AND('GA55 Entry'!M895,"AAAAAHu0T/Q=")</f>
        <v>#VALUE!</v>
      </c>
      <c r="IL224" t="e">
        <f>AND('GA55 Entry'!N895,"AAAAAHu0T/U=")</f>
        <v>#VALUE!</v>
      </c>
      <c r="IM224" t="e">
        <f>AND('GA55 Entry'!O895,"AAAAAHu0T/Y=")</f>
        <v>#VALUE!</v>
      </c>
      <c r="IN224" t="e">
        <f>AND('GA55 Entry'!P895,"AAAAAHu0T/c=")</f>
        <v>#VALUE!</v>
      </c>
      <c r="IO224" t="e">
        <f>AND('GA55 Entry'!Q895,"AAAAAHu0T/g=")</f>
        <v>#VALUE!</v>
      </c>
      <c r="IP224" t="e">
        <f>AND('GA55 Entry'!S895,"AAAAAHu0T/k=")</f>
        <v>#VALUE!</v>
      </c>
      <c r="IQ224" t="e">
        <f>AND('GA55 Entry'!#REF!,"AAAAAHu0T/o=")</f>
        <v>#REF!</v>
      </c>
      <c r="IR224" t="e">
        <f>AND('GA55 Entry'!T895,"AAAAAHu0T/s=")</f>
        <v>#VALUE!</v>
      </c>
      <c r="IS224" t="e">
        <f>AND('GA55 Entry'!U895,"AAAAAHu0T/w=")</f>
        <v>#VALUE!</v>
      </c>
      <c r="IT224" t="e">
        <f>AND('GA55 Entry'!V895,"AAAAAHu0T/0=")</f>
        <v>#VALUE!</v>
      </c>
      <c r="IU224" t="e">
        <f>AND('GA55 Entry'!#REF!,"AAAAAHu0T/4=")</f>
        <v>#REF!</v>
      </c>
      <c r="IV224" t="e">
        <f>AND('GA55 Entry'!#REF!,"AAAAAHu0T/8=")</f>
        <v>#REF!</v>
      </c>
    </row>
    <row r="225" spans="1:256">
      <c r="A225" t="e">
        <f>AND('GA55 Entry'!X895,"AAAAAG2+7gA=")</f>
        <v>#VALUE!</v>
      </c>
      <c r="B225" t="e">
        <f>AND('GA55 Entry'!Y895,"AAAAAG2+7gE=")</f>
        <v>#VALUE!</v>
      </c>
      <c r="C225" t="e">
        <f>AND('GA55 Entry'!#REF!,"AAAAAG2+7gI=")</f>
        <v>#REF!</v>
      </c>
      <c r="D225" t="e">
        <f>AND('GA55 Entry'!#REF!,"AAAAAG2+7gM=")</f>
        <v>#REF!</v>
      </c>
      <c r="E225" t="e">
        <f>AND('GA55 Entry'!#REF!,"AAAAAG2+7gQ=")</f>
        <v>#REF!</v>
      </c>
      <c r="F225" t="e">
        <f>AND('GA55 Entry'!#REF!,"AAAAAG2+7gU=")</f>
        <v>#REF!</v>
      </c>
      <c r="G225" t="e">
        <f>AND('GA55 Entry'!#REF!,"AAAAAG2+7gY=")</f>
        <v>#REF!</v>
      </c>
      <c r="H225" t="e">
        <f>AND('GA55 Entry'!#REF!,"AAAAAG2+7gc=")</f>
        <v>#REF!</v>
      </c>
      <c r="I225" t="e">
        <f>AND('GA55 Entry'!#REF!,"AAAAAG2+7gg=")</f>
        <v>#REF!</v>
      </c>
      <c r="J225" t="e">
        <f>AND('GA55 Entry'!#REF!,"AAAAAG2+7gk=")</f>
        <v>#REF!</v>
      </c>
      <c r="K225" t="e">
        <f>AND('GA55 Entry'!#REF!,"AAAAAG2+7go=")</f>
        <v>#REF!</v>
      </c>
      <c r="L225" t="e">
        <f>AND('GA55 Entry'!Z895,"AAAAAG2+7gs=")</f>
        <v>#VALUE!</v>
      </c>
      <c r="M225" t="e">
        <f>AND('GA55 Entry'!AA895,"AAAAAG2+7gw=")</f>
        <v>#VALUE!</v>
      </c>
      <c r="N225" t="e">
        <f>AND('GA55 Entry'!#REF!,"AAAAAG2+7g0=")</f>
        <v>#REF!</v>
      </c>
      <c r="O225" t="e">
        <f>AND('GA55 Entry'!#REF!,"AAAAAG2+7g4=")</f>
        <v>#REF!</v>
      </c>
      <c r="P225" t="e">
        <f>AND('GA55 Entry'!#REF!,"AAAAAG2+7g8=")</f>
        <v>#REF!</v>
      </c>
      <c r="Q225" t="e">
        <f>AND('GA55 Entry'!AB895,"AAAAAG2+7hA=")</f>
        <v>#VALUE!</v>
      </c>
      <c r="R225" t="e">
        <f>AND('GA55 Entry'!AC895,"AAAAAG2+7hE=")</f>
        <v>#VALUE!</v>
      </c>
      <c r="S225" t="e">
        <f>AND('GA55 Entry'!#REF!,"AAAAAG2+7hI=")</f>
        <v>#REF!</v>
      </c>
      <c r="T225">
        <f>IF('GA55 Entry'!896:896,"AAAAAG2+7hM=",0)</f>
        <v>0</v>
      </c>
      <c r="U225" t="e">
        <f>AND('GA55 Entry'!B896,"AAAAAG2+7hQ=")</f>
        <v>#VALUE!</v>
      </c>
      <c r="V225" t="e">
        <f>AND('GA55 Entry'!#REF!,"AAAAAG2+7hU=")</f>
        <v>#REF!</v>
      </c>
      <c r="W225" t="e">
        <f>AND('GA55 Entry'!C896,"AAAAAG2+7hY=")</f>
        <v>#VALUE!</v>
      </c>
      <c r="X225" t="e">
        <f>AND('GA55 Entry'!#REF!,"AAAAAG2+7hc=")</f>
        <v>#REF!</v>
      </c>
      <c r="Y225" t="e">
        <f>AND('GA55 Entry'!#REF!,"AAAAAG2+7hg=")</f>
        <v>#REF!</v>
      </c>
      <c r="Z225" t="e">
        <f>AND('GA55 Entry'!#REF!,"AAAAAG2+7hk=")</f>
        <v>#REF!</v>
      </c>
      <c r="AA225" t="e">
        <f>AND('GA55 Entry'!#REF!,"AAAAAG2+7ho=")</f>
        <v>#REF!</v>
      </c>
      <c r="AB225" t="e">
        <f>AND('GA55 Entry'!#REF!,"AAAAAG2+7hs=")</f>
        <v>#REF!</v>
      </c>
      <c r="AC225" t="e">
        <f>AND('GA55 Entry'!D896,"AAAAAG2+7hw=")</f>
        <v>#VALUE!</v>
      </c>
      <c r="AD225" t="e">
        <f>AND('GA55 Entry'!#REF!,"AAAAAG2+7h0=")</f>
        <v>#REF!</v>
      </c>
      <c r="AE225" t="e">
        <f>AND('GA55 Entry'!E896,"AAAAAG2+7h4=")</f>
        <v>#VALUE!</v>
      </c>
      <c r="AF225" t="e">
        <f>AND('GA55 Entry'!F896,"AAAAAG2+7h8=")</f>
        <v>#VALUE!</v>
      </c>
      <c r="AG225" t="e">
        <f>AND('GA55 Entry'!G896,"AAAAAG2+7iA=")</f>
        <v>#VALUE!</v>
      </c>
      <c r="AH225" t="e">
        <f>AND('GA55 Entry'!H896,"AAAAAG2+7iE=")</f>
        <v>#VALUE!</v>
      </c>
      <c r="AI225" t="e">
        <f>AND('GA55 Entry'!I896,"AAAAAG2+7iI=")</f>
        <v>#VALUE!</v>
      </c>
      <c r="AJ225" t="e">
        <f>AND('GA55 Entry'!J896,"AAAAAG2+7iM=")</f>
        <v>#VALUE!</v>
      </c>
      <c r="AK225" t="e">
        <f>AND('GA55 Entry'!#REF!,"AAAAAG2+7iQ=")</f>
        <v>#REF!</v>
      </c>
      <c r="AL225" t="e">
        <f>AND('GA55 Entry'!K896,"AAAAAG2+7iU=")</f>
        <v>#VALUE!</v>
      </c>
      <c r="AM225" t="e">
        <f>AND('GA55 Entry'!L896,"AAAAAG2+7iY=")</f>
        <v>#VALUE!</v>
      </c>
      <c r="AN225" t="e">
        <f>AND('GA55 Entry'!M896,"AAAAAG2+7ic=")</f>
        <v>#VALUE!</v>
      </c>
      <c r="AO225" t="e">
        <f>AND('GA55 Entry'!N896,"AAAAAG2+7ig=")</f>
        <v>#VALUE!</v>
      </c>
      <c r="AP225" t="e">
        <f>AND('GA55 Entry'!O896,"AAAAAG2+7ik=")</f>
        <v>#VALUE!</v>
      </c>
      <c r="AQ225" t="e">
        <f>AND('GA55 Entry'!P896,"AAAAAG2+7io=")</f>
        <v>#VALUE!</v>
      </c>
      <c r="AR225" t="e">
        <f>AND('GA55 Entry'!Q896,"AAAAAG2+7is=")</f>
        <v>#VALUE!</v>
      </c>
      <c r="AS225" t="e">
        <f>AND('GA55 Entry'!S896,"AAAAAG2+7iw=")</f>
        <v>#VALUE!</v>
      </c>
      <c r="AT225" t="e">
        <f>AND('GA55 Entry'!#REF!,"AAAAAG2+7i0=")</f>
        <v>#REF!</v>
      </c>
      <c r="AU225" t="e">
        <f>AND('GA55 Entry'!T896,"AAAAAG2+7i4=")</f>
        <v>#VALUE!</v>
      </c>
      <c r="AV225" t="e">
        <f>AND('GA55 Entry'!U896,"AAAAAG2+7i8=")</f>
        <v>#VALUE!</v>
      </c>
      <c r="AW225" t="e">
        <f>AND('GA55 Entry'!V896,"AAAAAG2+7jA=")</f>
        <v>#VALUE!</v>
      </c>
      <c r="AX225" t="e">
        <f>AND('GA55 Entry'!#REF!,"AAAAAG2+7jE=")</f>
        <v>#REF!</v>
      </c>
      <c r="AY225" t="e">
        <f>AND('GA55 Entry'!#REF!,"AAAAAG2+7jI=")</f>
        <v>#REF!</v>
      </c>
      <c r="AZ225" t="e">
        <f>AND('GA55 Entry'!X896,"AAAAAG2+7jM=")</f>
        <v>#VALUE!</v>
      </c>
      <c r="BA225" t="e">
        <f>AND('GA55 Entry'!Y896,"AAAAAG2+7jQ=")</f>
        <v>#VALUE!</v>
      </c>
      <c r="BB225" t="e">
        <f>AND('GA55 Entry'!#REF!,"AAAAAG2+7jU=")</f>
        <v>#REF!</v>
      </c>
      <c r="BC225" t="e">
        <f>AND('GA55 Entry'!#REF!,"AAAAAG2+7jY=")</f>
        <v>#REF!</v>
      </c>
      <c r="BD225" t="e">
        <f>AND('GA55 Entry'!#REF!,"AAAAAG2+7jc=")</f>
        <v>#REF!</v>
      </c>
      <c r="BE225" t="e">
        <f>AND('GA55 Entry'!#REF!,"AAAAAG2+7jg=")</f>
        <v>#REF!</v>
      </c>
      <c r="BF225" t="e">
        <f>AND('GA55 Entry'!#REF!,"AAAAAG2+7jk=")</f>
        <v>#REF!</v>
      </c>
      <c r="BG225" t="e">
        <f>AND('GA55 Entry'!#REF!,"AAAAAG2+7jo=")</f>
        <v>#REF!</v>
      </c>
      <c r="BH225" t="e">
        <f>AND('GA55 Entry'!#REF!,"AAAAAG2+7js=")</f>
        <v>#REF!</v>
      </c>
      <c r="BI225" t="e">
        <f>AND('GA55 Entry'!#REF!,"AAAAAG2+7jw=")</f>
        <v>#REF!</v>
      </c>
      <c r="BJ225" t="e">
        <f>AND('GA55 Entry'!#REF!,"AAAAAG2+7j0=")</f>
        <v>#REF!</v>
      </c>
      <c r="BK225" t="e">
        <f>AND('GA55 Entry'!Z896,"AAAAAG2+7j4=")</f>
        <v>#VALUE!</v>
      </c>
      <c r="BL225" t="e">
        <f>AND('GA55 Entry'!AA896,"AAAAAG2+7j8=")</f>
        <v>#VALUE!</v>
      </c>
      <c r="BM225" t="e">
        <f>AND('GA55 Entry'!#REF!,"AAAAAG2+7kA=")</f>
        <v>#REF!</v>
      </c>
      <c r="BN225" t="e">
        <f>AND('GA55 Entry'!#REF!,"AAAAAG2+7kE=")</f>
        <v>#REF!</v>
      </c>
      <c r="BO225" t="e">
        <f>AND('GA55 Entry'!#REF!,"AAAAAG2+7kI=")</f>
        <v>#REF!</v>
      </c>
      <c r="BP225" t="e">
        <f>AND('GA55 Entry'!AB896,"AAAAAG2+7kM=")</f>
        <v>#VALUE!</v>
      </c>
      <c r="BQ225" t="e">
        <f>AND('GA55 Entry'!AC896,"AAAAAG2+7kQ=")</f>
        <v>#VALUE!</v>
      </c>
      <c r="BR225" t="e">
        <f>AND('GA55 Entry'!#REF!,"AAAAAG2+7kU=")</f>
        <v>#REF!</v>
      </c>
      <c r="BS225">
        <f>IF('GA55 Entry'!897:897,"AAAAAG2+7kY=",0)</f>
        <v>0</v>
      </c>
      <c r="BT225" t="e">
        <f>AND('GA55 Entry'!B897,"AAAAAG2+7kc=")</f>
        <v>#VALUE!</v>
      </c>
      <c r="BU225" t="e">
        <f>AND('GA55 Entry'!#REF!,"AAAAAG2+7kg=")</f>
        <v>#REF!</v>
      </c>
      <c r="BV225" t="e">
        <f>AND('GA55 Entry'!C897,"AAAAAG2+7kk=")</f>
        <v>#VALUE!</v>
      </c>
      <c r="BW225" t="e">
        <f>AND('GA55 Entry'!#REF!,"AAAAAG2+7ko=")</f>
        <v>#REF!</v>
      </c>
      <c r="BX225" t="e">
        <f>AND('GA55 Entry'!#REF!,"AAAAAG2+7ks=")</f>
        <v>#REF!</v>
      </c>
      <c r="BY225" t="e">
        <f>AND('GA55 Entry'!#REF!,"AAAAAG2+7kw=")</f>
        <v>#REF!</v>
      </c>
      <c r="BZ225" t="e">
        <f>AND('GA55 Entry'!#REF!,"AAAAAG2+7k0=")</f>
        <v>#REF!</v>
      </c>
      <c r="CA225" t="e">
        <f>AND('GA55 Entry'!#REF!,"AAAAAG2+7k4=")</f>
        <v>#REF!</v>
      </c>
      <c r="CB225" t="e">
        <f>AND('GA55 Entry'!D897,"AAAAAG2+7k8=")</f>
        <v>#VALUE!</v>
      </c>
      <c r="CC225" t="e">
        <f>AND('GA55 Entry'!#REF!,"AAAAAG2+7lA=")</f>
        <v>#REF!</v>
      </c>
      <c r="CD225" t="e">
        <f>AND('GA55 Entry'!E897,"AAAAAG2+7lE=")</f>
        <v>#VALUE!</v>
      </c>
      <c r="CE225" t="e">
        <f>AND('GA55 Entry'!F897,"AAAAAG2+7lI=")</f>
        <v>#VALUE!</v>
      </c>
      <c r="CF225" t="e">
        <f>AND('GA55 Entry'!G897,"AAAAAG2+7lM=")</f>
        <v>#VALUE!</v>
      </c>
      <c r="CG225" t="e">
        <f>AND('GA55 Entry'!H897,"AAAAAG2+7lQ=")</f>
        <v>#VALUE!</v>
      </c>
      <c r="CH225" t="e">
        <f>AND('GA55 Entry'!I897,"AAAAAG2+7lU=")</f>
        <v>#VALUE!</v>
      </c>
      <c r="CI225" t="e">
        <f>AND('GA55 Entry'!J897,"AAAAAG2+7lY=")</f>
        <v>#VALUE!</v>
      </c>
      <c r="CJ225" t="e">
        <f>AND('GA55 Entry'!#REF!,"AAAAAG2+7lc=")</f>
        <v>#REF!</v>
      </c>
      <c r="CK225" t="e">
        <f>AND('GA55 Entry'!K897,"AAAAAG2+7lg=")</f>
        <v>#VALUE!</v>
      </c>
      <c r="CL225" t="e">
        <f>AND('GA55 Entry'!L897,"AAAAAG2+7lk=")</f>
        <v>#VALUE!</v>
      </c>
      <c r="CM225" t="e">
        <f>AND('GA55 Entry'!M897,"AAAAAG2+7lo=")</f>
        <v>#VALUE!</v>
      </c>
      <c r="CN225" t="e">
        <f>AND('GA55 Entry'!N897,"AAAAAG2+7ls=")</f>
        <v>#VALUE!</v>
      </c>
      <c r="CO225" t="e">
        <f>AND('GA55 Entry'!O897,"AAAAAG2+7lw=")</f>
        <v>#VALUE!</v>
      </c>
      <c r="CP225" t="e">
        <f>AND('GA55 Entry'!P897,"AAAAAG2+7l0=")</f>
        <v>#VALUE!</v>
      </c>
      <c r="CQ225" t="e">
        <f>AND('GA55 Entry'!Q897,"AAAAAG2+7l4=")</f>
        <v>#VALUE!</v>
      </c>
      <c r="CR225" t="e">
        <f>AND('GA55 Entry'!S897,"AAAAAG2+7l8=")</f>
        <v>#VALUE!</v>
      </c>
      <c r="CS225" t="e">
        <f>AND('GA55 Entry'!#REF!,"AAAAAG2+7mA=")</f>
        <v>#REF!</v>
      </c>
      <c r="CT225" t="e">
        <f>AND('GA55 Entry'!T897,"AAAAAG2+7mE=")</f>
        <v>#VALUE!</v>
      </c>
      <c r="CU225" t="e">
        <f>AND('GA55 Entry'!U897,"AAAAAG2+7mI=")</f>
        <v>#VALUE!</v>
      </c>
      <c r="CV225" t="e">
        <f>AND('GA55 Entry'!V897,"AAAAAG2+7mM=")</f>
        <v>#VALUE!</v>
      </c>
      <c r="CW225" t="e">
        <f>AND('GA55 Entry'!#REF!,"AAAAAG2+7mQ=")</f>
        <v>#REF!</v>
      </c>
      <c r="CX225" t="e">
        <f>AND('GA55 Entry'!#REF!,"AAAAAG2+7mU=")</f>
        <v>#REF!</v>
      </c>
      <c r="CY225" t="e">
        <f>AND('GA55 Entry'!X897,"AAAAAG2+7mY=")</f>
        <v>#VALUE!</v>
      </c>
      <c r="CZ225" t="e">
        <f>AND('GA55 Entry'!Y897,"AAAAAG2+7mc=")</f>
        <v>#VALUE!</v>
      </c>
      <c r="DA225" t="e">
        <f>AND('GA55 Entry'!#REF!,"AAAAAG2+7mg=")</f>
        <v>#REF!</v>
      </c>
      <c r="DB225" t="e">
        <f>AND('GA55 Entry'!#REF!,"AAAAAG2+7mk=")</f>
        <v>#REF!</v>
      </c>
      <c r="DC225" t="e">
        <f>AND('GA55 Entry'!#REF!,"AAAAAG2+7mo=")</f>
        <v>#REF!</v>
      </c>
      <c r="DD225" t="e">
        <f>AND('GA55 Entry'!#REF!,"AAAAAG2+7ms=")</f>
        <v>#REF!</v>
      </c>
      <c r="DE225" t="e">
        <f>AND('GA55 Entry'!#REF!,"AAAAAG2+7mw=")</f>
        <v>#REF!</v>
      </c>
      <c r="DF225" t="e">
        <f>AND('GA55 Entry'!#REF!,"AAAAAG2+7m0=")</f>
        <v>#REF!</v>
      </c>
      <c r="DG225" t="e">
        <f>AND('GA55 Entry'!#REF!,"AAAAAG2+7m4=")</f>
        <v>#REF!</v>
      </c>
      <c r="DH225" t="e">
        <f>AND('GA55 Entry'!#REF!,"AAAAAG2+7m8=")</f>
        <v>#REF!</v>
      </c>
      <c r="DI225" t="e">
        <f>AND('GA55 Entry'!#REF!,"AAAAAG2+7nA=")</f>
        <v>#REF!</v>
      </c>
      <c r="DJ225" t="e">
        <f>AND('GA55 Entry'!Z897,"AAAAAG2+7nE=")</f>
        <v>#VALUE!</v>
      </c>
      <c r="DK225" t="e">
        <f>AND('GA55 Entry'!AA897,"AAAAAG2+7nI=")</f>
        <v>#VALUE!</v>
      </c>
      <c r="DL225" t="e">
        <f>AND('GA55 Entry'!#REF!,"AAAAAG2+7nM=")</f>
        <v>#REF!</v>
      </c>
      <c r="DM225" t="e">
        <f>AND('GA55 Entry'!#REF!,"AAAAAG2+7nQ=")</f>
        <v>#REF!</v>
      </c>
      <c r="DN225" t="e">
        <f>AND('GA55 Entry'!#REF!,"AAAAAG2+7nU=")</f>
        <v>#REF!</v>
      </c>
      <c r="DO225" t="e">
        <f>AND('GA55 Entry'!AB897,"AAAAAG2+7nY=")</f>
        <v>#VALUE!</v>
      </c>
      <c r="DP225" t="e">
        <f>AND('GA55 Entry'!AC897,"AAAAAG2+7nc=")</f>
        <v>#VALUE!</v>
      </c>
      <c r="DQ225" t="e">
        <f>AND('GA55 Entry'!#REF!,"AAAAAG2+7ng=")</f>
        <v>#REF!</v>
      </c>
      <c r="DR225">
        <f>IF('GA55 Entry'!898:898,"AAAAAG2+7nk=",0)</f>
        <v>0</v>
      </c>
      <c r="DS225" t="e">
        <f>AND('GA55 Entry'!B898,"AAAAAG2+7no=")</f>
        <v>#VALUE!</v>
      </c>
      <c r="DT225" t="e">
        <f>AND('GA55 Entry'!#REF!,"AAAAAG2+7ns=")</f>
        <v>#REF!</v>
      </c>
      <c r="DU225" t="e">
        <f>AND('GA55 Entry'!C898,"AAAAAG2+7nw=")</f>
        <v>#VALUE!</v>
      </c>
      <c r="DV225" t="e">
        <f>AND('GA55 Entry'!#REF!,"AAAAAG2+7n0=")</f>
        <v>#REF!</v>
      </c>
      <c r="DW225" t="e">
        <f>AND('GA55 Entry'!#REF!,"AAAAAG2+7n4=")</f>
        <v>#REF!</v>
      </c>
      <c r="DX225" t="e">
        <f>AND('GA55 Entry'!#REF!,"AAAAAG2+7n8=")</f>
        <v>#REF!</v>
      </c>
      <c r="DY225" t="e">
        <f>AND('GA55 Entry'!#REF!,"AAAAAG2+7oA=")</f>
        <v>#REF!</v>
      </c>
      <c r="DZ225" t="e">
        <f>AND('GA55 Entry'!#REF!,"AAAAAG2+7oE=")</f>
        <v>#REF!</v>
      </c>
      <c r="EA225" t="e">
        <f>AND('GA55 Entry'!D898,"AAAAAG2+7oI=")</f>
        <v>#VALUE!</v>
      </c>
      <c r="EB225" t="e">
        <f>AND('GA55 Entry'!#REF!,"AAAAAG2+7oM=")</f>
        <v>#REF!</v>
      </c>
      <c r="EC225" t="e">
        <f>AND('GA55 Entry'!E898,"AAAAAG2+7oQ=")</f>
        <v>#VALUE!</v>
      </c>
      <c r="ED225" t="e">
        <f>AND('GA55 Entry'!F898,"AAAAAG2+7oU=")</f>
        <v>#VALUE!</v>
      </c>
      <c r="EE225" t="e">
        <f>AND('GA55 Entry'!G898,"AAAAAG2+7oY=")</f>
        <v>#VALUE!</v>
      </c>
      <c r="EF225" t="e">
        <f>AND('GA55 Entry'!H898,"AAAAAG2+7oc=")</f>
        <v>#VALUE!</v>
      </c>
      <c r="EG225" t="e">
        <f>AND('GA55 Entry'!I898,"AAAAAG2+7og=")</f>
        <v>#VALUE!</v>
      </c>
      <c r="EH225" t="e">
        <f>AND('GA55 Entry'!J898,"AAAAAG2+7ok=")</f>
        <v>#VALUE!</v>
      </c>
      <c r="EI225" t="e">
        <f>AND('GA55 Entry'!#REF!,"AAAAAG2+7oo=")</f>
        <v>#REF!</v>
      </c>
      <c r="EJ225" t="e">
        <f>AND('GA55 Entry'!K898,"AAAAAG2+7os=")</f>
        <v>#VALUE!</v>
      </c>
      <c r="EK225" t="e">
        <f>AND('GA55 Entry'!L898,"AAAAAG2+7ow=")</f>
        <v>#VALUE!</v>
      </c>
      <c r="EL225" t="e">
        <f>AND('GA55 Entry'!M898,"AAAAAG2+7o0=")</f>
        <v>#VALUE!</v>
      </c>
      <c r="EM225" t="e">
        <f>AND('GA55 Entry'!N898,"AAAAAG2+7o4=")</f>
        <v>#VALUE!</v>
      </c>
      <c r="EN225" t="e">
        <f>AND('GA55 Entry'!O898,"AAAAAG2+7o8=")</f>
        <v>#VALUE!</v>
      </c>
      <c r="EO225" t="e">
        <f>AND('GA55 Entry'!P898,"AAAAAG2+7pA=")</f>
        <v>#VALUE!</v>
      </c>
      <c r="EP225" t="e">
        <f>AND('GA55 Entry'!Q898,"AAAAAG2+7pE=")</f>
        <v>#VALUE!</v>
      </c>
      <c r="EQ225" t="e">
        <f>AND('GA55 Entry'!S898,"AAAAAG2+7pI=")</f>
        <v>#VALUE!</v>
      </c>
      <c r="ER225" t="e">
        <f>AND('GA55 Entry'!#REF!,"AAAAAG2+7pM=")</f>
        <v>#REF!</v>
      </c>
      <c r="ES225" t="e">
        <f>AND('GA55 Entry'!T898,"AAAAAG2+7pQ=")</f>
        <v>#VALUE!</v>
      </c>
      <c r="ET225" t="e">
        <f>AND('GA55 Entry'!U898,"AAAAAG2+7pU=")</f>
        <v>#VALUE!</v>
      </c>
      <c r="EU225" t="e">
        <f>AND('GA55 Entry'!V898,"AAAAAG2+7pY=")</f>
        <v>#VALUE!</v>
      </c>
      <c r="EV225" t="e">
        <f>AND('GA55 Entry'!#REF!,"AAAAAG2+7pc=")</f>
        <v>#REF!</v>
      </c>
      <c r="EW225" t="e">
        <f>AND('GA55 Entry'!#REF!,"AAAAAG2+7pg=")</f>
        <v>#REF!</v>
      </c>
      <c r="EX225" t="e">
        <f>AND('GA55 Entry'!X898,"AAAAAG2+7pk=")</f>
        <v>#VALUE!</v>
      </c>
      <c r="EY225" t="e">
        <f>AND('GA55 Entry'!Y898,"AAAAAG2+7po=")</f>
        <v>#VALUE!</v>
      </c>
      <c r="EZ225" t="e">
        <f>AND('GA55 Entry'!#REF!,"AAAAAG2+7ps=")</f>
        <v>#REF!</v>
      </c>
      <c r="FA225" t="e">
        <f>AND('GA55 Entry'!#REF!,"AAAAAG2+7pw=")</f>
        <v>#REF!</v>
      </c>
      <c r="FB225" t="e">
        <f>AND('GA55 Entry'!#REF!,"AAAAAG2+7p0=")</f>
        <v>#REF!</v>
      </c>
      <c r="FC225" t="e">
        <f>AND('GA55 Entry'!#REF!,"AAAAAG2+7p4=")</f>
        <v>#REF!</v>
      </c>
      <c r="FD225" t="e">
        <f>AND('GA55 Entry'!#REF!,"AAAAAG2+7p8=")</f>
        <v>#REF!</v>
      </c>
      <c r="FE225" t="e">
        <f>AND('GA55 Entry'!#REF!,"AAAAAG2+7qA=")</f>
        <v>#REF!</v>
      </c>
      <c r="FF225" t="e">
        <f>AND('GA55 Entry'!#REF!,"AAAAAG2+7qE=")</f>
        <v>#REF!</v>
      </c>
      <c r="FG225" t="e">
        <f>AND('GA55 Entry'!#REF!,"AAAAAG2+7qI=")</f>
        <v>#REF!</v>
      </c>
      <c r="FH225" t="e">
        <f>AND('GA55 Entry'!#REF!,"AAAAAG2+7qM=")</f>
        <v>#REF!</v>
      </c>
      <c r="FI225" t="e">
        <f>AND('GA55 Entry'!Z898,"AAAAAG2+7qQ=")</f>
        <v>#VALUE!</v>
      </c>
      <c r="FJ225" t="e">
        <f>AND('GA55 Entry'!AA898,"AAAAAG2+7qU=")</f>
        <v>#VALUE!</v>
      </c>
      <c r="FK225" t="e">
        <f>AND('GA55 Entry'!#REF!,"AAAAAG2+7qY=")</f>
        <v>#REF!</v>
      </c>
      <c r="FL225" t="e">
        <f>AND('GA55 Entry'!#REF!,"AAAAAG2+7qc=")</f>
        <v>#REF!</v>
      </c>
      <c r="FM225" t="e">
        <f>AND('GA55 Entry'!#REF!,"AAAAAG2+7qg=")</f>
        <v>#REF!</v>
      </c>
      <c r="FN225" t="e">
        <f>AND('GA55 Entry'!AB898,"AAAAAG2+7qk=")</f>
        <v>#VALUE!</v>
      </c>
      <c r="FO225" t="e">
        <f>AND('GA55 Entry'!AC898,"AAAAAG2+7qo=")</f>
        <v>#VALUE!</v>
      </c>
      <c r="FP225" t="e">
        <f>AND('GA55 Entry'!#REF!,"AAAAAG2+7qs=")</f>
        <v>#REF!</v>
      </c>
      <c r="FQ225">
        <f>IF('GA55 Entry'!899:899,"AAAAAG2+7qw=",0)</f>
        <v>0</v>
      </c>
      <c r="FR225" t="e">
        <f>AND('GA55 Entry'!B899,"AAAAAG2+7q0=")</f>
        <v>#VALUE!</v>
      </c>
      <c r="FS225" t="e">
        <f>AND('GA55 Entry'!#REF!,"AAAAAG2+7q4=")</f>
        <v>#REF!</v>
      </c>
      <c r="FT225" t="e">
        <f>AND('GA55 Entry'!C899,"AAAAAG2+7q8=")</f>
        <v>#VALUE!</v>
      </c>
      <c r="FU225" t="e">
        <f>AND('GA55 Entry'!#REF!,"AAAAAG2+7rA=")</f>
        <v>#REF!</v>
      </c>
      <c r="FV225" t="e">
        <f>AND('GA55 Entry'!#REF!,"AAAAAG2+7rE=")</f>
        <v>#REF!</v>
      </c>
      <c r="FW225" t="e">
        <f>AND('GA55 Entry'!#REF!,"AAAAAG2+7rI=")</f>
        <v>#REF!</v>
      </c>
      <c r="FX225" t="e">
        <f>AND('GA55 Entry'!#REF!,"AAAAAG2+7rM=")</f>
        <v>#REF!</v>
      </c>
      <c r="FY225" t="e">
        <f>AND('GA55 Entry'!#REF!,"AAAAAG2+7rQ=")</f>
        <v>#REF!</v>
      </c>
      <c r="FZ225" t="e">
        <f>AND('GA55 Entry'!D899,"AAAAAG2+7rU=")</f>
        <v>#VALUE!</v>
      </c>
      <c r="GA225" t="e">
        <f>AND('GA55 Entry'!#REF!,"AAAAAG2+7rY=")</f>
        <v>#REF!</v>
      </c>
      <c r="GB225" t="e">
        <f>AND('GA55 Entry'!E899,"AAAAAG2+7rc=")</f>
        <v>#VALUE!</v>
      </c>
      <c r="GC225" t="e">
        <f>AND('GA55 Entry'!F899,"AAAAAG2+7rg=")</f>
        <v>#VALUE!</v>
      </c>
      <c r="GD225" t="e">
        <f>AND('GA55 Entry'!G899,"AAAAAG2+7rk=")</f>
        <v>#VALUE!</v>
      </c>
      <c r="GE225" t="e">
        <f>AND('GA55 Entry'!H899,"AAAAAG2+7ro=")</f>
        <v>#VALUE!</v>
      </c>
      <c r="GF225" t="e">
        <f>AND('GA55 Entry'!I899,"AAAAAG2+7rs=")</f>
        <v>#VALUE!</v>
      </c>
      <c r="GG225" t="e">
        <f>AND('GA55 Entry'!J899,"AAAAAG2+7rw=")</f>
        <v>#VALUE!</v>
      </c>
      <c r="GH225" t="e">
        <f>AND('GA55 Entry'!#REF!,"AAAAAG2+7r0=")</f>
        <v>#REF!</v>
      </c>
      <c r="GI225" t="e">
        <f>AND('GA55 Entry'!K899,"AAAAAG2+7r4=")</f>
        <v>#VALUE!</v>
      </c>
      <c r="GJ225" t="e">
        <f>AND('GA55 Entry'!L899,"AAAAAG2+7r8=")</f>
        <v>#VALUE!</v>
      </c>
      <c r="GK225" t="e">
        <f>AND('GA55 Entry'!M899,"AAAAAG2+7sA=")</f>
        <v>#VALUE!</v>
      </c>
      <c r="GL225" t="e">
        <f>AND('GA55 Entry'!N899,"AAAAAG2+7sE=")</f>
        <v>#VALUE!</v>
      </c>
      <c r="GM225" t="e">
        <f>AND('GA55 Entry'!O899,"AAAAAG2+7sI=")</f>
        <v>#VALUE!</v>
      </c>
      <c r="GN225" t="e">
        <f>AND('GA55 Entry'!P899,"AAAAAG2+7sM=")</f>
        <v>#VALUE!</v>
      </c>
      <c r="GO225" t="e">
        <f>AND('GA55 Entry'!Q899,"AAAAAG2+7sQ=")</f>
        <v>#VALUE!</v>
      </c>
      <c r="GP225" t="e">
        <f>AND('GA55 Entry'!S899,"AAAAAG2+7sU=")</f>
        <v>#VALUE!</v>
      </c>
      <c r="GQ225" t="e">
        <f>AND('GA55 Entry'!#REF!,"AAAAAG2+7sY=")</f>
        <v>#REF!</v>
      </c>
      <c r="GR225" t="e">
        <f>AND('GA55 Entry'!T899,"AAAAAG2+7sc=")</f>
        <v>#VALUE!</v>
      </c>
      <c r="GS225" t="e">
        <f>AND('GA55 Entry'!U899,"AAAAAG2+7sg=")</f>
        <v>#VALUE!</v>
      </c>
      <c r="GT225" t="e">
        <f>AND('GA55 Entry'!V899,"AAAAAG2+7sk=")</f>
        <v>#VALUE!</v>
      </c>
      <c r="GU225" t="e">
        <f>AND('GA55 Entry'!#REF!,"AAAAAG2+7so=")</f>
        <v>#REF!</v>
      </c>
      <c r="GV225" t="e">
        <f>AND('GA55 Entry'!#REF!,"AAAAAG2+7ss=")</f>
        <v>#REF!</v>
      </c>
      <c r="GW225" t="e">
        <f>AND('GA55 Entry'!X899,"AAAAAG2+7sw=")</f>
        <v>#VALUE!</v>
      </c>
      <c r="GX225" t="e">
        <f>AND('GA55 Entry'!Y899,"AAAAAG2+7s0=")</f>
        <v>#VALUE!</v>
      </c>
      <c r="GY225" t="e">
        <f>AND('GA55 Entry'!#REF!,"AAAAAG2+7s4=")</f>
        <v>#REF!</v>
      </c>
      <c r="GZ225" t="e">
        <f>AND('GA55 Entry'!#REF!,"AAAAAG2+7s8=")</f>
        <v>#REF!</v>
      </c>
      <c r="HA225" t="e">
        <f>AND('GA55 Entry'!#REF!,"AAAAAG2+7tA=")</f>
        <v>#REF!</v>
      </c>
      <c r="HB225" t="e">
        <f>AND('GA55 Entry'!#REF!,"AAAAAG2+7tE=")</f>
        <v>#REF!</v>
      </c>
      <c r="HC225" t="e">
        <f>AND('GA55 Entry'!#REF!,"AAAAAG2+7tI=")</f>
        <v>#REF!</v>
      </c>
      <c r="HD225" t="e">
        <f>AND('GA55 Entry'!#REF!,"AAAAAG2+7tM=")</f>
        <v>#REF!</v>
      </c>
      <c r="HE225" t="e">
        <f>AND('GA55 Entry'!#REF!,"AAAAAG2+7tQ=")</f>
        <v>#REF!</v>
      </c>
      <c r="HF225" t="e">
        <f>AND('GA55 Entry'!#REF!,"AAAAAG2+7tU=")</f>
        <v>#REF!</v>
      </c>
      <c r="HG225" t="e">
        <f>AND('GA55 Entry'!#REF!,"AAAAAG2+7tY=")</f>
        <v>#REF!</v>
      </c>
      <c r="HH225" t="e">
        <f>AND('GA55 Entry'!Z899,"AAAAAG2+7tc=")</f>
        <v>#VALUE!</v>
      </c>
      <c r="HI225" t="e">
        <f>AND('GA55 Entry'!AA899,"AAAAAG2+7tg=")</f>
        <v>#VALUE!</v>
      </c>
      <c r="HJ225" t="e">
        <f>AND('GA55 Entry'!#REF!,"AAAAAG2+7tk=")</f>
        <v>#REF!</v>
      </c>
      <c r="HK225" t="e">
        <f>AND('GA55 Entry'!#REF!,"AAAAAG2+7to=")</f>
        <v>#REF!</v>
      </c>
      <c r="HL225" t="e">
        <f>AND('GA55 Entry'!#REF!,"AAAAAG2+7ts=")</f>
        <v>#REF!</v>
      </c>
      <c r="HM225" t="e">
        <f>AND('GA55 Entry'!AB899,"AAAAAG2+7tw=")</f>
        <v>#VALUE!</v>
      </c>
      <c r="HN225" t="e">
        <f>AND('GA55 Entry'!AC899,"AAAAAG2+7t0=")</f>
        <v>#VALUE!</v>
      </c>
      <c r="HO225" t="e">
        <f>AND('GA55 Entry'!#REF!,"AAAAAG2+7t4=")</f>
        <v>#REF!</v>
      </c>
      <c r="HP225">
        <f>IF('GA55 Entry'!900:900,"AAAAAG2+7t8=",0)</f>
        <v>0</v>
      </c>
      <c r="HQ225" t="e">
        <f>AND('GA55 Entry'!B900,"AAAAAG2+7uA=")</f>
        <v>#VALUE!</v>
      </c>
      <c r="HR225" t="e">
        <f>AND('GA55 Entry'!#REF!,"AAAAAG2+7uE=")</f>
        <v>#REF!</v>
      </c>
      <c r="HS225" t="e">
        <f>AND('GA55 Entry'!C900,"AAAAAG2+7uI=")</f>
        <v>#VALUE!</v>
      </c>
      <c r="HT225" t="e">
        <f>AND('GA55 Entry'!#REF!,"AAAAAG2+7uM=")</f>
        <v>#REF!</v>
      </c>
      <c r="HU225" t="e">
        <f>AND('GA55 Entry'!#REF!,"AAAAAG2+7uQ=")</f>
        <v>#REF!</v>
      </c>
      <c r="HV225" t="e">
        <f>AND('GA55 Entry'!#REF!,"AAAAAG2+7uU=")</f>
        <v>#REF!</v>
      </c>
      <c r="HW225" t="e">
        <f>AND('GA55 Entry'!#REF!,"AAAAAG2+7uY=")</f>
        <v>#REF!</v>
      </c>
      <c r="HX225" t="e">
        <f>AND('GA55 Entry'!#REF!,"AAAAAG2+7uc=")</f>
        <v>#REF!</v>
      </c>
      <c r="HY225" t="e">
        <f>AND('GA55 Entry'!D900,"AAAAAG2+7ug=")</f>
        <v>#VALUE!</v>
      </c>
      <c r="HZ225" t="e">
        <f>AND('GA55 Entry'!#REF!,"AAAAAG2+7uk=")</f>
        <v>#REF!</v>
      </c>
      <c r="IA225" t="e">
        <f>AND('GA55 Entry'!E900,"AAAAAG2+7uo=")</f>
        <v>#VALUE!</v>
      </c>
      <c r="IB225" t="e">
        <f>AND('GA55 Entry'!F900,"AAAAAG2+7us=")</f>
        <v>#VALUE!</v>
      </c>
      <c r="IC225" t="e">
        <f>AND('GA55 Entry'!G900,"AAAAAG2+7uw=")</f>
        <v>#VALUE!</v>
      </c>
      <c r="ID225" t="e">
        <f>AND('GA55 Entry'!H900,"AAAAAG2+7u0=")</f>
        <v>#VALUE!</v>
      </c>
      <c r="IE225" t="e">
        <f>AND('GA55 Entry'!I900,"AAAAAG2+7u4=")</f>
        <v>#VALUE!</v>
      </c>
      <c r="IF225" t="e">
        <f>AND('GA55 Entry'!J900,"AAAAAG2+7u8=")</f>
        <v>#VALUE!</v>
      </c>
      <c r="IG225" t="e">
        <f>AND('GA55 Entry'!#REF!,"AAAAAG2+7vA=")</f>
        <v>#REF!</v>
      </c>
      <c r="IH225" t="e">
        <f>AND('GA55 Entry'!K900,"AAAAAG2+7vE=")</f>
        <v>#VALUE!</v>
      </c>
      <c r="II225" t="e">
        <f>AND('GA55 Entry'!L900,"AAAAAG2+7vI=")</f>
        <v>#VALUE!</v>
      </c>
      <c r="IJ225" t="e">
        <f>AND('GA55 Entry'!M900,"AAAAAG2+7vM=")</f>
        <v>#VALUE!</v>
      </c>
      <c r="IK225" t="e">
        <f>AND('GA55 Entry'!N900,"AAAAAG2+7vQ=")</f>
        <v>#VALUE!</v>
      </c>
      <c r="IL225" t="e">
        <f>AND('GA55 Entry'!O900,"AAAAAG2+7vU=")</f>
        <v>#VALUE!</v>
      </c>
      <c r="IM225" t="e">
        <f>AND('GA55 Entry'!P900,"AAAAAG2+7vY=")</f>
        <v>#VALUE!</v>
      </c>
      <c r="IN225" t="e">
        <f>AND('GA55 Entry'!Q900,"AAAAAG2+7vc=")</f>
        <v>#VALUE!</v>
      </c>
      <c r="IO225" t="e">
        <f>AND('GA55 Entry'!S900,"AAAAAG2+7vg=")</f>
        <v>#VALUE!</v>
      </c>
      <c r="IP225" t="e">
        <f>AND('GA55 Entry'!#REF!,"AAAAAG2+7vk=")</f>
        <v>#REF!</v>
      </c>
      <c r="IQ225" t="e">
        <f>AND('GA55 Entry'!T900,"AAAAAG2+7vo=")</f>
        <v>#VALUE!</v>
      </c>
      <c r="IR225" t="e">
        <f>AND('GA55 Entry'!U900,"AAAAAG2+7vs=")</f>
        <v>#VALUE!</v>
      </c>
      <c r="IS225" t="e">
        <f>AND('GA55 Entry'!V900,"AAAAAG2+7vw=")</f>
        <v>#VALUE!</v>
      </c>
      <c r="IT225" t="e">
        <f>AND('GA55 Entry'!#REF!,"AAAAAG2+7v0=")</f>
        <v>#REF!</v>
      </c>
      <c r="IU225" t="e">
        <f>AND('GA55 Entry'!#REF!,"AAAAAG2+7v4=")</f>
        <v>#REF!</v>
      </c>
      <c r="IV225" t="e">
        <f>AND('GA55 Entry'!X900,"AAAAAG2+7v8=")</f>
        <v>#VALUE!</v>
      </c>
    </row>
    <row r="226" spans="1:256">
      <c r="A226" t="e">
        <f>AND('GA55 Entry'!Y900,"AAAAAGtd8wA=")</f>
        <v>#VALUE!</v>
      </c>
      <c r="B226" t="e">
        <f>AND('GA55 Entry'!#REF!,"AAAAAGtd8wE=")</f>
        <v>#REF!</v>
      </c>
      <c r="C226" t="e">
        <f>AND('GA55 Entry'!#REF!,"AAAAAGtd8wI=")</f>
        <v>#REF!</v>
      </c>
      <c r="D226" t="e">
        <f>AND('GA55 Entry'!#REF!,"AAAAAGtd8wM=")</f>
        <v>#REF!</v>
      </c>
      <c r="E226" t="e">
        <f>AND('GA55 Entry'!#REF!,"AAAAAGtd8wQ=")</f>
        <v>#REF!</v>
      </c>
      <c r="F226" t="e">
        <f>AND('GA55 Entry'!#REF!,"AAAAAGtd8wU=")</f>
        <v>#REF!</v>
      </c>
      <c r="G226" t="e">
        <f>AND('GA55 Entry'!#REF!,"AAAAAGtd8wY=")</f>
        <v>#REF!</v>
      </c>
      <c r="H226" t="e">
        <f>AND('GA55 Entry'!#REF!,"AAAAAGtd8wc=")</f>
        <v>#REF!</v>
      </c>
      <c r="I226" t="e">
        <f>AND('GA55 Entry'!#REF!,"AAAAAGtd8wg=")</f>
        <v>#REF!</v>
      </c>
      <c r="J226" t="e">
        <f>AND('GA55 Entry'!#REF!,"AAAAAGtd8wk=")</f>
        <v>#REF!</v>
      </c>
      <c r="K226" t="e">
        <f>AND('GA55 Entry'!Z900,"AAAAAGtd8wo=")</f>
        <v>#VALUE!</v>
      </c>
      <c r="L226" t="e">
        <f>AND('GA55 Entry'!AA900,"AAAAAGtd8ws=")</f>
        <v>#VALUE!</v>
      </c>
      <c r="M226" t="e">
        <f>AND('GA55 Entry'!#REF!,"AAAAAGtd8ww=")</f>
        <v>#REF!</v>
      </c>
      <c r="N226" t="e">
        <f>AND('GA55 Entry'!#REF!,"AAAAAGtd8w0=")</f>
        <v>#REF!</v>
      </c>
      <c r="O226" t="e">
        <f>AND('GA55 Entry'!#REF!,"AAAAAGtd8w4=")</f>
        <v>#REF!</v>
      </c>
      <c r="P226" t="e">
        <f>AND('GA55 Entry'!AB900,"AAAAAGtd8w8=")</f>
        <v>#VALUE!</v>
      </c>
      <c r="Q226" t="e">
        <f>AND('GA55 Entry'!AC900,"AAAAAGtd8xA=")</f>
        <v>#VALUE!</v>
      </c>
      <c r="R226" t="e">
        <f>AND('GA55 Entry'!#REF!,"AAAAAGtd8xE=")</f>
        <v>#REF!</v>
      </c>
      <c r="S226">
        <f>IF('GA55 Entry'!901:901,"AAAAAGtd8xI=",0)</f>
        <v>0</v>
      </c>
      <c r="T226" t="e">
        <f>AND('GA55 Entry'!B901,"AAAAAGtd8xM=")</f>
        <v>#VALUE!</v>
      </c>
      <c r="U226" t="e">
        <f>AND('GA55 Entry'!#REF!,"AAAAAGtd8xQ=")</f>
        <v>#REF!</v>
      </c>
      <c r="V226" t="e">
        <f>AND('GA55 Entry'!C901,"AAAAAGtd8xU=")</f>
        <v>#VALUE!</v>
      </c>
      <c r="W226" t="e">
        <f>AND('GA55 Entry'!#REF!,"AAAAAGtd8xY=")</f>
        <v>#REF!</v>
      </c>
      <c r="X226" t="e">
        <f>AND('GA55 Entry'!#REF!,"AAAAAGtd8xc=")</f>
        <v>#REF!</v>
      </c>
      <c r="Y226" t="e">
        <f>AND('GA55 Entry'!#REF!,"AAAAAGtd8xg=")</f>
        <v>#REF!</v>
      </c>
      <c r="Z226" t="e">
        <f>AND('GA55 Entry'!#REF!,"AAAAAGtd8xk=")</f>
        <v>#REF!</v>
      </c>
      <c r="AA226" t="e">
        <f>AND('GA55 Entry'!#REF!,"AAAAAGtd8xo=")</f>
        <v>#REF!</v>
      </c>
      <c r="AB226" t="e">
        <f>AND('GA55 Entry'!D901,"AAAAAGtd8xs=")</f>
        <v>#VALUE!</v>
      </c>
      <c r="AC226" t="e">
        <f>AND('GA55 Entry'!#REF!,"AAAAAGtd8xw=")</f>
        <v>#REF!</v>
      </c>
      <c r="AD226" t="e">
        <f>AND('GA55 Entry'!E901,"AAAAAGtd8x0=")</f>
        <v>#VALUE!</v>
      </c>
      <c r="AE226" t="e">
        <f>AND('GA55 Entry'!F901,"AAAAAGtd8x4=")</f>
        <v>#VALUE!</v>
      </c>
      <c r="AF226" t="e">
        <f>AND('GA55 Entry'!G901,"AAAAAGtd8x8=")</f>
        <v>#VALUE!</v>
      </c>
      <c r="AG226" t="e">
        <f>AND('GA55 Entry'!H901,"AAAAAGtd8yA=")</f>
        <v>#VALUE!</v>
      </c>
      <c r="AH226" t="e">
        <f>AND('GA55 Entry'!I901,"AAAAAGtd8yE=")</f>
        <v>#VALUE!</v>
      </c>
      <c r="AI226" t="e">
        <f>AND('GA55 Entry'!J901,"AAAAAGtd8yI=")</f>
        <v>#VALUE!</v>
      </c>
      <c r="AJ226" t="e">
        <f>AND('GA55 Entry'!#REF!,"AAAAAGtd8yM=")</f>
        <v>#REF!</v>
      </c>
      <c r="AK226" t="e">
        <f>AND('GA55 Entry'!K901,"AAAAAGtd8yQ=")</f>
        <v>#VALUE!</v>
      </c>
      <c r="AL226" t="e">
        <f>AND('GA55 Entry'!L901,"AAAAAGtd8yU=")</f>
        <v>#VALUE!</v>
      </c>
      <c r="AM226" t="e">
        <f>AND('GA55 Entry'!M901,"AAAAAGtd8yY=")</f>
        <v>#VALUE!</v>
      </c>
      <c r="AN226" t="e">
        <f>AND('GA55 Entry'!N901,"AAAAAGtd8yc=")</f>
        <v>#VALUE!</v>
      </c>
      <c r="AO226" t="e">
        <f>AND('GA55 Entry'!O901,"AAAAAGtd8yg=")</f>
        <v>#VALUE!</v>
      </c>
      <c r="AP226" t="e">
        <f>AND('GA55 Entry'!P901,"AAAAAGtd8yk=")</f>
        <v>#VALUE!</v>
      </c>
      <c r="AQ226" t="e">
        <f>AND('GA55 Entry'!Q901,"AAAAAGtd8yo=")</f>
        <v>#VALUE!</v>
      </c>
      <c r="AR226" t="e">
        <f>AND('GA55 Entry'!S901,"AAAAAGtd8ys=")</f>
        <v>#VALUE!</v>
      </c>
      <c r="AS226" t="e">
        <f>AND('GA55 Entry'!#REF!,"AAAAAGtd8yw=")</f>
        <v>#REF!</v>
      </c>
      <c r="AT226" t="e">
        <f>AND('GA55 Entry'!T901,"AAAAAGtd8y0=")</f>
        <v>#VALUE!</v>
      </c>
      <c r="AU226" t="e">
        <f>AND('GA55 Entry'!U901,"AAAAAGtd8y4=")</f>
        <v>#VALUE!</v>
      </c>
      <c r="AV226" t="e">
        <f>AND('GA55 Entry'!V901,"AAAAAGtd8y8=")</f>
        <v>#VALUE!</v>
      </c>
      <c r="AW226" t="e">
        <f>AND('GA55 Entry'!#REF!,"AAAAAGtd8zA=")</f>
        <v>#REF!</v>
      </c>
      <c r="AX226" t="e">
        <f>AND('GA55 Entry'!#REF!,"AAAAAGtd8zE=")</f>
        <v>#REF!</v>
      </c>
      <c r="AY226" t="e">
        <f>AND('GA55 Entry'!X901,"AAAAAGtd8zI=")</f>
        <v>#VALUE!</v>
      </c>
      <c r="AZ226" t="e">
        <f>AND('GA55 Entry'!Y901,"AAAAAGtd8zM=")</f>
        <v>#VALUE!</v>
      </c>
      <c r="BA226" t="e">
        <f>AND('GA55 Entry'!#REF!,"AAAAAGtd8zQ=")</f>
        <v>#REF!</v>
      </c>
      <c r="BB226" t="e">
        <f>AND('GA55 Entry'!#REF!,"AAAAAGtd8zU=")</f>
        <v>#REF!</v>
      </c>
      <c r="BC226" t="e">
        <f>AND('GA55 Entry'!#REF!,"AAAAAGtd8zY=")</f>
        <v>#REF!</v>
      </c>
      <c r="BD226" t="e">
        <f>AND('GA55 Entry'!#REF!,"AAAAAGtd8zc=")</f>
        <v>#REF!</v>
      </c>
      <c r="BE226" t="e">
        <f>AND('GA55 Entry'!#REF!,"AAAAAGtd8zg=")</f>
        <v>#REF!</v>
      </c>
      <c r="BF226" t="e">
        <f>AND('GA55 Entry'!#REF!,"AAAAAGtd8zk=")</f>
        <v>#REF!</v>
      </c>
      <c r="BG226" t="e">
        <f>AND('GA55 Entry'!#REF!,"AAAAAGtd8zo=")</f>
        <v>#REF!</v>
      </c>
      <c r="BH226" t="e">
        <f>AND('GA55 Entry'!#REF!,"AAAAAGtd8zs=")</f>
        <v>#REF!</v>
      </c>
      <c r="BI226" t="e">
        <f>AND('GA55 Entry'!#REF!,"AAAAAGtd8zw=")</f>
        <v>#REF!</v>
      </c>
      <c r="BJ226" t="e">
        <f>AND('GA55 Entry'!Z901,"AAAAAGtd8z0=")</f>
        <v>#VALUE!</v>
      </c>
      <c r="BK226" t="e">
        <f>AND('GA55 Entry'!AA901,"AAAAAGtd8z4=")</f>
        <v>#VALUE!</v>
      </c>
      <c r="BL226" t="e">
        <f>AND('GA55 Entry'!#REF!,"AAAAAGtd8z8=")</f>
        <v>#REF!</v>
      </c>
      <c r="BM226" t="e">
        <f>AND('GA55 Entry'!#REF!,"AAAAAGtd80A=")</f>
        <v>#REF!</v>
      </c>
      <c r="BN226" t="e">
        <f>AND('GA55 Entry'!#REF!,"AAAAAGtd80E=")</f>
        <v>#REF!</v>
      </c>
      <c r="BO226" t="e">
        <f>AND('GA55 Entry'!AB901,"AAAAAGtd80I=")</f>
        <v>#VALUE!</v>
      </c>
      <c r="BP226" t="e">
        <f>AND('GA55 Entry'!AC901,"AAAAAGtd80M=")</f>
        <v>#VALUE!</v>
      </c>
      <c r="BQ226" t="e">
        <f>AND('GA55 Entry'!#REF!,"AAAAAGtd80Q=")</f>
        <v>#REF!</v>
      </c>
      <c r="BR226">
        <f>IF('GA55 Entry'!902:902,"AAAAAGtd80U=",0)</f>
        <v>0</v>
      </c>
      <c r="BS226" t="e">
        <f>AND('GA55 Entry'!B902,"AAAAAGtd80Y=")</f>
        <v>#VALUE!</v>
      </c>
      <c r="BT226" t="e">
        <f>AND('GA55 Entry'!#REF!,"AAAAAGtd80c=")</f>
        <v>#REF!</v>
      </c>
      <c r="BU226" t="e">
        <f>AND('GA55 Entry'!C902,"AAAAAGtd80g=")</f>
        <v>#VALUE!</v>
      </c>
      <c r="BV226" t="e">
        <f>AND('GA55 Entry'!#REF!,"AAAAAGtd80k=")</f>
        <v>#REF!</v>
      </c>
      <c r="BW226" t="e">
        <f>AND('GA55 Entry'!#REF!,"AAAAAGtd80o=")</f>
        <v>#REF!</v>
      </c>
      <c r="BX226" t="e">
        <f>AND('GA55 Entry'!#REF!,"AAAAAGtd80s=")</f>
        <v>#REF!</v>
      </c>
      <c r="BY226" t="e">
        <f>AND('GA55 Entry'!#REF!,"AAAAAGtd80w=")</f>
        <v>#REF!</v>
      </c>
      <c r="BZ226" t="e">
        <f>AND('GA55 Entry'!#REF!,"AAAAAGtd800=")</f>
        <v>#REF!</v>
      </c>
      <c r="CA226" t="e">
        <f>AND('GA55 Entry'!D902,"AAAAAGtd804=")</f>
        <v>#VALUE!</v>
      </c>
      <c r="CB226" t="e">
        <f>AND('GA55 Entry'!#REF!,"AAAAAGtd808=")</f>
        <v>#REF!</v>
      </c>
      <c r="CC226" t="e">
        <f>AND('GA55 Entry'!E902,"AAAAAGtd81A=")</f>
        <v>#VALUE!</v>
      </c>
      <c r="CD226" t="e">
        <f>AND('GA55 Entry'!F902,"AAAAAGtd81E=")</f>
        <v>#VALUE!</v>
      </c>
      <c r="CE226" t="e">
        <f>AND('GA55 Entry'!G902,"AAAAAGtd81I=")</f>
        <v>#VALUE!</v>
      </c>
      <c r="CF226" t="e">
        <f>AND('GA55 Entry'!H902,"AAAAAGtd81M=")</f>
        <v>#VALUE!</v>
      </c>
      <c r="CG226" t="e">
        <f>AND('GA55 Entry'!I902,"AAAAAGtd81Q=")</f>
        <v>#VALUE!</v>
      </c>
      <c r="CH226" t="e">
        <f>AND('GA55 Entry'!J902,"AAAAAGtd81U=")</f>
        <v>#VALUE!</v>
      </c>
      <c r="CI226" t="e">
        <f>AND('GA55 Entry'!#REF!,"AAAAAGtd81Y=")</f>
        <v>#REF!</v>
      </c>
      <c r="CJ226" t="e">
        <f>AND('GA55 Entry'!K902,"AAAAAGtd81c=")</f>
        <v>#VALUE!</v>
      </c>
      <c r="CK226" t="e">
        <f>AND('GA55 Entry'!L902,"AAAAAGtd81g=")</f>
        <v>#VALUE!</v>
      </c>
      <c r="CL226" t="e">
        <f>AND('GA55 Entry'!M902,"AAAAAGtd81k=")</f>
        <v>#VALUE!</v>
      </c>
      <c r="CM226" t="e">
        <f>AND('GA55 Entry'!N902,"AAAAAGtd81o=")</f>
        <v>#VALUE!</v>
      </c>
      <c r="CN226" t="e">
        <f>AND('GA55 Entry'!O902,"AAAAAGtd81s=")</f>
        <v>#VALUE!</v>
      </c>
      <c r="CO226" t="e">
        <f>AND('GA55 Entry'!P902,"AAAAAGtd81w=")</f>
        <v>#VALUE!</v>
      </c>
      <c r="CP226" t="e">
        <f>AND('GA55 Entry'!Q902,"AAAAAGtd810=")</f>
        <v>#VALUE!</v>
      </c>
      <c r="CQ226" t="e">
        <f>AND('GA55 Entry'!S902,"AAAAAGtd814=")</f>
        <v>#VALUE!</v>
      </c>
      <c r="CR226" t="e">
        <f>AND('GA55 Entry'!#REF!,"AAAAAGtd818=")</f>
        <v>#REF!</v>
      </c>
      <c r="CS226" t="e">
        <f>AND('GA55 Entry'!T902,"AAAAAGtd82A=")</f>
        <v>#VALUE!</v>
      </c>
      <c r="CT226" t="e">
        <f>AND('GA55 Entry'!U902,"AAAAAGtd82E=")</f>
        <v>#VALUE!</v>
      </c>
      <c r="CU226" t="e">
        <f>AND('GA55 Entry'!V902,"AAAAAGtd82I=")</f>
        <v>#VALUE!</v>
      </c>
      <c r="CV226" t="e">
        <f>AND('GA55 Entry'!#REF!,"AAAAAGtd82M=")</f>
        <v>#REF!</v>
      </c>
      <c r="CW226" t="e">
        <f>AND('GA55 Entry'!#REF!,"AAAAAGtd82Q=")</f>
        <v>#REF!</v>
      </c>
      <c r="CX226" t="e">
        <f>AND('GA55 Entry'!X902,"AAAAAGtd82U=")</f>
        <v>#VALUE!</v>
      </c>
      <c r="CY226" t="e">
        <f>AND('GA55 Entry'!Y902,"AAAAAGtd82Y=")</f>
        <v>#VALUE!</v>
      </c>
      <c r="CZ226" t="e">
        <f>AND('GA55 Entry'!#REF!,"AAAAAGtd82c=")</f>
        <v>#REF!</v>
      </c>
      <c r="DA226" t="e">
        <f>AND('GA55 Entry'!#REF!,"AAAAAGtd82g=")</f>
        <v>#REF!</v>
      </c>
      <c r="DB226" t="e">
        <f>AND('GA55 Entry'!#REF!,"AAAAAGtd82k=")</f>
        <v>#REF!</v>
      </c>
      <c r="DC226" t="e">
        <f>AND('GA55 Entry'!#REF!,"AAAAAGtd82o=")</f>
        <v>#REF!</v>
      </c>
      <c r="DD226" t="e">
        <f>AND('GA55 Entry'!#REF!,"AAAAAGtd82s=")</f>
        <v>#REF!</v>
      </c>
      <c r="DE226" t="e">
        <f>AND('GA55 Entry'!#REF!,"AAAAAGtd82w=")</f>
        <v>#REF!</v>
      </c>
      <c r="DF226" t="e">
        <f>AND('GA55 Entry'!#REF!,"AAAAAGtd820=")</f>
        <v>#REF!</v>
      </c>
      <c r="DG226" t="e">
        <f>AND('GA55 Entry'!#REF!,"AAAAAGtd824=")</f>
        <v>#REF!</v>
      </c>
      <c r="DH226" t="e">
        <f>AND('GA55 Entry'!#REF!,"AAAAAGtd828=")</f>
        <v>#REF!</v>
      </c>
      <c r="DI226" t="e">
        <f>AND('GA55 Entry'!Z902,"AAAAAGtd83A=")</f>
        <v>#VALUE!</v>
      </c>
      <c r="DJ226" t="e">
        <f>AND('GA55 Entry'!AA902,"AAAAAGtd83E=")</f>
        <v>#VALUE!</v>
      </c>
      <c r="DK226" t="e">
        <f>AND('GA55 Entry'!#REF!,"AAAAAGtd83I=")</f>
        <v>#REF!</v>
      </c>
      <c r="DL226" t="e">
        <f>AND('GA55 Entry'!#REF!,"AAAAAGtd83M=")</f>
        <v>#REF!</v>
      </c>
      <c r="DM226" t="e">
        <f>AND('GA55 Entry'!#REF!,"AAAAAGtd83Q=")</f>
        <v>#REF!</v>
      </c>
      <c r="DN226" t="e">
        <f>AND('GA55 Entry'!AB902,"AAAAAGtd83U=")</f>
        <v>#VALUE!</v>
      </c>
      <c r="DO226" t="e">
        <f>AND('GA55 Entry'!AC902,"AAAAAGtd83Y=")</f>
        <v>#VALUE!</v>
      </c>
      <c r="DP226" t="e">
        <f>AND('GA55 Entry'!#REF!,"AAAAAGtd83c=")</f>
        <v>#REF!</v>
      </c>
      <c r="DQ226">
        <f>IF('GA55 Entry'!903:903,"AAAAAGtd83g=",0)</f>
        <v>0</v>
      </c>
      <c r="DR226" t="e">
        <f>AND('GA55 Entry'!B903,"AAAAAGtd83k=")</f>
        <v>#VALUE!</v>
      </c>
      <c r="DS226" t="e">
        <f>AND('GA55 Entry'!#REF!,"AAAAAGtd83o=")</f>
        <v>#REF!</v>
      </c>
      <c r="DT226" t="e">
        <f>AND('GA55 Entry'!C903,"AAAAAGtd83s=")</f>
        <v>#VALUE!</v>
      </c>
      <c r="DU226" t="e">
        <f>AND('GA55 Entry'!#REF!,"AAAAAGtd83w=")</f>
        <v>#REF!</v>
      </c>
      <c r="DV226" t="e">
        <f>AND('GA55 Entry'!#REF!,"AAAAAGtd830=")</f>
        <v>#REF!</v>
      </c>
      <c r="DW226" t="e">
        <f>AND('GA55 Entry'!#REF!,"AAAAAGtd834=")</f>
        <v>#REF!</v>
      </c>
      <c r="DX226" t="e">
        <f>AND('GA55 Entry'!#REF!,"AAAAAGtd838=")</f>
        <v>#REF!</v>
      </c>
      <c r="DY226" t="e">
        <f>AND('GA55 Entry'!#REF!,"AAAAAGtd84A=")</f>
        <v>#REF!</v>
      </c>
      <c r="DZ226" t="e">
        <f>AND('GA55 Entry'!D903,"AAAAAGtd84E=")</f>
        <v>#VALUE!</v>
      </c>
      <c r="EA226" t="e">
        <f>AND('GA55 Entry'!#REF!,"AAAAAGtd84I=")</f>
        <v>#REF!</v>
      </c>
      <c r="EB226" t="e">
        <f>AND('GA55 Entry'!E903,"AAAAAGtd84M=")</f>
        <v>#VALUE!</v>
      </c>
      <c r="EC226" t="e">
        <f>AND('GA55 Entry'!F903,"AAAAAGtd84Q=")</f>
        <v>#VALUE!</v>
      </c>
      <c r="ED226" t="e">
        <f>AND('GA55 Entry'!G903,"AAAAAGtd84U=")</f>
        <v>#VALUE!</v>
      </c>
      <c r="EE226" t="e">
        <f>AND('GA55 Entry'!H903,"AAAAAGtd84Y=")</f>
        <v>#VALUE!</v>
      </c>
      <c r="EF226" t="e">
        <f>AND('GA55 Entry'!I903,"AAAAAGtd84c=")</f>
        <v>#VALUE!</v>
      </c>
      <c r="EG226" t="e">
        <f>AND('GA55 Entry'!J903,"AAAAAGtd84g=")</f>
        <v>#VALUE!</v>
      </c>
      <c r="EH226" t="e">
        <f>AND('GA55 Entry'!#REF!,"AAAAAGtd84k=")</f>
        <v>#REF!</v>
      </c>
      <c r="EI226" t="e">
        <f>AND('GA55 Entry'!K903,"AAAAAGtd84o=")</f>
        <v>#VALUE!</v>
      </c>
      <c r="EJ226" t="e">
        <f>AND('GA55 Entry'!L903,"AAAAAGtd84s=")</f>
        <v>#VALUE!</v>
      </c>
      <c r="EK226" t="e">
        <f>AND('GA55 Entry'!M903,"AAAAAGtd84w=")</f>
        <v>#VALUE!</v>
      </c>
      <c r="EL226" t="e">
        <f>AND('GA55 Entry'!N903,"AAAAAGtd840=")</f>
        <v>#VALUE!</v>
      </c>
      <c r="EM226" t="e">
        <f>AND('GA55 Entry'!O903,"AAAAAGtd844=")</f>
        <v>#VALUE!</v>
      </c>
      <c r="EN226" t="e">
        <f>AND('GA55 Entry'!P903,"AAAAAGtd848=")</f>
        <v>#VALUE!</v>
      </c>
      <c r="EO226" t="e">
        <f>AND('GA55 Entry'!Q903,"AAAAAGtd85A=")</f>
        <v>#VALUE!</v>
      </c>
      <c r="EP226" t="e">
        <f>AND('GA55 Entry'!S903,"AAAAAGtd85E=")</f>
        <v>#VALUE!</v>
      </c>
      <c r="EQ226" t="e">
        <f>AND('GA55 Entry'!#REF!,"AAAAAGtd85I=")</f>
        <v>#REF!</v>
      </c>
      <c r="ER226" t="e">
        <f>AND('GA55 Entry'!T903,"AAAAAGtd85M=")</f>
        <v>#VALUE!</v>
      </c>
      <c r="ES226" t="e">
        <f>AND('GA55 Entry'!U903,"AAAAAGtd85Q=")</f>
        <v>#VALUE!</v>
      </c>
      <c r="ET226" t="e">
        <f>AND('GA55 Entry'!V903,"AAAAAGtd85U=")</f>
        <v>#VALUE!</v>
      </c>
      <c r="EU226" t="e">
        <f>AND('GA55 Entry'!#REF!,"AAAAAGtd85Y=")</f>
        <v>#REF!</v>
      </c>
      <c r="EV226" t="e">
        <f>AND('GA55 Entry'!#REF!,"AAAAAGtd85c=")</f>
        <v>#REF!</v>
      </c>
      <c r="EW226" t="e">
        <f>AND('GA55 Entry'!X903,"AAAAAGtd85g=")</f>
        <v>#VALUE!</v>
      </c>
      <c r="EX226" t="e">
        <f>AND('GA55 Entry'!Y903,"AAAAAGtd85k=")</f>
        <v>#VALUE!</v>
      </c>
      <c r="EY226" t="e">
        <f>AND('GA55 Entry'!#REF!,"AAAAAGtd85o=")</f>
        <v>#REF!</v>
      </c>
      <c r="EZ226" t="e">
        <f>AND('GA55 Entry'!#REF!,"AAAAAGtd85s=")</f>
        <v>#REF!</v>
      </c>
      <c r="FA226" t="e">
        <f>AND('GA55 Entry'!#REF!,"AAAAAGtd85w=")</f>
        <v>#REF!</v>
      </c>
      <c r="FB226" t="e">
        <f>AND('GA55 Entry'!#REF!,"AAAAAGtd850=")</f>
        <v>#REF!</v>
      </c>
      <c r="FC226" t="e">
        <f>AND('GA55 Entry'!#REF!,"AAAAAGtd854=")</f>
        <v>#REF!</v>
      </c>
      <c r="FD226" t="e">
        <f>AND('GA55 Entry'!#REF!,"AAAAAGtd858=")</f>
        <v>#REF!</v>
      </c>
      <c r="FE226" t="e">
        <f>AND('GA55 Entry'!#REF!,"AAAAAGtd86A=")</f>
        <v>#REF!</v>
      </c>
      <c r="FF226" t="e">
        <f>AND('GA55 Entry'!#REF!,"AAAAAGtd86E=")</f>
        <v>#REF!</v>
      </c>
      <c r="FG226" t="e">
        <f>AND('GA55 Entry'!#REF!,"AAAAAGtd86I=")</f>
        <v>#REF!</v>
      </c>
      <c r="FH226" t="e">
        <f>AND('GA55 Entry'!Z903,"AAAAAGtd86M=")</f>
        <v>#VALUE!</v>
      </c>
      <c r="FI226" t="e">
        <f>AND('GA55 Entry'!AA903,"AAAAAGtd86Q=")</f>
        <v>#VALUE!</v>
      </c>
      <c r="FJ226" t="e">
        <f>AND('GA55 Entry'!#REF!,"AAAAAGtd86U=")</f>
        <v>#REF!</v>
      </c>
      <c r="FK226" t="e">
        <f>AND('GA55 Entry'!#REF!,"AAAAAGtd86Y=")</f>
        <v>#REF!</v>
      </c>
      <c r="FL226" t="e">
        <f>AND('GA55 Entry'!#REF!,"AAAAAGtd86c=")</f>
        <v>#REF!</v>
      </c>
      <c r="FM226" t="e">
        <f>AND('GA55 Entry'!AB903,"AAAAAGtd86g=")</f>
        <v>#VALUE!</v>
      </c>
      <c r="FN226" t="e">
        <f>AND('GA55 Entry'!AC903,"AAAAAGtd86k=")</f>
        <v>#VALUE!</v>
      </c>
      <c r="FO226" t="e">
        <f>AND('GA55 Entry'!#REF!,"AAAAAGtd86o=")</f>
        <v>#REF!</v>
      </c>
      <c r="FP226">
        <f>IF('GA55 Entry'!904:904,"AAAAAGtd86s=",0)</f>
        <v>0</v>
      </c>
      <c r="FQ226" t="e">
        <f>AND('GA55 Entry'!B904,"AAAAAGtd86w=")</f>
        <v>#VALUE!</v>
      </c>
      <c r="FR226" t="e">
        <f>AND('GA55 Entry'!#REF!,"AAAAAGtd860=")</f>
        <v>#REF!</v>
      </c>
      <c r="FS226" t="e">
        <f>AND('GA55 Entry'!C904,"AAAAAGtd864=")</f>
        <v>#VALUE!</v>
      </c>
      <c r="FT226" t="e">
        <f>AND('GA55 Entry'!#REF!,"AAAAAGtd868=")</f>
        <v>#REF!</v>
      </c>
      <c r="FU226" t="e">
        <f>AND('GA55 Entry'!#REF!,"AAAAAGtd87A=")</f>
        <v>#REF!</v>
      </c>
      <c r="FV226" t="e">
        <f>AND('GA55 Entry'!#REF!,"AAAAAGtd87E=")</f>
        <v>#REF!</v>
      </c>
      <c r="FW226" t="e">
        <f>AND('GA55 Entry'!#REF!,"AAAAAGtd87I=")</f>
        <v>#REF!</v>
      </c>
      <c r="FX226" t="e">
        <f>AND('GA55 Entry'!#REF!,"AAAAAGtd87M=")</f>
        <v>#REF!</v>
      </c>
      <c r="FY226" t="e">
        <f>AND('GA55 Entry'!D904,"AAAAAGtd87Q=")</f>
        <v>#VALUE!</v>
      </c>
      <c r="FZ226" t="e">
        <f>AND('GA55 Entry'!#REF!,"AAAAAGtd87U=")</f>
        <v>#REF!</v>
      </c>
      <c r="GA226" t="e">
        <f>AND('GA55 Entry'!E904,"AAAAAGtd87Y=")</f>
        <v>#VALUE!</v>
      </c>
      <c r="GB226" t="e">
        <f>AND('GA55 Entry'!F904,"AAAAAGtd87c=")</f>
        <v>#VALUE!</v>
      </c>
      <c r="GC226" t="e">
        <f>AND('GA55 Entry'!G904,"AAAAAGtd87g=")</f>
        <v>#VALUE!</v>
      </c>
      <c r="GD226" t="e">
        <f>AND('GA55 Entry'!H904,"AAAAAGtd87k=")</f>
        <v>#VALUE!</v>
      </c>
      <c r="GE226" t="e">
        <f>AND('GA55 Entry'!I904,"AAAAAGtd87o=")</f>
        <v>#VALUE!</v>
      </c>
      <c r="GF226" t="e">
        <f>AND('GA55 Entry'!J904,"AAAAAGtd87s=")</f>
        <v>#VALUE!</v>
      </c>
      <c r="GG226" t="e">
        <f>AND('GA55 Entry'!#REF!,"AAAAAGtd87w=")</f>
        <v>#REF!</v>
      </c>
      <c r="GH226" t="e">
        <f>AND('GA55 Entry'!K904,"AAAAAGtd870=")</f>
        <v>#VALUE!</v>
      </c>
      <c r="GI226" t="e">
        <f>AND('GA55 Entry'!L904,"AAAAAGtd874=")</f>
        <v>#VALUE!</v>
      </c>
      <c r="GJ226" t="e">
        <f>AND('GA55 Entry'!M904,"AAAAAGtd878=")</f>
        <v>#VALUE!</v>
      </c>
      <c r="GK226" t="e">
        <f>AND('GA55 Entry'!N904,"AAAAAGtd88A=")</f>
        <v>#VALUE!</v>
      </c>
      <c r="GL226" t="e">
        <f>AND('GA55 Entry'!O904,"AAAAAGtd88E=")</f>
        <v>#VALUE!</v>
      </c>
      <c r="GM226" t="e">
        <f>AND('GA55 Entry'!P904,"AAAAAGtd88I=")</f>
        <v>#VALUE!</v>
      </c>
      <c r="GN226" t="e">
        <f>AND('GA55 Entry'!Q904,"AAAAAGtd88M=")</f>
        <v>#VALUE!</v>
      </c>
      <c r="GO226" t="e">
        <f>AND('GA55 Entry'!S904,"AAAAAGtd88Q=")</f>
        <v>#VALUE!</v>
      </c>
      <c r="GP226" t="e">
        <f>AND('GA55 Entry'!#REF!,"AAAAAGtd88U=")</f>
        <v>#REF!</v>
      </c>
      <c r="GQ226" t="e">
        <f>AND('GA55 Entry'!T904,"AAAAAGtd88Y=")</f>
        <v>#VALUE!</v>
      </c>
      <c r="GR226" t="e">
        <f>AND('GA55 Entry'!U904,"AAAAAGtd88c=")</f>
        <v>#VALUE!</v>
      </c>
      <c r="GS226" t="e">
        <f>AND('GA55 Entry'!V904,"AAAAAGtd88g=")</f>
        <v>#VALUE!</v>
      </c>
      <c r="GT226" t="e">
        <f>AND('GA55 Entry'!#REF!,"AAAAAGtd88k=")</f>
        <v>#REF!</v>
      </c>
      <c r="GU226" t="e">
        <f>AND('GA55 Entry'!#REF!,"AAAAAGtd88o=")</f>
        <v>#REF!</v>
      </c>
      <c r="GV226" t="e">
        <f>AND('GA55 Entry'!X904,"AAAAAGtd88s=")</f>
        <v>#VALUE!</v>
      </c>
      <c r="GW226" t="e">
        <f>AND('GA55 Entry'!Y904,"AAAAAGtd88w=")</f>
        <v>#VALUE!</v>
      </c>
      <c r="GX226" t="e">
        <f>AND('GA55 Entry'!#REF!,"AAAAAGtd880=")</f>
        <v>#REF!</v>
      </c>
      <c r="GY226" t="e">
        <f>AND('GA55 Entry'!#REF!,"AAAAAGtd884=")</f>
        <v>#REF!</v>
      </c>
      <c r="GZ226" t="e">
        <f>AND('GA55 Entry'!#REF!,"AAAAAGtd888=")</f>
        <v>#REF!</v>
      </c>
      <c r="HA226" t="e">
        <f>AND('GA55 Entry'!#REF!,"AAAAAGtd89A=")</f>
        <v>#REF!</v>
      </c>
      <c r="HB226" t="e">
        <f>AND('GA55 Entry'!#REF!,"AAAAAGtd89E=")</f>
        <v>#REF!</v>
      </c>
      <c r="HC226" t="e">
        <f>AND('GA55 Entry'!#REF!,"AAAAAGtd89I=")</f>
        <v>#REF!</v>
      </c>
      <c r="HD226" t="e">
        <f>AND('GA55 Entry'!#REF!,"AAAAAGtd89M=")</f>
        <v>#REF!</v>
      </c>
      <c r="HE226" t="e">
        <f>AND('GA55 Entry'!#REF!,"AAAAAGtd89Q=")</f>
        <v>#REF!</v>
      </c>
      <c r="HF226" t="e">
        <f>AND('GA55 Entry'!#REF!,"AAAAAGtd89U=")</f>
        <v>#REF!</v>
      </c>
      <c r="HG226" t="e">
        <f>AND('GA55 Entry'!Z904,"AAAAAGtd89Y=")</f>
        <v>#VALUE!</v>
      </c>
      <c r="HH226" t="e">
        <f>AND('GA55 Entry'!AA904,"AAAAAGtd89c=")</f>
        <v>#VALUE!</v>
      </c>
      <c r="HI226" t="e">
        <f>AND('GA55 Entry'!#REF!,"AAAAAGtd89g=")</f>
        <v>#REF!</v>
      </c>
      <c r="HJ226" t="e">
        <f>AND('GA55 Entry'!#REF!,"AAAAAGtd89k=")</f>
        <v>#REF!</v>
      </c>
      <c r="HK226" t="e">
        <f>AND('GA55 Entry'!#REF!,"AAAAAGtd89o=")</f>
        <v>#REF!</v>
      </c>
      <c r="HL226" t="e">
        <f>AND('GA55 Entry'!AB904,"AAAAAGtd89s=")</f>
        <v>#VALUE!</v>
      </c>
      <c r="HM226" t="e">
        <f>AND('GA55 Entry'!AC904,"AAAAAGtd89w=")</f>
        <v>#VALUE!</v>
      </c>
      <c r="HN226" t="e">
        <f>AND('GA55 Entry'!#REF!,"AAAAAGtd890=")</f>
        <v>#REF!</v>
      </c>
      <c r="HO226">
        <f>IF('GA55 Entry'!905:905,"AAAAAGtd894=",0)</f>
        <v>0</v>
      </c>
      <c r="HP226" t="e">
        <f>AND('GA55 Entry'!B905,"AAAAAGtd898=")</f>
        <v>#VALUE!</v>
      </c>
      <c r="HQ226" t="e">
        <f>AND('GA55 Entry'!#REF!,"AAAAAGtd8+A=")</f>
        <v>#REF!</v>
      </c>
      <c r="HR226" t="e">
        <f>AND('GA55 Entry'!C905,"AAAAAGtd8+E=")</f>
        <v>#VALUE!</v>
      </c>
      <c r="HS226" t="e">
        <f>AND('GA55 Entry'!#REF!,"AAAAAGtd8+I=")</f>
        <v>#REF!</v>
      </c>
      <c r="HT226" t="e">
        <f>AND('GA55 Entry'!#REF!,"AAAAAGtd8+M=")</f>
        <v>#REF!</v>
      </c>
      <c r="HU226" t="e">
        <f>AND('GA55 Entry'!#REF!,"AAAAAGtd8+Q=")</f>
        <v>#REF!</v>
      </c>
      <c r="HV226" t="e">
        <f>AND('GA55 Entry'!#REF!,"AAAAAGtd8+U=")</f>
        <v>#REF!</v>
      </c>
      <c r="HW226" t="e">
        <f>AND('GA55 Entry'!#REF!,"AAAAAGtd8+Y=")</f>
        <v>#REF!</v>
      </c>
      <c r="HX226" t="e">
        <f>AND('GA55 Entry'!D905,"AAAAAGtd8+c=")</f>
        <v>#VALUE!</v>
      </c>
      <c r="HY226" t="e">
        <f>AND('GA55 Entry'!#REF!,"AAAAAGtd8+g=")</f>
        <v>#REF!</v>
      </c>
      <c r="HZ226" t="e">
        <f>AND('GA55 Entry'!E905,"AAAAAGtd8+k=")</f>
        <v>#VALUE!</v>
      </c>
      <c r="IA226" t="e">
        <f>AND('GA55 Entry'!F905,"AAAAAGtd8+o=")</f>
        <v>#VALUE!</v>
      </c>
      <c r="IB226" t="e">
        <f>AND('GA55 Entry'!G905,"AAAAAGtd8+s=")</f>
        <v>#VALUE!</v>
      </c>
      <c r="IC226" t="e">
        <f>AND('GA55 Entry'!H905,"AAAAAGtd8+w=")</f>
        <v>#VALUE!</v>
      </c>
      <c r="ID226" t="e">
        <f>AND('GA55 Entry'!I905,"AAAAAGtd8+0=")</f>
        <v>#VALUE!</v>
      </c>
      <c r="IE226" t="e">
        <f>AND('GA55 Entry'!J905,"AAAAAGtd8+4=")</f>
        <v>#VALUE!</v>
      </c>
      <c r="IF226" t="e">
        <f>AND('GA55 Entry'!#REF!,"AAAAAGtd8+8=")</f>
        <v>#REF!</v>
      </c>
      <c r="IG226" t="e">
        <f>AND('GA55 Entry'!K905,"AAAAAGtd8/A=")</f>
        <v>#VALUE!</v>
      </c>
      <c r="IH226" t="e">
        <f>AND('GA55 Entry'!L905,"AAAAAGtd8/E=")</f>
        <v>#VALUE!</v>
      </c>
      <c r="II226" t="e">
        <f>AND('GA55 Entry'!M905,"AAAAAGtd8/I=")</f>
        <v>#VALUE!</v>
      </c>
      <c r="IJ226" t="e">
        <f>AND('GA55 Entry'!N905,"AAAAAGtd8/M=")</f>
        <v>#VALUE!</v>
      </c>
      <c r="IK226" t="e">
        <f>AND('GA55 Entry'!O905,"AAAAAGtd8/Q=")</f>
        <v>#VALUE!</v>
      </c>
      <c r="IL226" t="e">
        <f>AND('GA55 Entry'!P905,"AAAAAGtd8/U=")</f>
        <v>#VALUE!</v>
      </c>
      <c r="IM226" t="e">
        <f>AND('GA55 Entry'!Q905,"AAAAAGtd8/Y=")</f>
        <v>#VALUE!</v>
      </c>
      <c r="IN226" t="e">
        <f>AND('GA55 Entry'!S905,"AAAAAGtd8/c=")</f>
        <v>#VALUE!</v>
      </c>
      <c r="IO226" t="e">
        <f>AND('GA55 Entry'!#REF!,"AAAAAGtd8/g=")</f>
        <v>#REF!</v>
      </c>
      <c r="IP226" t="e">
        <f>AND('GA55 Entry'!T905,"AAAAAGtd8/k=")</f>
        <v>#VALUE!</v>
      </c>
      <c r="IQ226" t="e">
        <f>AND('GA55 Entry'!U905,"AAAAAGtd8/o=")</f>
        <v>#VALUE!</v>
      </c>
      <c r="IR226" t="e">
        <f>AND('GA55 Entry'!V905,"AAAAAGtd8/s=")</f>
        <v>#VALUE!</v>
      </c>
      <c r="IS226" t="e">
        <f>AND('GA55 Entry'!#REF!,"AAAAAGtd8/w=")</f>
        <v>#REF!</v>
      </c>
      <c r="IT226" t="e">
        <f>AND('GA55 Entry'!#REF!,"AAAAAGtd8/0=")</f>
        <v>#REF!</v>
      </c>
      <c r="IU226" t="e">
        <f>AND('GA55 Entry'!X905,"AAAAAGtd8/4=")</f>
        <v>#VALUE!</v>
      </c>
      <c r="IV226" t="e">
        <f>AND('GA55 Entry'!Y905,"AAAAAGtd8/8=")</f>
        <v>#VALUE!</v>
      </c>
    </row>
    <row r="227" spans="1:256">
      <c r="A227" t="e">
        <f>AND('GA55 Entry'!#REF!,"AAAAAFZq3wA=")</f>
        <v>#REF!</v>
      </c>
      <c r="B227" t="e">
        <f>AND('GA55 Entry'!#REF!,"AAAAAFZq3wE=")</f>
        <v>#REF!</v>
      </c>
      <c r="C227" t="e">
        <f>AND('GA55 Entry'!#REF!,"AAAAAFZq3wI=")</f>
        <v>#REF!</v>
      </c>
      <c r="D227" t="e">
        <f>AND('GA55 Entry'!#REF!,"AAAAAFZq3wM=")</f>
        <v>#REF!</v>
      </c>
      <c r="E227" t="e">
        <f>AND('GA55 Entry'!#REF!,"AAAAAFZq3wQ=")</f>
        <v>#REF!</v>
      </c>
      <c r="F227" t="e">
        <f>AND('GA55 Entry'!#REF!,"AAAAAFZq3wU=")</f>
        <v>#REF!</v>
      </c>
      <c r="G227" t="e">
        <f>AND('GA55 Entry'!#REF!,"AAAAAFZq3wY=")</f>
        <v>#REF!</v>
      </c>
      <c r="H227" t="e">
        <f>AND('GA55 Entry'!#REF!,"AAAAAFZq3wc=")</f>
        <v>#REF!</v>
      </c>
      <c r="I227" t="e">
        <f>AND('GA55 Entry'!#REF!,"AAAAAFZq3wg=")</f>
        <v>#REF!</v>
      </c>
      <c r="J227" t="e">
        <f>AND('GA55 Entry'!Z905,"AAAAAFZq3wk=")</f>
        <v>#VALUE!</v>
      </c>
      <c r="K227" t="e">
        <f>AND('GA55 Entry'!AA905,"AAAAAFZq3wo=")</f>
        <v>#VALUE!</v>
      </c>
      <c r="L227" t="e">
        <f>AND('GA55 Entry'!#REF!,"AAAAAFZq3ws=")</f>
        <v>#REF!</v>
      </c>
      <c r="M227" t="e">
        <f>AND('GA55 Entry'!#REF!,"AAAAAFZq3ww=")</f>
        <v>#REF!</v>
      </c>
      <c r="N227" t="e">
        <f>AND('GA55 Entry'!#REF!,"AAAAAFZq3w0=")</f>
        <v>#REF!</v>
      </c>
      <c r="O227" t="e">
        <f>AND('GA55 Entry'!AB905,"AAAAAFZq3w4=")</f>
        <v>#VALUE!</v>
      </c>
      <c r="P227" t="e">
        <f>AND('GA55 Entry'!AC905,"AAAAAFZq3w8=")</f>
        <v>#VALUE!</v>
      </c>
      <c r="Q227" t="e">
        <f>AND('GA55 Entry'!#REF!,"AAAAAFZq3xA=")</f>
        <v>#REF!</v>
      </c>
      <c r="R227">
        <f>IF('GA55 Entry'!906:906,"AAAAAFZq3xE=",0)</f>
        <v>0</v>
      </c>
      <c r="S227" t="e">
        <f>AND('GA55 Entry'!B906,"AAAAAFZq3xI=")</f>
        <v>#VALUE!</v>
      </c>
      <c r="T227" t="e">
        <f>AND('GA55 Entry'!#REF!,"AAAAAFZq3xM=")</f>
        <v>#REF!</v>
      </c>
      <c r="U227" t="e">
        <f>AND('GA55 Entry'!C906,"AAAAAFZq3xQ=")</f>
        <v>#VALUE!</v>
      </c>
      <c r="V227" t="e">
        <f>AND('GA55 Entry'!#REF!,"AAAAAFZq3xU=")</f>
        <v>#REF!</v>
      </c>
      <c r="W227" t="e">
        <f>AND('GA55 Entry'!#REF!,"AAAAAFZq3xY=")</f>
        <v>#REF!</v>
      </c>
      <c r="X227" t="e">
        <f>AND('GA55 Entry'!#REF!,"AAAAAFZq3xc=")</f>
        <v>#REF!</v>
      </c>
      <c r="Y227" t="e">
        <f>AND('GA55 Entry'!#REF!,"AAAAAFZq3xg=")</f>
        <v>#REF!</v>
      </c>
      <c r="Z227" t="e">
        <f>AND('GA55 Entry'!#REF!,"AAAAAFZq3xk=")</f>
        <v>#REF!</v>
      </c>
      <c r="AA227" t="e">
        <f>AND('GA55 Entry'!D906,"AAAAAFZq3xo=")</f>
        <v>#VALUE!</v>
      </c>
      <c r="AB227" t="e">
        <f>AND('GA55 Entry'!#REF!,"AAAAAFZq3xs=")</f>
        <v>#REF!</v>
      </c>
      <c r="AC227" t="e">
        <f>AND('GA55 Entry'!E906,"AAAAAFZq3xw=")</f>
        <v>#VALUE!</v>
      </c>
      <c r="AD227" t="e">
        <f>AND('GA55 Entry'!F906,"AAAAAFZq3x0=")</f>
        <v>#VALUE!</v>
      </c>
      <c r="AE227" t="e">
        <f>AND('GA55 Entry'!G906,"AAAAAFZq3x4=")</f>
        <v>#VALUE!</v>
      </c>
      <c r="AF227" t="e">
        <f>AND('GA55 Entry'!H906,"AAAAAFZq3x8=")</f>
        <v>#VALUE!</v>
      </c>
      <c r="AG227" t="e">
        <f>AND('GA55 Entry'!I906,"AAAAAFZq3yA=")</f>
        <v>#VALUE!</v>
      </c>
      <c r="AH227" t="e">
        <f>AND('GA55 Entry'!J906,"AAAAAFZq3yE=")</f>
        <v>#VALUE!</v>
      </c>
      <c r="AI227" t="e">
        <f>AND('GA55 Entry'!#REF!,"AAAAAFZq3yI=")</f>
        <v>#REF!</v>
      </c>
      <c r="AJ227" t="e">
        <f>AND('GA55 Entry'!K906,"AAAAAFZq3yM=")</f>
        <v>#VALUE!</v>
      </c>
      <c r="AK227" t="e">
        <f>AND('GA55 Entry'!L906,"AAAAAFZq3yQ=")</f>
        <v>#VALUE!</v>
      </c>
      <c r="AL227" t="e">
        <f>AND('GA55 Entry'!M906,"AAAAAFZq3yU=")</f>
        <v>#VALUE!</v>
      </c>
      <c r="AM227" t="e">
        <f>AND('GA55 Entry'!N906,"AAAAAFZq3yY=")</f>
        <v>#VALUE!</v>
      </c>
      <c r="AN227" t="e">
        <f>AND('GA55 Entry'!O906,"AAAAAFZq3yc=")</f>
        <v>#VALUE!</v>
      </c>
      <c r="AO227" t="e">
        <f>AND('GA55 Entry'!P906,"AAAAAFZq3yg=")</f>
        <v>#VALUE!</v>
      </c>
      <c r="AP227" t="e">
        <f>AND('GA55 Entry'!Q906,"AAAAAFZq3yk=")</f>
        <v>#VALUE!</v>
      </c>
      <c r="AQ227" t="e">
        <f>AND('GA55 Entry'!S906,"AAAAAFZq3yo=")</f>
        <v>#VALUE!</v>
      </c>
      <c r="AR227" t="e">
        <f>AND('GA55 Entry'!#REF!,"AAAAAFZq3ys=")</f>
        <v>#REF!</v>
      </c>
      <c r="AS227" t="e">
        <f>AND('GA55 Entry'!T906,"AAAAAFZq3yw=")</f>
        <v>#VALUE!</v>
      </c>
      <c r="AT227" t="e">
        <f>AND('GA55 Entry'!U906,"AAAAAFZq3y0=")</f>
        <v>#VALUE!</v>
      </c>
      <c r="AU227" t="e">
        <f>AND('GA55 Entry'!V906,"AAAAAFZq3y4=")</f>
        <v>#VALUE!</v>
      </c>
      <c r="AV227" t="e">
        <f>AND('GA55 Entry'!#REF!,"AAAAAFZq3y8=")</f>
        <v>#REF!</v>
      </c>
      <c r="AW227" t="e">
        <f>AND('GA55 Entry'!#REF!,"AAAAAFZq3zA=")</f>
        <v>#REF!</v>
      </c>
      <c r="AX227" t="e">
        <f>AND('GA55 Entry'!X906,"AAAAAFZq3zE=")</f>
        <v>#VALUE!</v>
      </c>
      <c r="AY227" t="e">
        <f>AND('GA55 Entry'!Y906,"AAAAAFZq3zI=")</f>
        <v>#VALUE!</v>
      </c>
      <c r="AZ227" t="e">
        <f>AND('GA55 Entry'!#REF!,"AAAAAFZq3zM=")</f>
        <v>#REF!</v>
      </c>
      <c r="BA227" t="e">
        <f>AND('GA55 Entry'!#REF!,"AAAAAFZq3zQ=")</f>
        <v>#REF!</v>
      </c>
      <c r="BB227" t="e">
        <f>AND('GA55 Entry'!#REF!,"AAAAAFZq3zU=")</f>
        <v>#REF!</v>
      </c>
      <c r="BC227" t="e">
        <f>AND('GA55 Entry'!#REF!,"AAAAAFZq3zY=")</f>
        <v>#REF!</v>
      </c>
      <c r="BD227" t="e">
        <f>AND('GA55 Entry'!#REF!,"AAAAAFZq3zc=")</f>
        <v>#REF!</v>
      </c>
      <c r="BE227" t="e">
        <f>AND('GA55 Entry'!#REF!,"AAAAAFZq3zg=")</f>
        <v>#REF!</v>
      </c>
      <c r="BF227" t="e">
        <f>AND('GA55 Entry'!#REF!,"AAAAAFZq3zk=")</f>
        <v>#REF!</v>
      </c>
      <c r="BG227" t="e">
        <f>AND('GA55 Entry'!#REF!,"AAAAAFZq3zo=")</f>
        <v>#REF!</v>
      </c>
      <c r="BH227" t="e">
        <f>AND('GA55 Entry'!#REF!,"AAAAAFZq3zs=")</f>
        <v>#REF!</v>
      </c>
      <c r="BI227" t="e">
        <f>AND('GA55 Entry'!Z906,"AAAAAFZq3zw=")</f>
        <v>#VALUE!</v>
      </c>
      <c r="BJ227" t="e">
        <f>AND('GA55 Entry'!AA906,"AAAAAFZq3z0=")</f>
        <v>#VALUE!</v>
      </c>
      <c r="BK227" t="e">
        <f>AND('GA55 Entry'!#REF!,"AAAAAFZq3z4=")</f>
        <v>#REF!</v>
      </c>
      <c r="BL227" t="e">
        <f>AND('GA55 Entry'!#REF!,"AAAAAFZq3z8=")</f>
        <v>#REF!</v>
      </c>
      <c r="BM227" t="e">
        <f>AND('GA55 Entry'!#REF!,"AAAAAFZq30A=")</f>
        <v>#REF!</v>
      </c>
      <c r="BN227" t="e">
        <f>AND('GA55 Entry'!AB906,"AAAAAFZq30E=")</f>
        <v>#VALUE!</v>
      </c>
      <c r="BO227" t="e">
        <f>AND('GA55 Entry'!AC906,"AAAAAFZq30I=")</f>
        <v>#VALUE!</v>
      </c>
      <c r="BP227" t="e">
        <f>AND('GA55 Entry'!#REF!,"AAAAAFZq30M=")</f>
        <v>#REF!</v>
      </c>
      <c r="BQ227">
        <f>IF('GA55 Entry'!907:907,"AAAAAFZq30Q=",0)</f>
        <v>0</v>
      </c>
      <c r="BR227" t="e">
        <f>AND('GA55 Entry'!B907,"AAAAAFZq30U=")</f>
        <v>#VALUE!</v>
      </c>
      <c r="BS227" t="e">
        <f>AND('GA55 Entry'!#REF!,"AAAAAFZq30Y=")</f>
        <v>#REF!</v>
      </c>
      <c r="BT227" t="e">
        <f>AND('GA55 Entry'!C907,"AAAAAFZq30c=")</f>
        <v>#VALUE!</v>
      </c>
      <c r="BU227" t="e">
        <f>AND('GA55 Entry'!#REF!,"AAAAAFZq30g=")</f>
        <v>#REF!</v>
      </c>
      <c r="BV227" t="e">
        <f>AND('GA55 Entry'!#REF!,"AAAAAFZq30k=")</f>
        <v>#REF!</v>
      </c>
      <c r="BW227" t="e">
        <f>AND('GA55 Entry'!#REF!,"AAAAAFZq30o=")</f>
        <v>#REF!</v>
      </c>
      <c r="BX227" t="e">
        <f>AND('GA55 Entry'!#REF!,"AAAAAFZq30s=")</f>
        <v>#REF!</v>
      </c>
      <c r="BY227" t="e">
        <f>AND('GA55 Entry'!#REF!,"AAAAAFZq30w=")</f>
        <v>#REF!</v>
      </c>
      <c r="BZ227" t="e">
        <f>AND('GA55 Entry'!D907,"AAAAAFZq300=")</f>
        <v>#VALUE!</v>
      </c>
      <c r="CA227" t="e">
        <f>AND('GA55 Entry'!#REF!,"AAAAAFZq304=")</f>
        <v>#REF!</v>
      </c>
      <c r="CB227" t="e">
        <f>AND('GA55 Entry'!E907,"AAAAAFZq308=")</f>
        <v>#VALUE!</v>
      </c>
      <c r="CC227" t="e">
        <f>AND('GA55 Entry'!F907,"AAAAAFZq31A=")</f>
        <v>#VALUE!</v>
      </c>
      <c r="CD227" t="e">
        <f>AND('GA55 Entry'!G907,"AAAAAFZq31E=")</f>
        <v>#VALUE!</v>
      </c>
      <c r="CE227" t="e">
        <f>AND('GA55 Entry'!H907,"AAAAAFZq31I=")</f>
        <v>#VALUE!</v>
      </c>
      <c r="CF227" t="e">
        <f>AND('GA55 Entry'!I907,"AAAAAFZq31M=")</f>
        <v>#VALUE!</v>
      </c>
      <c r="CG227" t="e">
        <f>AND('GA55 Entry'!J907,"AAAAAFZq31Q=")</f>
        <v>#VALUE!</v>
      </c>
      <c r="CH227" t="e">
        <f>AND('GA55 Entry'!#REF!,"AAAAAFZq31U=")</f>
        <v>#REF!</v>
      </c>
      <c r="CI227" t="e">
        <f>AND('GA55 Entry'!K907,"AAAAAFZq31Y=")</f>
        <v>#VALUE!</v>
      </c>
      <c r="CJ227" t="e">
        <f>AND('GA55 Entry'!L907,"AAAAAFZq31c=")</f>
        <v>#VALUE!</v>
      </c>
      <c r="CK227" t="e">
        <f>AND('GA55 Entry'!M907,"AAAAAFZq31g=")</f>
        <v>#VALUE!</v>
      </c>
      <c r="CL227" t="e">
        <f>AND('GA55 Entry'!N907,"AAAAAFZq31k=")</f>
        <v>#VALUE!</v>
      </c>
      <c r="CM227" t="e">
        <f>AND('GA55 Entry'!O907,"AAAAAFZq31o=")</f>
        <v>#VALUE!</v>
      </c>
      <c r="CN227" t="e">
        <f>AND('GA55 Entry'!P907,"AAAAAFZq31s=")</f>
        <v>#VALUE!</v>
      </c>
      <c r="CO227" t="e">
        <f>AND('GA55 Entry'!Q907,"AAAAAFZq31w=")</f>
        <v>#VALUE!</v>
      </c>
      <c r="CP227" t="e">
        <f>AND('GA55 Entry'!S907,"AAAAAFZq310=")</f>
        <v>#VALUE!</v>
      </c>
      <c r="CQ227" t="e">
        <f>AND('GA55 Entry'!#REF!,"AAAAAFZq314=")</f>
        <v>#REF!</v>
      </c>
      <c r="CR227" t="e">
        <f>AND('GA55 Entry'!T907,"AAAAAFZq318=")</f>
        <v>#VALUE!</v>
      </c>
      <c r="CS227" t="e">
        <f>AND('GA55 Entry'!U907,"AAAAAFZq32A=")</f>
        <v>#VALUE!</v>
      </c>
      <c r="CT227" t="e">
        <f>AND('GA55 Entry'!V907,"AAAAAFZq32E=")</f>
        <v>#VALUE!</v>
      </c>
      <c r="CU227" t="e">
        <f>AND('GA55 Entry'!#REF!,"AAAAAFZq32I=")</f>
        <v>#REF!</v>
      </c>
      <c r="CV227" t="e">
        <f>AND('GA55 Entry'!#REF!,"AAAAAFZq32M=")</f>
        <v>#REF!</v>
      </c>
      <c r="CW227" t="e">
        <f>AND('GA55 Entry'!X907,"AAAAAFZq32Q=")</f>
        <v>#VALUE!</v>
      </c>
      <c r="CX227" t="e">
        <f>AND('GA55 Entry'!Y907,"AAAAAFZq32U=")</f>
        <v>#VALUE!</v>
      </c>
      <c r="CY227" t="e">
        <f>AND('GA55 Entry'!#REF!,"AAAAAFZq32Y=")</f>
        <v>#REF!</v>
      </c>
      <c r="CZ227" t="e">
        <f>AND('GA55 Entry'!#REF!,"AAAAAFZq32c=")</f>
        <v>#REF!</v>
      </c>
      <c r="DA227" t="e">
        <f>AND('GA55 Entry'!#REF!,"AAAAAFZq32g=")</f>
        <v>#REF!</v>
      </c>
      <c r="DB227" t="e">
        <f>AND('GA55 Entry'!#REF!,"AAAAAFZq32k=")</f>
        <v>#REF!</v>
      </c>
      <c r="DC227" t="e">
        <f>AND('GA55 Entry'!#REF!,"AAAAAFZq32o=")</f>
        <v>#REF!</v>
      </c>
      <c r="DD227" t="e">
        <f>AND('GA55 Entry'!#REF!,"AAAAAFZq32s=")</f>
        <v>#REF!</v>
      </c>
      <c r="DE227" t="e">
        <f>AND('GA55 Entry'!#REF!,"AAAAAFZq32w=")</f>
        <v>#REF!</v>
      </c>
      <c r="DF227" t="e">
        <f>AND('GA55 Entry'!#REF!,"AAAAAFZq320=")</f>
        <v>#REF!</v>
      </c>
      <c r="DG227" t="e">
        <f>AND('GA55 Entry'!#REF!,"AAAAAFZq324=")</f>
        <v>#REF!</v>
      </c>
      <c r="DH227" t="e">
        <f>AND('GA55 Entry'!Z907,"AAAAAFZq328=")</f>
        <v>#VALUE!</v>
      </c>
      <c r="DI227" t="e">
        <f>AND('GA55 Entry'!AA907,"AAAAAFZq33A=")</f>
        <v>#VALUE!</v>
      </c>
      <c r="DJ227" t="e">
        <f>AND('GA55 Entry'!#REF!,"AAAAAFZq33E=")</f>
        <v>#REF!</v>
      </c>
      <c r="DK227" t="e">
        <f>AND('GA55 Entry'!#REF!,"AAAAAFZq33I=")</f>
        <v>#REF!</v>
      </c>
      <c r="DL227" t="e">
        <f>AND('GA55 Entry'!#REF!,"AAAAAFZq33M=")</f>
        <v>#REF!</v>
      </c>
      <c r="DM227" t="e">
        <f>AND('GA55 Entry'!AB907,"AAAAAFZq33Q=")</f>
        <v>#VALUE!</v>
      </c>
      <c r="DN227" t="e">
        <f>AND('GA55 Entry'!AC907,"AAAAAFZq33U=")</f>
        <v>#VALUE!</v>
      </c>
      <c r="DO227" t="e">
        <f>AND('GA55 Entry'!#REF!,"AAAAAFZq33Y=")</f>
        <v>#REF!</v>
      </c>
      <c r="DP227">
        <f>IF('GA55 Entry'!908:908,"AAAAAFZq33c=",0)</f>
        <v>0</v>
      </c>
      <c r="DQ227" t="e">
        <f>AND('GA55 Entry'!B908,"AAAAAFZq33g=")</f>
        <v>#VALUE!</v>
      </c>
      <c r="DR227" t="e">
        <f>AND('GA55 Entry'!#REF!,"AAAAAFZq33k=")</f>
        <v>#REF!</v>
      </c>
      <c r="DS227" t="e">
        <f>AND('GA55 Entry'!C908,"AAAAAFZq33o=")</f>
        <v>#VALUE!</v>
      </c>
      <c r="DT227" t="e">
        <f>AND('GA55 Entry'!#REF!,"AAAAAFZq33s=")</f>
        <v>#REF!</v>
      </c>
      <c r="DU227" t="e">
        <f>AND('GA55 Entry'!#REF!,"AAAAAFZq33w=")</f>
        <v>#REF!</v>
      </c>
      <c r="DV227" t="e">
        <f>AND('GA55 Entry'!#REF!,"AAAAAFZq330=")</f>
        <v>#REF!</v>
      </c>
      <c r="DW227" t="e">
        <f>AND('GA55 Entry'!#REF!,"AAAAAFZq334=")</f>
        <v>#REF!</v>
      </c>
      <c r="DX227" t="e">
        <f>AND('GA55 Entry'!#REF!,"AAAAAFZq338=")</f>
        <v>#REF!</v>
      </c>
      <c r="DY227" t="e">
        <f>AND('GA55 Entry'!D908,"AAAAAFZq34A=")</f>
        <v>#VALUE!</v>
      </c>
      <c r="DZ227" t="e">
        <f>AND('GA55 Entry'!#REF!,"AAAAAFZq34E=")</f>
        <v>#REF!</v>
      </c>
      <c r="EA227" t="e">
        <f>AND('GA55 Entry'!E908,"AAAAAFZq34I=")</f>
        <v>#VALUE!</v>
      </c>
      <c r="EB227" t="e">
        <f>AND('GA55 Entry'!F908,"AAAAAFZq34M=")</f>
        <v>#VALUE!</v>
      </c>
      <c r="EC227" t="e">
        <f>AND('GA55 Entry'!G908,"AAAAAFZq34Q=")</f>
        <v>#VALUE!</v>
      </c>
      <c r="ED227" t="e">
        <f>AND('GA55 Entry'!H908,"AAAAAFZq34U=")</f>
        <v>#VALUE!</v>
      </c>
      <c r="EE227" t="e">
        <f>AND('GA55 Entry'!I908,"AAAAAFZq34Y=")</f>
        <v>#VALUE!</v>
      </c>
      <c r="EF227" t="e">
        <f>AND('GA55 Entry'!J908,"AAAAAFZq34c=")</f>
        <v>#VALUE!</v>
      </c>
      <c r="EG227" t="e">
        <f>AND('GA55 Entry'!#REF!,"AAAAAFZq34g=")</f>
        <v>#REF!</v>
      </c>
      <c r="EH227" t="e">
        <f>AND('GA55 Entry'!K908,"AAAAAFZq34k=")</f>
        <v>#VALUE!</v>
      </c>
      <c r="EI227" t="e">
        <f>AND('GA55 Entry'!L908,"AAAAAFZq34o=")</f>
        <v>#VALUE!</v>
      </c>
      <c r="EJ227" t="e">
        <f>AND('GA55 Entry'!M908,"AAAAAFZq34s=")</f>
        <v>#VALUE!</v>
      </c>
      <c r="EK227" t="e">
        <f>AND('GA55 Entry'!N908,"AAAAAFZq34w=")</f>
        <v>#VALUE!</v>
      </c>
      <c r="EL227" t="e">
        <f>AND('GA55 Entry'!O908,"AAAAAFZq340=")</f>
        <v>#VALUE!</v>
      </c>
      <c r="EM227" t="e">
        <f>AND('GA55 Entry'!P908,"AAAAAFZq344=")</f>
        <v>#VALUE!</v>
      </c>
      <c r="EN227" t="e">
        <f>AND('GA55 Entry'!Q908,"AAAAAFZq348=")</f>
        <v>#VALUE!</v>
      </c>
      <c r="EO227" t="e">
        <f>AND('GA55 Entry'!S908,"AAAAAFZq35A=")</f>
        <v>#VALUE!</v>
      </c>
      <c r="EP227" t="e">
        <f>AND('GA55 Entry'!#REF!,"AAAAAFZq35E=")</f>
        <v>#REF!</v>
      </c>
      <c r="EQ227" t="e">
        <f>AND('GA55 Entry'!T908,"AAAAAFZq35I=")</f>
        <v>#VALUE!</v>
      </c>
      <c r="ER227" t="e">
        <f>AND('GA55 Entry'!U908,"AAAAAFZq35M=")</f>
        <v>#VALUE!</v>
      </c>
      <c r="ES227" t="e">
        <f>AND('GA55 Entry'!V908,"AAAAAFZq35Q=")</f>
        <v>#VALUE!</v>
      </c>
      <c r="ET227" t="e">
        <f>AND('GA55 Entry'!#REF!,"AAAAAFZq35U=")</f>
        <v>#REF!</v>
      </c>
      <c r="EU227" t="e">
        <f>AND('GA55 Entry'!#REF!,"AAAAAFZq35Y=")</f>
        <v>#REF!</v>
      </c>
      <c r="EV227" t="e">
        <f>AND('GA55 Entry'!X908,"AAAAAFZq35c=")</f>
        <v>#VALUE!</v>
      </c>
      <c r="EW227" t="e">
        <f>AND('GA55 Entry'!Y908,"AAAAAFZq35g=")</f>
        <v>#VALUE!</v>
      </c>
      <c r="EX227" t="e">
        <f>AND('GA55 Entry'!#REF!,"AAAAAFZq35k=")</f>
        <v>#REF!</v>
      </c>
      <c r="EY227" t="e">
        <f>AND('GA55 Entry'!#REF!,"AAAAAFZq35o=")</f>
        <v>#REF!</v>
      </c>
      <c r="EZ227" t="e">
        <f>AND('GA55 Entry'!#REF!,"AAAAAFZq35s=")</f>
        <v>#REF!</v>
      </c>
      <c r="FA227" t="e">
        <f>AND('GA55 Entry'!#REF!,"AAAAAFZq35w=")</f>
        <v>#REF!</v>
      </c>
      <c r="FB227" t="e">
        <f>AND('GA55 Entry'!#REF!,"AAAAAFZq350=")</f>
        <v>#REF!</v>
      </c>
      <c r="FC227" t="e">
        <f>AND('GA55 Entry'!#REF!,"AAAAAFZq354=")</f>
        <v>#REF!</v>
      </c>
      <c r="FD227" t="e">
        <f>AND('GA55 Entry'!#REF!,"AAAAAFZq358=")</f>
        <v>#REF!</v>
      </c>
      <c r="FE227" t="e">
        <f>AND('GA55 Entry'!#REF!,"AAAAAFZq36A=")</f>
        <v>#REF!</v>
      </c>
      <c r="FF227" t="e">
        <f>AND('GA55 Entry'!#REF!,"AAAAAFZq36E=")</f>
        <v>#REF!</v>
      </c>
      <c r="FG227" t="e">
        <f>AND('GA55 Entry'!Z908,"AAAAAFZq36I=")</f>
        <v>#VALUE!</v>
      </c>
      <c r="FH227" t="e">
        <f>AND('GA55 Entry'!AA908,"AAAAAFZq36M=")</f>
        <v>#VALUE!</v>
      </c>
      <c r="FI227" t="e">
        <f>AND('GA55 Entry'!#REF!,"AAAAAFZq36Q=")</f>
        <v>#REF!</v>
      </c>
      <c r="FJ227" t="e">
        <f>AND('GA55 Entry'!#REF!,"AAAAAFZq36U=")</f>
        <v>#REF!</v>
      </c>
      <c r="FK227" t="e">
        <f>AND('GA55 Entry'!#REF!,"AAAAAFZq36Y=")</f>
        <v>#REF!</v>
      </c>
      <c r="FL227" t="e">
        <f>AND('GA55 Entry'!AB908,"AAAAAFZq36c=")</f>
        <v>#VALUE!</v>
      </c>
      <c r="FM227" t="e">
        <f>AND('GA55 Entry'!AC908,"AAAAAFZq36g=")</f>
        <v>#VALUE!</v>
      </c>
      <c r="FN227" t="e">
        <f>AND('GA55 Entry'!#REF!,"AAAAAFZq36k=")</f>
        <v>#REF!</v>
      </c>
      <c r="FO227">
        <f>IF('GA55 Entry'!909:909,"AAAAAFZq36o=",0)</f>
        <v>0</v>
      </c>
      <c r="FP227" t="e">
        <f>AND('GA55 Entry'!B909,"AAAAAFZq36s=")</f>
        <v>#VALUE!</v>
      </c>
      <c r="FQ227" t="e">
        <f>AND('GA55 Entry'!#REF!,"AAAAAFZq36w=")</f>
        <v>#REF!</v>
      </c>
      <c r="FR227" t="e">
        <f>AND('GA55 Entry'!C909,"AAAAAFZq360=")</f>
        <v>#VALUE!</v>
      </c>
      <c r="FS227" t="e">
        <f>AND('GA55 Entry'!#REF!,"AAAAAFZq364=")</f>
        <v>#REF!</v>
      </c>
      <c r="FT227" t="e">
        <f>AND('GA55 Entry'!#REF!,"AAAAAFZq368=")</f>
        <v>#REF!</v>
      </c>
      <c r="FU227" t="e">
        <f>AND('GA55 Entry'!#REF!,"AAAAAFZq37A=")</f>
        <v>#REF!</v>
      </c>
      <c r="FV227" t="e">
        <f>AND('GA55 Entry'!#REF!,"AAAAAFZq37E=")</f>
        <v>#REF!</v>
      </c>
      <c r="FW227" t="e">
        <f>AND('GA55 Entry'!#REF!,"AAAAAFZq37I=")</f>
        <v>#REF!</v>
      </c>
      <c r="FX227" t="e">
        <f>AND('GA55 Entry'!D909,"AAAAAFZq37M=")</f>
        <v>#VALUE!</v>
      </c>
      <c r="FY227" t="e">
        <f>AND('GA55 Entry'!#REF!,"AAAAAFZq37Q=")</f>
        <v>#REF!</v>
      </c>
      <c r="FZ227" t="e">
        <f>AND('GA55 Entry'!E909,"AAAAAFZq37U=")</f>
        <v>#VALUE!</v>
      </c>
      <c r="GA227" t="e">
        <f>AND('GA55 Entry'!F909,"AAAAAFZq37Y=")</f>
        <v>#VALUE!</v>
      </c>
      <c r="GB227" t="e">
        <f>AND('GA55 Entry'!G909,"AAAAAFZq37c=")</f>
        <v>#VALUE!</v>
      </c>
      <c r="GC227" t="e">
        <f>AND('GA55 Entry'!H909,"AAAAAFZq37g=")</f>
        <v>#VALUE!</v>
      </c>
      <c r="GD227" t="e">
        <f>AND('GA55 Entry'!I909,"AAAAAFZq37k=")</f>
        <v>#VALUE!</v>
      </c>
      <c r="GE227" t="e">
        <f>AND('GA55 Entry'!J909,"AAAAAFZq37o=")</f>
        <v>#VALUE!</v>
      </c>
      <c r="GF227" t="e">
        <f>AND('GA55 Entry'!#REF!,"AAAAAFZq37s=")</f>
        <v>#REF!</v>
      </c>
      <c r="GG227" t="e">
        <f>AND('GA55 Entry'!K909,"AAAAAFZq37w=")</f>
        <v>#VALUE!</v>
      </c>
      <c r="GH227" t="e">
        <f>AND('GA55 Entry'!L909,"AAAAAFZq370=")</f>
        <v>#VALUE!</v>
      </c>
      <c r="GI227" t="e">
        <f>AND('GA55 Entry'!M909,"AAAAAFZq374=")</f>
        <v>#VALUE!</v>
      </c>
      <c r="GJ227" t="e">
        <f>AND('GA55 Entry'!N909,"AAAAAFZq378=")</f>
        <v>#VALUE!</v>
      </c>
      <c r="GK227" t="e">
        <f>AND('GA55 Entry'!O909,"AAAAAFZq38A=")</f>
        <v>#VALUE!</v>
      </c>
      <c r="GL227" t="e">
        <f>AND('GA55 Entry'!P909,"AAAAAFZq38E=")</f>
        <v>#VALUE!</v>
      </c>
      <c r="GM227" t="e">
        <f>AND('GA55 Entry'!Q909,"AAAAAFZq38I=")</f>
        <v>#VALUE!</v>
      </c>
      <c r="GN227" t="e">
        <f>AND('GA55 Entry'!S909,"AAAAAFZq38M=")</f>
        <v>#VALUE!</v>
      </c>
      <c r="GO227" t="e">
        <f>AND('GA55 Entry'!#REF!,"AAAAAFZq38Q=")</f>
        <v>#REF!</v>
      </c>
      <c r="GP227" t="e">
        <f>AND('GA55 Entry'!T909,"AAAAAFZq38U=")</f>
        <v>#VALUE!</v>
      </c>
      <c r="GQ227" t="e">
        <f>AND('GA55 Entry'!U909,"AAAAAFZq38Y=")</f>
        <v>#VALUE!</v>
      </c>
      <c r="GR227" t="e">
        <f>AND('GA55 Entry'!V909,"AAAAAFZq38c=")</f>
        <v>#VALUE!</v>
      </c>
      <c r="GS227" t="e">
        <f>AND('GA55 Entry'!#REF!,"AAAAAFZq38g=")</f>
        <v>#REF!</v>
      </c>
      <c r="GT227" t="e">
        <f>AND('GA55 Entry'!#REF!,"AAAAAFZq38k=")</f>
        <v>#REF!</v>
      </c>
      <c r="GU227" t="e">
        <f>AND('GA55 Entry'!X909,"AAAAAFZq38o=")</f>
        <v>#VALUE!</v>
      </c>
      <c r="GV227" t="e">
        <f>AND('GA55 Entry'!Y909,"AAAAAFZq38s=")</f>
        <v>#VALUE!</v>
      </c>
      <c r="GW227" t="e">
        <f>AND('GA55 Entry'!#REF!,"AAAAAFZq38w=")</f>
        <v>#REF!</v>
      </c>
      <c r="GX227" t="e">
        <f>AND('GA55 Entry'!#REF!,"AAAAAFZq380=")</f>
        <v>#REF!</v>
      </c>
      <c r="GY227" t="e">
        <f>AND('GA55 Entry'!#REF!,"AAAAAFZq384=")</f>
        <v>#REF!</v>
      </c>
      <c r="GZ227" t="e">
        <f>AND('GA55 Entry'!#REF!,"AAAAAFZq388=")</f>
        <v>#REF!</v>
      </c>
      <c r="HA227" t="e">
        <f>AND('GA55 Entry'!#REF!,"AAAAAFZq39A=")</f>
        <v>#REF!</v>
      </c>
      <c r="HB227" t="e">
        <f>AND('GA55 Entry'!#REF!,"AAAAAFZq39E=")</f>
        <v>#REF!</v>
      </c>
      <c r="HC227" t="e">
        <f>AND('GA55 Entry'!#REF!,"AAAAAFZq39I=")</f>
        <v>#REF!</v>
      </c>
      <c r="HD227" t="e">
        <f>AND('GA55 Entry'!#REF!,"AAAAAFZq39M=")</f>
        <v>#REF!</v>
      </c>
      <c r="HE227" t="e">
        <f>AND('GA55 Entry'!#REF!,"AAAAAFZq39Q=")</f>
        <v>#REF!</v>
      </c>
      <c r="HF227" t="e">
        <f>AND('GA55 Entry'!Z909,"AAAAAFZq39U=")</f>
        <v>#VALUE!</v>
      </c>
      <c r="HG227" t="e">
        <f>AND('GA55 Entry'!AA909,"AAAAAFZq39Y=")</f>
        <v>#VALUE!</v>
      </c>
      <c r="HH227" t="e">
        <f>AND('GA55 Entry'!#REF!,"AAAAAFZq39c=")</f>
        <v>#REF!</v>
      </c>
      <c r="HI227" t="e">
        <f>AND('GA55 Entry'!#REF!,"AAAAAFZq39g=")</f>
        <v>#REF!</v>
      </c>
      <c r="HJ227" t="e">
        <f>AND('GA55 Entry'!#REF!,"AAAAAFZq39k=")</f>
        <v>#REF!</v>
      </c>
      <c r="HK227" t="e">
        <f>AND('GA55 Entry'!AB909,"AAAAAFZq39o=")</f>
        <v>#VALUE!</v>
      </c>
      <c r="HL227" t="e">
        <f>AND('GA55 Entry'!AC909,"AAAAAFZq39s=")</f>
        <v>#VALUE!</v>
      </c>
      <c r="HM227" t="e">
        <f>AND('GA55 Entry'!#REF!,"AAAAAFZq39w=")</f>
        <v>#REF!</v>
      </c>
      <c r="HN227">
        <f>IF('GA55 Entry'!910:910,"AAAAAFZq390=",0)</f>
        <v>0</v>
      </c>
      <c r="HO227" t="e">
        <f>AND('GA55 Entry'!B910,"AAAAAFZq394=")</f>
        <v>#VALUE!</v>
      </c>
      <c r="HP227" t="e">
        <f>AND('GA55 Entry'!#REF!,"AAAAAFZq398=")</f>
        <v>#REF!</v>
      </c>
      <c r="HQ227" t="e">
        <f>AND('GA55 Entry'!C910,"AAAAAFZq3+A=")</f>
        <v>#VALUE!</v>
      </c>
      <c r="HR227" t="e">
        <f>AND('GA55 Entry'!#REF!,"AAAAAFZq3+E=")</f>
        <v>#REF!</v>
      </c>
      <c r="HS227" t="e">
        <f>AND('GA55 Entry'!#REF!,"AAAAAFZq3+I=")</f>
        <v>#REF!</v>
      </c>
      <c r="HT227" t="e">
        <f>AND('GA55 Entry'!#REF!,"AAAAAFZq3+M=")</f>
        <v>#REF!</v>
      </c>
      <c r="HU227" t="e">
        <f>AND('GA55 Entry'!#REF!,"AAAAAFZq3+Q=")</f>
        <v>#REF!</v>
      </c>
      <c r="HV227" t="e">
        <f>AND('GA55 Entry'!#REF!,"AAAAAFZq3+U=")</f>
        <v>#REF!</v>
      </c>
      <c r="HW227" t="e">
        <f>AND('GA55 Entry'!D910,"AAAAAFZq3+Y=")</f>
        <v>#VALUE!</v>
      </c>
      <c r="HX227" t="e">
        <f>AND('GA55 Entry'!#REF!,"AAAAAFZq3+c=")</f>
        <v>#REF!</v>
      </c>
      <c r="HY227" t="e">
        <f>AND('GA55 Entry'!E910,"AAAAAFZq3+g=")</f>
        <v>#VALUE!</v>
      </c>
      <c r="HZ227" t="e">
        <f>AND('GA55 Entry'!F910,"AAAAAFZq3+k=")</f>
        <v>#VALUE!</v>
      </c>
      <c r="IA227" t="e">
        <f>AND('GA55 Entry'!G910,"AAAAAFZq3+o=")</f>
        <v>#VALUE!</v>
      </c>
      <c r="IB227" t="e">
        <f>AND('GA55 Entry'!H910,"AAAAAFZq3+s=")</f>
        <v>#VALUE!</v>
      </c>
      <c r="IC227" t="e">
        <f>AND('GA55 Entry'!I910,"AAAAAFZq3+w=")</f>
        <v>#VALUE!</v>
      </c>
      <c r="ID227" t="e">
        <f>AND('GA55 Entry'!J910,"AAAAAFZq3+0=")</f>
        <v>#VALUE!</v>
      </c>
      <c r="IE227" t="e">
        <f>AND('GA55 Entry'!#REF!,"AAAAAFZq3+4=")</f>
        <v>#REF!</v>
      </c>
      <c r="IF227" t="e">
        <f>AND('GA55 Entry'!K910,"AAAAAFZq3+8=")</f>
        <v>#VALUE!</v>
      </c>
      <c r="IG227" t="e">
        <f>AND('GA55 Entry'!L910,"AAAAAFZq3/A=")</f>
        <v>#VALUE!</v>
      </c>
      <c r="IH227" t="e">
        <f>AND('GA55 Entry'!M910,"AAAAAFZq3/E=")</f>
        <v>#VALUE!</v>
      </c>
      <c r="II227" t="e">
        <f>AND('GA55 Entry'!N910,"AAAAAFZq3/I=")</f>
        <v>#VALUE!</v>
      </c>
      <c r="IJ227" t="e">
        <f>AND('GA55 Entry'!O910,"AAAAAFZq3/M=")</f>
        <v>#VALUE!</v>
      </c>
      <c r="IK227" t="e">
        <f>AND('GA55 Entry'!P910,"AAAAAFZq3/Q=")</f>
        <v>#VALUE!</v>
      </c>
      <c r="IL227" t="e">
        <f>AND('GA55 Entry'!Q910,"AAAAAFZq3/U=")</f>
        <v>#VALUE!</v>
      </c>
      <c r="IM227" t="e">
        <f>AND('GA55 Entry'!S910,"AAAAAFZq3/Y=")</f>
        <v>#VALUE!</v>
      </c>
      <c r="IN227" t="e">
        <f>AND('GA55 Entry'!#REF!,"AAAAAFZq3/c=")</f>
        <v>#REF!</v>
      </c>
      <c r="IO227" t="e">
        <f>AND('GA55 Entry'!T910,"AAAAAFZq3/g=")</f>
        <v>#VALUE!</v>
      </c>
      <c r="IP227" t="e">
        <f>AND('GA55 Entry'!U910,"AAAAAFZq3/k=")</f>
        <v>#VALUE!</v>
      </c>
      <c r="IQ227" t="e">
        <f>AND('GA55 Entry'!V910,"AAAAAFZq3/o=")</f>
        <v>#VALUE!</v>
      </c>
      <c r="IR227" t="e">
        <f>AND('GA55 Entry'!#REF!,"AAAAAFZq3/s=")</f>
        <v>#REF!</v>
      </c>
      <c r="IS227" t="e">
        <f>AND('GA55 Entry'!#REF!,"AAAAAFZq3/w=")</f>
        <v>#REF!</v>
      </c>
      <c r="IT227" t="e">
        <f>AND('GA55 Entry'!X910,"AAAAAFZq3/0=")</f>
        <v>#VALUE!</v>
      </c>
      <c r="IU227" t="e">
        <f>AND('GA55 Entry'!Y910,"AAAAAFZq3/4=")</f>
        <v>#VALUE!</v>
      </c>
      <c r="IV227" t="e">
        <f>AND('GA55 Entry'!#REF!,"AAAAAFZq3/8=")</f>
        <v>#REF!</v>
      </c>
    </row>
    <row r="228" spans="1:256">
      <c r="A228" t="e">
        <f>AND('GA55 Entry'!#REF!,"AAAAAH9b9wA=")</f>
        <v>#REF!</v>
      </c>
      <c r="B228" t="e">
        <f>AND('GA55 Entry'!#REF!,"AAAAAH9b9wE=")</f>
        <v>#REF!</v>
      </c>
      <c r="C228" t="e">
        <f>AND('GA55 Entry'!#REF!,"AAAAAH9b9wI=")</f>
        <v>#REF!</v>
      </c>
      <c r="D228" t="e">
        <f>AND('GA55 Entry'!#REF!,"AAAAAH9b9wM=")</f>
        <v>#REF!</v>
      </c>
      <c r="E228" t="e">
        <f>AND('GA55 Entry'!#REF!,"AAAAAH9b9wQ=")</f>
        <v>#REF!</v>
      </c>
      <c r="F228" t="e">
        <f>AND('GA55 Entry'!#REF!,"AAAAAH9b9wU=")</f>
        <v>#REF!</v>
      </c>
      <c r="G228" t="e">
        <f>AND('GA55 Entry'!#REF!,"AAAAAH9b9wY=")</f>
        <v>#REF!</v>
      </c>
      <c r="H228" t="e">
        <f>AND('GA55 Entry'!#REF!,"AAAAAH9b9wc=")</f>
        <v>#REF!</v>
      </c>
      <c r="I228" t="e">
        <f>AND('GA55 Entry'!Z910,"AAAAAH9b9wg=")</f>
        <v>#VALUE!</v>
      </c>
      <c r="J228" t="e">
        <f>AND('GA55 Entry'!AA910,"AAAAAH9b9wk=")</f>
        <v>#VALUE!</v>
      </c>
      <c r="K228" t="e">
        <f>AND('GA55 Entry'!#REF!,"AAAAAH9b9wo=")</f>
        <v>#REF!</v>
      </c>
      <c r="L228" t="e">
        <f>AND('GA55 Entry'!#REF!,"AAAAAH9b9ws=")</f>
        <v>#REF!</v>
      </c>
      <c r="M228" t="e">
        <f>AND('GA55 Entry'!#REF!,"AAAAAH9b9ww=")</f>
        <v>#REF!</v>
      </c>
      <c r="N228" t="e">
        <f>AND('GA55 Entry'!AB910,"AAAAAH9b9w0=")</f>
        <v>#VALUE!</v>
      </c>
      <c r="O228" t="e">
        <f>AND('GA55 Entry'!AC910,"AAAAAH9b9w4=")</f>
        <v>#VALUE!</v>
      </c>
      <c r="P228" t="e">
        <f>AND('GA55 Entry'!#REF!,"AAAAAH9b9w8=")</f>
        <v>#REF!</v>
      </c>
      <c r="Q228">
        <f>IF('GA55 Entry'!911:911,"AAAAAH9b9xA=",0)</f>
        <v>0</v>
      </c>
      <c r="R228" t="e">
        <f>AND('GA55 Entry'!B911,"AAAAAH9b9xE=")</f>
        <v>#VALUE!</v>
      </c>
      <c r="S228" t="e">
        <f>AND('GA55 Entry'!#REF!,"AAAAAH9b9xI=")</f>
        <v>#REF!</v>
      </c>
      <c r="T228" t="e">
        <f>AND('GA55 Entry'!C911,"AAAAAH9b9xM=")</f>
        <v>#VALUE!</v>
      </c>
      <c r="U228" t="e">
        <f>AND('GA55 Entry'!#REF!,"AAAAAH9b9xQ=")</f>
        <v>#REF!</v>
      </c>
      <c r="V228" t="e">
        <f>AND('GA55 Entry'!#REF!,"AAAAAH9b9xU=")</f>
        <v>#REF!</v>
      </c>
      <c r="W228" t="e">
        <f>AND('GA55 Entry'!#REF!,"AAAAAH9b9xY=")</f>
        <v>#REF!</v>
      </c>
      <c r="X228" t="e">
        <f>AND('GA55 Entry'!#REF!,"AAAAAH9b9xc=")</f>
        <v>#REF!</v>
      </c>
      <c r="Y228" t="e">
        <f>AND('GA55 Entry'!#REF!,"AAAAAH9b9xg=")</f>
        <v>#REF!</v>
      </c>
      <c r="Z228" t="e">
        <f>AND('GA55 Entry'!D911,"AAAAAH9b9xk=")</f>
        <v>#VALUE!</v>
      </c>
      <c r="AA228" t="e">
        <f>AND('GA55 Entry'!#REF!,"AAAAAH9b9xo=")</f>
        <v>#REF!</v>
      </c>
      <c r="AB228" t="e">
        <f>AND('GA55 Entry'!E911,"AAAAAH9b9xs=")</f>
        <v>#VALUE!</v>
      </c>
      <c r="AC228" t="e">
        <f>AND('GA55 Entry'!F911,"AAAAAH9b9xw=")</f>
        <v>#VALUE!</v>
      </c>
      <c r="AD228" t="e">
        <f>AND('GA55 Entry'!G911,"AAAAAH9b9x0=")</f>
        <v>#VALUE!</v>
      </c>
      <c r="AE228" t="e">
        <f>AND('GA55 Entry'!H911,"AAAAAH9b9x4=")</f>
        <v>#VALUE!</v>
      </c>
      <c r="AF228" t="e">
        <f>AND('GA55 Entry'!I911,"AAAAAH9b9x8=")</f>
        <v>#VALUE!</v>
      </c>
      <c r="AG228" t="e">
        <f>AND('GA55 Entry'!J911,"AAAAAH9b9yA=")</f>
        <v>#VALUE!</v>
      </c>
      <c r="AH228" t="e">
        <f>AND('GA55 Entry'!#REF!,"AAAAAH9b9yE=")</f>
        <v>#REF!</v>
      </c>
      <c r="AI228" t="e">
        <f>AND('GA55 Entry'!K911,"AAAAAH9b9yI=")</f>
        <v>#VALUE!</v>
      </c>
      <c r="AJ228" t="e">
        <f>AND('GA55 Entry'!L911,"AAAAAH9b9yM=")</f>
        <v>#VALUE!</v>
      </c>
      <c r="AK228" t="e">
        <f>AND('GA55 Entry'!M911,"AAAAAH9b9yQ=")</f>
        <v>#VALUE!</v>
      </c>
      <c r="AL228" t="e">
        <f>AND('GA55 Entry'!N911,"AAAAAH9b9yU=")</f>
        <v>#VALUE!</v>
      </c>
      <c r="AM228" t="e">
        <f>AND('GA55 Entry'!O911,"AAAAAH9b9yY=")</f>
        <v>#VALUE!</v>
      </c>
      <c r="AN228" t="e">
        <f>AND('GA55 Entry'!P911,"AAAAAH9b9yc=")</f>
        <v>#VALUE!</v>
      </c>
      <c r="AO228" t="e">
        <f>AND('GA55 Entry'!Q911,"AAAAAH9b9yg=")</f>
        <v>#VALUE!</v>
      </c>
      <c r="AP228" t="e">
        <f>AND('GA55 Entry'!S911,"AAAAAH9b9yk=")</f>
        <v>#VALUE!</v>
      </c>
      <c r="AQ228" t="e">
        <f>AND('GA55 Entry'!#REF!,"AAAAAH9b9yo=")</f>
        <v>#REF!</v>
      </c>
      <c r="AR228" t="e">
        <f>AND('GA55 Entry'!T911,"AAAAAH9b9ys=")</f>
        <v>#VALUE!</v>
      </c>
      <c r="AS228" t="e">
        <f>AND('GA55 Entry'!U911,"AAAAAH9b9yw=")</f>
        <v>#VALUE!</v>
      </c>
      <c r="AT228" t="e">
        <f>AND('GA55 Entry'!V911,"AAAAAH9b9y0=")</f>
        <v>#VALUE!</v>
      </c>
      <c r="AU228" t="e">
        <f>AND('GA55 Entry'!#REF!,"AAAAAH9b9y4=")</f>
        <v>#REF!</v>
      </c>
      <c r="AV228" t="e">
        <f>AND('GA55 Entry'!#REF!,"AAAAAH9b9y8=")</f>
        <v>#REF!</v>
      </c>
      <c r="AW228" t="e">
        <f>AND('GA55 Entry'!X911,"AAAAAH9b9zA=")</f>
        <v>#VALUE!</v>
      </c>
      <c r="AX228" t="e">
        <f>AND('GA55 Entry'!Y911,"AAAAAH9b9zE=")</f>
        <v>#VALUE!</v>
      </c>
      <c r="AY228" t="e">
        <f>AND('GA55 Entry'!#REF!,"AAAAAH9b9zI=")</f>
        <v>#REF!</v>
      </c>
      <c r="AZ228" t="e">
        <f>AND('GA55 Entry'!#REF!,"AAAAAH9b9zM=")</f>
        <v>#REF!</v>
      </c>
      <c r="BA228" t="e">
        <f>AND('GA55 Entry'!#REF!,"AAAAAH9b9zQ=")</f>
        <v>#REF!</v>
      </c>
      <c r="BB228" t="e">
        <f>AND('GA55 Entry'!#REF!,"AAAAAH9b9zU=")</f>
        <v>#REF!</v>
      </c>
      <c r="BC228" t="e">
        <f>AND('GA55 Entry'!#REF!,"AAAAAH9b9zY=")</f>
        <v>#REF!</v>
      </c>
      <c r="BD228" t="e">
        <f>AND('GA55 Entry'!#REF!,"AAAAAH9b9zc=")</f>
        <v>#REF!</v>
      </c>
      <c r="BE228" t="e">
        <f>AND('GA55 Entry'!#REF!,"AAAAAH9b9zg=")</f>
        <v>#REF!</v>
      </c>
      <c r="BF228" t="e">
        <f>AND('GA55 Entry'!#REF!,"AAAAAH9b9zk=")</f>
        <v>#REF!</v>
      </c>
      <c r="BG228" t="e">
        <f>AND('GA55 Entry'!#REF!,"AAAAAH9b9zo=")</f>
        <v>#REF!</v>
      </c>
      <c r="BH228" t="e">
        <f>AND('GA55 Entry'!Z911,"AAAAAH9b9zs=")</f>
        <v>#VALUE!</v>
      </c>
      <c r="BI228" t="e">
        <f>AND('GA55 Entry'!AA911,"AAAAAH9b9zw=")</f>
        <v>#VALUE!</v>
      </c>
      <c r="BJ228" t="e">
        <f>AND('GA55 Entry'!#REF!,"AAAAAH9b9z0=")</f>
        <v>#REF!</v>
      </c>
      <c r="BK228" t="e">
        <f>AND('GA55 Entry'!#REF!,"AAAAAH9b9z4=")</f>
        <v>#REF!</v>
      </c>
      <c r="BL228" t="e">
        <f>AND('GA55 Entry'!#REF!,"AAAAAH9b9z8=")</f>
        <v>#REF!</v>
      </c>
      <c r="BM228" t="e">
        <f>AND('GA55 Entry'!AB911,"AAAAAH9b90A=")</f>
        <v>#VALUE!</v>
      </c>
      <c r="BN228" t="e">
        <f>AND('GA55 Entry'!AC911,"AAAAAH9b90E=")</f>
        <v>#VALUE!</v>
      </c>
      <c r="BO228" t="e">
        <f>AND('GA55 Entry'!#REF!,"AAAAAH9b90I=")</f>
        <v>#REF!</v>
      </c>
      <c r="BP228">
        <f>IF('GA55 Entry'!912:912,"AAAAAH9b90M=",0)</f>
        <v>0</v>
      </c>
      <c r="BQ228" t="e">
        <f>AND('GA55 Entry'!B912,"AAAAAH9b90Q=")</f>
        <v>#VALUE!</v>
      </c>
      <c r="BR228" t="e">
        <f>AND('GA55 Entry'!#REF!,"AAAAAH9b90U=")</f>
        <v>#REF!</v>
      </c>
      <c r="BS228" t="e">
        <f>AND('GA55 Entry'!C912,"AAAAAH9b90Y=")</f>
        <v>#VALUE!</v>
      </c>
      <c r="BT228" t="e">
        <f>AND('GA55 Entry'!#REF!,"AAAAAH9b90c=")</f>
        <v>#REF!</v>
      </c>
      <c r="BU228" t="e">
        <f>AND('GA55 Entry'!#REF!,"AAAAAH9b90g=")</f>
        <v>#REF!</v>
      </c>
      <c r="BV228" t="e">
        <f>AND('GA55 Entry'!#REF!,"AAAAAH9b90k=")</f>
        <v>#REF!</v>
      </c>
      <c r="BW228" t="e">
        <f>AND('GA55 Entry'!#REF!,"AAAAAH9b90o=")</f>
        <v>#REF!</v>
      </c>
      <c r="BX228" t="e">
        <f>AND('GA55 Entry'!#REF!,"AAAAAH9b90s=")</f>
        <v>#REF!</v>
      </c>
      <c r="BY228" t="e">
        <f>AND('GA55 Entry'!D912,"AAAAAH9b90w=")</f>
        <v>#VALUE!</v>
      </c>
      <c r="BZ228" t="e">
        <f>AND('GA55 Entry'!#REF!,"AAAAAH9b900=")</f>
        <v>#REF!</v>
      </c>
      <c r="CA228" t="e">
        <f>AND('GA55 Entry'!E912,"AAAAAH9b904=")</f>
        <v>#VALUE!</v>
      </c>
      <c r="CB228" t="e">
        <f>AND('GA55 Entry'!F912,"AAAAAH9b908=")</f>
        <v>#VALUE!</v>
      </c>
      <c r="CC228" t="e">
        <f>AND('GA55 Entry'!G912,"AAAAAH9b91A=")</f>
        <v>#VALUE!</v>
      </c>
      <c r="CD228" t="e">
        <f>AND('GA55 Entry'!H912,"AAAAAH9b91E=")</f>
        <v>#VALUE!</v>
      </c>
      <c r="CE228" t="e">
        <f>AND('GA55 Entry'!I912,"AAAAAH9b91I=")</f>
        <v>#VALUE!</v>
      </c>
      <c r="CF228" t="e">
        <f>AND('GA55 Entry'!J912,"AAAAAH9b91M=")</f>
        <v>#VALUE!</v>
      </c>
      <c r="CG228" t="e">
        <f>AND('GA55 Entry'!#REF!,"AAAAAH9b91Q=")</f>
        <v>#REF!</v>
      </c>
      <c r="CH228" t="e">
        <f>AND('GA55 Entry'!K912,"AAAAAH9b91U=")</f>
        <v>#VALUE!</v>
      </c>
      <c r="CI228" t="e">
        <f>AND('GA55 Entry'!L912,"AAAAAH9b91Y=")</f>
        <v>#VALUE!</v>
      </c>
      <c r="CJ228" t="e">
        <f>AND('GA55 Entry'!M912,"AAAAAH9b91c=")</f>
        <v>#VALUE!</v>
      </c>
      <c r="CK228" t="e">
        <f>AND('GA55 Entry'!N912,"AAAAAH9b91g=")</f>
        <v>#VALUE!</v>
      </c>
      <c r="CL228" t="e">
        <f>AND('GA55 Entry'!O912,"AAAAAH9b91k=")</f>
        <v>#VALUE!</v>
      </c>
      <c r="CM228" t="e">
        <f>AND('GA55 Entry'!P912,"AAAAAH9b91o=")</f>
        <v>#VALUE!</v>
      </c>
      <c r="CN228" t="e">
        <f>AND('GA55 Entry'!Q912,"AAAAAH9b91s=")</f>
        <v>#VALUE!</v>
      </c>
      <c r="CO228" t="e">
        <f>AND('GA55 Entry'!S912,"AAAAAH9b91w=")</f>
        <v>#VALUE!</v>
      </c>
      <c r="CP228" t="e">
        <f>AND('GA55 Entry'!#REF!,"AAAAAH9b910=")</f>
        <v>#REF!</v>
      </c>
      <c r="CQ228" t="e">
        <f>AND('GA55 Entry'!T912,"AAAAAH9b914=")</f>
        <v>#VALUE!</v>
      </c>
      <c r="CR228" t="e">
        <f>AND('GA55 Entry'!U912,"AAAAAH9b918=")</f>
        <v>#VALUE!</v>
      </c>
      <c r="CS228" t="e">
        <f>AND('GA55 Entry'!V912,"AAAAAH9b92A=")</f>
        <v>#VALUE!</v>
      </c>
      <c r="CT228" t="e">
        <f>AND('GA55 Entry'!#REF!,"AAAAAH9b92E=")</f>
        <v>#REF!</v>
      </c>
      <c r="CU228" t="e">
        <f>AND('GA55 Entry'!#REF!,"AAAAAH9b92I=")</f>
        <v>#REF!</v>
      </c>
      <c r="CV228" t="e">
        <f>AND('GA55 Entry'!X912,"AAAAAH9b92M=")</f>
        <v>#VALUE!</v>
      </c>
      <c r="CW228" t="e">
        <f>AND('GA55 Entry'!Y912,"AAAAAH9b92Q=")</f>
        <v>#VALUE!</v>
      </c>
      <c r="CX228" t="e">
        <f>AND('GA55 Entry'!#REF!,"AAAAAH9b92U=")</f>
        <v>#REF!</v>
      </c>
      <c r="CY228" t="e">
        <f>AND('GA55 Entry'!#REF!,"AAAAAH9b92Y=")</f>
        <v>#REF!</v>
      </c>
      <c r="CZ228" t="e">
        <f>AND('GA55 Entry'!#REF!,"AAAAAH9b92c=")</f>
        <v>#REF!</v>
      </c>
      <c r="DA228" t="e">
        <f>AND('GA55 Entry'!#REF!,"AAAAAH9b92g=")</f>
        <v>#REF!</v>
      </c>
      <c r="DB228" t="e">
        <f>AND('GA55 Entry'!#REF!,"AAAAAH9b92k=")</f>
        <v>#REF!</v>
      </c>
      <c r="DC228" t="e">
        <f>AND('GA55 Entry'!#REF!,"AAAAAH9b92o=")</f>
        <v>#REF!</v>
      </c>
      <c r="DD228" t="e">
        <f>AND('GA55 Entry'!#REF!,"AAAAAH9b92s=")</f>
        <v>#REF!</v>
      </c>
      <c r="DE228" t="e">
        <f>AND('GA55 Entry'!#REF!,"AAAAAH9b92w=")</f>
        <v>#REF!</v>
      </c>
      <c r="DF228" t="e">
        <f>AND('GA55 Entry'!#REF!,"AAAAAH9b920=")</f>
        <v>#REF!</v>
      </c>
      <c r="DG228" t="e">
        <f>AND('GA55 Entry'!Z912,"AAAAAH9b924=")</f>
        <v>#VALUE!</v>
      </c>
      <c r="DH228" t="e">
        <f>AND('GA55 Entry'!AA912,"AAAAAH9b928=")</f>
        <v>#VALUE!</v>
      </c>
      <c r="DI228" t="e">
        <f>AND('GA55 Entry'!#REF!,"AAAAAH9b93A=")</f>
        <v>#REF!</v>
      </c>
      <c r="DJ228" t="e">
        <f>AND('GA55 Entry'!#REF!,"AAAAAH9b93E=")</f>
        <v>#REF!</v>
      </c>
      <c r="DK228" t="e">
        <f>AND('GA55 Entry'!#REF!,"AAAAAH9b93I=")</f>
        <v>#REF!</v>
      </c>
      <c r="DL228" t="e">
        <f>AND('GA55 Entry'!AB912,"AAAAAH9b93M=")</f>
        <v>#VALUE!</v>
      </c>
      <c r="DM228" t="e">
        <f>AND('GA55 Entry'!AC912,"AAAAAH9b93Q=")</f>
        <v>#VALUE!</v>
      </c>
      <c r="DN228" t="e">
        <f>AND('GA55 Entry'!#REF!,"AAAAAH9b93U=")</f>
        <v>#REF!</v>
      </c>
      <c r="DO228">
        <f>IF('GA55 Entry'!913:913,"AAAAAH9b93Y=",0)</f>
        <v>0</v>
      </c>
      <c r="DP228" t="e">
        <f>AND('GA55 Entry'!B913,"AAAAAH9b93c=")</f>
        <v>#VALUE!</v>
      </c>
      <c r="DQ228" t="e">
        <f>AND('GA55 Entry'!#REF!,"AAAAAH9b93g=")</f>
        <v>#REF!</v>
      </c>
      <c r="DR228" t="e">
        <f>AND('GA55 Entry'!C913,"AAAAAH9b93k=")</f>
        <v>#VALUE!</v>
      </c>
      <c r="DS228" t="e">
        <f>AND('GA55 Entry'!#REF!,"AAAAAH9b93o=")</f>
        <v>#REF!</v>
      </c>
      <c r="DT228" t="e">
        <f>AND('GA55 Entry'!#REF!,"AAAAAH9b93s=")</f>
        <v>#REF!</v>
      </c>
      <c r="DU228" t="e">
        <f>AND('GA55 Entry'!#REF!,"AAAAAH9b93w=")</f>
        <v>#REF!</v>
      </c>
      <c r="DV228" t="e">
        <f>AND('GA55 Entry'!#REF!,"AAAAAH9b930=")</f>
        <v>#REF!</v>
      </c>
      <c r="DW228" t="e">
        <f>AND('GA55 Entry'!#REF!,"AAAAAH9b934=")</f>
        <v>#REF!</v>
      </c>
      <c r="DX228" t="e">
        <f>AND('GA55 Entry'!D913,"AAAAAH9b938=")</f>
        <v>#VALUE!</v>
      </c>
      <c r="DY228" t="e">
        <f>AND('GA55 Entry'!#REF!,"AAAAAH9b94A=")</f>
        <v>#REF!</v>
      </c>
      <c r="DZ228" t="e">
        <f>AND('GA55 Entry'!E913,"AAAAAH9b94E=")</f>
        <v>#VALUE!</v>
      </c>
      <c r="EA228" t="e">
        <f>AND('GA55 Entry'!F913,"AAAAAH9b94I=")</f>
        <v>#VALUE!</v>
      </c>
      <c r="EB228" t="e">
        <f>AND('GA55 Entry'!G913,"AAAAAH9b94M=")</f>
        <v>#VALUE!</v>
      </c>
      <c r="EC228" t="e">
        <f>AND('GA55 Entry'!H913,"AAAAAH9b94Q=")</f>
        <v>#VALUE!</v>
      </c>
      <c r="ED228" t="e">
        <f>AND('GA55 Entry'!I913,"AAAAAH9b94U=")</f>
        <v>#VALUE!</v>
      </c>
      <c r="EE228" t="e">
        <f>AND('GA55 Entry'!J913,"AAAAAH9b94Y=")</f>
        <v>#VALUE!</v>
      </c>
      <c r="EF228" t="e">
        <f>AND('GA55 Entry'!#REF!,"AAAAAH9b94c=")</f>
        <v>#REF!</v>
      </c>
      <c r="EG228" t="e">
        <f>AND('GA55 Entry'!K913,"AAAAAH9b94g=")</f>
        <v>#VALUE!</v>
      </c>
      <c r="EH228" t="e">
        <f>AND('GA55 Entry'!L913,"AAAAAH9b94k=")</f>
        <v>#VALUE!</v>
      </c>
      <c r="EI228" t="e">
        <f>AND('GA55 Entry'!M913,"AAAAAH9b94o=")</f>
        <v>#VALUE!</v>
      </c>
      <c r="EJ228" t="e">
        <f>AND('GA55 Entry'!N913,"AAAAAH9b94s=")</f>
        <v>#VALUE!</v>
      </c>
      <c r="EK228" t="e">
        <f>AND('GA55 Entry'!O913,"AAAAAH9b94w=")</f>
        <v>#VALUE!</v>
      </c>
      <c r="EL228" t="e">
        <f>AND('GA55 Entry'!P913,"AAAAAH9b940=")</f>
        <v>#VALUE!</v>
      </c>
      <c r="EM228" t="e">
        <f>AND('GA55 Entry'!Q913,"AAAAAH9b944=")</f>
        <v>#VALUE!</v>
      </c>
      <c r="EN228" t="e">
        <f>AND('GA55 Entry'!S913,"AAAAAH9b948=")</f>
        <v>#VALUE!</v>
      </c>
      <c r="EO228" t="e">
        <f>AND('GA55 Entry'!#REF!,"AAAAAH9b95A=")</f>
        <v>#REF!</v>
      </c>
      <c r="EP228" t="e">
        <f>AND('GA55 Entry'!T913,"AAAAAH9b95E=")</f>
        <v>#VALUE!</v>
      </c>
      <c r="EQ228" t="e">
        <f>AND('GA55 Entry'!U913,"AAAAAH9b95I=")</f>
        <v>#VALUE!</v>
      </c>
      <c r="ER228" t="e">
        <f>AND('GA55 Entry'!V913,"AAAAAH9b95M=")</f>
        <v>#VALUE!</v>
      </c>
      <c r="ES228" t="e">
        <f>AND('GA55 Entry'!#REF!,"AAAAAH9b95Q=")</f>
        <v>#REF!</v>
      </c>
      <c r="ET228" t="e">
        <f>AND('GA55 Entry'!#REF!,"AAAAAH9b95U=")</f>
        <v>#REF!</v>
      </c>
      <c r="EU228" t="e">
        <f>AND('GA55 Entry'!X913,"AAAAAH9b95Y=")</f>
        <v>#VALUE!</v>
      </c>
      <c r="EV228" t="e">
        <f>AND('GA55 Entry'!Y913,"AAAAAH9b95c=")</f>
        <v>#VALUE!</v>
      </c>
      <c r="EW228" t="e">
        <f>AND('GA55 Entry'!#REF!,"AAAAAH9b95g=")</f>
        <v>#REF!</v>
      </c>
      <c r="EX228" t="e">
        <f>AND('GA55 Entry'!#REF!,"AAAAAH9b95k=")</f>
        <v>#REF!</v>
      </c>
      <c r="EY228" t="e">
        <f>AND('GA55 Entry'!#REF!,"AAAAAH9b95o=")</f>
        <v>#REF!</v>
      </c>
      <c r="EZ228" t="e">
        <f>AND('GA55 Entry'!#REF!,"AAAAAH9b95s=")</f>
        <v>#REF!</v>
      </c>
      <c r="FA228" t="e">
        <f>AND('GA55 Entry'!#REF!,"AAAAAH9b95w=")</f>
        <v>#REF!</v>
      </c>
      <c r="FB228" t="e">
        <f>AND('GA55 Entry'!#REF!,"AAAAAH9b950=")</f>
        <v>#REF!</v>
      </c>
      <c r="FC228" t="e">
        <f>AND('GA55 Entry'!#REF!,"AAAAAH9b954=")</f>
        <v>#REF!</v>
      </c>
      <c r="FD228" t="e">
        <f>AND('GA55 Entry'!#REF!,"AAAAAH9b958=")</f>
        <v>#REF!</v>
      </c>
      <c r="FE228" t="e">
        <f>AND('GA55 Entry'!#REF!,"AAAAAH9b96A=")</f>
        <v>#REF!</v>
      </c>
      <c r="FF228" t="e">
        <f>AND('GA55 Entry'!Z913,"AAAAAH9b96E=")</f>
        <v>#VALUE!</v>
      </c>
      <c r="FG228" t="e">
        <f>AND('GA55 Entry'!AA913,"AAAAAH9b96I=")</f>
        <v>#VALUE!</v>
      </c>
      <c r="FH228" t="e">
        <f>AND('GA55 Entry'!#REF!,"AAAAAH9b96M=")</f>
        <v>#REF!</v>
      </c>
      <c r="FI228" t="e">
        <f>AND('GA55 Entry'!#REF!,"AAAAAH9b96Q=")</f>
        <v>#REF!</v>
      </c>
      <c r="FJ228" t="e">
        <f>AND('GA55 Entry'!#REF!,"AAAAAH9b96U=")</f>
        <v>#REF!</v>
      </c>
      <c r="FK228" t="e">
        <f>AND('GA55 Entry'!AB913,"AAAAAH9b96Y=")</f>
        <v>#VALUE!</v>
      </c>
      <c r="FL228" t="e">
        <f>AND('GA55 Entry'!AC913,"AAAAAH9b96c=")</f>
        <v>#VALUE!</v>
      </c>
      <c r="FM228" t="e">
        <f>AND('GA55 Entry'!#REF!,"AAAAAH9b96g=")</f>
        <v>#REF!</v>
      </c>
      <c r="FN228">
        <f>IF('GA55 Entry'!914:914,"AAAAAH9b96k=",0)</f>
        <v>0</v>
      </c>
      <c r="FO228" t="e">
        <f>AND('GA55 Entry'!B914,"AAAAAH9b96o=")</f>
        <v>#VALUE!</v>
      </c>
      <c r="FP228" t="e">
        <f>AND('GA55 Entry'!#REF!,"AAAAAH9b96s=")</f>
        <v>#REF!</v>
      </c>
      <c r="FQ228" t="e">
        <f>AND('GA55 Entry'!C914,"AAAAAH9b96w=")</f>
        <v>#VALUE!</v>
      </c>
      <c r="FR228" t="e">
        <f>AND('GA55 Entry'!#REF!,"AAAAAH9b960=")</f>
        <v>#REF!</v>
      </c>
      <c r="FS228" t="e">
        <f>AND('GA55 Entry'!#REF!,"AAAAAH9b964=")</f>
        <v>#REF!</v>
      </c>
      <c r="FT228" t="e">
        <f>AND('GA55 Entry'!#REF!,"AAAAAH9b968=")</f>
        <v>#REF!</v>
      </c>
      <c r="FU228" t="e">
        <f>AND('GA55 Entry'!#REF!,"AAAAAH9b97A=")</f>
        <v>#REF!</v>
      </c>
      <c r="FV228" t="e">
        <f>AND('GA55 Entry'!#REF!,"AAAAAH9b97E=")</f>
        <v>#REF!</v>
      </c>
      <c r="FW228" t="e">
        <f>AND('GA55 Entry'!D914,"AAAAAH9b97I=")</f>
        <v>#VALUE!</v>
      </c>
      <c r="FX228" t="e">
        <f>AND('GA55 Entry'!#REF!,"AAAAAH9b97M=")</f>
        <v>#REF!</v>
      </c>
      <c r="FY228" t="e">
        <f>AND('GA55 Entry'!E914,"AAAAAH9b97Q=")</f>
        <v>#VALUE!</v>
      </c>
      <c r="FZ228" t="e">
        <f>AND('GA55 Entry'!F914,"AAAAAH9b97U=")</f>
        <v>#VALUE!</v>
      </c>
      <c r="GA228" t="e">
        <f>AND('GA55 Entry'!G914,"AAAAAH9b97Y=")</f>
        <v>#VALUE!</v>
      </c>
      <c r="GB228" t="e">
        <f>AND('GA55 Entry'!H914,"AAAAAH9b97c=")</f>
        <v>#VALUE!</v>
      </c>
      <c r="GC228" t="e">
        <f>AND('GA55 Entry'!I914,"AAAAAH9b97g=")</f>
        <v>#VALUE!</v>
      </c>
      <c r="GD228" t="e">
        <f>AND('GA55 Entry'!J914,"AAAAAH9b97k=")</f>
        <v>#VALUE!</v>
      </c>
      <c r="GE228" t="e">
        <f>AND('GA55 Entry'!#REF!,"AAAAAH9b97o=")</f>
        <v>#REF!</v>
      </c>
      <c r="GF228" t="e">
        <f>AND('GA55 Entry'!K914,"AAAAAH9b97s=")</f>
        <v>#VALUE!</v>
      </c>
      <c r="GG228" t="e">
        <f>AND('GA55 Entry'!L914,"AAAAAH9b97w=")</f>
        <v>#VALUE!</v>
      </c>
      <c r="GH228" t="e">
        <f>AND('GA55 Entry'!M914,"AAAAAH9b970=")</f>
        <v>#VALUE!</v>
      </c>
      <c r="GI228" t="e">
        <f>AND('GA55 Entry'!N914,"AAAAAH9b974=")</f>
        <v>#VALUE!</v>
      </c>
      <c r="GJ228" t="e">
        <f>AND('GA55 Entry'!O914,"AAAAAH9b978=")</f>
        <v>#VALUE!</v>
      </c>
      <c r="GK228" t="e">
        <f>AND('GA55 Entry'!P914,"AAAAAH9b98A=")</f>
        <v>#VALUE!</v>
      </c>
      <c r="GL228" t="e">
        <f>AND('GA55 Entry'!Q914,"AAAAAH9b98E=")</f>
        <v>#VALUE!</v>
      </c>
      <c r="GM228" t="e">
        <f>AND('GA55 Entry'!S914,"AAAAAH9b98I=")</f>
        <v>#VALUE!</v>
      </c>
      <c r="GN228" t="e">
        <f>AND('GA55 Entry'!#REF!,"AAAAAH9b98M=")</f>
        <v>#REF!</v>
      </c>
      <c r="GO228" t="e">
        <f>AND('GA55 Entry'!T914,"AAAAAH9b98Q=")</f>
        <v>#VALUE!</v>
      </c>
      <c r="GP228" t="e">
        <f>AND('GA55 Entry'!U914,"AAAAAH9b98U=")</f>
        <v>#VALUE!</v>
      </c>
      <c r="GQ228" t="e">
        <f>AND('GA55 Entry'!V914,"AAAAAH9b98Y=")</f>
        <v>#VALUE!</v>
      </c>
      <c r="GR228" t="e">
        <f>AND('GA55 Entry'!#REF!,"AAAAAH9b98c=")</f>
        <v>#REF!</v>
      </c>
      <c r="GS228" t="e">
        <f>AND('GA55 Entry'!#REF!,"AAAAAH9b98g=")</f>
        <v>#REF!</v>
      </c>
      <c r="GT228" t="e">
        <f>AND('GA55 Entry'!X914,"AAAAAH9b98k=")</f>
        <v>#VALUE!</v>
      </c>
      <c r="GU228" t="e">
        <f>AND('GA55 Entry'!Y914,"AAAAAH9b98o=")</f>
        <v>#VALUE!</v>
      </c>
      <c r="GV228" t="e">
        <f>AND('GA55 Entry'!#REF!,"AAAAAH9b98s=")</f>
        <v>#REF!</v>
      </c>
      <c r="GW228" t="e">
        <f>AND('GA55 Entry'!#REF!,"AAAAAH9b98w=")</f>
        <v>#REF!</v>
      </c>
      <c r="GX228" t="e">
        <f>AND('GA55 Entry'!#REF!,"AAAAAH9b980=")</f>
        <v>#REF!</v>
      </c>
      <c r="GY228" t="e">
        <f>AND('GA55 Entry'!#REF!,"AAAAAH9b984=")</f>
        <v>#REF!</v>
      </c>
      <c r="GZ228" t="e">
        <f>AND('GA55 Entry'!#REF!,"AAAAAH9b988=")</f>
        <v>#REF!</v>
      </c>
      <c r="HA228" t="e">
        <f>AND('GA55 Entry'!#REF!,"AAAAAH9b99A=")</f>
        <v>#REF!</v>
      </c>
      <c r="HB228" t="e">
        <f>AND('GA55 Entry'!#REF!,"AAAAAH9b99E=")</f>
        <v>#REF!</v>
      </c>
      <c r="HC228" t="e">
        <f>AND('GA55 Entry'!#REF!,"AAAAAH9b99I=")</f>
        <v>#REF!</v>
      </c>
      <c r="HD228" t="e">
        <f>AND('GA55 Entry'!#REF!,"AAAAAH9b99M=")</f>
        <v>#REF!</v>
      </c>
      <c r="HE228" t="e">
        <f>AND('GA55 Entry'!Z914,"AAAAAH9b99Q=")</f>
        <v>#VALUE!</v>
      </c>
      <c r="HF228" t="e">
        <f>AND('GA55 Entry'!AA914,"AAAAAH9b99U=")</f>
        <v>#VALUE!</v>
      </c>
      <c r="HG228" t="e">
        <f>AND('GA55 Entry'!#REF!,"AAAAAH9b99Y=")</f>
        <v>#REF!</v>
      </c>
      <c r="HH228" t="e">
        <f>AND('GA55 Entry'!#REF!,"AAAAAH9b99c=")</f>
        <v>#REF!</v>
      </c>
      <c r="HI228" t="e">
        <f>AND('GA55 Entry'!#REF!,"AAAAAH9b99g=")</f>
        <v>#REF!</v>
      </c>
      <c r="HJ228" t="e">
        <f>AND('GA55 Entry'!AB914,"AAAAAH9b99k=")</f>
        <v>#VALUE!</v>
      </c>
      <c r="HK228" t="e">
        <f>AND('GA55 Entry'!AC914,"AAAAAH9b99o=")</f>
        <v>#VALUE!</v>
      </c>
      <c r="HL228" t="e">
        <f>AND('GA55 Entry'!#REF!,"AAAAAH9b99s=")</f>
        <v>#REF!</v>
      </c>
      <c r="HM228">
        <f>IF('GA55 Entry'!915:915,"AAAAAH9b99w=",0)</f>
        <v>0</v>
      </c>
      <c r="HN228" t="e">
        <f>AND('GA55 Entry'!B915,"AAAAAH9b990=")</f>
        <v>#VALUE!</v>
      </c>
      <c r="HO228" t="e">
        <f>AND('GA55 Entry'!#REF!,"AAAAAH9b994=")</f>
        <v>#REF!</v>
      </c>
      <c r="HP228" t="e">
        <f>AND('GA55 Entry'!C915,"AAAAAH9b998=")</f>
        <v>#VALUE!</v>
      </c>
      <c r="HQ228" t="e">
        <f>AND('GA55 Entry'!#REF!,"AAAAAH9b9+A=")</f>
        <v>#REF!</v>
      </c>
      <c r="HR228" t="e">
        <f>AND('GA55 Entry'!#REF!,"AAAAAH9b9+E=")</f>
        <v>#REF!</v>
      </c>
      <c r="HS228" t="e">
        <f>AND('GA55 Entry'!#REF!,"AAAAAH9b9+I=")</f>
        <v>#REF!</v>
      </c>
      <c r="HT228" t="e">
        <f>AND('GA55 Entry'!#REF!,"AAAAAH9b9+M=")</f>
        <v>#REF!</v>
      </c>
      <c r="HU228" t="e">
        <f>AND('GA55 Entry'!#REF!,"AAAAAH9b9+Q=")</f>
        <v>#REF!</v>
      </c>
      <c r="HV228" t="e">
        <f>AND('GA55 Entry'!D915,"AAAAAH9b9+U=")</f>
        <v>#VALUE!</v>
      </c>
      <c r="HW228" t="e">
        <f>AND('GA55 Entry'!#REF!,"AAAAAH9b9+Y=")</f>
        <v>#REF!</v>
      </c>
      <c r="HX228" t="e">
        <f>AND('GA55 Entry'!E915,"AAAAAH9b9+c=")</f>
        <v>#VALUE!</v>
      </c>
      <c r="HY228" t="e">
        <f>AND('GA55 Entry'!F915,"AAAAAH9b9+g=")</f>
        <v>#VALUE!</v>
      </c>
      <c r="HZ228" t="e">
        <f>AND('GA55 Entry'!G915,"AAAAAH9b9+k=")</f>
        <v>#VALUE!</v>
      </c>
      <c r="IA228" t="e">
        <f>AND('GA55 Entry'!H915,"AAAAAH9b9+o=")</f>
        <v>#VALUE!</v>
      </c>
      <c r="IB228" t="e">
        <f>AND('GA55 Entry'!I915,"AAAAAH9b9+s=")</f>
        <v>#VALUE!</v>
      </c>
      <c r="IC228" t="e">
        <f>AND('GA55 Entry'!J915,"AAAAAH9b9+w=")</f>
        <v>#VALUE!</v>
      </c>
      <c r="ID228" t="e">
        <f>AND('GA55 Entry'!#REF!,"AAAAAH9b9+0=")</f>
        <v>#REF!</v>
      </c>
      <c r="IE228" t="e">
        <f>AND('GA55 Entry'!K915,"AAAAAH9b9+4=")</f>
        <v>#VALUE!</v>
      </c>
      <c r="IF228" t="e">
        <f>AND('GA55 Entry'!L915,"AAAAAH9b9+8=")</f>
        <v>#VALUE!</v>
      </c>
      <c r="IG228" t="e">
        <f>AND('GA55 Entry'!M915,"AAAAAH9b9/A=")</f>
        <v>#VALUE!</v>
      </c>
      <c r="IH228" t="e">
        <f>AND('GA55 Entry'!N915,"AAAAAH9b9/E=")</f>
        <v>#VALUE!</v>
      </c>
      <c r="II228" t="e">
        <f>AND('GA55 Entry'!O915,"AAAAAH9b9/I=")</f>
        <v>#VALUE!</v>
      </c>
      <c r="IJ228" t="e">
        <f>AND('GA55 Entry'!P915,"AAAAAH9b9/M=")</f>
        <v>#VALUE!</v>
      </c>
      <c r="IK228" t="e">
        <f>AND('GA55 Entry'!Q915,"AAAAAH9b9/Q=")</f>
        <v>#VALUE!</v>
      </c>
      <c r="IL228" t="e">
        <f>AND('GA55 Entry'!S915,"AAAAAH9b9/U=")</f>
        <v>#VALUE!</v>
      </c>
      <c r="IM228" t="e">
        <f>AND('GA55 Entry'!#REF!,"AAAAAH9b9/Y=")</f>
        <v>#REF!</v>
      </c>
      <c r="IN228" t="e">
        <f>AND('GA55 Entry'!T915,"AAAAAH9b9/c=")</f>
        <v>#VALUE!</v>
      </c>
      <c r="IO228" t="e">
        <f>AND('GA55 Entry'!U915,"AAAAAH9b9/g=")</f>
        <v>#VALUE!</v>
      </c>
      <c r="IP228" t="e">
        <f>AND('GA55 Entry'!V915,"AAAAAH9b9/k=")</f>
        <v>#VALUE!</v>
      </c>
      <c r="IQ228" t="e">
        <f>AND('GA55 Entry'!#REF!,"AAAAAH9b9/o=")</f>
        <v>#REF!</v>
      </c>
      <c r="IR228" t="e">
        <f>AND('GA55 Entry'!#REF!,"AAAAAH9b9/s=")</f>
        <v>#REF!</v>
      </c>
      <c r="IS228" t="e">
        <f>AND('GA55 Entry'!X915,"AAAAAH9b9/w=")</f>
        <v>#VALUE!</v>
      </c>
      <c r="IT228" t="e">
        <f>AND('GA55 Entry'!Y915,"AAAAAH9b9/0=")</f>
        <v>#VALUE!</v>
      </c>
      <c r="IU228" t="e">
        <f>AND('GA55 Entry'!#REF!,"AAAAAH9b9/4=")</f>
        <v>#REF!</v>
      </c>
      <c r="IV228" t="e">
        <f>AND('GA55 Entry'!#REF!,"AAAAAH9b9/8=")</f>
        <v>#REF!</v>
      </c>
    </row>
    <row r="229" spans="1:256">
      <c r="A229" t="e">
        <f>AND('GA55 Entry'!#REF!,"AAAAABv/8QA=")</f>
        <v>#REF!</v>
      </c>
      <c r="B229" t="e">
        <f>AND('GA55 Entry'!#REF!,"AAAAABv/8QE=")</f>
        <v>#REF!</v>
      </c>
      <c r="C229" t="e">
        <f>AND('GA55 Entry'!#REF!,"AAAAABv/8QI=")</f>
        <v>#REF!</v>
      </c>
      <c r="D229" t="e">
        <f>AND('GA55 Entry'!#REF!,"AAAAABv/8QM=")</f>
        <v>#REF!</v>
      </c>
      <c r="E229" t="e">
        <f>AND('GA55 Entry'!#REF!,"AAAAABv/8QQ=")</f>
        <v>#REF!</v>
      </c>
      <c r="F229" t="e">
        <f>AND('GA55 Entry'!#REF!,"AAAAABv/8QU=")</f>
        <v>#REF!</v>
      </c>
      <c r="G229" t="e">
        <f>AND('GA55 Entry'!#REF!,"AAAAABv/8QY=")</f>
        <v>#REF!</v>
      </c>
      <c r="H229" t="e">
        <f>AND('GA55 Entry'!Z915,"AAAAABv/8Qc=")</f>
        <v>#VALUE!</v>
      </c>
      <c r="I229" t="e">
        <f>AND('GA55 Entry'!AA915,"AAAAABv/8Qg=")</f>
        <v>#VALUE!</v>
      </c>
      <c r="J229" t="e">
        <f>AND('GA55 Entry'!#REF!,"AAAAABv/8Qk=")</f>
        <v>#REF!</v>
      </c>
      <c r="K229" t="e">
        <f>AND('GA55 Entry'!#REF!,"AAAAABv/8Qo=")</f>
        <v>#REF!</v>
      </c>
      <c r="L229" t="e">
        <f>AND('GA55 Entry'!#REF!,"AAAAABv/8Qs=")</f>
        <v>#REF!</v>
      </c>
      <c r="M229" t="e">
        <f>AND('GA55 Entry'!AB915,"AAAAABv/8Qw=")</f>
        <v>#VALUE!</v>
      </c>
      <c r="N229" t="e">
        <f>AND('GA55 Entry'!AC915,"AAAAABv/8Q0=")</f>
        <v>#VALUE!</v>
      </c>
      <c r="O229" t="e">
        <f>AND('GA55 Entry'!#REF!,"AAAAABv/8Q4=")</f>
        <v>#REF!</v>
      </c>
      <c r="P229">
        <f>IF('GA55 Entry'!916:916,"AAAAABv/8Q8=",0)</f>
        <v>0</v>
      </c>
      <c r="Q229" t="e">
        <f>AND('GA55 Entry'!B916,"AAAAABv/8RA=")</f>
        <v>#VALUE!</v>
      </c>
      <c r="R229" t="e">
        <f>AND('GA55 Entry'!#REF!,"AAAAABv/8RE=")</f>
        <v>#REF!</v>
      </c>
      <c r="S229" t="e">
        <f>AND('GA55 Entry'!C916,"AAAAABv/8RI=")</f>
        <v>#VALUE!</v>
      </c>
      <c r="T229" t="e">
        <f>AND('GA55 Entry'!#REF!,"AAAAABv/8RM=")</f>
        <v>#REF!</v>
      </c>
      <c r="U229" t="e">
        <f>AND('GA55 Entry'!#REF!,"AAAAABv/8RQ=")</f>
        <v>#REF!</v>
      </c>
      <c r="V229" t="e">
        <f>AND('GA55 Entry'!#REF!,"AAAAABv/8RU=")</f>
        <v>#REF!</v>
      </c>
      <c r="W229" t="e">
        <f>AND('GA55 Entry'!#REF!,"AAAAABv/8RY=")</f>
        <v>#REF!</v>
      </c>
      <c r="X229" t="e">
        <f>AND('GA55 Entry'!#REF!,"AAAAABv/8Rc=")</f>
        <v>#REF!</v>
      </c>
      <c r="Y229" t="e">
        <f>AND('GA55 Entry'!D916,"AAAAABv/8Rg=")</f>
        <v>#VALUE!</v>
      </c>
      <c r="Z229" t="e">
        <f>AND('GA55 Entry'!#REF!,"AAAAABv/8Rk=")</f>
        <v>#REF!</v>
      </c>
      <c r="AA229" t="e">
        <f>AND('GA55 Entry'!E916,"AAAAABv/8Ro=")</f>
        <v>#VALUE!</v>
      </c>
      <c r="AB229" t="e">
        <f>AND('GA55 Entry'!F916,"AAAAABv/8Rs=")</f>
        <v>#VALUE!</v>
      </c>
      <c r="AC229" t="e">
        <f>AND('GA55 Entry'!G916,"AAAAABv/8Rw=")</f>
        <v>#VALUE!</v>
      </c>
      <c r="AD229" t="e">
        <f>AND('GA55 Entry'!H916,"AAAAABv/8R0=")</f>
        <v>#VALUE!</v>
      </c>
      <c r="AE229" t="e">
        <f>AND('GA55 Entry'!I916,"AAAAABv/8R4=")</f>
        <v>#VALUE!</v>
      </c>
      <c r="AF229" t="e">
        <f>AND('GA55 Entry'!J916,"AAAAABv/8R8=")</f>
        <v>#VALUE!</v>
      </c>
      <c r="AG229" t="e">
        <f>AND('GA55 Entry'!#REF!,"AAAAABv/8SA=")</f>
        <v>#REF!</v>
      </c>
      <c r="AH229" t="e">
        <f>AND('GA55 Entry'!K916,"AAAAABv/8SE=")</f>
        <v>#VALUE!</v>
      </c>
      <c r="AI229" t="e">
        <f>AND('GA55 Entry'!L916,"AAAAABv/8SI=")</f>
        <v>#VALUE!</v>
      </c>
      <c r="AJ229" t="e">
        <f>AND('GA55 Entry'!M916,"AAAAABv/8SM=")</f>
        <v>#VALUE!</v>
      </c>
      <c r="AK229" t="e">
        <f>AND('GA55 Entry'!N916,"AAAAABv/8SQ=")</f>
        <v>#VALUE!</v>
      </c>
      <c r="AL229" t="e">
        <f>AND('GA55 Entry'!O916,"AAAAABv/8SU=")</f>
        <v>#VALUE!</v>
      </c>
      <c r="AM229" t="e">
        <f>AND('GA55 Entry'!P916,"AAAAABv/8SY=")</f>
        <v>#VALUE!</v>
      </c>
      <c r="AN229" t="e">
        <f>AND('GA55 Entry'!Q916,"AAAAABv/8Sc=")</f>
        <v>#VALUE!</v>
      </c>
      <c r="AO229" t="e">
        <f>AND('GA55 Entry'!S916,"AAAAABv/8Sg=")</f>
        <v>#VALUE!</v>
      </c>
      <c r="AP229" t="e">
        <f>AND('GA55 Entry'!#REF!,"AAAAABv/8Sk=")</f>
        <v>#REF!</v>
      </c>
      <c r="AQ229" t="e">
        <f>AND('GA55 Entry'!T916,"AAAAABv/8So=")</f>
        <v>#VALUE!</v>
      </c>
      <c r="AR229" t="e">
        <f>AND('GA55 Entry'!U916,"AAAAABv/8Ss=")</f>
        <v>#VALUE!</v>
      </c>
      <c r="AS229" t="e">
        <f>AND('GA55 Entry'!V916,"AAAAABv/8Sw=")</f>
        <v>#VALUE!</v>
      </c>
      <c r="AT229" t="e">
        <f>AND('GA55 Entry'!#REF!,"AAAAABv/8S0=")</f>
        <v>#REF!</v>
      </c>
      <c r="AU229" t="e">
        <f>AND('GA55 Entry'!#REF!,"AAAAABv/8S4=")</f>
        <v>#REF!</v>
      </c>
      <c r="AV229" t="e">
        <f>AND('GA55 Entry'!X916,"AAAAABv/8S8=")</f>
        <v>#VALUE!</v>
      </c>
      <c r="AW229" t="e">
        <f>AND('GA55 Entry'!Y916,"AAAAABv/8TA=")</f>
        <v>#VALUE!</v>
      </c>
      <c r="AX229" t="e">
        <f>AND('GA55 Entry'!#REF!,"AAAAABv/8TE=")</f>
        <v>#REF!</v>
      </c>
      <c r="AY229" t="e">
        <f>AND('GA55 Entry'!#REF!,"AAAAABv/8TI=")</f>
        <v>#REF!</v>
      </c>
      <c r="AZ229" t="e">
        <f>AND('GA55 Entry'!#REF!,"AAAAABv/8TM=")</f>
        <v>#REF!</v>
      </c>
      <c r="BA229" t="e">
        <f>AND('GA55 Entry'!#REF!,"AAAAABv/8TQ=")</f>
        <v>#REF!</v>
      </c>
      <c r="BB229" t="e">
        <f>AND('GA55 Entry'!#REF!,"AAAAABv/8TU=")</f>
        <v>#REF!</v>
      </c>
      <c r="BC229" t="e">
        <f>AND('GA55 Entry'!#REF!,"AAAAABv/8TY=")</f>
        <v>#REF!</v>
      </c>
      <c r="BD229" t="e">
        <f>AND('GA55 Entry'!#REF!,"AAAAABv/8Tc=")</f>
        <v>#REF!</v>
      </c>
      <c r="BE229" t="e">
        <f>AND('GA55 Entry'!#REF!,"AAAAABv/8Tg=")</f>
        <v>#REF!</v>
      </c>
      <c r="BF229" t="e">
        <f>AND('GA55 Entry'!#REF!,"AAAAABv/8Tk=")</f>
        <v>#REF!</v>
      </c>
      <c r="BG229" t="e">
        <f>AND('GA55 Entry'!Z916,"AAAAABv/8To=")</f>
        <v>#VALUE!</v>
      </c>
      <c r="BH229" t="e">
        <f>AND('GA55 Entry'!AA916,"AAAAABv/8Ts=")</f>
        <v>#VALUE!</v>
      </c>
      <c r="BI229" t="e">
        <f>AND('GA55 Entry'!#REF!,"AAAAABv/8Tw=")</f>
        <v>#REF!</v>
      </c>
      <c r="BJ229" t="e">
        <f>AND('GA55 Entry'!#REF!,"AAAAABv/8T0=")</f>
        <v>#REF!</v>
      </c>
      <c r="BK229" t="e">
        <f>AND('GA55 Entry'!#REF!,"AAAAABv/8T4=")</f>
        <v>#REF!</v>
      </c>
      <c r="BL229" t="e">
        <f>AND('GA55 Entry'!AB916,"AAAAABv/8T8=")</f>
        <v>#VALUE!</v>
      </c>
      <c r="BM229" t="e">
        <f>AND('GA55 Entry'!AC916,"AAAAABv/8UA=")</f>
        <v>#VALUE!</v>
      </c>
      <c r="BN229" t="e">
        <f>AND('GA55 Entry'!#REF!,"AAAAABv/8UE=")</f>
        <v>#REF!</v>
      </c>
      <c r="BO229">
        <f>IF('GA55 Entry'!917:917,"AAAAABv/8UI=",0)</f>
        <v>0</v>
      </c>
      <c r="BP229" t="e">
        <f>AND('GA55 Entry'!B917,"AAAAABv/8UM=")</f>
        <v>#VALUE!</v>
      </c>
      <c r="BQ229" t="e">
        <f>AND('GA55 Entry'!#REF!,"AAAAABv/8UQ=")</f>
        <v>#REF!</v>
      </c>
      <c r="BR229" t="e">
        <f>AND('GA55 Entry'!C917,"AAAAABv/8UU=")</f>
        <v>#VALUE!</v>
      </c>
      <c r="BS229" t="e">
        <f>AND('GA55 Entry'!#REF!,"AAAAABv/8UY=")</f>
        <v>#REF!</v>
      </c>
      <c r="BT229" t="e">
        <f>AND('GA55 Entry'!#REF!,"AAAAABv/8Uc=")</f>
        <v>#REF!</v>
      </c>
      <c r="BU229" t="e">
        <f>AND('GA55 Entry'!#REF!,"AAAAABv/8Ug=")</f>
        <v>#REF!</v>
      </c>
      <c r="BV229" t="e">
        <f>AND('GA55 Entry'!#REF!,"AAAAABv/8Uk=")</f>
        <v>#REF!</v>
      </c>
      <c r="BW229" t="e">
        <f>AND('GA55 Entry'!#REF!,"AAAAABv/8Uo=")</f>
        <v>#REF!</v>
      </c>
      <c r="BX229" t="e">
        <f>AND('GA55 Entry'!D917,"AAAAABv/8Us=")</f>
        <v>#VALUE!</v>
      </c>
      <c r="BY229" t="e">
        <f>AND('GA55 Entry'!#REF!,"AAAAABv/8Uw=")</f>
        <v>#REF!</v>
      </c>
      <c r="BZ229" t="e">
        <f>AND('GA55 Entry'!E917,"AAAAABv/8U0=")</f>
        <v>#VALUE!</v>
      </c>
      <c r="CA229" t="e">
        <f>AND('GA55 Entry'!F917,"AAAAABv/8U4=")</f>
        <v>#VALUE!</v>
      </c>
      <c r="CB229" t="e">
        <f>AND('GA55 Entry'!G917,"AAAAABv/8U8=")</f>
        <v>#VALUE!</v>
      </c>
      <c r="CC229" t="e">
        <f>AND('GA55 Entry'!H917,"AAAAABv/8VA=")</f>
        <v>#VALUE!</v>
      </c>
      <c r="CD229" t="e">
        <f>AND('GA55 Entry'!I917,"AAAAABv/8VE=")</f>
        <v>#VALUE!</v>
      </c>
      <c r="CE229" t="e">
        <f>AND('GA55 Entry'!J917,"AAAAABv/8VI=")</f>
        <v>#VALUE!</v>
      </c>
      <c r="CF229" t="e">
        <f>AND('GA55 Entry'!#REF!,"AAAAABv/8VM=")</f>
        <v>#REF!</v>
      </c>
      <c r="CG229" t="e">
        <f>AND('GA55 Entry'!K917,"AAAAABv/8VQ=")</f>
        <v>#VALUE!</v>
      </c>
      <c r="CH229" t="e">
        <f>AND('GA55 Entry'!L917,"AAAAABv/8VU=")</f>
        <v>#VALUE!</v>
      </c>
      <c r="CI229" t="e">
        <f>AND('GA55 Entry'!M917,"AAAAABv/8VY=")</f>
        <v>#VALUE!</v>
      </c>
      <c r="CJ229" t="e">
        <f>AND('GA55 Entry'!N917,"AAAAABv/8Vc=")</f>
        <v>#VALUE!</v>
      </c>
      <c r="CK229" t="e">
        <f>AND('GA55 Entry'!O917,"AAAAABv/8Vg=")</f>
        <v>#VALUE!</v>
      </c>
      <c r="CL229" t="e">
        <f>AND('GA55 Entry'!P917,"AAAAABv/8Vk=")</f>
        <v>#VALUE!</v>
      </c>
      <c r="CM229" t="e">
        <f>AND('GA55 Entry'!Q917,"AAAAABv/8Vo=")</f>
        <v>#VALUE!</v>
      </c>
      <c r="CN229" t="e">
        <f>AND('GA55 Entry'!S917,"AAAAABv/8Vs=")</f>
        <v>#VALUE!</v>
      </c>
      <c r="CO229" t="e">
        <f>AND('GA55 Entry'!#REF!,"AAAAABv/8Vw=")</f>
        <v>#REF!</v>
      </c>
      <c r="CP229" t="e">
        <f>AND('GA55 Entry'!T917,"AAAAABv/8V0=")</f>
        <v>#VALUE!</v>
      </c>
      <c r="CQ229" t="e">
        <f>AND('GA55 Entry'!U917,"AAAAABv/8V4=")</f>
        <v>#VALUE!</v>
      </c>
      <c r="CR229" t="e">
        <f>AND('GA55 Entry'!V917,"AAAAABv/8V8=")</f>
        <v>#VALUE!</v>
      </c>
      <c r="CS229" t="e">
        <f>AND('GA55 Entry'!#REF!,"AAAAABv/8WA=")</f>
        <v>#REF!</v>
      </c>
      <c r="CT229" t="e">
        <f>AND('GA55 Entry'!#REF!,"AAAAABv/8WE=")</f>
        <v>#REF!</v>
      </c>
      <c r="CU229" t="e">
        <f>AND('GA55 Entry'!X917,"AAAAABv/8WI=")</f>
        <v>#VALUE!</v>
      </c>
      <c r="CV229" t="e">
        <f>AND('GA55 Entry'!Y917,"AAAAABv/8WM=")</f>
        <v>#VALUE!</v>
      </c>
      <c r="CW229" t="e">
        <f>AND('GA55 Entry'!#REF!,"AAAAABv/8WQ=")</f>
        <v>#REF!</v>
      </c>
      <c r="CX229" t="e">
        <f>AND('GA55 Entry'!#REF!,"AAAAABv/8WU=")</f>
        <v>#REF!</v>
      </c>
      <c r="CY229" t="e">
        <f>AND('GA55 Entry'!#REF!,"AAAAABv/8WY=")</f>
        <v>#REF!</v>
      </c>
      <c r="CZ229" t="e">
        <f>AND('GA55 Entry'!#REF!,"AAAAABv/8Wc=")</f>
        <v>#REF!</v>
      </c>
      <c r="DA229" t="e">
        <f>AND('GA55 Entry'!#REF!,"AAAAABv/8Wg=")</f>
        <v>#REF!</v>
      </c>
      <c r="DB229" t="e">
        <f>AND('GA55 Entry'!#REF!,"AAAAABv/8Wk=")</f>
        <v>#REF!</v>
      </c>
      <c r="DC229" t="e">
        <f>AND('GA55 Entry'!#REF!,"AAAAABv/8Wo=")</f>
        <v>#REF!</v>
      </c>
      <c r="DD229" t="e">
        <f>AND('GA55 Entry'!#REF!,"AAAAABv/8Ws=")</f>
        <v>#REF!</v>
      </c>
      <c r="DE229" t="e">
        <f>AND('GA55 Entry'!#REF!,"AAAAABv/8Ww=")</f>
        <v>#REF!</v>
      </c>
      <c r="DF229" t="e">
        <f>AND('GA55 Entry'!Z917,"AAAAABv/8W0=")</f>
        <v>#VALUE!</v>
      </c>
      <c r="DG229" t="e">
        <f>AND('GA55 Entry'!AA917,"AAAAABv/8W4=")</f>
        <v>#VALUE!</v>
      </c>
      <c r="DH229" t="e">
        <f>AND('GA55 Entry'!#REF!,"AAAAABv/8W8=")</f>
        <v>#REF!</v>
      </c>
      <c r="DI229" t="e">
        <f>AND('GA55 Entry'!#REF!,"AAAAABv/8XA=")</f>
        <v>#REF!</v>
      </c>
      <c r="DJ229" t="e">
        <f>AND('GA55 Entry'!#REF!,"AAAAABv/8XE=")</f>
        <v>#REF!</v>
      </c>
      <c r="DK229" t="e">
        <f>AND('GA55 Entry'!AB917,"AAAAABv/8XI=")</f>
        <v>#VALUE!</v>
      </c>
      <c r="DL229" t="e">
        <f>AND('GA55 Entry'!AC917,"AAAAABv/8XM=")</f>
        <v>#VALUE!</v>
      </c>
      <c r="DM229" t="e">
        <f>AND('GA55 Entry'!#REF!,"AAAAABv/8XQ=")</f>
        <v>#REF!</v>
      </c>
      <c r="DN229">
        <f>IF('GA55 Entry'!918:918,"AAAAABv/8XU=",0)</f>
        <v>0</v>
      </c>
      <c r="DO229" t="e">
        <f>AND('GA55 Entry'!B918,"AAAAABv/8XY=")</f>
        <v>#VALUE!</v>
      </c>
      <c r="DP229" t="e">
        <f>AND('GA55 Entry'!#REF!,"AAAAABv/8Xc=")</f>
        <v>#REF!</v>
      </c>
      <c r="DQ229" t="e">
        <f>AND('GA55 Entry'!C918,"AAAAABv/8Xg=")</f>
        <v>#VALUE!</v>
      </c>
      <c r="DR229" t="e">
        <f>AND('GA55 Entry'!#REF!,"AAAAABv/8Xk=")</f>
        <v>#REF!</v>
      </c>
      <c r="DS229" t="e">
        <f>AND('GA55 Entry'!#REF!,"AAAAABv/8Xo=")</f>
        <v>#REF!</v>
      </c>
      <c r="DT229" t="e">
        <f>AND('GA55 Entry'!#REF!,"AAAAABv/8Xs=")</f>
        <v>#REF!</v>
      </c>
      <c r="DU229" t="e">
        <f>AND('GA55 Entry'!#REF!,"AAAAABv/8Xw=")</f>
        <v>#REF!</v>
      </c>
      <c r="DV229" t="e">
        <f>AND('GA55 Entry'!#REF!,"AAAAABv/8X0=")</f>
        <v>#REF!</v>
      </c>
      <c r="DW229" t="e">
        <f>AND('GA55 Entry'!D918,"AAAAABv/8X4=")</f>
        <v>#VALUE!</v>
      </c>
      <c r="DX229" t="e">
        <f>AND('GA55 Entry'!#REF!,"AAAAABv/8X8=")</f>
        <v>#REF!</v>
      </c>
      <c r="DY229" t="e">
        <f>AND('GA55 Entry'!E918,"AAAAABv/8YA=")</f>
        <v>#VALUE!</v>
      </c>
      <c r="DZ229" t="e">
        <f>AND('GA55 Entry'!F918,"AAAAABv/8YE=")</f>
        <v>#VALUE!</v>
      </c>
      <c r="EA229" t="e">
        <f>AND('GA55 Entry'!G918,"AAAAABv/8YI=")</f>
        <v>#VALUE!</v>
      </c>
      <c r="EB229" t="e">
        <f>AND('GA55 Entry'!H918,"AAAAABv/8YM=")</f>
        <v>#VALUE!</v>
      </c>
      <c r="EC229" t="e">
        <f>AND('GA55 Entry'!I918,"AAAAABv/8YQ=")</f>
        <v>#VALUE!</v>
      </c>
      <c r="ED229" t="e">
        <f>AND('GA55 Entry'!J918,"AAAAABv/8YU=")</f>
        <v>#VALUE!</v>
      </c>
      <c r="EE229" t="e">
        <f>AND('GA55 Entry'!#REF!,"AAAAABv/8YY=")</f>
        <v>#REF!</v>
      </c>
      <c r="EF229" t="e">
        <f>AND('GA55 Entry'!K918,"AAAAABv/8Yc=")</f>
        <v>#VALUE!</v>
      </c>
      <c r="EG229" t="e">
        <f>AND('GA55 Entry'!L918,"AAAAABv/8Yg=")</f>
        <v>#VALUE!</v>
      </c>
      <c r="EH229" t="e">
        <f>AND('GA55 Entry'!M918,"AAAAABv/8Yk=")</f>
        <v>#VALUE!</v>
      </c>
      <c r="EI229" t="e">
        <f>AND('GA55 Entry'!N918,"AAAAABv/8Yo=")</f>
        <v>#VALUE!</v>
      </c>
      <c r="EJ229" t="e">
        <f>AND('GA55 Entry'!O918,"AAAAABv/8Ys=")</f>
        <v>#VALUE!</v>
      </c>
      <c r="EK229" t="e">
        <f>AND('GA55 Entry'!P918,"AAAAABv/8Yw=")</f>
        <v>#VALUE!</v>
      </c>
      <c r="EL229" t="e">
        <f>AND('GA55 Entry'!Q918,"AAAAABv/8Y0=")</f>
        <v>#VALUE!</v>
      </c>
      <c r="EM229" t="e">
        <f>AND('GA55 Entry'!S918,"AAAAABv/8Y4=")</f>
        <v>#VALUE!</v>
      </c>
      <c r="EN229" t="e">
        <f>AND('GA55 Entry'!#REF!,"AAAAABv/8Y8=")</f>
        <v>#REF!</v>
      </c>
      <c r="EO229" t="e">
        <f>AND('GA55 Entry'!T918,"AAAAABv/8ZA=")</f>
        <v>#VALUE!</v>
      </c>
      <c r="EP229" t="e">
        <f>AND('GA55 Entry'!U918,"AAAAABv/8ZE=")</f>
        <v>#VALUE!</v>
      </c>
      <c r="EQ229" t="e">
        <f>AND('GA55 Entry'!V918,"AAAAABv/8ZI=")</f>
        <v>#VALUE!</v>
      </c>
      <c r="ER229" t="e">
        <f>AND('GA55 Entry'!#REF!,"AAAAABv/8ZM=")</f>
        <v>#REF!</v>
      </c>
      <c r="ES229" t="e">
        <f>AND('GA55 Entry'!#REF!,"AAAAABv/8ZQ=")</f>
        <v>#REF!</v>
      </c>
      <c r="ET229" t="e">
        <f>AND('GA55 Entry'!X918,"AAAAABv/8ZU=")</f>
        <v>#VALUE!</v>
      </c>
      <c r="EU229" t="e">
        <f>AND('GA55 Entry'!Y918,"AAAAABv/8ZY=")</f>
        <v>#VALUE!</v>
      </c>
      <c r="EV229" t="e">
        <f>AND('GA55 Entry'!#REF!,"AAAAABv/8Zc=")</f>
        <v>#REF!</v>
      </c>
      <c r="EW229" t="e">
        <f>AND('GA55 Entry'!#REF!,"AAAAABv/8Zg=")</f>
        <v>#REF!</v>
      </c>
      <c r="EX229" t="e">
        <f>AND('GA55 Entry'!#REF!,"AAAAABv/8Zk=")</f>
        <v>#REF!</v>
      </c>
      <c r="EY229" t="e">
        <f>AND('GA55 Entry'!#REF!,"AAAAABv/8Zo=")</f>
        <v>#REF!</v>
      </c>
      <c r="EZ229" t="e">
        <f>AND('GA55 Entry'!#REF!,"AAAAABv/8Zs=")</f>
        <v>#REF!</v>
      </c>
      <c r="FA229" t="e">
        <f>AND('GA55 Entry'!#REF!,"AAAAABv/8Zw=")</f>
        <v>#REF!</v>
      </c>
      <c r="FB229" t="e">
        <f>AND('GA55 Entry'!#REF!,"AAAAABv/8Z0=")</f>
        <v>#REF!</v>
      </c>
      <c r="FC229" t="e">
        <f>AND('GA55 Entry'!#REF!,"AAAAABv/8Z4=")</f>
        <v>#REF!</v>
      </c>
      <c r="FD229" t="e">
        <f>AND('GA55 Entry'!#REF!,"AAAAABv/8Z8=")</f>
        <v>#REF!</v>
      </c>
      <c r="FE229" t="e">
        <f>AND('GA55 Entry'!Z918,"AAAAABv/8aA=")</f>
        <v>#VALUE!</v>
      </c>
      <c r="FF229" t="e">
        <f>AND('GA55 Entry'!AA918,"AAAAABv/8aE=")</f>
        <v>#VALUE!</v>
      </c>
      <c r="FG229" t="e">
        <f>AND('GA55 Entry'!#REF!,"AAAAABv/8aI=")</f>
        <v>#REF!</v>
      </c>
      <c r="FH229" t="e">
        <f>AND('GA55 Entry'!#REF!,"AAAAABv/8aM=")</f>
        <v>#REF!</v>
      </c>
      <c r="FI229" t="e">
        <f>AND('GA55 Entry'!#REF!,"AAAAABv/8aQ=")</f>
        <v>#REF!</v>
      </c>
      <c r="FJ229" t="e">
        <f>AND('GA55 Entry'!AB918,"AAAAABv/8aU=")</f>
        <v>#VALUE!</v>
      </c>
      <c r="FK229" t="e">
        <f>AND('GA55 Entry'!AC918,"AAAAABv/8aY=")</f>
        <v>#VALUE!</v>
      </c>
      <c r="FL229" t="e">
        <f>AND('GA55 Entry'!#REF!,"AAAAABv/8ac=")</f>
        <v>#REF!</v>
      </c>
      <c r="FM229">
        <f>IF('GA55 Entry'!919:919,"AAAAABv/8ag=",0)</f>
        <v>0</v>
      </c>
      <c r="FN229" t="e">
        <f>AND('GA55 Entry'!B919,"AAAAABv/8ak=")</f>
        <v>#VALUE!</v>
      </c>
      <c r="FO229" t="e">
        <f>AND('GA55 Entry'!#REF!,"AAAAABv/8ao=")</f>
        <v>#REF!</v>
      </c>
      <c r="FP229" t="e">
        <f>AND('GA55 Entry'!C919,"AAAAABv/8as=")</f>
        <v>#VALUE!</v>
      </c>
      <c r="FQ229" t="e">
        <f>AND('GA55 Entry'!#REF!,"AAAAABv/8aw=")</f>
        <v>#REF!</v>
      </c>
      <c r="FR229" t="e">
        <f>AND('GA55 Entry'!#REF!,"AAAAABv/8a0=")</f>
        <v>#REF!</v>
      </c>
      <c r="FS229" t="e">
        <f>AND('GA55 Entry'!#REF!,"AAAAABv/8a4=")</f>
        <v>#REF!</v>
      </c>
      <c r="FT229" t="e">
        <f>AND('GA55 Entry'!#REF!,"AAAAABv/8a8=")</f>
        <v>#REF!</v>
      </c>
      <c r="FU229" t="e">
        <f>AND('GA55 Entry'!#REF!,"AAAAABv/8bA=")</f>
        <v>#REF!</v>
      </c>
      <c r="FV229" t="e">
        <f>AND('GA55 Entry'!D919,"AAAAABv/8bE=")</f>
        <v>#VALUE!</v>
      </c>
      <c r="FW229" t="e">
        <f>AND('GA55 Entry'!#REF!,"AAAAABv/8bI=")</f>
        <v>#REF!</v>
      </c>
      <c r="FX229" t="e">
        <f>AND('GA55 Entry'!E919,"AAAAABv/8bM=")</f>
        <v>#VALUE!</v>
      </c>
      <c r="FY229" t="e">
        <f>AND('GA55 Entry'!F919,"AAAAABv/8bQ=")</f>
        <v>#VALUE!</v>
      </c>
      <c r="FZ229" t="e">
        <f>AND('GA55 Entry'!G919,"AAAAABv/8bU=")</f>
        <v>#VALUE!</v>
      </c>
      <c r="GA229" t="e">
        <f>AND('GA55 Entry'!H919,"AAAAABv/8bY=")</f>
        <v>#VALUE!</v>
      </c>
      <c r="GB229" t="e">
        <f>AND('GA55 Entry'!I919,"AAAAABv/8bc=")</f>
        <v>#VALUE!</v>
      </c>
      <c r="GC229" t="e">
        <f>AND('GA55 Entry'!J919,"AAAAABv/8bg=")</f>
        <v>#VALUE!</v>
      </c>
      <c r="GD229" t="e">
        <f>AND('GA55 Entry'!#REF!,"AAAAABv/8bk=")</f>
        <v>#REF!</v>
      </c>
      <c r="GE229" t="e">
        <f>AND('GA55 Entry'!K919,"AAAAABv/8bo=")</f>
        <v>#VALUE!</v>
      </c>
      <c r="GF229" t="e">
        <f>AND('GA55 Entry'!L919,"AAAAABv/8bs=")</f>
        <v>#VALUE!</v>
      </c>
      <c r="GG229" t="e">
        <f>AND('GA55 Entry'!M919,"AAAAABv/8bw=")</f>
        <v>#VALUE!</v>
      </c>
      <c r="GH229" t="e">
        <f>AND('GA55 Entry'!N919,"AAAAABv/8b0=")</f>
        <v>#VALUE!</v>
      </c>
      <c r="GI229" t="e">
        <f>AND('GA55 Entry'!O919,"AAAAABv/8b4=")</f>
        <v>#VALUE!</v>
      </c>
      <c r="GJ229" t="e">
        <f>AND('GA55 Entry'!P919,"AAAAABv/8b8=")</f>
        <v>#VALUE!</v>
      </c>
      <c r="GK229" t="e">
        <f>AND('GA55 Entry'!Q919,"AAAAABv/8cA=")</f>
        <v>#VALUE!</v>
      </c>
      <c r="GL229" t="e">
        <f>AND('GA55 Entry'!S919,"AAAAABv/8cE=")</f>
        <v>#VALUE!</v>
      </c>
      <c r="GM229" t="e">
        <f>AND('GA55 Entry'!#REF!,"AAAAABv/8cI=")</f>
        <v>#REF!</v>
      </c>
      <c r="GN229" t="e">
        <f>AND('GA55 Entry'!T919,"AAAAABv/8cM=")</f>
        <v>#VALUE!</v>
      </c>
      <c r="GO229" t="e">
        <f>AND('GA55 Entry'!U919,"AAAAABv/8cQ=")</f>
        <v>#VALUE!</v>
      </c>
      <c r="GP229" t="e">
        <f>AND('GA55 Entry'!V919,"AAAAABv/8cU=")</f>
        <v>#VALUE!</v>
      </c>
      <c r="GQ229" t="e">
        <f>AND('GA55 Entry'!#REF!,"AAAAABv/8cY=")</f>
        <v>#REF!</v>
      </c>
      <c r="GR229" t="e">
        <f>AND('GA55 Entry'!#REF!,"AAAAABv/8cc=")</f>
        <v>#REF!</v>
      </c>
      <c r="GS229" t="e">
        <f>AND('GA55 Entry'!X919,"AAAAABv/8cg=")</f>
        <v>#VALUE!</v>
      </c>
      <c r="GT229" t="e">
        <f>AND('GA55 Entry'!Y919,"AAAAABv/8ck=")</f>
        <v>#VALUE!</v>
      </c>
      <c r="GU229" t="e">
        <f>AND('GA55 Entry'!#REF!,"AAAAABv/8co=")</f>
        <v>#REF!</v>
      </c>
      <c r="GV229" t="e">
        <f>AND('GA55 Entry'!#REF!,"AAAAABv/8cs=")</f>
        <v>#REF!</v>
      </c>
      <c r="GW229" t="e">
        <f>AND('GA55 Entry'!#REF!,"AAAAABv/8cw=")</f>
        <v>#REF!</v>
      </c>
      <c r="GX229" t="e">
        <f>AND('GA55 Entry'!#REF!,"AAAAABv/8c0=")</f>
        <v>#REF!</v>
      </c>
      <c r="GY229" t="e">
        <f>AND('GA55 Entry'!#REF!,"AAAAABv/8c4=")</f>
        <v>#REF!</v>
      </c>
      <c r="GZ229" t="e">
        <f>AND('GA55 Entry'!#REF!,"AAAAABv/8c8=")</f>
        <v>#REF!</v>
      </c>
      <c r="HA229" t="e">
        <f>AND('GA55 Entry'!#REF!,"AAAAABv/8dA=")</f>
        <v>#REF!</v>
      </c>
      <c r="HB229" t="e">
        <f>AND('GA55 Entry'!#REF!,"AAAAABv/8dE=")</f>
        <v>#REF!</v>
      </c>
      <c r="HC229" t="e">
        <f>AND('GA55 Entry'!#REF!,"AAAAABv/8dI=")</f>
        <v>#REF!</v>
      </c>
      <c r="HD229" t="e">
        <f>AND('GA55 Entry'!Z919,"AAAAABv/8dM=")</f>
        <v>#VALUE!</v>
      </c>
      <c r="HE229" t="e">
        <f>AND('GA55 Entry'!AA919,"AAAAABv/8dQ=")</f>
        <v>#VALUE!</v>
      </c>
      <c r="HF229" t="e">
        <f>AND('GA55 Entry'!#REF!,"AAAAABv/8dU=")</f>
        <v>#REF!</v>
      </c>
      <c r="HG229" t="e">
        <f>AND('GA55 Entry'!#REF!,"AAAAABv/8dY=")</f>
        <v>#REF!</v>
      </c>
      <c r="HH229" t="e">
        <f>AND('GA55 Entry'!#REF!,"AAAAABv/8dc=")</f>
        <v>#REF!</v>
      </c>
      <c r="HI229" t="e">
        <f>AND('GA55 Entry'!AB919,"AAAAABv/8dg=")</f>
        <v>#VALUE!</v>
      </c>
      <c r="HJ229" t="e">
        <f>AND('GA55 Entry'!AC919,"AAAAABv/8dk=")</f>
        <v>#VALUE!</v>
      </c>
      <c r="HK229" t="e">
        <f>AND('GA55 Entry'!#REF!,"AAAAABv/8do=")</f>
        <v>#REF!</v>
      </c>
      <c r="HL229">
        <f>IF('GA55 Entry'!920:920,"AAAAABv/8ds=",0)</f>
        <v>0</v>
      </c>
      <c r="HM229" t="e">
        <f>AND('GA55 Entry'!B920,"AAAAABv/8dw=")</f>
        <v>#VALUE!</v>
      </c>
      <c r="HN229" t="e">
        <f>AND('GA55 Entry'!#REF!,"AAAAABv/8d0=")</f>
        <v>#REF!</v>
      </c>
      <c r="HO229" t="e">
        <f>AND('GA55 Entry'!C920,"AAAAABv/8d4=")</f>
        <v>#VALUE!</v>
      </c>
      <c r="HP229" t="e">
        <f>AND('GA55 Entry'!#REF!,"AAAAABv/8d8=")</f>
        <v>#REF!</v>
      </c>
      <c r="HQ229" t="e">
        <f>AND('GA55 Entry'!#REF!,"AAAAABv/8eA=")</f>
        <v>#REF!</v>
      </c>
      <c r="HR229" t="e">
        <f>AND('GA55 Entry'!#REF!,"AAAAABv/8eE=")</f>
        <v>#REF!</v>
      </c>
      <c r="HS229" t="e">
        <f>AND('GA55 Entry'!#REF!,"AAAAABv/8eI=")</f>
        <v>#REF!</v>
      </c>
      <c r="HT229" t="e">
        <f>AND('GA55 Entry'!#REF!,"AAAAABv/8eM=")</f>
        <v>#REF!</v>
      </c>
      <c r="HU229" t="e">
        <f>AND('GA55 Entry'!D920,"AAAAABv/8eQ=")</f>
        <v>#VALUE!</v>
      </c>
      <c r="HV229" t="e">
        <f>AND('GA55 Entry'!#REF!,"AAAAABv/8eU=")</f>
        <v>#REF!</v>
      </c>
      <c r="HW229" t="e">
        <f>AND('GA55 Entry'!E920,"AAAAABv/8eY=")</f>
        <v>#VALUE!</v>
      </c>
      <c r="HX229" t="e">
        <f>AND('GA55 Entry'!F920,"AAAAABv/8ec=")</f>
        <v>#VALUE!</v>
      </c>
      <c r="HY229" t="e">
        <f>AND('GA55 Entry'!G920,"AAAAABv/8eg=")</f>
        <v>#VALUE!</v>
      </c>
      <c r="HZ229" t="e">
        <f>AND('GA55 Entry'!H920,"AAAAABv/8ek=")</f>
        <v>#VALUE!</v>
      </c>
      <c r="IA229" t="e">
        <f>AND('GA55 Entry'!I920,"AAAAABv/8eo=")</f>
        <v>#VALUE!</v>
      </c>
      <c r="IB229" t="e">
        <f>AND('GA55 Entry'!J920,"AAAAABv/8es=")</f>
        <v>#VALUE!</v>
      </c>
      <c r="IC229" t="e">
        <f>AND('GA55 Entry'!#REF!,"AAAAABv/8ew=")</f>
        <v>#REF!</v>
      </c>
      <c r="ID229" t="e">
        <f>AND('GA55 Entry'!K920,"AAAAABv/8e0=")</f>
        <v>#VALUE!</v>
      </c>
      <c r="IE229" t="e">
        <f>AND('GA55 Entry'!L920,"AAAAABv/8e4=")</f>
        <v>#VALUE!</v>
      </c>
      <c r="IF229" t="e">
        <f>AND('GA55 Entry'!M920,"AAAAABv/8e8=")</f>
        <v>#VALUE!</v>
      </c>
      <c r="IG229" t="e">
        <f>AND('GA55 Entry'!N920,"AAAAABv/8fA=")</f>
        <v>#VALUE!</v>
      </c>
      <c r="IH229" t="e">
        <f>AND('GA55 Entry'!O920,"AAAAABv/8fE=")</f>
        <v>#VALUE!</v>
      </c>
      <c r="II229" t="e">
        <f>AND('GA55 Entry'!P920,"AAAAABv/8fI=")</f>
        <v>#VALUE!</v>
      </c>
      <c r="IJ229" t="e">
        <f>AND('GA55 Entry'!Q920,"AAAAABv/8fM=")</f>
        <v>#VALUE!</v>
      </c>
      <c r="IK229" t="e">
        <f>AND('GA55 Entry'!S920,"AAAAABv/8fQ=")</f>
        <v>#VALUE!</v>
      </c>
      <c r="IL229" t="e">
        <f>AND('GA55 Entry'!#REF!,"AAAAABv/8fU=")</f>
        <v>#REF!</v>
      </c>
      <c r="IM229" t="e">
        <f>AND('GA55 Entry'!T920,"AAAAABv/8fY=")</f>
        <v>#VALUE!</v>
      </c>
      <c r="IN229" t="e">
        <f>AND('GA55 Entry'!U920,"AAAAABv/8fc=")</f>
        <v>#VALUE!</v>
      </c>
      <c r="IO229" t="e">
        <f>AND('GA55 Entry'!V920,"AAAAABv/8fg=")</f>
        <v>#VALUE!</v>
      </c>
      <c r="IP229" t="e">
        <f>AND('GA55 Entry'!#REF!,"AAAAABv/8fk=")</f>
        <v>#REF!</v>
      </c>
      <c r="IQ229" t="e">
        <f>AND('GA55 Entry'!#REF!,"AAAAABv/8fo=")</f>
        <v>#REF!</v>
      </c>
      <c r="IR229" t="e">
        <f>AND('GA55 Entry'!X920,"AAAAABv/8fs=")</f>
        <v>#VALUE!</v>
      </c>
      <c r="IS229" t="e">
        <f>AND('GA55 Entry'!Y920,"AAAAABv/8fw=")</f>
        <v>#VALUE!</v>
      </c>
      <c r="IT229" t="e">
        <f>AND('GA55 Entry'!#REF!,"AAAAABv/8f0=")</f>
        <v>#REF!</v>
      </c>
      <c r="IU229" t="e">
        <f>AND('GA55 Entry'!#REF!,"AAAAABv/8f4=")</f>
        <v>#REF!</v>
      </c>
      <c r="IV229" t="e">
        <f>AND('GA55 Entry'!#REF!,"AAAAABv/8f8=")</f>
        <v>#REF!</v>
      </c>
    </row>
    <row r="230" spans="1:256">
      <c r="A230" t="e">
        <f>AND('GA55 Entry'!#REF!,"AAAAAH+//gA=")</f>
        <v>#REF!</v>
      </c>
      <c r="B230" t="e">
        <f>AND('GA55 Entry'!#REF!,"AAAAAH+//gE=")</f>
        <v>#REF!</v>
      </c>
      <c r="C230" t="e">
        <f>AND('GA55 Entry'!#REF!,"AAAAAH+//gI=")</f>
        <v>#REF!</v>
      </c>
      <c r="D230" t="e">
        <f>AND('GA55 Entry'!#REF!,"AAAAAH+//gM=")</f>
        <v>#REF!</v>
      </c>
      <c r="E230" t="e">
        <f>AND('GA55 Entry'!#REF!,"AAAAAH+//gQ=")</f>
        <v>#REF!</v>
      </c>
      <c r="F230" t="e">
        <f>AND('GA55 Entry'!#REF!,"AAAAAH+//gU=")</f>
        <v>#REF!</v>
      </c>
      <c r="G230" t="e">
        <f>AND('GA55 Entry'!Z920,"AAAAAH+//gY=")</f>
        <v>#VALUE!</v>
      </c>
      <c r="H230" t="e">
        <f>AND('GA55 Entry'!AA920,"AAAAAH+//gc=")</f>
        <v>#VALUE!</v>
      </c>
      <c r="I230" t="e">
        <f>AND('GA55 Entry'!#REF!,"AAAAAH+//gg=")</f>
        <v>#REF!</v>
      </c>
      <c r="J230" t="e">
        <f>AND('GA55 Entry'!#REF!,"AAAAAH+//gk=")</f>
        <v>#REF!</v>
      </c>
      <c r="K230" t="e">
        <f>AND('GA55 Entry'!#REF!,"AAAAAH+//go=")</f>
        <v>#REF!</v>
      </c>
      <c r="L230" t="e">
        <f>AND('GA55 Entry'!AB920,"AAAAAH+//gs=")</f>
        <v>#VALUE!</v>
      </c>
      <c r="M230" t="e">
        <f>AND('GA55 Entry'!AC920,"AAAAAH+//gw=")</f>
        <v>#VALUE!</v>
      </c>
      <c r="N230" t="e">
        <f>AND('GA55 Entry'!#REF!,"AAAAAH+//g0=")</f>
        <v>#REF!</v>
      </c>
      <c r="O230">
        <f>IF('GA55 Entry'!921:921,"AAAAAH+//g4=",0)</f>
        <v>0</v>
      </c>
      <c r="P230" t="e">
        <f>AND('GA55 Entry'!B921,"AAAAAH+//g8=")</f>
        <v>#VALUE!</v>
      </c>
      <c r="Q230" t="e">
        <f>AND('GA55 Entry'!#REF!,"AAAAAH+//hA=")</f>
        <v>#REF!</v>
      </c>
      <c r="R230" t="e">
        <f>AND('GA55 Entry'!C921,"AAAAAH+//hE=")</f>
        <v>#VALUE!</v>
      </c>
      <c r="S230" t="e">
        <f>AND('GA55 Entry'!#REF!,"AAAAAH+//hI=")</f>
        <v>#REF!</v>
      </c>
      <c r="T230" t="e">
        <f>AND('GA55 Entry'!#REF!,"AAAAAH+//hM=")</f>
        <v>#REF!</v>
      </c>
      <c r="U230" t="e">
        <f>AND('GA55 Entry'!#REF!,"AAAAAH+//hQ=")</f>
        <v>#REF!</v>
      </c>
      <c r="V230" t="e">
        <f>AND('GA55 Entry'!#REF!,"AAAAAH+//hU=")</f>
        <v>#REF!</v>
      </c>
      <c r="W230" t="e">
        <f>AND('GA55 Entry'!#REF!,"AAAAAH+//hY=")</f>
        <v>#REF!</v>
      </c>
      <c r="X230" t="e">
        <f>AND('GA55 Entry'!D921,"AAAAAH+//hc=")</f>
        <v>#VALUE!</v>
      </c>
      <c r="Y230" t="e">
        <f>AND('GA55 Entry'!#REF!,"AAAAAH+//hg=")</f>
        <v>#REF!</v>
      </c>
      <c r="Z230" t="e">
        <f>AND('GA55 Entry'!E921,"AAAAAH+//hk=")</f>
        <v>#VALUE!</v>
      </c>
      <c r="AA230" t="e">
        <f>AND('GA55 Entry'!F921,"AAAAAH+//ho=")</f>
        <v>#VALUE!</v>
      </c>
      <c r="AB230" t="e">
        <f>AND('GA55 Entry'!G921,"AAAAAH+//hs=")</f>
        <v>#VALUE!</v>
      </c>
      <c r="AC230" t="e">
        <f>AND('GA55 Entry'!H921,"AAAAAH+//hw=")</f>
        <v>#VALUE!</v>
      </c>
      <c r="AD230" t="e">
        <f>AND('GA55 Entry'!I921,"AAAAAH+//h0=")</f>
        <v>#VALUE!</v>
      </c>
      <c r="AE230" t="e">
        <f>AND('GA55 Entry'!J921,"AAAAAH+//h4=")</f>
        <v>#VALUE!</v>
      </c>
      <c r="AF230" t="e">
        <f>AND('GA55 Entry'!#REF!,"AAAAAH+//h8=")</f>
        <v>#REF!</v>
      </c>
      <c r="AG230" t="e">
        <f>AND('GA55 Entry'!K921,"AAAAAH+//iA=")</f>
        <v>#VALUE!</v>
      </c>
      <c r="AH230" t="e">
        <f>AND('GA55 Entry'!L921,"AAAAAH+//iE=")</f>
        <v>#VALUE!</v>
      </c>
      <c r="AI230" t="e">
        <f>AND('GA55 Entry'!M921,"AAAAAH+//iI=")</f>
        <v>#VALUE!</v>
      </c>
      <c r="AJ230" t="e">
        <f>AND('GA55 Entry'!N921,"AAAAAH+//iM=")</f>
        <v>#VALUE!</v>
      </c>
      <c r="AK230" t="e">
        <f>AND('GA55 Entry'!O921,"AAAAAH+//iQ=")</f>
        <v>#VALUE!</v>
      </c>
      <c r="AL230" t="e">
        <f>AND('GA55 Entry'!P921,"AAAAAH+//iU=")</f>
        <v>#VALUE!</v>
      </c>
      <c r="AM230" t="e">
        <f>AND('GA55 Entry'!Q921,"AAAAAH+//iY=")</f>
        <v>#VALUE!</v>
      </c>
      <c r="AN230" t="e">
        <f>AND('GA55 Entry'!S921,"AAAAAH+//ic=")</f>
        <v>#VALUE!</v>
      </c>
      <c r="AO230" t="e">
        <f>AND('GA55 Entry'!#REF!,"AAAAAH+//ig=")</f>
        <v>#REF!</v>
      </c>
      <c r="AP230" t="e">
        <f>AND('GA55 Entry'!T921,"AAAAAH+//ik=")</f>
        <v>#VALUE!</v>
      </c>
      <c r="AQ230" t="e">
        <f>AND('GA55 Entry'!U921,"AAAAAH+//io=")</f>
        <v>#VALUE!</v>
      </c>
      <c r="AR230" t="e">
        <f>AND('GA55 Entry'!V921,"AAAAAH+//is=")</f>
        <v>#VALUE!</v>
      </c>
      <c r="AS230" t="e">
        <f>AND('GA55 Entry'!#REF!,"AAAAAH+//iw=")</f>
        <v>#REF!</v>
      </c>
      <c r="AT230" t="e">
        <f>AND('GA55 Entry'!#REF!,"AAAAAH+//i0=")</f>
        <v>#REF!</v>
      </c>
      <c r="AU230" t="e">
        <f>AND('GA55 Entry'!X921,"AAAAAH+//i4=")</f>
        <v>#VALUE!</v>
      </c>
      <c r="AV230" t="e">
        <f>AND('GA55 Entry'!Y921,"AAAAAH+//i8=")</f>
        <v>#VALUE!</v>
      </c>
      <c r="AW230" t="e">
        <f>AND('GA55 Entry'!#REF!,"AAAAAH+//jA=")</f>
        <v>#REF!</v>
      </c>
      <c r="AX230" t="e">
        <f>AND('GA55 Entry'!#REF!,"AAAAAH+//jE=")</f>
        <v>#REF!</v>
      </c>
      <c r="AY230" t="e">
        <f>AND('GA55 Entry'!#REF!,"AAAAAH+//jI=")</f>
        <v>#REF!</v>
      </c>
      <c r="AZ230" t="e">
        <f>AND('GA55 Entry'!#REF!,"AAAAAH+//jM=")</f>
        <v>#REF!</v>
      </c>
      <c r="BA230" t="e">
        <f>AND('GA55 Entry'!#REF!,"AAAAAH+//jQ=")</f>
        <v>#REF!</v>
      </c>
      <c r="BB230" t="e">
        <f>AND('GA55 Entry'!#REF!,"AAAAAH+//jU=")</f>
        <v>#REF!</v>
      </c>
      <c r="BC230" t="e">
        <f>AND('GA55 Entry'!#REF!,"AAAAAH+//jY=")</f>
        <v>#REF!</v>
      </c>
      <c r="BD230" t="e">
        <f>AND('GA55 Entry'!#REF!,"AAAAAH+//jc=")</f>
        <v>#REF!</v>
      </c>
      <c r="BE230" t="e">
        <f>AND('GA55 Entry'!#REF!,"AAAAAH+//jg=")</f>
        <v>#REF!</v>
      </c>
      <c r="BF230" t="e">
        <f>AND('GA55 Entry'!Z921,"AAAAAH+//jk=")</f>
        <v>#VALUE!</v>
      </c>
      <c r="BG230" t="e">
        <f>AND('GA55 Entry'!AA921,"AAAAAH+//jo=")</f>
        <v>#VALUE!</v>
      </c>
      <c r="BH230" t="e">
        <f>AND('GA55 Entry'!#REF!,"AAAAAH+//js=")</f>
        <v>#REF!</v>
      </c>
      <c r="BI230" t="e">
        <f>AND('GA55 Entry'!#REF!,"AAAAAH+//jw=")</f>
        <v>#REF!</v>
      </c>
      <c r="BJ230" t="e">
        <f>AND('GA55 Entry'!#REF!,"AAAAAH+//j0=")</f>
        <v>#REF!</v>
      </c>
      <c r="BK230" t="e">
        <f>AND('GA55 Entry'!AB921,"AAAAAH+//j4=")</f>
        <v>#VALUE!</v>
      </c>
      <c r="BL230" t="e">
        <f>AND('GA55 Entry'!AC921,"AAAAAH+//j8=")</f>
        <v>#VALUE!</v>
      </c>
      <c r="BM230" t="e">
        <f>AND('GA55 Entry'!#REF!,"AAAAAH+//kA=")</f>
        <v>#REF!</v>
      </c>
      <c r="BN230">
        <f>IF('GA55 Entry'!922:922,"AAAAAH+//kE=",0)</f>
        <v>0</v>
      </c>
      <c r="BO230" t="e">
        <f>AND('GA55 Entry'!B922,"AAAAAH+//kI=")</f>
        <v>#VALUE!</v>
      </c>
      <c r="BP230" t="e">
        <f>AND('GA55 Entry'!#REF!,"AAAAAH+//kM=")</f>
        <v>#REF!</v>
      </c>
      <c r="BQ230" t="e">
        <f>AND('GA55 Entry'!C922,"AAAAAH+//kQ=")</f>
        <v>#VALUE!</v>
      </c>
      <c r="BR230" t="e">
        <f>AND('GA55 Entry'!#REF!,"AAAAAH+//kU=")</f>
        <v>#REF!</v>
      </c>
      <c r="BS230" t="e">
        <f>AND('GA55 Entry'!#REF!,"AAAAAH+//kY=")</f>
        <v>#REF!</v>
      </c>
      <c r="BT230" t="e">
        <f>AND('GA55 Entry'!#REF!,"AAAAAH+//kc=")</f>
        <v>#REF!</v>
      </c>
      <c r="BU230" t="e">
        <f>AND('GA55 Entry'!#REF!,"AAAAAH+//kg=")</f>
        <v>#REF!</v>
      </c>
      <c r="BV230" t="e">
        <f>AND('GA55 Entry'!#REF!,"AAAAAH+//kk=")</f>
        <v>#REF!</v>
      </c>
      <c r="BW230" t="e">
        <f>AND('GA55 Entry'!D922,"AAAAAH+//ko=")</f>
        <v>#VALUE!</v>
      </c>
      <c r="BX230" t="e">
        <f>AND('GA55 Entry'!#REF!,"AAAAAH+//ks=")</f>
        <v>#REF!</v>
      </c>
      <c r="BY230" t="e">
        <f>AND('GA55 Entry'!E922,"AAAAAH+//kw=")</f>
        <v>#VALUE!</v>
      </c>
      <c r="BZ230" t="e">
        <f>AND('GA55 Entry'!F922,"AAAAAH+//k0=")</f>
        <v>#VALUE!</v>
      </c>
      <c r="CA230" t="e">
        <f>AND('GA55 Entry'!G922,"AAAAAH+//k4=")</f>
        <v>#VALUE!</v>
      </c>
      <c r="CB230" t="e">
        <f>AND('GA55 Entry'!H922,"AAAAAH+//k8=")</f>
        <v>#VALUE!</v>
      </c>
      <c r="CC230" t="e">
        <f>AND('GA55 Entry'!I922,"AAAAAH+//lA=")</f>
        <v>#VALUE!</v>
      </c>
      <c r="CD230" t="e">
        <f>AND('GA55 Entry'!J922,"AAAAAH+//lE=")</f>
        <v>#VALUE!</v>
      </c>
      <c r="CE230" t="e">
        <f>AND('GA55 Entry'!#REF!,"AAAAAH+//lI=")</f>
        <v>#REF!</v>
      </c>
      <c r="CF230" t="e">
        <f>AND('GA55 Entry'!K922,"AAAAAH+//lM=")</f>
        <v>#VALUE!</v>
      </c>
      <c r="CG230" t="e">
        <f>AND('GA55 Entry'!L922,"AAAAAH+//lQ=")</f>
        <v>#VALUE!</v>
      </c>
      <c r="CH230" t="e">
        <f>AND('GA55 Entry'!M922,"AAAAAH+//lU=")</f>
        <v>#VALUE!</v>
      </c>
      <c r="CI230" t="e">
        <f>AND('GA55 Entry'!N922,"AAAAAH+//lY=")</f>
        <v>#VALUE!</v>
      </c>
      <c r="CJ230" t="e">
        <f>AND('GA55 Entry'!O922,"AAAAAH+//lc=")</f>
        <v>#VALUE!</v>
      </c>
      <c r="CK230" t="e">
        <f>AND('GA55 Entry'!P922,"AAAAAH+//lg=")</f>
        <v>#VALUE!</v>
      </c>
      <c r="CL230" t="e">
        <f>AND('GA55 Entry'!Q922,"AAAAAH+//lk=")</f>
        <v>#VALUE!</v>
      </c>
      <c r="CM230" t="e">
        <f>AND('GA55 Entry'!S922,"AAAAAH+//lo=")</f>
        <v>#VALUE!</v>
      </c>
      <c r="CN230" t="e">
        <f>AND('GA55 Entry'!#REF!,"AAAAAH+//ls=")</f>
        <v>#REF!</v>
      </c>
      <c r="CO230" t="e">
        <f>AND('GA55 Entry'!T922,"AAAAAH+//lw=")</f>
        <v>#VALUE!</v>
      </c>
      <c r="CP230" t="e">
        <f>AND('GA55 Entry'!U922,"AAAAAH+//l0=")</f>
        <v>#VALUE!</v>
      </c>
      <c r="CQ230" t="e">
        <f>AND('GA55 Entry'!V922,"AAAAAH+//l4=")</f>
        <v>#VALUE!</v>
      </c>
      <c r="CR230" t="e">
        <f>AND('GA55 Entry'!#REF!,"AAAAAH+//l8=")</f>
        <v>#REF!</v>
      </c>
      <c r="CS230" t="e">
        <f>AND('GA55 Entry'!#REF!,"AAAAAH+//mA=")</f>
        <v>#REF!</v>
      </c>
      <c r="CT230" t="e">
        <f>AND('GA55 Entry'!X922,"AAAAAH+//mE=")</f>
        <v>#VALUE!</v>
      </c>
      <c r="CU230" t="e">
        <f>AND('GA55 Entry'!Y922,"AAAAAH+//mI=")</f>
        <v>#VALUE!</v>
      </c>
      <c r="CV230" t="e">
        <f>AND('GA55 Entry'!#REF!,"AAAAAH+//mM=")</f>
        <v>#REF!</v>
      </c>
      <c r="CW230" t="e">
        <f>AND('GA55 Entry'!#REF!,"AAAAAH+//mQ=")</f>
        <v>#REF!</v>
      </c>
      <c r="CX230" t="e">
        <f>AND('GA55 Entry'!#REF!,"AAAAAH+//mU=")</f>
        <v>#REF!</v>
      </c>
      <c r="CY230" t="e">
        <f>AND('GA55 Entry'!#REF!,"AAAAAH+//mY=")</f>
        <v>#REF!</v>
      </c>
      <c r="CZ230" t="e">
        <f>AND('GA55 Entry'!#REF!,"AAAAAH+//mc=")</f>
        <v>#REF!</v>
      </c>
      <c r="DA230" t="e">
        <f>AND('GA55 Entry'!#REF!,"AAAAAH+//mg=")</f>
        <v>#REF!</v>
      </c>
      <c r="DB230" t="e">
        <f>AND('GA55 Entry'!#REF!,"AAAAAH+//mk=")</f>
        <v>#REF!</v>
      </c>
      <c r="DC230" t="e">
        <f>AND('GA55 Entry'!#REF!,"AAAAAH+//mo=")</f>
        <v>#REF!</v>
      </c>
      <c r="DD230" t="e">
        <f>AND('GA55 Entry'!#REF!,"AAAAAH+//ms=")</f>
        <v>#REF!</v>
      </c>
      <c r="DE230" t="e">
        <f>AND('GA55 Entry'!Z922,"AAAAAH+//mw=")</f>
        <v>#VALUE!</v>
      </c>
      <c r="DF230" t="e">
        <f>AND('GA55 Entry'!AA922,"AAAAAH+//m0=")</f>
        <v>#VALUE!</v>
      </c>
      <c r="DG230" t="e">
        <f>AND('GA55 Entry'!#REF!,"AAAAAH+//m4=")</f>
        <v>#REF!</v>
      </c>
      <c r="DH230" t="e">
        <f>AND('GA55 Entry'!#REF!,"AAAAAH+//m8=")</f>
        <v>#REF!</v>
      </c>
      <c r="DI230" t="e">
        <f>AND('GA55 Entry'!#REF!,"AAAAAH+//nA=")</f>
        <v>#REF!</v>
      </c>
      <c r="DJ230" t="e">
        <f>AND('GA55 Entry'!AB922,"AAAAAH+//nE=")</f>
        <v>#VALUE!</v>
      </c>
      <c r="DK230" t="e">
        <f>AND('GA55 Entry'!AC922,"AAAAAH+//nI=")</f>
        <v>#VALUE!</v>
      </c>
      <c r="DL230" t="e">
        <f>AND('GA55 Entry'!#REF!,"AAAAAH+//nM=")</f>
        <v>#REF!</v>
      </c>
      <c r="DM230">
        <f>IF('GA55 Entry'!923:923,"AAAAAH+//nQ=",0)</f>
        <v>0</v>
      </c>
      <c r="DN230" t="e">
        <f>AND('GA55 Entry'!B923,"AAAAAH+//nU=")</f>
        <v>#VALUE!</v>
      </c>
      <c r="DO230" t="e">
        <f>AND('GA55 Entry'!#REF!,"AAAAAH+//nY=")</f>
        <v>#REF!</v>
      </c>
      <c r="DP230" t="e">
        <f>AND('GA55 Entry'!C923,"AAAAAH+//nc=")</f>
        <v>#VALUE!</v>
      </c>
      <c r="DQ230" t="e">
        <f>AND('GA55 Entry'!#REF!,"AAAAAH+//ng=")</f>
        <v>#REF!</v>
      </c>
      <c r="DR230" t="e">
        <f>AND('GA55 Entry'!#REF!,"AAAAAH+//nk=")</f>
        <v>#REF!</v>
      </c>
      <c r="DS230" t="e">
        <f>AND('GA55 Entry'!#REF!,"AAAAAH+//no=")</f>
        <v>#REF!</v>
      </c>
      <c r="DT230" t="e">
        <f>AND('GA55 Entry'!#REF!,"AAAAAH+//ns=")</f>
        <v>#REF!</v>
      </c>
      <c r="DU230" t="e">
        <f>AND('GA55 Entry'!#REF!,"AAAAAH+//nw=")</f>
        <v>#REF!</v>
      </c>
      <c r="DV230" t="e">
        <f>AND('GA55 Entry'!D923,"AAAAAH+//n0=")</f>
        <v>#VALUE!</v>
      </c>
      <c r="DW230" t="e">
        <f>AND('GA55 Entry'!#REF!,"AAAAAH+//n4=")</f>
        <v>#REF!</v>
      </c>
      <c r="DX230" t="e">
        <f>AND('GA55 Entry'!E923,"AAAAAH+//n8=")</f>
        <v>#VALUE!</v>
      </c>
      <c r="DY230" t="e">
        <f>AND('GA55 Entry'!F923,"AAAAAH+//oA=")</f>
        <v>#VALUE!</v>
      </c>
      <c r="DZ230" t="e">
        <f>AND('GA55 Entry'!G923,"AAAAAH+//oE=")</f>
        <v>#VALUE!</v>
      </c>
      <c r="EA230" t="e">
        <f>AND('GA55 Entry'!H923,"AAAAAH+//oI=")</f>
        <v>#VALUE!</v>
      </c>
      <c r="EB230" t="e">
        <f>AND('GA55 Entry'!I923,"AAAAAH+//oM=")</f>
        <v>#VALUE!</v>
      </c>
      <c r="EC230" t="e">
        <f>AND('GA55 Entry'!J923,"AAAAAH+//oQ=")</f>
        <v>#VALUE!</v>
      </c>
      <c r="ED230" t="e">
        <f>AND('GA55 Entry'!#REF!,"AAAAAH+//oU=")</f>
        <v>#REF!</v>
      </c>
      <c r="EE230" t="e">
        <f>AND('GA55 Entry'!K923,"AAAAAH+//oY=")</f>
        <v>#VALUE!</v>
      </c>
      <c r="EF230" t="e">
        <f>AND('GA55 Entry'!L923,"AAAAAH+//oc=")</f>
        <v>#VALUE!</v>
      </c>
      <c r="EG230" t="e">
        <f>AND('GA55 Entry'!M923,"AAAAAH+//og=")</f>
        <v>#VALUE!</v>
      </c>
      <c r="EH230" t="e">
        <f>AND('GA55 Entry'!N923,"AAAAAH+//ok=")</f>
        <v>#VALUE!</v>
      </c>
      <c r="EI230" t="e">
        <f>AND('GA55 Entry'!O923,"AAAAAH+//oo=")</f>
        <v>#VALUE!</v>
      </c>
      <c r="EJ230" t="e">
        <f>AND('GA55 Entry'!P923,"AAAAAH+//os=")</f>
        <v>#VALUE!</v>
      </c>
      <c r="EK230" t="e">
        <f>AND('GA55 Entry'!Q923,"AAAAAH+//ow=")</f>
        <v>#VALUE!</v>
      </c>
      <c r="EL230" t="e">
        <f>AND('GA55 Entry'!S923,"AAAAAH+//o0=")</f>
        <v>#VALUE!</v>
      </c>
      <c r="EM230" t="e">
        <f>AND('GA55 Entry'!#REF!,"AAAAAH+//o4=")</f>
        <v>#REF!</v>
      </c>
      <c r="EN230" t="e">
        <f>AND('GA55 Entry'!T923,"AAAAAH+//o8=")</f>
        <v>#VALUE!</v>
      </c>
      <c r="EO230" t="e">
        <f>AND('GA55 Entry'!U923,"AAAAAH+//pA=")</f>
        <v>#VALUE!</v>
      </c>
      <c r="EP230" t="e">
        <f>AND('GA55 Entry'!V923,"AAAAAH+//pE=")</f>
        <v>#VALUE!</v>
      </c>
      <c r="EQ230" t="e">
        <f>AND('GA55 Entry'!#REF!,"AAAAAH+//pI=")</f>
        <v>#REF!</v>
      </c>
      <c r="ER230" t="e">
        <f>AND('GA55 Entry'!#REF!,"AAAAAH+//pM=")</f>
        <v>#REF!</v>
      </c>
      <c r="ES230" t="e">
        <f>AND('GA55 Entry'!X923,"AAAAAH+//pQ=")</f>
        <v>#VALUE!</v>
      </c>
      <c r="ET230" t="e">
        <f>AND('GA55 Entry'!Y923,"AAAAAH+//pU=")</f>
        <v>#VALUE!</v>
      </c>
      <c r="EU230" t="e">
        <f>AND('GA55 Entry'!#REF!,"AAAAAH+//pY=")</f>
        <v>#REF!</v>
      </c>
      <c r="EV230" t="e">
        <f>AND('GA55 Entry'!#REF!,"AAAAAH+//pc=")</f>
        <v>#REF!</v>
      </c>
      <c r="EW230" t="e">
        <f>AND('GA55 Entry'!#REF!,"AAAAAH+//pg=")</f>
        <v>#REF!</v>
      </c>
      <c r="EX230" t="e">
        <f>AND('GA55 Entry'!#REF!,"AAAAAH+//pk=")</f>
        <v>#REF!</v>
      </c>
      <c r="EY230" t="e">
        <f>AND('GA55 Entry'!#REF!,"AAAAAH+//po=")</f>
        <v>#REF!</v>
      </c>
      <c r="EZ230" t="e">
        <f>AND('GA55 Entry'!#REF!,"AAAAAH+//ps=")</f>
        <v>#REF!</v>
      </c>
      <c r="FA230" t="e">
        <f>AND('GA55 Entry'!#REF!,"AAAAAH+//pw=")</f>
        <v>#REF!</v>
      </c>
      <c r="FB230" t="e">
        <f>AND('GA55 Entry'!#REF!,"AAAAAH+//p0=")</f>
        <v>#REF!</v>
      </c>
      <c r="FC230" t="e">
        <f>AND('GA55 Entry'!#REF!,"AAAAAH+//p4=")</f>
        <v>#REF!</v>
      </c>
      <c r="FD230" t="e">
        <f>AND('GA55 Entry'!Z923,"AAAAAH+//p8=")</f>
        <v>#VALUE!</v>
      </c>
      <c r="FE230" t="e">
        <f>AND('GA55 Entry'!AA923,"AAAAAH+//qA=")</f>
        <v>#VALUE!</v>
      </c>
      <c r="FF230" t="e">
        <f>AND('GA55 Entry'!#REF!,"AAAAAH+//qE=")</f>
        <v>#REF!</v>
      </c>
      <c r="FG230" t="e">
        <f>AND('GA55 Entry'!#REF!,"AAAAAH+//qI=")</f>
        <v>#REF!</v>
      </c>
      <c r="FH230" t="e">
        <f>AND('GA55 Entry'!#REF!,"AAAAAH+//qM=")</f>
        <v>#REF!</v>
      </c>
      <c r="FI230" t="e">
        <f>AND('GA55 Entry'!AB923,"AAAAAH+//qQ=")</f>
        <v>#VALUE!</v>
      </c>
      <c r="FJ230" t="e">
        <f>AND('GA55 Entry'!AC923,"AAAAAH+//qU=")</f>
        <v>#VALUE!</v>
      </c>
      <c r="FK230" t="e">
        <f>AND('GA55 Entry'!#REF!,"AAAAAH+//qY=")</f>
        <v>#REF!</v>
      </c>
      <c r="FL230">
        <f>IF('GA55 Entry'!924:924,"AAAAAH+//qc=",0)</f>
        <v>0</v>
      </c>
      <c r="FM230" t="e">
        <f>AND('GA55 Entry'!B924,"AAAAAH+//qg=")</f>
        <v>#VALUE!</v>
      </c>
      <c r="FN230" t="e">
        <f>AND('GA55 Entry'!#REF!,"AAAAAH+//qk=")</f>
        <v>#REF!</v>
      </c>
      <c r="FO230" t="e">
        <f>AND('GA55 Entry'!C924,"AAAAAH+//qo=")</f>
        <v>#VALUE!</v>
      </c>
      <c r="FP230" t="e">
        <f>AND('GA55 Entry'!#REF!,"AAAAAH+//qs=")</f>
        <v>#REF!</v>
      </c>
      <c r="FQ230" t="e">
        <f>AND('GA55 Entry'!#REF!,"AAAAAH+//qw=")</f>
        <v>#REF!</v>
      </c>
      <c r="FR230" t="e">
        <f>AND('GA55 Entry'!#REF!,"AAAAAH+//q0=")</f>
        <v>#REF!</v>
      </c>
      <c r="FS230" t="e">
        <f>AND('GA55 Entry'!#REF!,"AAAAAH+//q4=")</f>
        <v>#REF!</v>
      </c>
      <c r="FT230" t="e">
        <f>AND('GA55 Entry'!#REF!,"AAAAAH+//q8=")</f>
        <v>#REF!</v>
      </c>
      <c r="FU230" t="e">
        <f>AND('GA55 Entry'!D924,"AAAAAH+//rA=")</f>
        <v>#VALUE!</v>
      </c>
      <c r="FV230" t="e">
        <f>AND('GA55 Entry'!#REF!,"AAAAAH+//rE=")</f>
        <v>#REF!</v>
      </c>
      <c r="FW230" t="e">
        <f>AND('GA55 Entry'!E924,"AAAAAH+//rI=")</f>
        <v>#VALUE!</v>
      </c>
      <c r="FX230" t="e">
        <f>AND('GA55 Entry'!F924,"AAAAAH+//rM=")</f>
        <v>#VALUE!</v>
      </c>
      <c r="FY230" t="e">
        <f>AND('GA55 Entry'!G924,"AAAAAH+//rQ=")</f>
        <v>#VALUE!</v>
      </c>
      <c r="FZ230" t="e">
        <f>AND('GA55 Entry'!H924,"AAAAAH+//rU=")</f>
        <v>#VALUE!</v>
      </c>
      <c r="GA230" t="e">
        <f>AND('GA55 Entry'!I924,"AAAAAH+//rY=")</f>
        <v>#VALUE!</v>
      </c>
      <c r="GB230" t="e">
        <f>AND('GA55 Entry'!J924,"AAAAAH+//rc=")</f>
        <v>#VALUE!</v>
      </c>
      <c r="GC230" t="e">
        <f>AND('GA55 Entry'!#REF!,"AAAAAH+//rg=")</f>
        <v>#REF!</v>
      </c>
      <c r="GD230" t="e">
        <f>AND('GA55 Entry'!K924,"AAAAAH+//rk=")</f>
        <v>#VALUE!</v>
      </c>
      <c r="GE230" t="e">
        <f>AND('GA55 Entry'!L924,"AAAAAH+//ro=")</f>
        <v>#VALUE!</v>
      </c>
      <c r="GF230" t="e">
        <f>AND('GA55 Entry'!M924,"AAAAAH+//rs=")</f>
        <v>#VALUE!</v>
      </c>
      <c r="GG230" t="e">
        <f>AND('GA55 Entry'!N924,"AAAAAH+//rw=")</f>
        <v>#VALUE!</v>
      </c>
      <c r="GH230" t="e">
        <f>AND('GA55 Entry'!O924,"AAAAAH+//r0=")</f>
        <v>#VALUE!</v>
      </c>
      <c r="GI230" t="e">
        <f>AND('GA55 Entry'!P924,"AAAAAH+//r4=")</f>
        <v>#VALUE!</v>
      </c>
      <c r="GJ230" t="e">
        <f>AND('GA55 Entry'!Q924,"AAAAAH+//r8=")</f>
        <v>#VALUE!</v>
      </c>
      <c r="GK230" t="e">
        <f>AND('GA55 Entry'!S924,"AAAAAH+//sA=")</f>
        <v>#VALUE!</v>
      </c>
      <c r="GL230" t="e">
        <f>AND('GA55 Entry'!#REF!,"AAAAAH+//sE=")</f>
        <v>#REF!</v>
      </c>
      <c r="GM230" t="e">
        <f>AND('GA55 Entry'!T924,"AAAAAH+//sI=")</f>
        <v>#VALUE!</v>
      </c>
      <c r="GN230" t="e">
        <f>AND('GA55 Entry'!U924,"AAAAAH+//sM=")</f>
        <v>#VALUE!</v>
      </c>
      <c r="GO230" t="e">
        <f>AND('GA55 Entry'!V924,"AAAAAH+//sQ=")</f>
        <v>#VALUE!</v>
      </c>
      <c r="GP230" t="e">
        <f>AND('GA55 Entry'!#REF!,"AAAAAH+//sU=")</f>
        <v>#REF!</v>
      </c>
      <c r="GQ230" t="e">
        <f>AND('GA55 Entry'!#REF!,"AAAAAH+//sY=")</f>
        <v>#REF!</v>
      </c>
      <c r="GR230" t="e">
        <f>AND('GA55 Entry'!X924,"AAAAAH+//sc=")</f>
        <v>#VALUE!</v>
      </c>
      <c r="GS230" t="e">
        <f>AND('GA55 Entry'!Y924,"AAAAAH+//sg=")</f>
        <v>#VALUE!</v>
      </c>
      <c r="GT230" t="e">
        <f>AND('GA55 Entry'!#REF!,"AAAAAH+//sk=")</f>
        <v>#REF!</v>
      </c>
      <c r="GU230" t="e">
        <f>AND('GA55 Entry'!#REF!,"AAAAAH+//so=")</f>
        <v>#REF!</v>
      </c>
      <c r="GV230" t="e">
        <f>AND('GA55 Entry'!#REF!,"AAAAAH+//ss=")</f>
        <v>#REF!</v>
      </c>
      <c r="GW230" t="e">
        <f>AND('GA55 Entry'!#REF!,"AAAAAH+//sw=")</f>
        <v>#REF!</v>
      </c>
      <c r="GX230" t="e">
        <f>AND('GA55 Entry'!#REF!,"AAAAAH+//s0=")</f>
        <v>#REF!</v>
      </c>
      <c r="GY230" t="e">
        <f>AND('GA55 Entry'!#REF!,"AAAAAH+//s4=")</f>
        <v>#REF!</v>
      </c>
      <c r="GZ230" t="e">
        <f>AND('GA55 Entry'!#REF!,"AAAAAH+//s8=")</f>
        <v>#REF!</v>
      </c>
      <c r="HA230" t="e">
        <f>AND('GA55 Entry'!#REF!,"AAAAAH+//tA=")</f>
        <v>#REF!</v>
      </c>
      <c r="HB230" t="e">
        <f>AND('GA55 Entry'!#REF!,"AAAAAH+//tE=")</f>
        <v>#REF!</v>
      </c>
      <c r="HC230" t="e">
        <f>AND('GA55 Entry'!Z924,"AAAAAH+//tI=")</f>
        <v>#VALUE!</v>
      </c>
      <c r="HD230" t="e">
        <f>AND('GA55 Entry'!AA924,"AAAAAH+//tM=")</f>
        <v>#VALUE!</v>
      </c>
      <c r="HE230" t="e">
        <f>AND('GA55 Entry'!#REF!,"AAAAAH+//tQ=")</f>
        <v>#REF!</v>
      </c>
      <c r="HF230" t="e">
        <f>AND('GA55 Entry'!#REF!,"AAAAAH+//tU=")</f>
        <v>#REF!</v>
      </c>
      <c r="HG230" t="e">
        <f>AND('GA55 Entry'!#REF!,"AAAAAH+//tY=")</f>
        <v>#REF!</v>
      </c>
      <c r="HH230" t="e">
        <f>AND('GA55 Entry'!AB924,"AAAAAH+//tc=")</f>
        <v>#VALUE!</v>
      </c>
      <c r="HI230" t="e">
        <f>AND('GA55 Entry'!AC924,"AAAAAH+//tg=")</f>
        <v>#VALUE!</v>
      </c>
      <c r="HJ230" t="e">
        <f>AND('GA55 Entry'!#REF!,"AAAAAH+//tk=")</f>
        <v>#REF!</v>
      </c>
      <c r="HK230">
        <f>IF('GA55 Entry'!925:925,"AAAAAH+//to=",0)</f>
        <v>0</v>
      </c>
      <c r="HL230" t="e">
        <f>AND('GA55 Entry'!B925,"AAAAAH+//ts=")</f>
        <v>#VALUE!</v>
      </c>
      <c r="HM230" t="e">
        <f>AND('GA55 Entry'!#REF!,"AAAAAH+//tw=")</f>
        <v>#REF!</v>
      </c>
      <c r="HN230" t="e">
        <f>AND('GA55 Entry'!C925,"AAAAAH+//t0=")</f>
        <v>#VALUE!</v>
      </c>
      <c r="HO230" t="e">
        <f>AND('GA55 Entry'!#REF!,"AAAAAH+//t4=")</f>
        <v>#REF!</v>
      </c>
      <c r="HP230" t="e">
        <f>AND('GA55 Entry'!#REF!,"AAAAAH+//t8=")</f>
        <v>#REF!</v>
      </c>
      <c r="HQ230" t="e">
        <f>AND('GA55 Entry'!#REF!,"AAAAAH+//uA=")</f>
        <v>#REF!</v>
      </c>
      <c r="HR230" t="e">
        <f>AND('GA55 Entry'!#REF!,"AAAAAH+//uE=")</f>
        <v>#REF!</v>
      </c>
      <c r="HS230" t="e">
        <f>AND('GA55 Entry'!#REF!,"AAAAAH+//uI=")</f>
        <v>#REF!</v>
      </c>
      <c r="HT230" t="e">
        <f>AND('GA55 Entry'!D925,"AAAAAH+//uM=")</f>
        <v>#VALUE!</v>
      </c>
      <c r="HU230" t="e">
        <f>AND('GA55 Entry'!#REF!,"AAAAAH+//uQ=")</f>
        <v>#REF!</v>
      </c>
      <c r="HV230" t="e">
        <f>AND('GA55 Entry'!E925,"AAAAAH+//uU=")</f>
        <v>#VALUE!</v>
      </c>
      <c r="HW230" t="e">
        <f>AND('GA55 Entry'!F925,"AAAAAH+//uY=")</f>
        <v>#VALUE!</v>
      </c>
      <c r="HX230" t="e">
        <f>AND('GA55 Entry'!G925,"AAAAAH+//uc=")</f>
        <v>#VALUE!</v>
      </c>
      <c r="HY230" t="e">
        <f>AND('GA55 Entry'!H925,"AAAAAH+//ug=")</f>
        <v>#VALUE!</v>
      </c>
      <c r="HZ230" t="e">
        <f>AND('GA55 Entry'!I925,"AAAAAH+//uk=")</f>
        <v>#VALUE!</v>
      </c>
      <c r="IA230" t="e">
        <f>AND('GA55 Entry'!J925,"AAAAAH+//uo=")</f>
        <v>#VALUE!</v>
      </c>
      <c r="IB230" t="e">
        <f>AND('GA55 Entry'!#REF!,"AAAAAH+//us=")</f>
        <v>#REF!</v>
      </c>
      <c r="IC230" t="e">
        <f>AND('GA55 Entry'!K925,"AAAAAH+//uw=")</f>
        <v>#VALUE!</v>
      </c>
      <c r="ID230" t="e">
        <f>AND('GA55 Entry'!L925,"AAAAAH+//u0=")</f>
        <v>#VALUE!</v>
      </c>
      <c r="IE230" t="e">
        <f>AND('GA55 Entry'!M925,"AAAAAH+//u4=")</f>
        <v>#VALUE!</v>
      </c>
      <c r="IF230" t="e">
        <f>AND('GA55 Entry'!N925,"AAAAAH+//u8=")</f>
        <v>#VALUE!</v>
      </c>
      <c r="IG230" t="e">
        <f>AND('GA55 Entry'!O925,"AAAAAH+//vA=")</f>
        <v>#VALUE!</v>
      </c>
      <c r="IH230" t="e">
        <f>AND('GA55 Entry'!P925,"AAAAAH+//vE=")</f>
        <v>#VALUE!</v>
      </c>
      <c r="II230" t="e">
        <f>AND('GA55 Entry'!Q925,"AAAAAH+//vI=")</f>
        <v>#VALUE!</v>
      </c>
      <c r="IJ230" t="e">
        <f>AND('GA55 Entry'!S925,"AAAAAH+//vM=")</f>
        <v>#VALUE!</v>
      </c>
      <c r="IK230" t="e">
        <f>AND('GA55 Entry'!#REF!,"AAAAAH+//vQ=")</f>
        <v>#REF!</v>
      </c>
      <c r="IL230" t="e">
        <f>AND('GA55 Entry'!T925,"AAAAAH+//vU=")</f>
        <v>#VALUE!</v>
      </c>
      <c r="IM230" t="e">
        <f>AND('GA55 Entry'!U925,"AAAAAH+//vY=")</f>
        <v>#VALUE!</v>
      </c>
      <c r="IN230" t="e">
        <f>AND('GA55 Entry'!V925,"AAAAAH+//vc=")</f>
        <v>#VALUE!</v>
      </c>
      <c r="IO230" t="e">
        <f>AND('GA55 Entry'!#REF!,"AAAAAH+//vg=")</f>
        <v>#REF!</v>
      </c>
      <c r="IP230" t="e">
        <f>AND('GA55 Entry'!#REF!,"AAAAAH+//vk=")</f>
        <v>#REF!</v>
      </c>
      <c r="IQ230" t="e">
        <f>AND('GA55 Entry'!X925,"AAAAAH+//vo=")</f>
        <v>#VALUE!</v>
      </c>
      <c r="IR230" t="e">
        <f>AND('GA55 Entry'!Y925,"AAAAAH+//vs=")</f>
        <v>#VALUE!</v>
      </c>
      <c r="IS230" t="e">
        <f>AND('GA55 Entry'!#REF!,"AAAAAH+//vw=")</f>
        <v>#REF!</v>
      </c>
      <c r="IT230" t="e">
        <f>AND('GA55 Entry'!#REF!,"AAAAAH+//v0=")</f>
        <v>#REF!</v>
      </c>
      <c r="IU230" t="e">
        <f>AND('GA55 Entry'!#REF!,"AAAAAH+//v4=")</f>
        <v>#REF!</v>
      </c>
      <c r="IV230" t="e">
        <f>AND('GA55 Entry'!#REF!,"AAAAAH+//v8=")</f>
        <v>#REF!</v>
      </c>
    </row>
    <row r="231" spans="1:256">
      <c r="A231" t="e">
        <f>AND('GA55 Entry'!#REF!,"AAAAAHV/9wA=")</f>
        <v>#REF!</v>
      </c>
      <c r="B231" t="e">
        <f>AND('GA55 Entry'!#REF!,"AAAAAHV/9wE=")</f>
        <v>#REF!</v>
      </c>
      <c r="C231" t="e">
        <f>AND('GA55 Entry'!#REF!,"AAAAAHV/9wI=")</f>
        <v>#REF!</v>
      </c>
      <c r="D231" t="e">
        <f>AND('GA55 Entry'!#REF!,"AAAAAHV/9wM=")</f>
        <v>#REF!</v>
      </c>
      <c r="E231" t="e">
        <f>AND('GA55 Entry'!#REF!,"AAAAAHV/9wQ=")</f>
        <v>#REF!</v>
      </c>
      <c r="F231" t="e">
        <f>AND('GA55 Entry'!Z925,"AAAAAHV/9wU=")</f>
        <v>#VALUE!</v>
      </c>
      <c r="G231" t="e">
        <f>AND('GA55 Entry'!AA925,"AAAAAHV/9wY=")</f>
        <v>#VALUE!</v>
      </c>
      <c r="H231" t="e">
        <f>AND('GA55 Entry'!#REF!,"AAAAAHV/9wc=")</f>
        <v>#REF!</v>
      </c>
      <c r="I231" t="e">
        <f>AND('GA55 Entry'!#REF!,"AAAAAHV/9wg=")</f>
        <v>#REF!</v>
      </c>
      <c r="J231" t="e">
        <f>AND('GA55 Entry'!#REF!,"AAAAAHV/9wk=")</f>
        <v>#REF!</v>
      </c>
      <c r="K231" t="e">
        <f>AND('GA55 Entry'!AB925,"AAAAAHV/9wo=")</f>
        <v>#VALUE!</v>
      </c>
      <c r="L231" t="e">
        <f>AND('GA55 Entry'!AC925,"AAAAAHV/9ws=")</f>
        <v>#VALUE!</v>
      </c>
      <c r="M231" t="e">
        <f>AND('GA55 Entry'!#REF!,"AAAAAHV/9ww=")</f>
        <v>#REF!</v>
      </c>
      <c r="N231">
        <f>IF('GA55 Entry'!926:926,"AAAAAHV/9w0=",0)</f>
        <v>0</v>
      </c>
      <c r="O231" t="e">
        <f>AND('GA55 Entry'!B926,"AAAAAHV/9w4=")</f>
        <v>#VALUE!</v>
      </c>
      <c r="P231" t="e">
        <f>AND('GA55 Entry'!#REF!,"AAAAAHV/9w8=")</f>
        <v>#REF!</v>
      </c>
      <c r="Q231" t="e">
        <f>AND('GA55 Entry'!C926,"AAAAAHV/9xA=")</f>
        <v>#VALUE!</v>
      </c>
      <c r="R231" t="e">
        <f>AND('GA55 Entry'!#REF!,"AAAAAHV/9xE=")</f>
        <v>#REF!</v>
      </c>
      <c r="S231" t="e">
        <f>AND('GA55 Entry'!#REF!,"AAAAAHV/9xI=")</f>
        <v>#REF!</v>
      </c>
      <c r="T231" t="e">
        <f>AND('GA55 Entry'!#REF!,"AAAAAHV/9xM=")</f>
        <v>#REF!</v>
      </c>
      <c r="U231" t="e">
        <f>AND('GA55 Entry'!#REF!,"AAAAAHV/9xQ=")</f>
        <v>#REF!</v>
      </c>
      <c r="V231" t="e">
        <f>AND('GA55 Entry'!#REF!,"AAAAAHV/9xU=")</f>
        <v>#REF!</v>
      </c>
      <c r="W231" t="e">
        <f>AND('GA55 Entry'!D926,"AAAAAHV/9xY=")</f>
        <v>#VALUE!</v>
      </c>
      <c r="X231" t="e">
        <f>AND('GA55 Entry'!#REF!,"AAAAAHV/9xc=")</f>
        <v>#REF!</v>
      </c>
      <c r="Y231" t="e">
        <f>AND('GA55 Entry'!E926,"AAAAAHV/9xg=")</f>
        <v>#VALUE!</v>
      </c>
      <c r="Z231" t="e">
        <f>AND('GA55 Entry'!F926,"AAAAAHV/9xk=")</f>
        <v>#VALUE!</v>
      </c>
      <c r="AA231" t="e">
        <f>AND('GA55 Entry'!G926,"AAAAAHV/9xo=")</f>
        <v>#VALUE!</v>
      </c>
      <c r="AB231" t="e">
        <f>AND('GA55 Entry'!H926,"AAAAAHV/9xs=")</f>
        <v>#VALUE!</v>
      </c>
      <c r="AC231" t="e">
        <f>AND('GA55 Entry'!I926,"AAAAAHV/9xw=")</f>
        <v>#VALUE!</v>
      </c>
      <c r="AD231" t="e">
        <f>AND('GA55 Entry'!J926,"AAAAAHV/9x0=")</f>
        <v>#VALUE!</v>
      </c>
      <c r="AE231" t="e">
        <f>AND('GA55 Entry'!#REF!,"AAAAAHV/9x4=")</f>
        <v>#REF!</v>
      </c>
      <c r="AF231" t="e">
        <f>AND('GA55 Entry'!K926,"AAAAAHV/9x8=")</f>
        <v>#VALUE!</v>
      </c>
      <c r="AG231" t="e">
        <f>AND('GA55 Entry'!L926,"AAAAAHV/9yA=")</f>
        <v>#VALUE!</v>
      </c>
      <c r="AH231" t="e">
        <f>AND('GA55 Entry'!M926,"AAAAAHV/9yE=")</f>
        <v>#VALUE!</v>
      </c>
      <c r="AI231" t="e">
        <f>AND('GA55 Entry'!N926,"AAAAAHV/9yI=")</f>
        <v>#VALUE!</v>
      </c>
      <c r="AJ231" t="e">
        <f>AND('GA55 Entry'!O926,"AAAAAHV/9yM=")</f>
        <v>#VALUE!</v>
      </c>
      <c r="AK231" t="e">
        <f>AND('GA55 Entry'!P926,"AAAAAHV/9yQ=")</f>
        <v>#VALUE!</v>
      </c>
      <c r="AL231" t="e">
        <f>AND('GA55 Entry'!Q926,"AAAAAHV/9yU=")</f>
        <v>#VALUE!</v>
      </c>
      <c r="AM231" t="e">
        <f>AND('GA55 Entry'!S926,"AAAAAHV/9yY=")</f>
        <v>#VALUE!</v>
      </c>
      <c r="AN231" t="e">
        <f>AND('GA55 Entry'!#REF!,"AAAAAHV/9yc=")</f>
        <v>#REF!</v>
      </c>
      <c r="AO231" t="e">
        <f>AND('GA55 Entry'!T926,"AAAAAHV/9yg=")</f>
        <v>#VALUE!</v>
      </c>
      <c r="AP231" t="e">
        <f>AND('GA55 Entry'!U926,"AAAAAHV/9yk=")</f>
        <v>#VALUE!</v>
      </c>
      <c r="AQ231" t="e">
        <f>AND('GA55 Entry'!V926,"AAAAAHV/9yo=")</f>
        <v>#VALUE!</v>
      </c>
      <c r="AR231" t="e">
        <f>AND('GA55 Entry'!#REF!,"AAAAAHV/9ys=")</f>
        <v>#REF!</v>
      </c>
      <c r="AS231" t="e">
        <f>AND('GA55 Entry'!#REF!,"AAAAAHV/9yw=")</f>
        <v>#REF!</v>
      </c>
      <c r="AT231" t="e">
        <f>AND('GA55 Entry'!X926,"AAAAAHV/9y0=")</f>
        <v>#VALUE!</v>
      </c>
      <c r="AU231" t="e">
        <f>AND('GA55 Entry'!Y926,"AAAAAHV/9y4=")</f>
        <v>#VALUE!</v>
      </c>
      <c r="AV231" t="e">
        <f>AND('GA55 Entry'!#REF!,"AAAAAHV/9y8=")</f>
        <v>#REF!</v>
      </c>
      <c r="AW231" t="e">
        <f>AND('GA55 Entry'!#REF!,"AAAAAHV/9zA=")</f>
        <v>#REF!</v>
      </c>
      <c r="AX231" t="e">
        <f>AND('GA55 Entry'!#REF!,"AAAAAHV/9zE=")</f>
        <v>#REF!</v>
      </c>
      <c r="AY231" t="e">
        <f>AND('GA55 Entry'!#REF!,"AAAAAHV/9zI=")</f>
        <v>#REF!</v>
      </c>
      <c r="AZ231" t="e">
        <f>AND('GA55 Entry'!#REF!,"AAAAAHV/9zM=")</f>
        <v>#REF!</v>
      </c>
      <c r="BA231" t="e">
        <f>AND('GA55 Entry'!#REF!,"AAAAAHV/9zQ=")</f>
        <v>#REF!</v>
      </c>
      <c r="BB231" t="e">
        <f>AND('GA55 Entry'!#REF!,"AAAAAHV/9zU=")</f>
        <v>#REF!</v>
      </c>
      <c r="BC231" t="e">
        <f>AND('GA55 Entry'!#REF!,"AAAAAHV/9zY=")</f>
        <v>#REF!</v>
      </c>
      <c r="BD231" t="e">
        <f>AND('GA55 Entry'!#REF!,"AAAAAHV/9zc=")</f>
        <v>#REF!</v>
      </c>
      <c r="BE231" t="e">
        <f>AND('GA55 Entry'!Z926,"AAAAAHV/9zg=")</f>
        <v>#VALUE!</v>
      </c>
      <c r="BF231" t="e">
        <f>AND('GA55 Entry'!AA926,"AAAAAHV/9zk=")</f>
        <v>#VALUE!</v>
      </c>
      <c r="BG231" t="e">
        <f>AND('GA55 Entry'!#REF!,"AAAAAHV/9zo=")</f>
        <v>#REF!</v>
      </c>
      <c r="BH231" t="e">
        <f>AND('GA55 Entry'!#REF!,"AAAAAHV/9zs=")</f>
        <v>#REF!</v>
      </c>
      <c r="BI231" t="e">
        <f>AND('GA55 Entry'!#REF!,"AAAAAHV/9zw=")</f>
        <v>#REF!</v>
      </c>
      <c r="BJ231" t="e">
        <f>AND('GA55 Entry'!AB926,"AAAAAHV/9z0=")</f>
        <v>#VALUE!</v>
      </c>
      <c r="BK231" t="e">
        <f>AND('GA55 Entry'!AC926,"AAAAAHV/9z4=")</f>
        <v>#VALUE!</v>
      </c>
      <c r="BL231" t="e">
        <f>AND('GA55 Entry'!#REF!,"AAAAAHV/9z8=")</f>
        <v>#REF!</v>
      </c>
      <c r="BM231">
        <f>IF('GA55 Entry'!927:927,"AAAAAHV/90A=",0)</f>
        <v>0</v>
      </c>
      <c r="BN231" t="e">
        <f>AND('GA55 Entry'!B927,"AAAAAHV/90E=")</f>
        <v>#VALUE!</v>
      </c>
      <c r="BO231" t="e">
        <f>AND('GA55 Entry'!#REF!,"AAAAAHV/90I=")</f>
        <v>#REF!</v>
      </c>
      <c r="BP231" t="e">
        <f>AND('GA55 Entry'!C927,"AAAAAHV/90M=")</f>
        <v>#VALUE!</v>
      </c>
      <c r="BQ231" t="e">
        <f>AND('GA55 Entry'!#REF!,"AAAAAHV/90Q=")</f>
        <v>#REF!</v>
      </c>
      <c r="BR231" t="e">
        <f>AND('GA55 Entry'!#REF!,"AAAAAHV/90U=")</f>
        <v>#REF!</v>
      </c>
      <c r="BS231" t="e">
        <f>AND('GA55 Entry'!#REF!,"AAAAAHV/90Y=")</f>
        <v>#REF!</v>
      </c>
      <c r="BT231" t="e">
        <f>AND('GA55 Entry'!#REF!,"AAAAAHV/90c=")</f>
        <v>#REF!</v>
      </c>
      <c r="BU231" t="e">
        <f>AND('GA55 Entry'!#REF!,"AAAAAHV/90g=")</f>
        <v>#REF!</v>
      </c>
      <c r="BV231" t="e">
        <f>AND('GA55 Entry'!D927,"AAAAAHV/90k=")</f>
        <v>#VALUE!</v>
      </c>
      <c r="BW231" t="e">
        <f>AND('GA55 Entry'!#REF!,"AAAAAHV/90o=")</f>
        <v>#REF!</v>
      </c>
      <c r="BX231" t="e">
        <f>AND('GA55 Entry'!E927,"AAAAAHV/90s=")</f>
        <v>#VALUE!</v>
      </c>
      <c r="BY231" t="e">
        <f>AND('GA55 Entry'!F927,"AAAAAHV/90w=")</f>
        <v>#VALUE!</v>
      </c>
      <c r="BZ231" t="e">
        <f>AND('GA55 Entry'!G927,"AAAAAHV/900=")</f>
        <v>#VALUE!</v>
      </c>
      <c r="CA231" t="e">
        <f>AND('GA55 Entry'!H927,"AAAAAHV/904=")</f>
        <v>#VALUE!</v>
      </c>
      <c r="CB231" t="e">
        <f>AND('GA55 Entry'!I927,"AAAAAHV/908=")</f>
        <v>#VALUE!</v>
      </c>
      <c r="CC231" t="e">
        <f>AND('GA55 Entry'!J927,"AAAAAHV/91A=")</f>
        <v>#VALUE!</v>
      </c>
      <c r="CD231" t="e">
        <f>AND('GA55 Entry'!#REF!,"AAAAAHV/91E=")</f>
        <v>#REF!</v>
      </c>
      <c r="CE231" t="e">
        <f>AND('GA55 Entry'!K927,"AAAAAHV/91I=")</f>
        <v>#VALUE!</v>
      </c>
      <c r="CF231" t="e">
        <f>AND('GA55 Entry'!L927,"AAAAAHV/91M=")</f>
        <v>#VALUE!</v>
      </c>
      <c r="CG231" t="e">
        <f>AND('GA55 Entry'!M927,"AAAAAHV/91Q=")</f>
        <v>#VALUE!</v>
      </c>
      <c r="CH231" t="e">
        <f>AND('GA55 Entry'!N927,"AAAAAHV/91U=")</f>
        <v>#VALUE!</v>
      </c>
      <c r="CI231" t="e">
        <f>AND('GA55 Entry'!O927,"AAAAAHV/91Y=")</f>
        <v>#VALUE!</v>
      </c>
      <c r="CJ231" t="e">
        <f>AND('GA55 Entry'!P927,"AAAAAHV/91c=")</f>
        <v>#VALUE!</v>
      </c>
      <c r="CK231" t="e">
        <f>AND('GA55 Entry'!Q927,"AAAAAHV/91g=")</f>
        <v>#VALUE!</v>
      </c>
      <c r="CL231" t="e">
        <f>AND('GA55 Entry'!S927,"AAAAAHV/91k=")</f>
        <v>#VALUE!</v>
      </c>
      <c r="CM231" t="e">
        <f>AND('GA55 Entry'!#REF!,"AAAAAHV/91o=")</f>
        <v>#REF!</v>
      </c>
      <c r="CN231" t="e">
        <f>AND('GA55 Entry'!T927,"AAAAAHV/91s=")</f>
        <v>#VALUE!</v>
      </c>
      <c r="CO231" t="e">
        <f>AND('GA55 Entry'!U927,"AAAAAHV/91w=")</f>
        <v>#VALUE!</v>
      </c>
      <c r="CP231" t="e">
        <f>AND('GA55 Entry'!V927,"AAAAAHV/910=")</f>
        <v>#VALUE!</v>
      </c>
      <c r="CQ231" t="e">
        <f>AND('GA55 Entry'!#REF!,"AAAAAHV/914=")</f>
        <v>#REF!</v>
      </c>
      <c r="CR231" t="e">
        <f>AND('GA55 Entry'!#REF!,"AAAAAHV/918=")</f>
        <v>#REF!</v>
      </c>
      <c r="CS231" t="e">
        <f>AND('GA55 Entry'!X927,"AAAAAHV/92A=")</f>
        <v>#VALUE!</v>
      </c>
      <c r="CT231" t="e">
        <f>AND('GA55 Entry'!Y927,"AAAAAHV/92E=")</f>
        <v>#VALUE!</v>
      </c>
      <c r="CU231" t="e">
        <f>AND('GA55 Entry'!#REF!,"AAAAAHV/92I=")</f>
        <v>#REF!</v>
      </c>
      <c r="CV231" t="e">
        <f>AND('GA55 Entry'!#REF!,"AAAAAHV/92M=")</f>
        <v>#REF!</v>
      </c>
      <c r="CW231" t="e">
        <f>AND('GA55 Entry'!#REF!,"AAAAAHV/92Q=")</f>
        <v>#REF!</v>
      </c>
      <c r="CX231" t="e">
        <f>AND('GA55 Entry'!#REF!,"AAAAAHV/92U=")</f>
        <v>#REF!</v>
      </c>
      <c r="CY231" t="e">
        <f>AND('GA55 Entry'!#REF!,"AAAAAHV/92Y=")</f>
        <v>#REF!</v>
      </c>
      <c r="CZ231" t="e">
        <f>AND('GA55 Entry'!#REF!,"AAAAAHV/92c=")</f>
        <v>#REF!</v>
      </c>
      <c r="DA231" t="e">
        <f>AND('GA55 Entry'!#REF!,"AAAAAHV/92g=")</f>
        <v>#REF!</v>
      </c>
      <c r="DB231" t="e">
        <f>AND('GA55 Entry'!#REF!,"AAAAAHV/92k=")</f>
        <v>#REF!</v>
      </c>
      <c r="DC231" t="e">
        <f>AND('GA55 Entry'!#REF!,"AAAAAHV/92o=")</f>
        <v>#REF!</v>
      </c>
      <c r="DD231" t="e">
        <f>AND('GA55 Entry'!Z927,"AAAAAHV/92s=")</f>
        <v>#VALUE!</v>
      </c>
      <c r="DE231" t="e">
        <f>AND('GA55 Entry'!AA927,"AAAAAHV/92w=")</f>
        <v>#VALUE!</v>
      </c>
      <c r="DF231" t="e">
        <f>AND('GA55 Entry'!#REF!,"AAAAAHV/920=")</f>
        <v>#REF!</v>
      </c>
      <c r="DG231" t="e">
        <f>AND('GA55 Entry'!#REF!,"AAAAAHV/924=")</f>
        <v>#REF!</v>
      </c>
      <c r="DH231" t="e">
        <f>AND('GA55 Entry'!#REF!,"AAAAAHV/928=")</f>
        <v>#REF!</v>
      </c>
      <c r="DI231" t="e">
        <f>AND('GA55 Entry'!AB927,"AAAAAHV/93A=")</f>
        <v>#VALUE!</v>
      </c>
      <c r="DJ231" t="e">
        <f>AND('GA55 Entry'!AC927,"AAAAAHV/93E=")</f>
        <v>#VALUE!</v>
      </c>
      <c r="DK231" t="e">
        <f>AND('GA55 Entry'!#REF!,"AAAAAHV/93I=")</f>
        <v>#REF!</v>
      </c>
      <c r="DL231">
        <f>IF('GA55 Entry'!928:928,"AAAAAHV/93M=",0)</f>
        <v>0</v>
      </c>
      <c r="DM231" t="e">
        <f>AND('GA55 Entry'!B928,"AAAAAHV/93Q=")</f>
        <v>#VALUE!</v>
      </c>
      <c r="DN231" t="e">
        <f>AND('GA55 Entry'!#REF!,"AAAAAHV/93U=")</f>
        <v>#REF!</v>
      </c>
      <c r="DO231" t="e">
        <f>AND('GA55 Entry'!C928,"AAAAAHV/93Y=")</f>
        <v>#VALUE!</v>
      </c>
      <c r="DP231" t="e">
        <f>AND('GA55 Entry'!#REF!,"AAAAAHV/93c=")</f>
        <v>#REF!</v>
      </c>
      <c r="DQ231" t="e">
        <f>AND('GA55 Entry'!#REF!,"AAAAAHV/93g=")</f>
        <v>#REF!</v>
      </c>
      <c r="DR231" t="e">
        <f>AND('GA55 Entry'!#REF!,"AAAAAHV/93k=")</f>
        <v>#REF!</v>
      </c>
      <c r="DS231" t="e">
        <f>AND('GA55 Entry'!#REF!,"AAAAAHV/93o=")</f>
        <v>#REF!</v>
      </c>
      <c r="DT231" t="e">
        <f>AND('GA55 Entry'!#REF!,"AAAAAHV/93s=")</f>
        <v>#REF!</v>
      </c>
      <c r="DU231" t="e">
        <f>AND('GA55 Entry'!D928,"AAAAAHV/93w=")</f>
        <v>#VALUE!</v>
      </c>
      <c r="DV231" t="e">
        <f>AND('GA55 Entry'!#REF!,"AAAAAHV/930=")</f>
        <v>#REF!</v>
      </c>
      <c r="DW231" t="e">
        <f>AND('GA55 Entry'!E928,"AAAAAHV/934=")</f>
        <v>#VALUE!</v>
      </c>
      <c r="DX231" t="e">
        <f>AND('GA55 Entry'!F928,"AAAAAHV/938=")</f>
        <v>#VALUE!</v>
      </c>
      <c r="DY231" t="e">
        <f>AND('GA55 Entry'!G928,"AAAAAHV/94A=")</f>
        <v>#VALUE!</v>
      </c>
      <c r="DZ231" t="e">
        <f>AND('GA55 Entry'!H928,"AAAAAHV/94E=")</f>
        <v>#VALUE!</v>
      </c>
      <c r="EA231" t="e">
        <f>AND('GA55 Entry'!I928,"AAAAAHV/94I=")</f>
        <v>#VALUE!</v>
      </c>
      <c r="EB231" t="e">
        <f>AND('GA55 Entry'!J928,"AAAAAHV/94M=")</f>
        <v>#VALUE!</v>
      </c>
      <c r="EC231" t="e">
        <f>AND('GA55 Entry'!#REF!,"AAAAAHV/94Q=")</f>
        <v>#REF!</v>
      </c>
      <c r="ED231" t="e">
        <f>AND('GA55 Entry'!K928,"AAAAAHV/94U=")</f>
        <v>#VALUE!</v>
      </c>
      <c r="EE231" t="e">
        <f>AND('GA55 Entry'!L928,"AAAAAHV/94Y=")</f>
        <v>#VALUE!</v>
      </c>
      <c r="EF231" t="e">
        <f>AND('GA55 Entry'!M928,"AAAAAHV/94c=")</f>
        <v>#VALUE!</v>
      </c>
      <c r="EG231" t="e">
        <f>AND('GA55 Entry'!N928,"AAAAAHV/94g=")</f>
        <v>#VALUE!</v>
      </c>
      <c r="EH231" t="e">
        <f>AND('GA55 Entry'!O928,"AAAAAHV/94k=")</f>
        <v>#VALUE!</v>
      </c>
      <c r="EI231" t="e">
        <f>AND('GA55 Entry'!P928,"AAAAAHV/94o=")</f>
        <v>#VALUE!</v>
      </c>
      <c r="EJ231" t="e">
        <f>AND('GA55 Entry'!Q928,"AAAAAHV/94s=")</f>
        <v>#VALUE!</v>
      </c>
      <c r="EK231" t="e">
        <f>AND('GA55 Entry'!S928,"AAAAAHV/94w=")</f>
        <v>#VALUE!</v>
      </c>
      <c r="EL231" t="e">
        <f>AND('GA55 Entry'!#REF!,"AAAAAHV/940=")</f>
        <v>#REF!</v>
      </c>
      <c r="EM231" t="e">
        <f>AND('GA55 Entry'!T928,"AAAAAHV/944=")</f>
        <v>#VALUE!</v>
      </c>
      <c r="EN231" t="e">
        <f>AND('GA55 Entry'!U928,"AAAAAHV/948=")</f>
        <v>#VALUE!</v>
      </c>
      <c r="EO231" t="e">
        <f>AND('GA55 Entry'!V928,"AAAAAHV/95A=")</f>
        <v>#VALUE!</v>
      </c>
      <c r="EP231" t="e">
        <f>AND('GA55 Entry'!#REF!,"AAAAAHV/95E=")</f>
        <v>#REF!</v>
      </c>
      <c r="EQ231" t="e">
        <f>AND('GA55 Entry'!#REF!,"AAAAAHV/95I=")</f>
        <v>#REF!</v>
      </c>
      <c r="ER231" t="e">
        <f>AND('GA55 Entry'!X928,"AAAAAHV/95M=")</f>
        <v>#VALUE!</v>
      </c>
      <c r="ES231" t="e">
        <f>AND('GA55 Entry'!Y928,"AAAAAHV/95Q=")</f>
        <v>#VALUE!</v>
      </c>
      <c r="ET231" t="e">
        <f>AND('GA55 Entry'!#REF!,"AAAAAHV/95U=")</f>
        <v>#REF!</v>
      </c>
      <c r="EU231" t="e">
        <f>AND('GA55 Entry'!#REF!,"AAAAAHV/95Y=")</f>
        <v>#REF!</v>
      </c>
      <c r="EV231" t="e">
        <f>AND('GA55 Entry'!#REF!,"AAAAAHV/95c=")</f>
        <v>#REF!</v>
      </c>
      <c r="EW231" t="e">
        <f>AND('GA55 Entry'!#REF!,"AAAAAHV/95g=")</f>
        <v>#REF!</v>
      </c>
      <c r="EX231" t="e">
        <f>AND('GA55 Entry'!#REF!,"AAAAAHV/95k=")</f>
        <v>#REF!</v>
      </c>
      <c r="EY231" t="e">
        <f>AND('GA55 Entry'!#REF!,"AAAAAHV/95o=")</f>
        <v>#REF!</v>
      </c>
      <c r="EZ231" t="e">
        <f>AND('GA55 Entry'!#REF!,"AAAAAHV/95s=")</f>
        <v>#REF!</v>
      </c>
      <c r="FA231" t="e">
        <f>AND('GA55 Entry'!#REF!,"AAAAAHV/95w=")</f>
        <v>#REF!</v>
      </c>
      <c r="FB231" t="e">
        <f>AND('GA55 Entry'!#REF!,"AAAAAHV/950=")</f>
        <v>#REF!</v>
      </c>
      <c r="FC231" t="e">
        <f>AND('GA55 Entry'!Z928,"AAAAAHV/954=")</f>
        <v>#VALUE!</v>
      </c>
      <c r="FD231" t="e">
        <f>AND('GA55 Entry'!AA928,"AAAAAHV/958=")</f>
        <v>#VALUE!</v>
      </c>
      <c r="FE231" t="e">
        <f>AND('GA55 Entry'!#REF!,"AAAAAHV/96A=")</f>
        <v>#REF!</v>
      </c>
      <c r="FF231" t="e">
        <f>AND('GA55 Entry'!#REF!,"AAAAAHV/96E=")</f>
        <v>#REF!</v>
      </c>
      <c r="FG231" t="e">
        <f>AND('GA55 Entry'!#REF!,"AAAAAHV/96I=")</f>
        <v>#REF!</v>
      </c>
      <c r="FH231" t="e">
        <f>AND('GA55 Entry'!AB928,"AAAAAHV/96M=")</f>
        <v>#VALUE!</v>
      </c>
      <c r="FI231" t="e">
        <f>AND('GA55 Entry'!AC928,"AAAAAHV/96Q=")</f>
        <v>#VALUE!</v>
      </c>
      <c r="FJ231" t="e">
        <f>AND('GA55 Entry'!#REF!,"AAAAAHV/96U=")</f>
        <v>#REF!</v>
      </c>
      <c r="FK231">
        <f>IF('GA55 Entry'!929:929,"AAAAAHV/96Y=",0)</f>
        <v>0</v>
      </c>
      <c r="FL231" t="e">
        <f>AND('GA55 Entry'!B929,"AAAAAHV/96c=")</f>
        <v>#VALUE!</v>
      </c>
      <c r="FM231" t="e">
        <f>AND('GA55 Entry'!#REF!,"AAAAAHV/96g=")</f>
        <v>#REF!</v>
      </c>
      <c r="FN231" t="e">
        <f>AND('GA55 Entry'!C929,"AAAAAHV/96k=")</f>
        <v>#VALUE!</v>
      </c>
      <c r="FO231" t="e">
        <f>AND('GA55 Entry'!#REF!,"AAAAAHV/96o=")</f>
        <v>#REF!</v>
      </c>
      <c r="FP231" t="e">
        <f>AND('GA55 Entry'!#REF!,"AAAAAHV/96s=")</f>
        <v>#REF!</v>
      </c>
      <c r="FQ231" t="e">
        <f>AND('GA55 Entry'!#REF!,"AAAAAHV/96w=")</f>
        <v>#REF!</v>
      </c>
      <c r="FR231" t="e">
        <f>AND('GA55 Entry'!#REF!,"AAAAAHV/960=")</f>
        <v>#REF!</v>
      </c>
      <c r="FS231" t="e">
        <f>AND('GA55 Entry'!#REF!,"AAAAAHV/964=")</f>
        <v>#REF!</v>
      </c>
      <c r="FT231" t="e">
        <f>AND('GA55 Entry'!D929,"AAAAAHV/968=")</f>
        <v>#VALUE!</v>
      </c>
      <c r="FU231" t="e">
        <f>AND('GA55 Entry'!#REF!,"AAAAAHV/97A=")</f>
        <v>#REF!</v>
      </c>
      <c r="FV231" t="e">
        <f>AND('GA55 Entry'!E929,"AAAAAHV/97E=")</f>
        <v>#VALUE!</v>
      </c>
      <c r="FW231" t="e">
        <f>AND('GA55 Entry'!F929,"AAAAAHV/97I=")</f>
        <v>#VALUE!</v>
      </c>
      <c r="FX231" t="e">
        <f>AND('GA55 Entry'!G929,"AAAAAHV/97M=")</f>
        <v>#VALUE!</v>
      </c>
      <c r="FY231" t="e">
        <f>AND('GA55 Entry'!H929,"AAAAAHV/97Q=")</f>
        <v>#VALUE!</v>
      </c>
      <c r="FZ231" t="e">
        <f>AND('GA55 Entry'!I929,"AAAAAHV/97U=")</f>
        <v>#VALUE!</v>
      </c>
      <c r="GA231" t="e">
        <f>AND('GA55 Entry'!J929,"AAAAAHV/97Y=")</f>
        <v>#VALUE!</v>
      </c>
      <c r="GB231" t="e">
        <f>AND('GA55 Entry'!#REF!,"AAAAAHV/97c=")</f>
        <v>#REF!</v>
      </c>
      <c r="GC231" t="e">
        <f>AND('GA55 Entry'!K929,"AAAAAHV/97g=")</f>
        <v>#VALUE!</v>
      </c>
      <c r="GD231" t="e">
        <f>AND('GA55 Entry'!L929,"AAAAAHV/97k=")</f>
        <v>#VALUE!</v>
      </c>
      <c r="GE231" t="e">
        <f>AND('GA55 Entry'!M929,"AAAAAHV/97o=")</f>
        <v>#VALUE!</v>
      </c>
      <c r="GF231" t="e">
        <f>AND('GA55 Entry'!N929,"AAAAAHV/97s=")</f>
        <v>#VALUE!</v>
      </c>
      <c r="GG231" t="e">
        <f>AND('GA55 Entry'!O929,"AAAAAHV/97w=")</f>
        <v>#VALUE!</v>
      </c>
      <c r="GH231" t="e">
        <f>AND('GA55 Entry'!P929,"AAAAAHV/970=")</f>
        <v>#VALUE!</v>
      </c>
      <c r="GI231" t="e">
        <f>AND('GA55 Entry'!Q929,"AAAAAHV/974=")</f>
        <v>#VALUE!</v>
      </c>
      <c r="GJ231" t="e">
        <f>AND('GA55 Entry'!S929,"AAAAAHV/978=")</f>
        <v>#VALUE!</v>
      </c>
      <c r="GK231" t="e">
        <f>AND('GA55 Entry'!#REF!,"AAAAAHV/98A=")</f>
        <v>#REF!</v>
      </c>
      <c r="GL231" t="e">
        <f>AND('GA55 Entry'!T929,"AAAAAHV/98E=")</f>
        <v>#VALUE!</v>
      </c>
      <c r="GM231" t="e">
        <f>AND('GA55 Entry'!U929,"AAAAAHV/98I=")</f>
        <v>#VALUE!</v>
      </c>
      <c r="GN231" t="e">
        <f>AND('GA55 Entry'!V929,"AAAAAHV/98M=")</f>
        <v>#VALUE!</v>
      </c>
      <c r="GO231" t="e">
        <f>AND('GA55 Entry'!#REF!,"AAAAAHV/98Q=")</f>
        <v>#REF!</v>
      </c>
      <c r="GP231" t="e">
        <f>AND('GA55 Entry'!#REF!,"AAAAAHV/98U=")</f>
        <v>#REF!</v>
      </c>
      <c r="GQ231" t="e">
        <f>AND('GA55 Entry'!X929,"AAAAAHV/98Y=")</f>
        <v>#VALUE!</v>
      </c>
      <c r="GR231" t="e">
        <f>AND('GA55 Entry'!Y929,"AAAAAHV/98c=")</f>
        <v>#VALUE!</v>
      </c>
      <c r="GS231" t="e">
        <f>AND('GA55 Entry'!#REF!,"AAAAAHV/98g=")</f>
        <v>#REF!</v>
      </c>
      <c r="GT231" t="e">
        <f>AND('GA55 Entry'!#REF!,"AAAAAHV/98k=")</f>
        <v>#REF!</v>
      </c>
      <c r="GU231" t="e">
        <f>AND('GA55 Entry'!#REF!,"AAAAAHV/98o=")</f>
        <v>#REF!</v>
      </c>
      <c r="GV231" t="e">
        <f>AND('GA55 Entry'!#REF!,"AAAAAHV/98s=")</f>
        <v>#REF!</v>
      </c>
      <c r="GW231" t="e">
        <f>AND('GA55 Entry'!#REF!,"AAAAAHV/98w=")</f>
        <v>#REF!</v>
      </c>
      <c r="GX231" t="e">
        <f>AND('GA55 Entry'!#REF!,"AAAAAHV/980=")</f>
        <v>#REF!</v>
      </c>
      <c r="GY231" t="e">
        <f>AND('GA55 Entry'!#REF!,"AAAAAHV/984=")</f>
        <v>#REF!</v>
      </c>
      <c r="GZ231" t="e">
        <f>AND('GA55 Entry'!#REF!,"AAAAAHV/988=")</f>
        <v>#REF!</v>
      </c>
      <c r="HA231" t="e">
        <f>AND('GA55 Entry'!#REF!,"AAAAAHV/99A=")</f>
        <v>#REF!</v>
      </c>
      <c r="HB231" t="e">
        <f>AND('GA55 Entry'!Z929,"AAAAAHV/99E=")</f>
        <v>#VALUE!</v>
      </c>
      <c r="HC231" t="e">
        <f>AND('GA55 Entry'!AA929,"AAAAAHV/99I=")</f>
        <v>#VALUE!</v>
      </c>
      <c r="HD231" t="e">
        <f>AND('GA55 Entry'!#REF!,"AAAAAHV/99M=")</f>
        <v>#REF!</v>
      </c>
      <c r="HE231" t="e">
        <f>AND('GA55 Entry'!#REF!,"AAAAAHV/99Q=")</f>
        <v>#REF!</v>
      </c>
      <c r="HF231" t="e">
        <f>AND('GA55 Entry'!#REF!,"AAAAAHV/99U=")</f>
        <v>#REF!</v>
      </c>
      <c r="HG231" t="e">
        <f>AND('GA55 Entry'!AB929,"AAAAAHV/99Y=")</f>
        <v>#VALUE!</v>
      </c>
      <c r="HH231" t="e">
        <f>AND('GA55 Entry'!AC929,"AAAAAHV/99c=")</f>
        <v>#VALUE!</v>
      </c>
      <c r="HI231" t="e">
        <f>AND('GA55 Entry'!#REF!,"AAAAAHV/99g=")</f>
        <v>#REF!</v>
      </c>
      <c r="HJ231">
        <f>IF('GA55 Entry'!930:930,"AAAAAHV/99k=",0)</f>
        <v>0</v>
      </c>
      <c r="HK231" t="e">
        <f>AND('GA55 Entry'!B930,"AAAAAHV/99o=")</f>
        <v>#VALUE!</v>
      </c>
      <c r="HL231" t="e">
        <f>AND('GA55 Entry'!#REF!,"AAAAAHV/99s=")</f>
        <v>#REF!</v>
      </c>
      <c r="HM231" t="e">
        <f>AND('GA55 Entry'!C930,"AAAAAHV/99w=")</f>
        <v>#VALUE!</v>
      </c>
      <c r="HN231" t="e">
        <f>AND('GA55 Entry'!#REF!,"AAAAAHV/990=")</f>
        <v>#REF!</v>
      </c>
      <c r="HO231" t="e">
        <f>AND('GA55 Entry'!#REF!,"AAAAAHV/994=")</f>
        <v>#REF!</v>
      </c>
      <c r="HP231" t="e">
        <f>AND('GA55 Entry'!#REF!,"AAAAAHV/998=")</f>
        <v>#REF!</v>
      </c>
      <c r="HQ231" t="e">
        <f>AND('GA55 Entry'!#REF!,"AAAAAHV/9+A=")</f>
        <v>#REF!</v>
      </c>
      <c r="HR231" t="e">
        <f>AND('GA55 Entry'!#REF!,"AAAAAHV/9+E=")</f>
        <v>#REF!</v>
      </c>
      <c r="HS231" t="e">
        <f>AND('GA55 Entry'!D930,"AAAAAHV/9+I=")</f>
        <v>#VALUE!</v>
      </c>
      <c r="HT231" t="e">
        <f>AND('GA55 Entry'!#REF!,"AAAAAHV/9+M=")</f>
        <v>#REF!</v>
      </c>
      <c r="HU231" t="e">
        <f>AND('GA55 Entry'!E930,"AAAAAHV/9+Q=")</f>
        <v>#VALUE!</v>
      </c>
      <c r="HV231" t="e">
        <f>AND('GA55 Entry'!F930,"AAAAAHV/9+U=")</f>
        <v>#VALUE!</v>
      </c>
      <c r="HW231" t="e">
        <f>AND('GA55 Entry'!G930,"AAAAAHV/9+Y=")</f>
        <v>#VALUE!</v>
      </c>
      <c r="HX231" t="e">
        <f>AND('GA55 Entry'!H930,"AAAAAHV/9+c=")</f>
        <v>#VALUE!</v>
      </c>
      <c r="HY231" t="e">
        <f>AND('GA55 Entry'!I930,"AAAAAHV/9+g=")</f>
        <v>#VALUE!</v>
      </c>
      <c r="HZ231" t="e">
        <f>AND('GA55 Entry'!J930,"AAAAAHV/9+k=")</f>
        <v>#VALUE!</v>
      </c>
      <c r="IA231" t="e">
        <f>AND('GA55 Entry'!#REF!,"AAAAAHV/9+o=")</f>
        <v>#REF!</v>
      </c>
      <c r="IB231" t="e">
        <f>AND('GA55 Entry'!K930,"AAAAAHV/9+s=")</f>
        <v>#VALUE!</v>
      </c>
      <c r="IC231" t="e">
        <f>AND('GA55 Entry'!L930,"AAAAAHV/9+w=")</f>
        <v>#VALUE!</v>
      </c>
      <c r="ID231" t="e">
        <f>AND('GA55 Entry'!M930,"AAAAAHV/9+0=")</f>
        <v>#VALUE!</v>
      </c>
      <c r="IE231" t="e">
        <f>AND('GA55 Entry'!N930,"AAAAAHV/9+4=")</f>
        <v>#VALUE!</v>
      </c>
      <c r="IF231" t="e">
        <f>AND('GA55 Entry'!O930,"AAAAAHV/9+8=")</f>
        <v>#VALUE!</v>
      </c>
      <c r="IG231" t="e">
        <f>AND('GA55 Entry'!P930,"AAAAAHV/9/A=")</f>
        <v>#VALUE!</v>
      </c>
      <c r="IH231" t="e">
        <f>AND('GA55 Entry'!Q930,"AAAAAHV/9/E=")</f>
        <v>#VALUE!</v>
      </c>
      <c r="II231" t="e">
        <f>AND('GA55 Entry'!S930,"AAAAAHV/9/I=")</f>
        <v>#VALUE!</v>
      </c>
      <c r="IJ231" t="e">
        <f>AND('GA55 Entry'!#REF!,"AAAAAHV/9/M=")</f>
        <v>#REF!</v>
      </c>
      <c r="IK231" t="e">
        <f>AND('GA55 Entry'!T930,"AAAAAHV/9/Q=")</f>
        <v>#VALUE!</v>
      </c>
      <c r="IL231" t="e">
        <f>AND('GA55 Entry'!U930,"AAAAAHV/9/U=")</f>
        <v>#VALUE!</v>
      </c>
      <c r="IM231" t="e">
        <f>AND('GA55 Entry'!V930,"AAAAAHV/9/Y=")</f>
        <v>#VALUE!</v>
      </c>
      <c r="IN231" t="e">
        <f>AND('GA55 Entry'!#REF!,"AAAAAHV/9/c=")</f>
        <v>#REF!</v>
      </c>
      <c r="IO231" t="e">
        <f>AND('GA55 Entry'!#REF!,"AAAAAHV/9/g=")</f>
        <v>#REF!</v>
      </c>
      <c r="IP231" t="e">
        <f>AND('GA55 Entry'!X930,"AAAAAHV/9/k=")</f>
        <v>#VALUE!</v>
      </c>
      <c r="IQ231" t="e">
        <f>AND('GA55 Entry'!Y930,"AAAAAHV/9/o=")</f>
        <v>#VALUE!</v>
      </c>
      <c r="IR231" t="e">
        <f>AND('GA55 Entry'!#REF!,"AAAAAHV/9/s=")</f>
        <v>#REF!</v>
      </c>
      <c r="IS231" t="e">
        <f>AND('GA55 Entry'!#REF!,"AAAAAHV/9/w=")</f>
        <v>#REF!</v>
      </c>
      <c r="IT231" t="e">
        <f>AND('GA55 Entry'!#REF!,"AAAAAHV/9/0=")</f>
        <v>#REF!</v>
      </c>
      <c r="IU231" t="e">
        <f>AND('GA55 Entry'!#REF!,"AAAAAHV/9/4=")</f>
        <v>#REF!</v>
      </c>
      <c r="IV231" t="e">
        <f>AND('GA55 Entry'!#REF!,"AAAAAHV/9/8=")</f>
        <v>#REF!</v>
      </c>
    </row>
    <row r="232" spans="1:256">
      <c r="A232" t="e">
        <f>AND('GA55 Entry'!#REF!,"AAAAAH0X/AA=")</f>
        <v>#REF!</v>
      </c>
      <c r="B232" t="e">
        <f>AND('GA55 Entry'!#REF!,"AAAAAH0X/AE=")</f>
        <v>#REF!</v>
      </c>
      <c r="C232" t="e">
        <f>AND('GA55 Entry'!#REF!,"AAAAAH0X/AI=")</f>
        <v>#REF!</v>
      </c>
      <c r="D232" t="e">
        <f>AND('GA55 Entry'!#REF!,"AAAAAH0X/AM=")</f>
        <v>#REF!</v>
      </c>
      <c r="E232" t="e">
        <f>AND('GA55 Entry'!Z930,"AAAAAH0X/AQ=")</f>
        <v>#VALUE!</v>
      </c>
      <c r="F232" t="e">
        <f>AND('GA55 Entry'!AA930,"AAAAAH0X/AU=")</f>
        <v>#VALUE!</v>
      </c>
      <c r="G232" t="e">
        <f>AND('GA55 Entry'!#REF!,"AAAAAH0X/AY=")</f>
        <v>#REF!</v>
      </c>
      <c r="H232" t="e">
        <f>AND('GA55 Entry'!#REF!,"AAAAAH0X/Ac=")</f>
        <v>#REF!</v>
      </c>
      <c r="I232" t="e">
        <f>AND('GA55 Entry'!#REF!,"AAAAAH0X/Ag=")</f>
        <v>#REF!</v>
      </c>
      <c r="J232" t="e">
        <f>AND('GA55 Entry'!AB930,"AAAAAH0X/Ak=")</f>
        <v>#VALUE!</v>
      </c>
      <c r="K232" t="e">
        <f>AND('GA55 Entry'!AC930,"AAAAAH0X/Ao=")</f>
        <v>#VALUE!</v>
      </c>
      <c r="L232" t="e">
        <f>AND('GA55 Entry'!#REF!,"AAAAAH0X/As=")</f>
        <v>#REF!</v>
      </c>
      <c r="M232">
        <f>IF('GA55 Entry'!931:931,"AAAAAH0X/Aw=",0)</f>
        <v>0</v>
      </c>
      <c r="N232" t="e">
        <f>AND('GA55 Entry'!B931,"AAAAAH0X/A0=")</f>
        <v>#VALUE!</v>
      </c>
      <c r="O232" t="e">
        <f>AND('GA55 Entry'!#REF!,"AAAAAH0X/A4=")</f>
        <v>#REF!</v>
      </c>
      <c r="P232" t="e">
        <f>AND('GA55 Entry'!C931,"AAAAAH0X/A8=")</f>
        <v>#VALUE!</v>
      </c>
      <c r="Q232" t="e">
        <f>AND('GA55 Entry'!#REF!,"AAAAAH0X/BA=")</f>
        <v>#REF!</v>
      </c>
      <c r="R232" t="e">
        <f>AND('GA55 Entry'!#REF!,"AAAAAH0X/BE=")</f>
        <v>#REF!</v>
      </c>
      <c r="S232" t="e">
        <f>AND('GA55 Entry'!#REF!,"AAAAAH0X/BI=")</f>
        <v>#REF!</v>
      </c>
      <c r="T232" t="e">
        <f>AND('GA55 Entry'!#REF!,"AAAAAH0X/BM=")</f>
        <v>#REF!</v>
      </c>
      <c r="U232" t="e">
        <f>AND('GA55 Entry'!#REF!,"AAAAAH0X/BQ=")</f>
        <v>#REF!</v>
      </c>
      <c r="V232" t="e">
        <f>AND('GA55 Entry'!D931,"AAAAAH0X/BU=")</f>
        <v>#VALUE!</v>
      </c>
      <c r="W232" t="e">
        <f>AND('GA55 Entry'!#REF!,"AAAAAH0X/BY=")</f>
        <v>#REF!</v>
      </c>
      <c r="X232" t="e">
        <f>AND('GA55 Entry'!E931,"AAAAAH0X/Bc=")</f>
        <v>#VALUE!</v>
      </c>
      <c r="Y232" t="e">
        <f>AND('GA55 Entry'!F931,"AAAAAH0X/Bg=")</f>
        <v>#VALUE!</v>
      </c>
      <c r="Z232" t="e">
        <f>AND('GA55 Entry'!G931,"AAAAAH0X/Bk=")</f>
        <v>#VALUE!</v>
      </c>
      <c r="AA232" t="e">
        <f>AND('GA55 Entry'!H931,"AAAAAH0X/Bo=")</f>
        <v>#VALUE!</v>
      </c>
      <c r="AB232" t="e">
        <f>AND('GA55 Entry'!I931,"AAAAAH0X/Bs=")</f>
        <v>#VALUE!</v>
      </c>
      <c r="AC232" t="e">
        <f>AND('GA55 Entry'!J931,"AAAAAH0X/Bw=")</f>
        <v>#VALUE!</v>
      </c>
      <c r="AD232" t="e">
        <f>AND('GA55 Entry'!#REF!,"AAAAAH0X/B0=")</f>
        <v>#REF!</v>
      </c>
      <c r="AE232" t="e">
        <f>AND('GA55 Entry'!K931,"AAAAAH0X/B4=")</f>
        <v>#VALUE!</v>
      </c>
      <c r="AF232" t="e">
        <f>AND('GA55 Entry'!L931,"AAAAAH0X/B8=")</f>
        <v>#VALUE!</v>
      </c>
      <c r="AG232" t="e">
        <f>AND('GA55 Entry'!M931,"AAAAAH0X/CA=")</f>
        <v>#VALUE!</v>
      </c>
      <c r="AH232" t="e">
        <f>AND('GA55 Entry'!N931,"AAAAAH0X/CE=")</f>
        <v>#VALUE!</v>
      </c>
      <c r="AI232" t="e">
        <f>AND('GA55 Entry'!O931,"AAAAAH0X/CI=")</f>
        <v>#VALUE!</v>
      </c>
      <c r="AJ232" t="e">
        <f>AND('GA55 Entry'!P931,"AAAAAH0X/CM=")</f>
        <v>#VALUE!</v>
      </c>
      <c r="AK232" t="e">
        <f>AND('GA55 Entry'!Q931,"AAAAAH0X/CQ=")</f>
        <v>#VALUE!</v>
      </c>
      <c r="AL232" t="e">
        <f>AND('GA55 Entry'!S931,"AAAAAH0X/CU=")</f>
        <v>#VALUE!</v>
      </c>
      <c r="AM232" t="e">
        <f>AND('GA55 Entry'!#REF!,"AAAAAH0X/CY=")</f>
        <v>#REF!</v>
      </c>
      <c r="AN232" t="e">
        <f>AND('GA55 Entry'!T931,"AAAAAH0X/Cc=")</f>
        <v>#VALUE!</v>
      </c>
      <c r="AO232" t="e">
        <f>AND('GA55 Entry'!U931,"AAAAAH0X/Cg=")</f>
        <v>#VALUE!</v>
      </c>
      <c r="AP232" t="e">
        <f>AND('GA55 Entry'!V931,"AAAAAH0X/Ck=")</f>
        <v>#VALUE!</v>
      </c>
      <c r="AQ232" t="e">
        <f>AND('GA55 Entry'!#REF!,"AAAAAH0X/Co=")</f>
        <v>#REF!</v>
      </c>
      <c r="AR232" t="e">
        <f>AND('GA55 Entry'!#REF!,"AAAAAH0X/Cs=")</f>
        <v>#REF!</v>
      </c>
      <c r="AS232" t="e">
        <f>AND('GA55 Entry'!X931,"AAAAAH0X/Cw=")</f>
        <v>#VALUE!</v>
      </c>
      <c r="AT232" t="e">
        <f>AND('GA55 Entry'!Y931,"AAAAAH0X/C0=")</f>
        <v>#VALUE!</v>
      </c>
      <c r="AU232" t="e">
        <f>AND('GA55 Entry'!#REF!,"AAAAAH0X/C4=")</f>
        <v>#REF!</v>
      </c>
      <c r="AV232" t="e">
        <f>AND('GA55 Entry'!#REF!,"AAAAAH0X/C8=")</f>
        <v>#REF!</v>
      </c>
      <c r="AW232" t="e">
        <f>AND('GA55 Entry'!#REF!,"AAAAAH0X/DA=")</f>
        <v>#REF!</v>
      </c>
      <c r="AX232" t="e">
        <f>AND('GA55 Entry'!#REF!,"AAAAAH0X/DE=")</f>
        <v>#REF!</v>
      </c>
      <c r="AY232" t="e">
        <f>AND('GA55 Entry'!#REF!,"AAAAAH0X/DI=")</f>
        <v>#REF!</v>
      </c>
      <c r="AZ232" t="e">
        <f>AND('GA55 Entry'!#REF!,"AAAAAH0X/DM=")</f>
        <v>#REF!</v>
      </c>
      <c r="BA232" t="e">
        <f>AND('GA55 Entry'!#REF!,"AAAAAH0X/DQ=")</f>
        <v>#REF!</v>
      </c>
      <c r="BB232" t="e">
        <f>AND('GA55 Entry'!#REF!,"AAAAAH0X/DU=")</f>
        <v>#REF!</v>
      </c>
      <c r="BC232" t="e">
        <f>AND('GA55 Entry'!#REF!,"AAAAAH0X/DY=")</f>
        <v>#REF!</v>
      </c>
      <c r="BD232" t="e">
        <f>AND('GA55 Entry'!Z931,"AAAAAH0X/Dc=")</f>
        <v>#VALUE!</v>
      </c>
      <c r="BE232" t="e">
        <f>AND('GA55 Entry'!AA931,"AAAAAH0X/Dg=")</f>
        <v>#VALUE!</v>
      </c>
      <c r="BF232" t="e">
        <f>AND('GA55 Entry'!#REF!,"AAAAAH0X/Dk=")</f>
        <v>#REF!</v>
      </c>
      <c r="BG232" t="e">
        <f>AND('GA55 Entry'!#REF!,"AAAAAH0X/Do=")</f>
        <v>#REF!</v>
      </c>
      <c r="BH232" t="e">
        <f>AND('GA55 Entry'!#REF!,"AAAAAH0X/Ds=")</f>
        <v>#REF!</v>
      </c>
      <c r="BI232" t="e">
        <f>AND('GA55 Entry'!AB931,"AAAAAH0X/Dw=")</f>
        <v>#VALUE!</v>
      </c>
      <c r="BJ232" t="e">
        <f>AND('GA55 Entry'!AC931,"AAAAAH0X/D0=")</f>
        <v>#VALUE!</v>
      </c>
      <c r="BK232" t="e">
        <f>AND('GA55 Entry'!#REF!,"AAAAAH0X/D4=")</f>
        <v>#REF!</v>
      </c>
      <c r="BL232">
        <f>IF('GA55 Entry'!932:932,"AAAAAH0X/D8=",0)</f>
        <v>0</v>
      </c>
      <c r="BM232" t="e">
        <f>AND('GA55 Entry'!B932,"AAAAAH0X/EA=")</f>
        <v>#VALUE!</v>
      </c>
      <c r="BN232" t="e">
        <f>AND('GA55 Entry'!#REF!,"AAAAAH0X/EE=")</f>
        <v>#REF!</v>
      </c>
      <c r="BO232" t="e">
        <f>AND('GA55 Entry'!C932,"AAAAAH0X/EI=")</f>
        <v>#VALUE!</v>
      </c>
      <c r="BP232" t="e">
        <f>AND('GA55 Entry'!#REF!,"AAAAAH0X/EM=")</f>
        <v>#REF!</v>
      </c>
      <c r="BQ232" t="e">
        <f>AND('GA55 Entry'!#REF!,"AAAAAH0X/EQ=")</f>
        <v>#REF!</v>
      </c>
      <c r="BR232" t="e">
        <f>AND('GA55 Entry'!#REF!,"AAAAAH0X/EU=")</f>
        <v>#REF!</v>
      </c>
      <c r="BS232" t="e">
        <f>AND('GA55 Entry'!#REF!,"AAAAAH0X/EY=")</f>
        <v>#REF!</v>
      </c>
      <c r="BT232" t="e">
        <f>AND('GA55 Entry'!#REF!,"AAAAAH0X/Ec=")</f>
        <v>#REF!</v>
      </c>
      <c r="BU232" t="e">
        <f>AND('GA55 Entry'!D932,"AAAAAH0X/Eg=")</f>
        <v>#VALUE!</v>
      </c>
      <c r="BV232" t="e">
        <f>AND('GA55 Entry'!#REF!,"AAAAAH0X/Ek=")</f>
        <v>#REF!</v>
      </c>
      <c r="BW232" t="e">
        <f>AND('GA55 Entry'!E932,"AAAAAH0X/Eo=")</f>
        <v>#VALUE!</v>
      </c>
      <c r="BX232" t="e">
        <f>AND('GA55 Entry'!F932,"AAAAAH0X/Es=")</f>
        <v>#VALUE!</v>
      </c>
      <c r="BY232" t="e">
        <f>AND('GA55 Entry'!G932,"AAAAAH0X/Ew=")</f>
        <v>#VALUE!</v>
      </c>
      <c r="BZ232" t="e">
        <f>AND('GA55 Entry'!H932,"AAAAAH0X/E0=")</f>
        <v>#VALUE!</v>
      </c>
      <c r="CA232" t="e">
        <f>AND('GA55 Entry'!I932,"AAAAAH0X/E4=")</f>
        <v>#VALUE!</v>
      </c>
      <c r="CB232" t="e">
        <f>AND('GA55 Entry'!J932,"AAAAAH0X/E8=")</f>
        <v>#VALUE!</v>
      </c>
      <c r="CC232" t="e">
        <f>AND('GA55 Entry'!#REF!,"AAAAAH0X/FA=")</f>
        <v>#REF!</v>
      </c>
      <c r="CD232" t="e">
        <f>AND('GA55 Entry'!K932,"AAAAAH0X/FE=")</f>
        <v>#VALUE!</v>
      </c>
      <c r="CE232" t="e">
        <f>AND('GA55 Entry'!L932,"AAAAAH0X/FI=")</f>
        <v>#VALUE!</v>
      </c>
      <c r="CF232" t="e">
        <f>AND('GA55 Entry'!M932,"AAAAAH0X/FM=")</f>
        <v>#VALUE!</v>
      </c>
      <c r="CG232" t="e">
        <f>AND('GA55 Entry'!N932,"AAAAAH0X/FQ=")</f>
        <v>#VALUE!</v>
      </c>
      <c r="CH232" t="e">
        <f>AND('GA55 Entry'!O932,"AAAAAH0X/FU=")</f>
        <v>#VALUE!</v>
      </c>
      <c r="CI232" t="e">
        <f>AND('GA55 Entry'!P932,"AAAAAH0X/FY=")</f>
        <v>#VALUE!</v>
      </c>
      <c r="CJ232" t="e">
        <f>AND('GA55 Entry'!Q932,"AAAAAH0X/Fc=")</f>
        <v>#VALUE!</v>
      </c>
      <c r="CK232" t="e">
        <f>AND('GA55 Entry'!S932,"AAAAAH0X/Fg=")</f>
        <v>#VALUE!</v>
      </c>
      <c r="CL232" t="e">
        <f>AND('GA55 Entry'!#REF!,"AAAAAH0X/Fk=")</f>
        <v>#REF!</v>
      </c>
      <c r="CM232" t="e">
        <f>AND('GA55 Entry'!T932,"AAAAAH0X/Fo=")</f>
        <v>#VALUE!</v>
      </c>
      <c r="CN232" t="e">
        <f>AND('GA55 Entry'!U932,"AAAAAH0X/Fs=")</f>
        <v>#VALUE!</v>
      </c>
      <c r="CO232" t="e">
        <f>AND('GA55 Entry'!V932,"AAAAAH0X/Fw=")</f>
        <v>#VALUE!</v>
      </c>
      <c r="CP232" t="e">
        <f>AND('GA55 Entry'!#REF!,"AAAAAH0X/F0=")</f>
        <v>#REF!</v>
      </c>
      <c r="CQ232" t="e">
        <f>AND('GA55 Entry'!#REF!,"AAAAAH0X/F4=")</f>
        <v>#REF!</v>
      </c>
      <c r="CR232" t="e">
        <f>AND('GA55 Entry'!X932,"AAAAAH0X/F8=")</f>
        <v>#VALUE!</v>
      </c>
      <c r="CS232" t="e">
        <f>AND('GA55 Entry'!Y932,"AAAAAH0X/GA=")</f>
        <v>#VALUE!</v>
      </c>
      <c r="CT232" t="e">
        <f>AND('GA55 Entry'!#REF!,"AAAAAH0X/GE=")</f>
        <v>#REF!</v>
      </c>
      <c r="CU232" t="e">
        <f>AND('GA55 Entry'!#REF!,"AAAAAH0X/GI=")</f>
        <v>#REF!</v>
      </c>
      <c r="CV232" t="e">
        <f>AND('GA55 Entry'!#REF!,"AAAAAH0X/GM=")</f>
        <v>#REF!</v>
      </c>
      <c r="CW232" t="e">
        <f>AND('GA55 Entry'!#REF!,"AAAAAH0X/GQ=")</f>
        <v>#REF!</v>
      </c>
      <c r="CX232" t="e">
        <f>AND('GA55 Entry'!#REF!,"AAAAAH0X/GU=")</f>
        <v>#REF!</v>
      </c>
      <c r="CY232" t="e">
        <f>AND('GA55 Entry'!#REF!,"AAAAAH0X/GY=")</f>
        <v>#REF!</v>
      </c>
      <c r="CZ232" t="e">
        <f>AND('GA55 Entry'!#REF!,"AAAAAH0X/Gc=")</f>
        <v>#REF!</v>
      </c>
      <c r="DA232" t="e">
        <f>AND('GA55 Entry'!#REF!,"AAAAAH0X/Gg=")</f>
        <v>#REF!</v>
      </c>
      <c r="DB232" t="e">
        <f>AND('GA55 Entry'!#REF!,"AAAAAH0X/Gk=")</f>
        <v>#REF!</v>
      </c>
      <c r="DC232" t="e">
        <f>AND('GA55 Entry'!Z932,"AAAAAH0X/Go=")</f>
        <v>#VALUE!</v>
      </c>
      <c r="DD232" t="e">
        <f>AND('GA55 Entry'!AA932,"AAAAAH0X/Gs=")</f>
        <v>#VALUE!</v>
      </c>
      <c r="DE232" t="e">
        <f>AND('GA55 Entry'!#REF!,"AAAAAH0X/Gw=")</f>
        <v>#REF!</v>
      </c>
      <c r="DF232" t="e">
        <f>AND('GA55 Entry'!#REF!,"AAAAAH0X/G0=")</f>
        <v>#REF!</v>
      </c>
      <c r="DG232" t="e">
        <f>AND('GA55 Entry'!#REF!,"AAAAAH0X/G4=")</f>
        <v>#REF!</v>
      </c>
      <c r="DH232" t="e">
        <f>AND('GA55 Entry'!AB932,"AAAAAH0X/G8=")</f>
        <v>#VALUE!</v>
      </c>
      <c r="DI232" t="e">
        <f>AND('GA55 Entry'!AC932,"AAAAAH0X/HA=")</f>
        <v>#VALUE!</v>
      </c>
      <c r="DJ232" t="e">
        <f>AND('GA55 Entry'!#REF!,"AAAAAH0X/HE=")</f>
        <v>#REF!</v>
      </c>
      <c r="DK232">
        <f>IF('GA55 Entry'!933:933,"AAAAAH0X/HI=",0)</f>
        <v>0</v>
      </c>
      <c r="DL232" t="e">
        <f>AND('GA55 Entry'!B933,"AAAAAH0X/HM=")</f>
        <v>#VALUE!</v>
      </c>
      <c r="DM232" t="e">
        <f>AND('GA55 Entry'!#REF!,"AAAAAH0X/HQ=")</f>
        <v>#REF!</v>
      </c>
      <c r="DN232" t="e">
        <f>AND('GA55 Entry'!C933,"AAAAAH0X/HU=")</f>
        <v>#VALUE!</v>
      </c>
      <c r="DO232" t="e">
        <f>AND('GA55 Entry'!#REF!,"AAAAAH0X/HY=")</f>
        <v>#REF!</v>
      </c>
      <c r="DP232" t="e">
        <f>AND('GA55 Entry'!#REF!,"AAAAAH0X/Hc=")</f>
        <v>#REF!</v>
      </c>
      <c r="DQ232" t="e">
        <f>AND('GA55 Entry'!#REF!,"AAAAAH0X/Hg=")</f>
        <v>#REF!</v>
      </c>
      <c r="DR232" t="e">
        <f>AND('GA55 Entry'!#REF!,"AAAAAH0X/Hk=")</f>
        <v>#REF!</v>
      </c>
      <c r="DS232" t="e">
        <f>AND('GA55 Entry'!#REF!,"AAAAAH0X/Ho=")</f>
        <v>#REF!</v>
      </c>
      <c r="DT232" t="e">
        <f>AND('GA55 Entry'!D933,"AAAAAH0X/Hs=")</f>
        <v>#VALUE!</v>
      </c>
      <c r="DU232" t="e">
        <f>AND('GA55 Entry'!#REF!,"AAAAAH0X/Hw=")</f>
        <v>#REF!</v>
      </c>
      <c r="DV232" t="e">
        <f>AND('GA55 Entry'!E933,"AAAAAH0X/H0=")</f>
        <v>#VALUE!</v>
      </c>
      <c r="DW232" t="e">
        <f>AND('GA55 Entry'!F933,"AAAAAH0X/H4=")</f>
        <v>#VALUE!</v>
      </c>
      <c r="DX232" t="e">
        <f>AND('GA55 Entry'!G933,"AAAAAH0X/H8=")</f>
        <v>#VALUE!</v>
      </c>
      <c r="DY232" t="e">
        <f>AND('GA55 Entry'!H933,"AAAAAH0X/IA=")</f>
        <v>#VALUE!</v>
      </c>
      <c r="DZ232" t="e">
        <f>AND('GA55 Entry'!I933,"AAAAAH0X/IE=")</f>
        <v>#VALUE!</v>
      </c>
      <c r="EA232" t="e">
        <f>AND('GA55 Entry'!J933,"AAAAAH0X/II=")</f>
        <v>#VALUE!</v>
      </c>
      <c r="EB232" t="e">
        <f>AND('GA55 Entry'!#REF!,"AAAAAH0X/IM=")</f>
        <v>#REF!</v>
      </c>
      <c r="EC232" t="e">
        <f>AND('GA55 Entry'!K933,"AAAAAH0X/IQ=")</f>
        <v>#VALUE!</v>
      </c>
      <c r="ED232" t="e">
        <f>AND('GA55 Entry'!L933,"AAAAAH0X/IU=")</f>
        <v>#VALUE!</v>
      </c>
      <c r="EE232" t="e">
        <f>AND('GA55 Entry'!M933,"AAAAAH0X/IY=")</f>
        <v>#VALUE!</v>
      </c>
      <c r="EF232" t="e">
        <f>AND('GA55 Entry'!N933,"AAAAAH0X/Ic=")</f>
        <v>#VALUE!</v>
      </c>
      <c r="EG232" t="e">
        <f>AND('GA55 Entry'!O933,"AAAAAH0X/Ig=")</f>
        <v>#VALUE!</v>
      </c>
      <c r="EH232" t="e">
        <f>AND('GA55 Entry'!P933,"AAAAAH0X/Ik=")</f>
        <v>#VALUE!</v>
      </c>
      <c r="EI232" t="e">
        <f>AND('GA55 Entry'!Q933,"AAAAAH0X/Io=")</f>
        <v>#VALUE!</v>
      </c>
      <c r="EJ232" t="e">
        <f>AND('GA55 Entry'!S933,"AAAAAH0X/Is=")</f>
        <v>#VALUE!</v>
      </c>
      <c r="EK232" t="e">
        <f>AND('GA55 Entry'!#REF!,"AAAAAH0X/Iw=")</f>
        <v>#REF!</v>
      </c>
      <c r="EL232" t="e">
        <f>AND('GA55 Entry'!T933,"AAAAAH0X/I0=")</f>
        <v>#VALUE!</v>
      </c>
      <c r="EM232" t="e">
        <f>AND('GA55 Entry'!U933,"AAAAAH0X/I4=")</f>
        <v>#VALUE!</v>
      </c>
      <c r="EN232" t="e">
        <f>AND('GA55 Entry'!V933,"AAAAAH0X/I8=")</f>
        <v>#VALUE!</v>
      </c>
      <c r="EO232" t="e">
        <f>AND('GA55 Entry'!#REF!,"AAAAAH0X/JA=")</f>
        <v>#REF!</v>
      </c>
      <c r="EP232" t="e">
        <f>AND('GA55 Entry'!#REF!,"AAAAAH0X/JE=")</f>
        <v>#REF!</v>
      </c>
      <c r="EQ232" t="e">
        <f>AND('GA55 Entry'!X933,"AAAAAH0X/JI=")</f>
        <v>#VALUE!</v>
      </c>
      <c r="ER232" t="e">
        <f>AND('GA55 Entry'!Y933,"AAAAAH0X/JM=")</f>
        <v>#VALUE!</v>
      </c>
      <c r="ES232" t="e">
        <f>AND('GA55 Entry'!#REF!,"AAAAAH0X/JQ=")</f>
        <v>#REF!</v>
      </c>
      <c r="ET232" t="e">
        <f>AND('GA55 Entry'!#REF!,"AAAAAH0X/JU=")</f>
        <v>#REF!</v>
      </c>
      <c r="EU232" t="e">
        <f>AND('GA55 Entry'!#REF!,"AAAAAH0X/JY=")</f>
        <v>#REF!</v>
      </c>
      <c r="EV232" t="e">
        <f>AND('GA55 Entry'!#REF!,"AAAAAH0X/Jc=")</f>
        <v>#REF!</v>
      </c>
      <c r="EW232" t="e">
        <f>AND('GA55 Entry'!#REF!,"AAAAAH0X/Jg=")</f>
        <v>#REF!</v>
      </c>
      <c r="EX232" t="e">
        <f>AND('GA55 Entry'!#REF!,"AAAAAH0X/Jk=")</f>
        <v>#REF!</v>
      </c>
      <c r="EY232" t="e">
        <f>AND('GA55 Entry'!#REF!,"AAAAAH0X/Jo=")</f>
        <v>#REF!</v>
      </c>
      <c r="EZ232" t="e">
        <f>AND('GA55 Entry'!#REF!,"AAAAAH0X/Js=")</f>
        <v>#REF!</v>
      </c>
      <c r="FA232" t="e">
        <f>AND('GA55 Entry'!#REF!,"AAAAAH0X/Jw=")</f>
        <v>#REF!</v>
      </c>
      <c r="FB232" t="e">
        <f>AND('GA55 Entry'!Z933,"AAAAAH0X/J0=")</f>
        <v>#VALUE!</v>
      </c>
      <c r="FC232" t="e">
        <f>AND('GA55 Entry'!AA933,"AAAAAH0X/J4=")</f>
        <v>#VALUE!</v>
      </c>
      <c r="FD232" t="e">
        <f>AND('GA55 Entry'!#REF!,"AAAAAH0X/J8=")</f>
        <v>#REF!</v>
      </c>
      <c r="FE232" t="e">
        <f>AND('GA55 Entry'!#REF!,"AAAAAH0X/KA=")</f>
        <v>#REF!</v>
      </c>
      <c r="FF232" t="e">
        <f>AND('GA55 Entry'!#REF!,"AAAAAH0X/KE=")</f>
        <v>#REF!</v>
      </c>
      <c r="FG232" t="e">
        <f>AND('GA55 Entry'!AB933,"AAAAAH0X/KI=")</f>
        <v>#VALUE!</v>
      </c>
      <c r="FH232" t="e">
        <f>AND('GA55 Entry'!AC933,"AAAAAH0X/KM=")</f>
        <v>#VALUE!</v>
      </c>
      <c r="FI232" t="e">
        <f>AND('GA55 Entry'!#REF!,"AAAAAH0X/KQ=")</f>
        <v>#REF!</v>
      </c>
      <c r="FJ232">
        <f>IF('GA55 Entry'!934:934,"AAAAAH0X/KU=",0)</f>
        <v>0</v>
      </c>
      <c r="FK232" t="e">
        <f>AND('GA55 Entry'!B934,"AAAAAH0X/KY=")</f>
        <v>#VALUE!</v>
      </c>
      <c r="FL232" t="e">
        <f>AND('GA55 Entry'!#REF!,"AAAAAH0X/Kc=")</f>
        <v>#REF!</v>
      </c>
      <c r="FM232" t="e">
        <f>AND('GA55 Entry'!C934,"AAAAAH0X/Kg=")</f>
        <v>#VALUE!</v>
      </c>
      <c r="FN232" t="e">
        <f>AND('GA55 Entry'!#REF!,"AAAAAH0X/Kk=")</f>
        <v>#REF!</v>
      </c>
      <c r="FO232" t="e">
        <f>AND('GA55 Entry'!#REF!,"AAAAAH0X/Ko=")</f>
        <v>#REF!</v>
      </c>
      <c r="FP232" t="e">
        <f>AND('GA55 Entry'!#REF!,"AAAAAH0X/Ks=")</f>
        <v>#REF!</v>
      </c>
      <c r="FQ232" t="e">
        <f>AND('GA55 Entry'!#REF!,"AAAAAH0X/Kw=")</f>
        <v>#REF!</v>
      </c>
      <c r="FR232" t="e">
        <f>AND('GA55 Entry'!#REF!,"AAAAAH0X/K0=")</f>
        <v>#REF!</v>
      </c>
      <c r="FS232" t="e">
        <f>AND('GA55 Entry'!D934,"AAAAAH0X/K4=")</f>
        <v>#VALUE!</v>
      </c>
      <c r="FT232" t="e">
        <f>AND('GA55 Entry'!#REF!,"AAAAAH0X/K8=")</f>
        <v>#REF!</v>
      </c>
      <c r="FU232" t="e">
        <f>AND('GA55 Entry'!E934,"AAAAAH0X/LA=")</f>
        <v>#VALUE!</v>
      </c>
      <c r="FV232" t="e">
        <f>AND('GA55 Entry'!F934,"AAAAAH0X/LE=")</f>
        <v>#VALUE!</v>
      </c>
      <c r="FW232" t="e">
        <f>AND('GA55 Entry'!G934,"AAAAAH0X/LI=")</f>
        <v>#VALUE!</v>
      </c>
      <c r="FX232" t="e">
        <f>AND('GA55 Entry'!H934,"AAAAAH0X/LM=")</f>
        <v>#VALUE!</v>
      </c>
      <c r="FY232" t="e">
        <f>AND('GA55 Entry'!I934,"AAAAAH0X/LQ=")</f>
        <v>#VALUE!</v>
      </c>
      <c r="FZ232" t="e">
        <f>AND('GA55 Entry'!J934,"AAAAAH0X/LU=")</f>
        <v>#VALUE!</v>
      </c>
      <c r="GA232" t="e">
        <f>AND('GA55 Entry'!#REF!,"AAAAAH0X/LY=")</f>
        <v>#REF!</v>
      </c>
      <c r="GB232" t="e">
        <f>AND('GA55 Entry'!K934,"AAAAAH0X/Lc=")</f>
        <v>#VALUE!</v>
      </c>
      <c r="GC232" t="e">
        <f>AND('GA55 Entry'!L934,"AAAAAH0X/Lg=")</f>
        <v>#VALUE!</v>
      </c>
      <c r="GD232" t="e">
        <f>AND('GA55 Entry'!M934,"AAAAAH0X/Lk=")</f>
        <v>#VALUE!</v>
      </c>
      <c r="GE232" t="e">
        <f>AND('GA55 Entry'!N934,"AAAAAH0X/Lo=")</f>
        <v>#VALUE!</v>
      </c>
      <c r="GF232" t="e">
        <f>AND('GA55 Entry'!O934,"AAAAAH0X/Ls=")</f>
        <v>#VALUE!</v>
      </c>
      <c r="GG232" t="e">
        <f>AND('GA55 Entry'!P934,"AAAAAH0X/Lw=")</f>
        <v>#VALUE!</v>
      </c>
      <c r="GH232" t="e">
        <f>AND('GA55 Entry'!Q934,"AAAAAH0X/L0=")</f>
        <v>#VALUE!</v>
      </c>
      <c r="GI232" t="e">
        <f>AND('GA55 Entry'!S934,"AAAAAH0X/L4=")</f>
        <v>#VALUE!</v>
      </c>
      <c r="GJ232" t="e">
        <f>AND('GA55 Entry'!#REF!,"AAAAAH0X/L8=")</f>
        <v>#REF!</v>
      </c>
      <c r="GK232" t="e">
        <f>AND('GA55 Entry'!T934,"AAAAAH0X/MA=")</f>
        <v>#VALUE!</v>
      </c>
      <c r="GL232" t="e">
        <f>AND('GA55 Entry'!U934,"AAAAAH0X/ME=")</f>
        <v>#VALUE!</v>
      </c>
      <c r="GM232" t="e">
        <f>AND('GA55 Entry'!V934,"AAAAAH0X/MI=")</f>
        <v>#VALUE!</v>
      </c>
      <c r="GN232" t="e">
        <f>AND('GA55 Entry'!#REF!,"AAAAAH0X/MM=")</f>
        <v>#REF!</v>
      </c>
      <c r="GO232" t="e">
        <f>AND('GA55 Entry'!#REF!,"AAAAAH0X/MQ=")</f>
        <v>#REF!</v>
      </c>
      <c r="GP232" t="e">
        <f>AND('GA55 Entry'!X934,"AAAAAH0X/MU=")</f>
        <v>#VALUE!</v>
      </c>
      <c r="GQ232" t="e">
        <f>AND('GA55 Entry'!Y934,"AAAAAH0X/MY=")</f>
        <v>#VALUE!</v>
      </c>
      <c r="GR232" t="e">
        <f>AND('GA55 Entry'!#REF!,"AAAAAH0X/Mc=")</f>
        <v>#REF!</v>
      </c>
      <c r="GS232" t="e">
        <f>AND('GA55 Entry'!#REF!,"AAAAAH0X/Mg=")</f>
        <v>#REF!</v>
      </c>
      <c r="GT232" t="e">
        <f>AND('GA55 Entry'!#REF!,"AAAAAH0X/Mk=")</f>
        <v>#REF!</v>
      </c>
      <c r="GU232" t="e">
        <f>AND('GA55 Entry'!#REF!,"AAAAAH0X/Mo=")</f>
        <v>#REF!</v>
      </c>
      <c r="GV232" t="e">
        <f>AND('GA55 Entry'!#REF!,"AAAAAH0X/Ms=")</f>
        <v>#REF!</v>
      </c>
      <c r="GW232" t="e">
        <f>AND('GA55 Entry'!#REF!,"AAAAAH0X/Mw=")</f>
        <v>#REF!</v>
      </c>
      <c r="GX232" t="e">
        <f>AND('GA55 Entry'!#REF!,"AAAAAH0X/M0=")</f>
        <v>#REF!</v>
      </c>
      <c r="GY232" t="e">
        <f>AND('GA55 Entry'!#REF!,"AAAAAH0X/M4=")</f>
        <v>#REF!</v>
      </c>
      <c r="GZ232" t="e">
        <f>AND('GA55 Entry'!#REF!,"AAAAAH0X/M8=")</f>
        <v>#REF!</v>
      </c>
      <c r="HA232" t="e">
        <f>AND('GA55 Entry'!Z934,"AAAAAH0X/NA=")</f>
        <v>#VALUE!</v>
      </c>
      <c r="HB232" t="e">
        <f>AND('GA55 Entry'!AA934,"AAAAAH0X/NE=")</f>
        <v>#VALUE!</v>
      </c>
      <c r="HC232" t="e">
        <f>AND('GA55 Entry'!#REF!,"AAAAAH0X/NI=")</f>
        <v>#REF!</v>
      </c>
      <c r="HD232" t="e">
        <f>AND('GA55 Entry'!#REF!,"AAAAAH0X/NM=")</f>
        <v>#REF!</v>
      </c>
      <c r="HE232" t="e">
        <f>AND('GA55 Entry'!#REF!,"AAAAAH0X/NQ=")</f>
        <v>#REF!</v>
      </c>
      <c r="HF232" t="e">
        <f>AND('GA55 Entry'!AB934,"AAAAAH0X/NU=")</f>
        <v>#VALUE!</v>
      </c>
      <c r="HG232" t="e">
        <f>AND('GA55 Entry'!AC934,"AAAAAH0X/NY=")</f>
        <v>#VALUE!</v>
      </c>
      <c r="HH232" t="e">
        <f>AND('GA55 Entry'!#REF!,"AAAAAH0X/Nc=")</f>
        <v>#REF!</v>
      </c>
      <c r="HI232">
        <f>IF('GA55 Entry'!935:935,"AAAAAH0X/Ng=",0)</f>
        <v>0</v>
      </c>
      <c r="HJ232" t="e">
        <f>AND('GA55 Entry'!B935,"AAAAAH0X/Nk=")</f>
        <v>#VALUE!</v>
      </c>
      <c r="HK232" t="e">
        <f>AND('GA55 Entry'!#REF!,"AAAAAH0X/No=")</f>
        <v>#REF!</v>
      </c>
      <c r="HL232" t="e">
        <f>AND('GA55 Entry'!C935,"AAAAAH0X/Ns=")</f>
        <v>#VALUE!</v>
      </c>
      <c r="HM232" t="e">
        <f>AND('GA55 Entry'!#REF!,"AAAAAH0X/Nw=")</f>
        <v>#REF!</v>
      </c>
      <c r="HN232" t="e">
        <f>AND('GA55 Entry'!#REF!,"AAAAAH0X/N0=")</f>
        <v>#REF!</v>
      </c>
      <c r="HO232" t="e">
        <f>AND('GA55 Entry'!#REF!,"AAAAAH0X/N4=")</f>
        <v>#REF!</v>
      </c>
      <c r="HP232" t="e">
        <f>AND('GA55 Entry'!#REF!,"AAAAAH0X/N8=")</f>
        <v>#REF!</v>
      </c>
      <c r="HQ232" t="e">
        <f>AND('GA55 Entry'!#REF!,"AAAAAH0X/OA=")</f>
        <v>#REF!</v>
      </c>
      <c r="HR232" t="e">
        <f>AND('GA55 Entry'!D935,"AAAAAH0X/OE=")</f>
        <v>#VALUE!</v>
      </c>
      <c r="HS232" t="e">
        <f>AND('GA55 Entry'!#REF!,"AAAAAH0X/OI=")</f>
        <v>#REF!</v>
      </c>
      <c r="HT232" t="e">
        <f>AND('GA55 Entry'!E935,"AAAAAH0X/OM=")</f>
        <v>#VALUE!</v>
      </c>
      <c r="HU232" t="e">
        <f>AND('GA55 Entry'!F935,"AAAAAH0X/OQ=")</f>
        <v>#VALUE!</v>
      </c>
      <c r="HV232" t="e">
        <f>AND('GA55 Entry'!G935,"AAAAAH0X/OU=")</f>
        <v>#VALUE!</v>
      </c>
      <c r="HW232" t="e">
        <f>AND('GA55 Entry'!H935,"AAAAAH0X/OY=")</f>
        <v>#VALUE!</v>
      </c>
      <c r="HX232" t="e">
        <f>AND('GA55 Entry'!I935,"AAAAAH0X/Oc=")</f>
        <v>#VALUE!</v>
      </c>
      <c r="HY232" t="e">
        <f>AND('GA55 Entry'!J935,"AAAAAH0X/Og=")</f>
        <v>#VALUE!</v>
      </c>
      <c r="HZ232" t="e">
        <f>AND('GA55 Entry'!#REF!,"AAAAAH0X/Ok=")</f>
        <v>#REF!</v>
      </c>
      <c r="IA232" t="e">
        <f>AND('GA55 Entry'!K935,"AAAAAH0X/Oo=")</f>
        <v>#VALUE!</v>
      </c>
      <c r="IB232" t="e">
        <f>AND('GA55 Entry'!L935,"AAAAAH0X/Os=")</f>
        <v>#VALUE!</v>
      </c>
      <c r="IC232" t="e">
        <f>AND('GA55 Entry'!M935,"AAAAAH0X/Ow=")</f>
        <v>#VALUE!</v>
      </c>
      <c r="ID232" t="e">
        <f>AND('GA55 Entry'!N935,"AAAAAH0X/O0=")</f>
        <v>#VALUE!</v>
      </c>
      <c r="IE232" t="e">
        <f>AND('GA55 Entry'!O935,"AAAAAH0X/O4=")</f>
        <v>#VALUE!</v>
      </c>
      <c r="IF232" t="e">
        <f>AND('GA55 Entry'!P935,"AAAAAH0X/O8=")</f>
        <v>#VALUE!</v>
      </c>
      <c r="IG232" t="e">
        <f>AND('GA55 Entry'!Q935,"AAAAAH0X/PA=")</f>
        <v>#VALUE!</v>
      </c>
      <c r="IH232" t="e">
        <f>AND('GA55 Entry'!S935,"AAAAAH0X/PE=")</f>
        <v>#VALUE!</v>
      </c>
      <c r="II232" t="e">
        <f>AND('GA55 Entry'!#REF!,"AAAAAH0X/PI=")</f>
        <v>#REF!</v>
      </c>
      <c r="IJ232" t="e">
        <f>AND('GA55 Entry'!T935,"AAAAAH0X/PM=")</f>
        <v>#VALUE!</v>
      </c>
      <c r="IK232" t="e">
        <f>AND('GA55 Entry'!U935,"AAAAAH0X/PQ=")</f>
        <v>#VALUE!</v>
      </c>
      <c r="IL232" t="e">
        <f>AND('GA55 Entry'!V935,"AAAAAH0X/PU=")</f>
        <v>#VALUE!</v>
      </c>
      <c r="IM232" t="e">
        <f>AND('GA55 Entry'!#REF!,"AAAAAH0X/PY=")</f>
        <v>#REF!</v>
      </c>
      <c r="IN232" t="e">
        <f>AND('GA55 Entry'!#REF!,"AAAAAH0X/Pc=")</f>
        <v>#REF!</v>
      </c>
      <c r="IO232" t="e">
        <f>AND('GA55 Entry'!X935,"AAAAAH0X/Pg=")</f>
        <v>#VALUE!</v>
      </c>
      <c r="IP232" t="e">
        <f>AND('GA55 Entry'!Y935,"AAAAAH0X/Pk=")</f>
        <v>#VALUE!</v>
      </c>
      <c r="IQ232" t="e">
        <f>AND('GA55 Entry'!#REF!,"AAAAAH0X/Po=")</f>
        <v>#REF!</v>
      </c>
      <c r="IR232" t="e">
        <f>AND('GA55 Entry'!#REF!,"AAAAAH0X/Ps=")</f>
        <v>#REF!</v>
      </c>
      <c r="IS232" t="e">
        <f>AND('GA55 Entry'!#REF!,"AAAAAH0X/Pw=")</f>
        <v>#REF!</v>
      </c>
      <c r="IT232" t="e">
        <f>AND('GA55 Entry'!#REF!,"AAAAAH0X/P0=")</f>
        <v>#REF!</v>
      </c>
      <c r="IU232" t="e">
        <f>AND('GA55 Entry'!#REF!,"AAAAAH0X/P4=")</f>
        <v>#REF!</v>
      </c>
      <c r="IV232" t="e">
        <f>AND('GA55 Entry'!#REF!,"AAAAAH0X/P8=")</f>
        <v>#REF!</v>
      </c>
    </row>
    <row r="233" spans="1:256">
      <c r="A233" t="e">
        <f>AND('GA55 Entry'!#REF!,"AAAAAGf+fwA=")</f>
        <v>#REF!</v>
      </c>
      <c r="B233" t="e">
        <f>AND('GA55 Entry'!#REF!,"AAAAAGf+fwE=")</f>
        <v>#REF!</v>
      </c>
      <c r="C233" t="e">
        <f>AND('GA55 Entry'!#REF!,"AAAAAGf+fwI=")</f>
        <v>#REF!</v>
      </c>
      <c r="D233" t="e">
        <f>AND('GA55 Entry'!Z935,"AAAAAGf+fwM=")</f>
        <v>#VALUE!</v>
      </c>
      <c r="E233" t="e">
        <f>AND('GA55 Entry'!AA935,"AAAAAGf+fwQ=")</f>
        <v>#VALUE!</v>
      </c>
      <c r="F233" t="e">
        <f>AND('GA55 Entry'!#REF!,"AAAAAGf+fwU=")</f>
        <v>#REF!</v>
      </c>
      <c r="G233" t="e">
        <f>AND('GA55 Entry'!#REF!,"AAAAAGf+fwY=")</f>
        <v>#REF!</v>
      </c>
      <c r="H233" t="e">
        <f>AND('GA55 Entry'!#REF!,"AAAAAGf+fwc=")</f>
        <v>#REF!</v>
      </c>
      <c r="I233" t="e">
        <f>AND('GA55 Entry'!AB935,"AAAAAGf+fwg=")</f>
        <v>#VALUE!</v>
      </c>
      <c r="J233" t="e">
        <f>AND('GA55 Entry'!AC935,"AAAAAGf+fwk=")</f>
        <v>#VALUE!</v>
      </c>
      <c r="K233" t="e">
        <f>AND('GA55 Entry'!#REF!,"AAAAAGf+fwo=")</f>
        <v>#REF!</v>
      </c>
      <c r="L233">
        <f>IF('GA55 Entry'!936:936,"AAAAAGf+fws=",0)</f>
        <v>0</v>
      </c>
      <c r="M233" t="e">
        <f>AND('GA55 Entry'!B936,"AAAAAGf+fww=")</f>
        <v>#VALUE!</v>
      </c>
      <c r="N233" t="e">
        <f>AND('GA55 Entry'!#REF!,"AAAAAGf+fw0=")</f>
        <v>#REF!</v>
      </c>
      <c r="O233" t="e">
        <f>AND('GA55 Entry'!C936,"AAAAAGf+fw4=")</f>
        <v>#VALUE!</v>
      </c>
      <c r="P233" t="e">
        <f>AND('GA55 Entry'!#REF!,"AAAAAGf+fw8=")</f>
        <v>#REF!</v>
      </c>
      <c r="Q233" t="e">
        <f>AND('GA55 Entry'!#REF!,"AAAAAGf+fxA=")</f>
        <v>#REF!</v>
      </c>
      <c r="R233" t="e">
        <f>AND('GA55 Entry'!#REF!,"AAAAAGf+fxE=")</f>
        <v>#REF!</v>
      </c>
      <c r="S233" t="e">
        <f>AND('GA55 Entry'!#REF!,"AAAAAGf+fxI=")</f>
        <v>#REF!</v>
      </c>
      <c r="T233" t="e">
        <f>AND('GA55 Entry'!#REF!,"AAAAAGf+fxM=")</f>
        <v>#REF!</v>
      </c>
      <c r="U233" t="e">
        <f>AND('GA55 Entry'!D936,"AAAAAGf+fxQ=")</f>
        <v>#VALUE!</v>
      </c>
      <c r="V233" t="e">
        <f>AND('GA55 Entry'!#REF!,"AAAAAGf+fxU=")</f>
        <v>#REF!</v>
      </c>
      <c r="W233" t="e">
        <f>AND('GA55 Entry'!E936,"AAAAAGf+fxY=")</f>
        <v>#VALUE!</v>
      </c>
      <c r="X233" t="e">
        <f>AND('GA55 Entry'!F936,"AAAAAGf+fxc=")</f>
        <v>#VALUE!</v>
      </c>
      <c r="Y233" t="e">
        <f>AND('GA55 Entry'!G936,"AAAAAGf+fxg=")</f>
        <v>#VALUE!</v>
      </c>
      <c r="Z233" t="e">
        <f>AND('GA55 Entry'!H936,"AAAAAGf+fxk=")</f>
        <v>#VALUE!</v>
      </c>
      <c r="AA233" t="e">
        <f>AND('GA55 Entry'!I936,"AAAAAGf+fxo=")</f>
        <v>#VALUE!</v>
      </c>
      <c r="AB233" t="e">
        <f>AND('GA55 Entry'!J936,"AAAAAGf+fxs=")</f>
        <v>#VALUE!</v>
      </c>
      <c r="AC233" t="e">
        <f>AND('GA55 Entry'!#REF!,"AAAAAGf+fxw=")</f>
        <v>#REF!</v>
      </c>
      <c r="AD233" t="e">
        <f>AND('GA55 Entry'!K936,"AAAAAGf+fx0=")</f>
        <v>#VALUE!</v>
      </c>
      <c r="AE233" t="e">
        <f>AND('GA55 Entry'!L936,"AAAAAGf+fx4=")</f>
        <v>#VALUE!</v>
      </c>
      <c r="AF233" t="e">
        <f>AND('GA55 Entry'!M936,"AAAAAGf+fx8=")</f>
        <v>#VALUE!</v>
      </c>
      <c r="AG233" t="e">
        <f>AND('GA55 Entry'!N936,"AAAAAGf+fyA=")</f>
        <v>#VALUE!</v>
      </c>
      <c r="AH233" t="e">
        <f>AND('GA55 Entry'!O936,"AAAAAGf+fyE=")</f>
        <v>#VALUE!</v>
      </c>
      <c r="AI233" t="e">
        <f>AND('GA55 Entry'!P936,"AAAAAGf+fyI=")</f>
        <v>#VALUE!</v>
      </c>
      <c r="AJ233" t="e">
        <f>AND('GA55 Entry'!Q936,"AAAAAGf+fyM=")</f>
        <v>#VALUE!</v>
      </c>
      <c r="AK233" t="e">
        <f>AND('GA55 Entry'!S936,"AAAAAGf+fyQ=")</f>
        <v>#VALUE!</v>
      </c>
      <c r="AL233" t="e">
        <f>AND('GA55 Entry'!#REF!,"AAAAAGf+fyU=")</f>
        <v>#REF!</v>
      </c>
      <c r="AM233" t="e">
        <f>AND('GA55 Entry'!T936,"AAAAAGf+fyY=")</f>
        <v>#VALUE!</v>
      </c>
      <c r="AN233" t="e">
        <f>AND('GA55 Entry'!U936,"AAAAAGf+fyc=")</f>
        <v>#VALUE!</v>
      </c>
      <c r="AO233" t="e">
        <f>AND('GA55 Entry'!V936,"AAAAAGf+fyg=")</f>
        <v>#VALUE!</v>
      </c>
      <c r="AP233" t="e">
        <f>AND('GA55 Entry'!#REF!,"AAAAAGf+fyk=")</f>
        <v>#REF!</v>
      </c>
      <c r="AQ233" t="e">
        <f>AND('GA55 Entry'!#REF!,"AAAAAGf+fyo=")</f>
        <v>#REF!</v>
      </c>
      <c r="AR233" t="e">
        <f>AND('GA55 Entry'!X936,"AAAAAGf+fys=")</f>
        <v>#VALUE!</v>
      </c>
      <c r="AS233" t="e">
        <f>AND('GA55 Entry'!Y936,"AAAAAGf+fyw=")</f>
        <v>#VALUE!</v>
      </c>
      <c r="AT233" t="e">
        <f>AND('GA55 Entry'!#REF!,"AAAAAGf+fy0=")</f>
        <v>#REF!</v>
      </c>
      <c r="AU233" t="e">
        <f>AND('GA55 Entry'!#REF!,"AAAAAGf+fy4=")</f>
        <v>#REF!</v>
      </c>
      <c r="AV233" t="e">
        <f>AND('GA55 Entry'!#REF!,"AAAAAGf+fy8=")</f>
        <v>#REF!</v>
      </c>
      <c r="AW233" t="e">
        <f>AND('GA55 Entry'!#REF!,"AAAAAGf+fzA=")</f>
        <v>#REF!</v>
      </c>
      <c r="AX233" t="e">
        <f>AND('GA55 Entry'!#REF!,"AAAAAGf+fzE=")</f>
        <v>#REF!</v>
      </c>
      <c r="AY233" t="e">
        <f>AND('GA55 Entry'!#REF!,"AAAAAGf+fzI=")</f>
        <v>#REF!</v>
      </c>
      <c r="AZ233" t="e">
        <f>AND('GA55 Entry'!#REF!,"AAAAAGf+fzM=")</f>
        <v>#REF!</v>
      </c>
      <c r="BA233" t="e">
        <f>AND('GA55 Entry'!#REF!,"AAAAAGf+fzQ=")</f>
        <v>#REF!</v>
      </c>
      <c r="BB233" t="e">
        <f>AND('GA55 Entry'!#REF!,"AAAAAGf+fzU=")</f>
        <v>#REF!</v>
      </c>
      <c r="BC233" t="e">
        <f>AND('GA55 Entry'!Z936,"AAAAAGf+fzY=")</f>
        <v>#VALUE!</v>
      </c>
      <c r="BD233" t="e">
        <f>AND('GA55 Entry'!AA936,"AAAAAGf+fzc=")</f>
        <v>#VALUE!</v>
      </c>
      <c r="BE233" t="e">
        <f>AND('GA55 Entry'!#REF!,"AAAAAGf+fzg=")</f>
        <v>#REF!</v>
      </c>
      <c r="BF233" t="e">
        <f>AND('GA55 Entry'!#REF!,"AAAAAGf+fzk=")</f>
        <v>#REF!</v>
      </c>
      <c r="BG233" t="e">
        <f>AND('GA55 Entry'!#REF!,"AAAAAGf+fzo=")</f>
        <v>#REF!</v>
      </c>
      <c r="BH233" t="e">
        <f>AND('GA55 Entry'!AB936,"AAAAAGf+fzs=")</f>
        <v>#VALUE!</v>
      </c>
      <c r="BI233" t="e">
        <f>AND('GA55 Entry'!AC936,"AAAAAGf+fzw=")</f>
        <v>#VALUE!</v>
      </c>
      <c r="BJ233" t="e">
        <f>AND('GA55 Entry'!#REF!,"AAAAAGf+fz0=")</f>
        <v>#REF!</v>
      </c>
      <c r="BK233">
        <f>IF('GA55 Entry'!937:937,"AAAAAGf+fz4=",0)</f>
        <v>0</v>
      </c>
      <c r="BL233" t="e">
        <f>AND('GA55 Entry'!B937,"AAAAAGf+fz8=")</f>
        <v>#VALUE!</v>
      </c>
      <c r="BM233" t="e">
        <f>AND('GA55 Entry'!#REF!,"AAAAAGf+f0A=")</f>
        <v>#REF!</v>
      </c>
      <c r="BN233" t="e">
        <f>AND('GA55 Entry'!C937,"AAAAAGf+f0E=")</f>
        <v>#VALUE!</v>
      </c>
      <c r="BO233" t="e">
        <f>AND('GA55 Entry'!#REF!,"AAAAAGf+f0I=")</f>
        <v>#REF!</v>
      </c>
      <c r="BP233" t="e">
        <f>AND('GA55 Entry'!#REF!,"AAAAAGf+f0M=")</f>
        <v>#REF!</v>
      </c>
      <c r="BQ233" t="e">
        <f>AND('GA55 Entry'!#REF!,"AAAAAGf+f0Q=")</f>
        <v>#REF!</v>
      </c>
      <c r="BR233" t="e">
        <f>AND('GA55 Entry'!#REF!,"AAAAAGf+f0U=")</f>
        <v>#REF!</v>
      </c>
      <c r="BS233" t="e">
        <f>AND('GA55 Entry'!#REF!,"AAAAAGf+f0Y=")</f>
        <v>#REF!</v>
      </c>
      <c r="BT233" t="e">
        <f>AND('GA55 Entry'!D937,"AAAAAGf+f0c=")</f>
        <v>#VALUE!</v>
      </c>
      <c r="BU233" t="e">
        <f>AND('GA55 Entry'!#REF!,"AAAAAGf+f0g=")</f>
        <v>#REF!</v>
      </c>
      <c r="BV233" t="e">
        <f>AND('GA55 Entry'!E937,"AAAAAGf+f0k=")</f>
        <v>#VALUE!</v>
      </c>
      <c r="BW233" t="e">
        <f>AND('GA55 Entry'!F937,"AAAAAGf+f0o=")</f>
        <v>#VALUE!</v>
      </c>
      <c r="BX233" t="e">
        <f>AND('GA55 Entry'!G937,"AAAAAGf+f0s=")</f>
        <v>#VALUE!</v>
      </c>
      <c r="BY233" t="e">
        <f>AND('GA55 Entry'!H937,"AAAAAGf+f0w=")</f>
        <v>#VALUE!</v>
      </c>
      <c r="BZ233" t="e">
        <f>AND('GA55 Entry'!I937,"AAAAAGf+f00=")</f>
        <v>#VALUE!</v>
      </c>
      <c r="CA233" t="e">
        <f>AND('GA55 Entry'!J937,"AAAAAGf+f04=")</f>
        <v>#VALUE!</v>
      </c>
      <c r="CB233" t="e">
        <f>AND('GA55 Entry'!#REF!,"AAAAAGf+f08=")</f>
        <v>#REF!</v>
      </c>
      <c r="CC233" t="e">
        <f>AND('GA55 Entry'!K937,"AAAAAGf+f1A=")</f>
        <v>#VALUE!</v>
      </c>
      <c r="CD233" t="e">
        <f>AND('GA55 Entry'!L937,"AAAAAGf+f1E=")</f>
        <v>#VALUE!</v>
      </c>
      <c r="CE233" t="e">
        <f>AND('GA55 Entry'!M937,"AAAAAGf+f1I=")</f>
        <v>#VALUE!</v>
      </c>
      <c r="CF233" t="e">
        <f>AND('GA55 Entry'!N937,"AAAAAGf+f1M=")</f>
        <v>#VALUE!</v>
      </c>
      <c r="CG233" t="e">
        <f>AND('GA55 Entry'!O937,"AAAAAGf+f1Q=")</f>
        <v>#VALUE!</v>
      </c>
      <c r="CH233" t="e">
        <f>AND('GA55 Entry'!P937,"AAAAAGf+f1U=")</f>
        <v>#VALUE!</v>
      </c>
      <c r="CI233" t="e">
        <f>AND('GA55 Entry'!Q937,"AAAAAGf+f1Y=")</f>
        <v>#VALUE!</v>
      </c>
      <c r="CJ233" t="e">
        <f>AND('GA55 Entry'!S937,"AAAAAGf+f1c=")</f>
        <v>#VALUE!</v>
      </c>
      <c r="CK233" t="e">
        <f>AND('GA55 Entry'!#REF!,"AAAAAGf+f1g=")</f>
        <v>#REF!</v>
      </c>
      <c r="CL233" t="e">
        <f>AND('GA55 Entry'!T937,"AAAAAGf+f1k=")</f>
        <v>#VALUE!</v>
      </c>
      <c r="CM233" t="e">
        <f>AND('GA55 Entry'!U937,"AAAAAGf+f1o=")</f>
        <v>#VALUE!</v>
      </c>
      <c r="CN233" t="e">
        <f>AND('GA55 Entry'!V937,"AAAAAGf+f1s=")</f>
        <v>#VALUE!</v>
      </c>
      <c r="CO233" t="e">
        <f>AND('GA55 Entry'!#REF!,"AAAAAGf+f1w=")</f>
        <v>#REF!</v>
      </c>
      <c r="CP233" t="e">
        <f>AND('GA55 Entry'!#REF!,"AAAAAGf+f10=")</f>
        <v>#REF!</v>
      </c>
      <c r="CQ233" t="e">
        <f>AND('GA55 Entry'!X937,"AAAAAGf+f14=")</f>
        <v>#VALUE!</v>
      </c>
      <c r="CR233" t="e">
        <f>AND('GA55 Entry'!Y937,"AAAAAGf+f18=")</f>
        <v>#VALUE!</v>
      </c>
      <c r="CS233" t="e">
        <f>AND('GA55 Entry'!#REF!,"AAAAAGf+f2A=")</f>
        <v>#REF!</v>
      </c>
      <c r="CT233" t="e">
        <f>AND('GA55 Entry'!#REF!,"AAAAAGf+f2E=")</f>
        <v>#REF!</v>
      </c>
      <c r="CU233" t="e">
        <f>AND('GA55 Entry'!#REF!,"AAAAAGf+f2I=")</f>
        <v>#REF!</v>
      </c>
      <c r="CV233" t="e">
        <f>AND('GA55 Entry'!#REF!,"AAAAAGf+f2M=")</f>
        <v>#REF!</v>
      </c>
      <c r="CW233" t="e">
        <f>AND('GA55 Entry'!#REF!,"AAAAAGf+f2Q=")</f>
        <v>#REF!</v>
      </c>
      <c r="CX233" t="e">
        <f>AND('GA55 Entry'!#REF!,"AAAAAGf+f2U=")</f>
        <v>#REF!</v>
      </c>
      <c r="CY233" t="e">
        <f>AND('GA55 Entry'!#REF!,"AAAAAGf+f2Y=")</f>
        <v>#REF!</v>
      </c>
      <c r="CZ233" t="e">
        <f>AND('GA55 Entry'!#REF!,"AAAAAGf+f2c=")</f>
        <v>#REF!</v>
      </c>
      <c r="DA233" t="e">
        <f>AND('GA55 Entry'!#REF!,"AAAAAGf+f2g=")</f>
        <v>#REF!</v>
      </c>
      <c r="DB233" t="e">
        <f>AND('GA55 Entry'!Z937,"AAAAAGf+f2k=")</f>
        <v>#VALUE!</v>
      </c>
      <c r="DC233" t="e">
        <f>AND('GA55 Entry'!AA937,"AAAAAGf+f2o=")</f>
        <v>#VALUE!</v>
      </c>
      <c r="DD233" t="e">
        <f>AND('GA55 Entry'!#REF!,"AAAAAGf+f2s=")</f>
        <v>#REF!</v>
      </c>
      <c r="DE233" t="e">
        <f>AND('GA55 Entry'!#REF!,"AAAAAGf+f2w=")</f>
        <v>#REF!</v>
      </c>
      <c r="DF233" t="e">
        <f>AND('GA55 Entry'!#REF!,"AAAAAGf+f20=")</f>
        <v>#REF!</v>
      </c>
      <c r="DG233" t="e">
        <f>AND('GA55 Entry'!AB937,"AAAAAGf+f24=")</f>
        <v>#VALUE!</v>
      </c>
      <c r="DH233" t="e">
        <f>AND('GA55 Entry'!AC937,"AAAAAGf+f28=")</f>
        <v>#VALUE!</v>
      </c>
      <c r="DI233" t="e">
        <f>AND('GA55 Entry'!#REF!,"AAAAAGf+f3A=")</f>
        <v>#REF!</v>
      </c>
      <c r="DJ233">
        <f>IF('GA55 Entry'!938:938,"AAAAAGf+f3E=",0)</f>
        <v>0</v>
      </c>
      <c r="DK233" t="e">
        <f>AND('GA55 Entry'!B938,"AAAAAGf+f3I=")</f>
        <v>#VALUE!</v>
      </c>
      <c r="DL233" t="e">
        <f>AND('GA55 Entry'!#REF!,"AAAAAGf+f3M=")</f>
        <v>#REF!</v>
      </c>
      <c r="DM233" t="e">
        <f>AND('GA55 Entry'!C938,"AAAAAGf+f3Q=")</f>
        <v>#VALUE!</v>
      </c>
      <c r="DN233" t="e">
        <f>AND('GA55 Entry'!#REF!,"AAAAAGf+f3U=")</f>
        <v>#REF!</v>
      </c>
      <c r="DO233" t="e">
        <f>AND('GA55 Entry'!#REF!,"AAAAAGf+f3Y=")</f>
        <v>#REF!</v>
      </c>
      <c r="DP233" t="e">
        <f>AND('GA55 Entry'!#REF!,"AAAAAGf+f3c=")</f>
        <v>#REF!</v>
      </c>
      <c r="DQ233" t="e">
        <f>AND('GA55 Entry'!#REF!,"AAAAAGf+f3g=")</f>
        <v>#REF!</v>
      </c>
      <c r="DR233" t="e">
        <f>AND('GA55 Entry'!#REF!,"AAAAAGf+f3k=")</f>
        <v>#REF!</v>
      </c>
      <c r="DS233" t="e">
        <f>AND('GA55 Entry'!D938,"AAAAAGf+f3o=")</f>
        <v>#VALUE!</v>
      </c>
      <c r="DT233" t="e">
        <f>AND('GA55 Entry'!#REF!,"AAAAAGf+f3s=")</f>
        <v>#REF!</v>
      </c>
      <c r="DU233" t="e">
        <f>AND('GA55 Entry'!E938,"AAAAAGf+f3w=")</f>
        <v>#VALUE!</v>
      </c>
      <c r="DV233" t="e">
        <f>AND('GA55 Entry'!F938,"AAAAAGf+f30=")</f>
        <v>#VALUE!</v>
      </c>
      <c r="DW233" t="e">
        <f>AND('GA55 Entry'!G938,"AAAAAGf+f34=")</f>
        <v>#VALUE!</v>
      </c>
      <c r="DX233" t="e">
        <f>AND('GA55 Entry'!H938,"AAAAAGf+f38=")</f>
        <v>#VALUE!</v>
      </c>
      <c r="DY233" t="e">
        <f>AND('GA55 Entry'!I938,"AAAAAGf+f4A=")</f>
        <v>#VALUE!</v>
      </c>
      <c r="DZ233" t="e">
        <f>AND('GA55 Entry'!J938,"AAAAAGf+f4E=")</f>
        <v>#VALUE!</v>
      </c>
      <c r="EA233" t="e">
        <f>AND('GA55 Entry'!#REF!,"AAAAAGf+f4I=")</f>
        <v>#REF!</v>
      </c>
      <c r="EB233" t="e">
        <f>AND('GA55 Entry'!K938,"AAAAAGf+f4M=")</f>
        <v>#VALUE!</v>
      </c>
      <c r="EC233" t="e">
        <f>AND('GA55 Entry'!L938,"AAAAAGf+f4Q=")</f>
        <v>#VALUE!</v>
      </c>
      <c r="ED233" t="e">
        <f>AND('GA55 Entry'!M938,"AAAAAGf+f4U=")</f>
        <v>#VALUE!</v>
      </c>
      <c r="EE233" t="e">
        <f>AND('GA55 Entry'!N938,"AAAAAGf+f4Y=")</f>
        <v>#VALUE!</v>
      </c>
      <c r="EF233" t="e">
        <f>AND('GA55 Entry'!O938,"AAAAAGf+f4c=")</f>
        <v>#VALUE!</v>
      </c>
      <c r="EG233" t="e">
        <f>AND('GA55 Entry'!P938,"AAAAAGf+f4g=")</f>
        <v>#VALUE!</v>
      </c>
      <c r="EH233" t="e">
        <f>AND('GA55 Entry'!Q938,"AAAAAGf+f4k=")</f>
        <v>#VALUE!</v>
      </c>
      <c r="EI233" t="e">
        <f>AND('GA55 Entry'!S938,"AAAAAGf+f4o=")</f>
        <v>#VALUE!</v>
      </c>
      <c r="EJ233" t="e">
        <f>AND('GA55 Entry'!#REF!,"AAAAAGf+f4s=")</f>
        <v>#REF!</v>
      </c>
      <c r="EK233" t="e">
        <f>AND('GA55 Entry'!T938,"AAAAAGf+f4w=")</f>
        <v>#VALUE!</v>
      </c>
      <c r="EL233" t="e">
        <f>AND('GA55 Entry'!U938,"AAAAAGf+f40=")</f>
        <v>#VALUE!</v>
      </c>
      <c r="EM233" t="e">
        <f>AND('GA55 Entry'!V938,"AAAAAGf+f44=")</f>
        <v>#VALUE!</v>
      </c>
      <c r="EN233" t="e">
        <f>AND('GA55 Entry'!#REF!,"AAAAAGf+f48=")</f>
        <v>#REF!</v>
      </c>
      <c r="EO233" t="e">
        <f>AND('GA55 Entry'!#REF!,"AAAAAGf+f5A=")</f>
        <v>#REF!</v>
      </c>
      <c r="EP233" t="e">
        <f>AND('GA55 Entry'!X938,"AAAAAGf+f5E=")</f>
        <v>#VALUE!</v>
      </c>
      <c r="EQ233" t="e">
        <f>AND('GA55 Entry'!Y938,"AAAAAGf+f5I=")</f>
        <v>#VALUE!</v>
      </c>
      <c r="ER233" t="e">
        <f>AND('GA55 Entry'!#REF!,"AAAAAGf+f5M=")</f>
        <v>#REF!</v>
      </c>
      <c r="ES233" t="e">
        <f>AND('GA55 Entry'!#REF!,"AAAAAGf+f5Q=")</f>
        <v>#REF!</v>
      </c>
      <c r="ET233" t="e">
        <f>AND('GA55 Entry'!#REF!,"AAAAAGf+f5U=")</f>
        <v>#REF!</v>
      </c>
      <c r="EU233" t="e">
        <f>AND('GA55 Entry'!#REF!,"AAAAAGf+f5Y=")</f>
        <v>#REF!</v>
      </c>
      <c r="EV233" t="e">
        <f>AND('GA55 Entry'!#REF!,"AAAAAGf+f5c=")</f>
        <v>#REF!</v>
      </c>
      <c r="EW233" t="e">
        <f>AND('GA55 Entry'!#REF!,"AAAAAGf+f5g=")</f>
        <v>#REF!</v>
      </c>
      <c r="EX233" t="e">
        <f>AND('GA55 Entry'!#REF!,"AAAAAGf+f5k=")</f>
        <v>#REF!</v>
      </c>
      <c r="EY233" t="e">
        <f>AND('GA55 Entry'!#REF!,"AAAAAGf+f5o=")</f>
        <v>#REF!</v>
      </c>
      <c r="EZ233" t="e">
        <f>AND('GA55 Entry'!#REF!,"AAAAAGf+f5s=")</f>
        <v>#REF!</v>
      </c>
      <c r="FA233" t="e">
        <f>AND('GA55 Entry'!Z938,"AAAAAGf+f5w=")</f>
        <v>#VALUE!</v>
      </c>
      <c r="FB233" t="e">
        <f>AND('GA55 Entry'!AA938,"AAAAAGf+f50=")</f>
        <v>#VALUE!</v>
      </c>
      <c r="FC233" t="e">
        <f>AND('GA55 Entry'!#REF!,"AAAAAGf+f54=")</f>
        <v>#REF!</v>
      </c>
      <c r="FD233" t="e">
        <f>AND('GA55 Entry'!#REF!,"AAAAAGf+f58=")</f>
        <v>#REF!</v>
      </c>
      <c r="FE233" t="e">
        <f>AND('GA55 Entry'!#REF!,"AAAAAGf+f6A=")</f>
        <v>#REF!</v>
      </c>
      <c r="FF233" t="e">
        <f>AND('GA55 Entry'!AB938,"AAAAAGf+f6E=")</f>
        <v>#VALUE!</v>
      </c>
      <c r="FG233" t="e">
        <f>AND('GA55 Entry'!AC938,"AAAAAGf+f6I=")</f>
        <v>#VALUE!</v>
      </c>
      <c r="FH233" t="e">
        <f>AND('GA55 Entry'!#REF!,"AAAAAGf+f6M=")</f>
        <v>#REF!</v>
      </c>
      <c r="FI233">
        <f>IF('GA55 Entry'!939:939,"AAAAAGf+f6Q=",0)</f>
        <v>0</v>
      </c>
      <c r="FJ233" t="e">
        <f>AND('GA55 Entry'!B939,"AAAAAGf+f6U=")</f>
        <v>#VALUE!</v>
      </c>
      <c r="FK233" t="e">
        <f>AND('GA55 Entry'!#REF!,"AAAAAGf+f6Y=")</f>
        <v>#REF!</v>
      </c>
      <c r="FL233" t="e">
        <f>AND('GA55 Entry'!C939,"AAAAAGf+f6c=")</f>
        <v>#VALUE!</v>
      </c>
      <c r="FM233" t="e">
        <f>AND('GA55 Entry'!#REF!,"AAAAAGf+f6g=")</f>
        <v>#REF!</v>
      </c>
      <c r="FN233" t="e">
        <f>AND('GA55 Entry'!#REF!,"AAAAAGf+f6k=")</f>
        <v>#REF!</v>
      </c>
      <c r="FO233" t="e">
        <f>AND('GA55 Entry'!#REF!,"AAAAAGf+f6o=")</f>
        <v>#REF!</v>
      </c>
      <c r="FP233" t="e">
        <f>AND('GA55 Entry'!#REF!,"AAAAAGf+f6s=")</f>
        <v>#REF!</v>
      </c>
      <c r="FQ233" t="e">
        <f>AND('GA55 Entry'!#REF!,"AAAAAGf+f6w=")</f>
        <v>#REF!</v>
      </c>
      <c r="FR233" t="e">
        <f>AND('GA55 Entry'!D939,"AAAAAGf+f60=")</f>
        <v>#VALUE!</v>
      </c>
      <c r="FS233" t="e">
        <f>AND('GA55 Entry'!#REF!,"AAAAAGf+f64=")</f>
        <v>#REF!</v>
      </c>
      <c r="FT233" t="e">
        <f>AND('GA55 Entry'!E939,"AAAAAGf+f68=")</f>
        <v>#VALUE!</v>
      </c>
      <c r="FU233" t="e">
        <f>AND('GA55 Entry'!F939,"AAAAAGf+f7A=")</f>
        <v>#VALUE!</v>
      </c>
      <c r="FV233" t="e">
        <f>AND('GA55 Entry'!G939,"AAAAAGf+f7E=")</f>
        <v>#VALUE!</v>
      </c>
      <c r="FW233" t="e">
        <f>AND('GA55 Entry'!H939,"AAAAAGf+f7I=")</f>
        <v>#VALUE!</v>
      </c>
      <c r="FX233" t="e">
        <f>AND('GA55 Entry'!I939,"AAAAAGf+f7M=")</f>
        <v>#VALUE!</v>
      </c>
      <c r="FY233" t="e">
        <f>AND('GA55 Entry'!J939,"AAAAAGf+f7Q=")</f>
        <v>#VALUE!</v>
      </c>
      <c r="FZ233" t="e">
        <f>AND('GA55 Entry'!#REF!,"AAAAAGf+f7U=")</f>
        <v>#REF!</v>
      </c>
      <c r="GA233" t="e">
        <f>AND('GA55 Entry'!K939,"AAAAAGf+f7Y=")</f>
        <v>#VALUE!</v>
      </c>
      <c r="GB233" t="e">
        <f>AND('GA55 Entry'!L939,"AAAAAGf+f7c=")</f>
        <v>#VALUE!</v>
      </c>
      <c r="GC233" t="e">
        <f>AND('GA55 Entry'!M939,"AAAAAGf+f7g=")</f>
        <v>#VALUE!</v>
      </c>
      <c r="GD233" t="e">
        <f>AND('GA55 Entry'!N939,"AAAAAGf+f7k=")</f>
        <v>#VALUE!</v>
      </c>
      <c r="GE233" t="e">
        <f>AND('GA55 Entry'!O939,"AAAAAGf+f7o=")</f>
        <v>#VALUE!</v>
      </c>
      <c r="GF233" t="e">
        <f>AND('GA55 Entry'!P939,"AAAAAGf+f7s=")</f>
        <v>#VALUE!</v>
      </c>
      <c r="GG233" t="e">
        <f>AND('GA55 Entry'!Q939,"AAAAAGf+f7w=")</f>
        <v>#VALUE!</v>
      </c>
      <c r="GH233" t="e">
        <f>AND('GA55 Entry'!S939,"AAAAAGf+f70=")</f>
        <v>#VALUE!</v>
      </c>
      <c r="GI233" t="e">
        <f>AND('GA55 Entry'!#REF!,"AAAAAGf+f74=")</f>
        <v>#REF!</v>
      </c>
      <c r="GJ233" t="e">
        <f>AND('GA55 Entry'!T939,"AAAAAGf+f78=")</f>
        <v>#VALUE!</v>
      </c>
      <c r="GK233" t="e">
        <f>AND('GA55 Entry'!U939,"AAAAAGf+f8A=")</f>
        <v>#VALUE!</v>
      </c>
      <c r="GL233" t="e">
        <f>AND('GA55 Entry'!V939,"AAAAAGf+f8E=")</f>
        <v>#VALUE!</v>
      </c>
      <c r="GM233" t="e">
        <f>AND('GA55 Entry'!#REF!,"AAAAAGf+f8I=")</f>
        <v>#REF!</v>
      </c>
      <c r="GN233" t="e">
        <f>AND('GA55 Entry'!#REF!,"AAAAAGf+f8M=")</f>
        <v>#REF!</v>
      </c>
      <c r="GO233" t="e">
        <f>AND('GA55 Entry'!X939,"AAAAAGf+f8Q=")</f>
        <v>#VALUE!</v>
      </c>
      <c r="GP233" t="e">
        <f>AND('GA55 Entry'!Y939,"AAAAAGf+f8U=")</f>
        <v>#VALUE!</v>
      </c>
      <c r="GQ233" t="e">
        <f>AND('GA55 Entry'!#REF!,"AAAAAGf+f8Y=")</f>
        <v>#REF!</v>
      </c>
      <c r="GR233" t="e">
        <f>AND('GA55 Entry'!#REF!,"AAAAAGf+f8c=")</f>
        <v>#REF!</v>
      </c>
      <c r="GS233" t="e">
        <f>AND('GA55 Entry'!#REF!,"AAAAAGf+f8g=")</f>
        <v>#REF!</v>
      </c>
      <c r="GT233" t="e">
        <f>AND('GA55 Entry'!#REF!,"AAAAAGf+f8k=")</f>
        <v>#REF!</v>
      </c>
      <c r="GU233" t="e">
        <f>AND('GA55 Entry'!#REF!,"AAAAAGf+f8o=")</f>
        <v>#REF!</v>
      </c>
      <c r="GV233" t="e">
        <f>AND('GA55 Entry'!#REF!,"AAAAAGf+f8s=")</f>
        <v>#REF!</v>
      </c>
      <c r="GW233" t="e">
        <f>AND('GA55 Entry'!#REF!,"AAAAAGf+f8w=")</f>
        <v>#REF!</v>
      </c>
      <c r="GX233" t="e">
        <f>AND('GA55 Entry'!#REF!,"AAAAAGf+f80=")</f>
        <v>#REF!</v>
      </c>
      <c r="GY233" t="e">
        <f>AND('GA55 Entry'!#REF!,"AAAAAGf+f84=")</f>
        <v>#REF!</v>
      </c>
      <c r="GZ233" t="e">
        <f>AND('GA55 Entry'!Z939,"AAAAAGf+f88=")</f>
        <v>#VALUE!</v>
      </c>
      <c r="HA233" t="e">
        <f>AND('GA55 Entry'!AA939,"AAAAAGf+f9A=")</f>
        <v>#VALUE!</v>
      </c>
      <c r="HB233" t="e">
        <f>AND('GA55 Entry'!#REF!,"AAAAAGf+f9E=")</f>
        <v>#REF!</v>
      </c>
      <c r="HC233" t="e">
        <f>AND('GA55 Entry'!#REF!,"AAAAAGf+f9I=")</f>
        <v>#REF!</v>
      </c>
      <c r="HD233" t="e">
        <f>AND('GA55 Entry'!#REF!,"AAAAAGf+f9M=")</f>
        <v>#REF!</v>
      </c>
      <c r="HE233" t="e">
        <f>AND('GA55 Entry'!AB939,"AAAAAGf+f9Q=")</f>
        <v>#VALUE!</v>
      </c>
      <c r="HF233" t="e">
        <f>AND('GA55 Entry'!AC939,"AAAAAGf+f9U=")</f>
        <v>#VALUE!</v>
      </c>
      <c r="HG233" t="e">
        <f>AND('GA55 Entry'!#REF!,"AAAAAGf+f9Y=")</f>
        <v>#REF!</v>
      </c>
      <c r="HH233">
        <f>IF('GA55 Entry'!940:940,"AAAAAGf+f9c=",0)</f>
        <v>0</v>
      </c>
      <c r="HI233" t="e">
        <f>AND('GA55 Entry'!B940,"AAAAAGf+f9g=")</f>
        <v>#VALUE!</v>
      </c>
      <c r="HJ233" t="e">
        <f>AND('GA55 Entry'!#REF!,"AAAAAGf+f9k=")</f>
        <v>#REF!</v>
      </c>
      <c r="HK233" t="e">
        <f>AND('GA55 Entry'!C940,"AAAAAGf+f9o=")</f>
        <v>#VALUE!</v>
      </c>
      <c r="HL233" t="e">
        <f>AND('GA55 Entry'!#REF!,"AAAAAGf+f9s=")</f>
        <v>#REF!</v>
      </c>
      <c r="HM233" t="e">
        <f>AND('GA55 Entry'!#REF!,"AAAAAGf+f9w=")</f>
        <v>#REF!</v>
      </c>
      <c r="HN233" t="e">
        <f>AND('GA55 Entry'!#REF!,"AAAAAGf+f90=")</f>
        <v>#REF!</v>
      </c>
      <c r="HO233" t="e">
        <f>AND('GA55 Entry'!#REF!,"AAAAAGf+f94=")</f>
        <v>#REF!</v>
      </c>
      <c r="HP233" t="e">
        <f>AND('GA55 Entry'!#REF!,"AAAAAGf+f98=")</f>
        <v>#REF!</v>
      </c>
      <c r="HQ233" t="e">
        <f>AND('GA55 Entry'!D940,"AAAAAGf+f+A=")</f>
        <v>#VALUE!</v>
      </c>
      <c r="HR233" t="e">
        <f>AND('GA55 Entry'!#REF!,"AAAAAGf+f+E=")</f>
        <v>#REF!</v>
      </c>
      <c r="HS233" t="e">
        <f>AND('GA55 Entry'!E940,"AAAAAGf+f+I=")</f>
        <v>#VALUE!</v>
      </c>
      <c r="HT233" t="e">
        <f>AND('GA55 Entry'!F940,"AAAAAGf+f+M=")</f>
        <v>#VALUE!</v>
      </c>
      <c r="HU233" t="e">
        <f>AND('GA55 Entry'!G940,"AAAAAGf+f+Q=")</f>
        <v>#VALUE!</v>
      </c>
      <c r="HV233" t="e">
        <f>AND('GA55 Entry'!H940,"AAAAAGf+f+U=")</f>
        <v>#VALUE!</v>
      </c>
      <c r="HW233" t="e">
        <f>AND('GA55 Entry'!I940,"AAAAAGf+f+Y=")</f>
        <v>#VALUE!</v>
      </c>
      <c r="HX233" t="e">
        <f>AND('GA55 Entry'!J940,"AAAAAGf+f+c=")</f>
        <v>#VALUE!</v>
      </c>
      <c r="HY233" t="e">
        <f>AND('GA55 Entry'!#REF!,"AAAAAGf+f+g=")</f>
        <v>#REF!</v>
      </c>
      <c r="HZ233" t="e">
        <f>AND('GA55 Entry'!K940,"AAAAAGf+f+k=")</f>
        <v>#VALUE!</v>
      </c>
      <c r="IA233" t="e">
        <f>AND('GA55 Entry'!L940,"AAAAAGf+f+o=")</f>
        <v>#VALUE!</v>
      </c>
      <c r="IB233" t="e">
        <f>AND('GA55 Entry'!M940,"AAAAAGf+f+s=")</f>
        <v>#VALUE!</v>
      </c>
      <c r="IC233" t="e">
        <f>AND('GA55 Entry'!N940,"AAAAAGf+f+w=")</f>
        <v>#VALUE!</v>
      </c>
      <c r="ID233" t="e">
        <f>AND('GA55 Entry'!O940,"AAAAAGf+f+0=")</f>
        <v>#VALUE!</v>
      </c>
      <c r="IE233" t="e">
        <f>AND('GA55 Entry'!P940,"AAAAAGf+f+4=")</f>
        <v>#VALUE!</v>
      </c>
      <c r="IF233" t="e">
        <f>AND('GA55 Entry'!Q940,"AAAAAGf+f+8=")</f>
        <v>#VALUE!</v>
      </c>
      <c r="IG233" t="e">
        <f>AND('GA55 Entry'!S940,"AAAAAGf+f/A=")</f>
        <v>#VALUE!</v>
      </c>
      <c r="IH233" t="e">
        <f>AND('GA55 Entry'!#REF!,"AAAAAGf+f/E=")</f>
        <v>#REF!</v>
      </c>
      <c r="II233" t="e">
        <f>AND('GA55 Entry'!T940,"AAAAAGf+f/I=")</f>
        <v>#VALUE!</v>
      </c>
      <c r="IJ233" t="e">
        <f>AND('GA55 Entry'!U940,"AAAAAGf+f/M=")</f>
        <v>#VALUE!</v>
      </c>
      <c r="IK233" t="e">
        <f>AND('GA55 Entry'!V940,"AAAAAGf+f/Q=")</f>
        <v>#VALUE!</v>
      </c>
      <c r="IL233" t="e">
        <f>AND('GA55 Entry'!#REF!,"AAAAAGf+f/U=")</f>
        <v>#REF!</v>
      </c>
      <c r="IM233" t="e">
        <f>AND('GA55 Entry'!#REF!,"AAAAAGf+f/Y=")</f>
        <v>#REF!</v>
      </c>
      <c r="IN233" t="e">
        <f>AND('GA55 Entry'!X940,"AAAAAGf+f/c=")</f>
        <v>#VALUE!</v>
      </c>
      <c r="IO233" t="e">
        <f>AND('GA55 Entry'!Y940,"AAAAAGf+f/g=")</f>
        <v>#VALUE!</v>
      </c>
      <c r="IP233" t="e">
        <f>AND('GA55 Entry'!#REF!,"AAAAAGf+f/k=")</f>
        <v>#REF!</v>
      </c>
      <c r="IQ233" t="e">
        <f>AND('GA55 Entry'!#REF!,"AAAAAGf+f/o=")</f>
        <v>#REF!</v>
      </c>
      <c r="IR233" t="e">
        <f>AND('GA55 Entry'!#REF!,"AAAAAGf+f/s=")</f>
        <v>#REF!</v>
      </c>
      <c r="IS233" t="e">
        <f>AND('GA55 Entry'!#REF!,"AAAAAGf+f/w=")</f>
        <v>#REF!</v>
      </c>
      <c r="IT233" t="e">
        <f>AND('GA55 Entry'!#REF!,"AAAAAGf+f/0=")</f>
        <v>#REF!</v>
      </c>
      <c r="IU233" t="e">
        <f>AND('GA55 Entry'!#REF!,"AAAAAGf+f/4=")</f>
        <v>#REF!</v>
      </c>
      <c r="IV233" t="e">
        <f>AND('GA55 Entry'!#REF!,"AAAAAGf+f/8=")</f>
        <v>#REF!</v>
      </c>
    </row>
    <row r="234" spans="1:256">
      <c r="A234" t="e">
        <f>AND('GA55 Entry'!#REF!,"AAAAAG/51wA=")</f>
        <v>#REF!</v>
      </c>
      <c r="B234" t="e">
        <f>AND('GA55 Entry'!#REF!,"AAAAAG/51wE=")</f>
        <v>#REF!</v>
      </c>
      <c r="C234" t="e">
        <f>AND('GA55 Entry'!Z940,"AAAAAG/51wI=")</f>
        <v>#VALUE!</v>
      </c>
      <c r="D234" t="e">
        <f>AND('GA55 Entry'!AA940,"AAAAAG/51wM=")</f>
        <v>#VALUE!</v>
      </c>
      <c r="E234" t="e">
        <f>AND('GA55 Entry'!#REF!,"AAAAAG/51wQ=")</f>
        <v>#REF!</v>
      </c>
      <c r="F234" t="e">
        <f>AND('GA55 Entry'!#REF!,"AAAAAG/51wU=")</f>
        <v>#REF!</v>
      </c>
      <c r="G234" t="e">
        <f>AND('GA55 Entry'!#REF!,"AAAAAG/51wY=")</f>
        <v>#REF!</v>
      </c>
      <c r="H234" t="e">
        <f>AND('GA55 Entry'!AB940,"AAAAAG/51wc=")</f>
        <v>#VALUE!</v>
      </c>
      <c r="I234" t="e">
        <f>AND('GA55 Entry'!AC940,"AAAAAG/51wg=")</f>
        <v>#VALUE!</v>
      </c>
      <c r="J234" t="e">
        <f>AND('GA55 Entry'!#REF!,"AAAAAG/51wk=")</f>
        <v>#REF!</v>
      </c>
      <c r="K234">
        <f>IF('GA55 Entry'!941:941,"AAAAAG/51wo=",0)</f>
        <v>0</v>
      </c>
      <c r="L234" t="e">
        <f>AND('GA55 Entry'!B941,"AAAAAG/51ws=")</f>
        <v>#VALUE!</v>
      </c>
      <c r="M234" t="e">
        <f>AND('GA55 Entry'!#REF!,"AAAAAG/51ww=")</f>
        <v>#REF!</v>
      </c>
      <c r="N234" t="e">
        <f>AND('GA55 Entry'!C941,"AAAAAG/51w0=")</f>
        <v>#VALUE!</v>
      </c>
      <c r="O234" t="e">
        <f>AND('GA55 Entry'!#REF!,"AAAAAG/51w4=")</f>
        <v>#REF!</v>
      </c>
      <c r="P234" t="e">
        <f>AND('GA55 Entry'!#REF!,"AAAAAG/51w8=")</f>
        <v>#REF!</v>
      </c>
      <c r="Q234" t="e">
        <f>AND('GA55 Entry'!#REF!,"AAAAAG/51xA=")</f>
        <v>#REF!</v>
      </c>
      <c r="R234" t="e">
        <f>AND('GA55 Entry'!#REF!,"AAAAAG/51xE=")</f>
        <v>#REF!</v>
      </c>
      <c r="S234" t="e">
        <f>AND('GA55 Entry'!#REF!,"AAAAAG/51xI=")</f>
        <v>#REF!</v>
      </c>
      <c r="T234" t="e">
        <f>AND('GA55 Entry'!D941,"AAAAAG/51xM=")</f>
        <v>#VALUE!</v>
      </c>
      <c r="U234" t="e">
        <f>AND('GA55 Entry'!#REF!,"AAAAAG/51xQ=")</f>
        <v>#REF!</v>
      </c>
      <c r="V234" t="e">
        <f>AND('GA55 Entry'!E941,"AAAAAG/51xU=")</f>
        <v>#VALUE!</v>
      </c>
      <c r="W234" t="e">
        <f>AND('GA55 Entry'!F941,"AAAAAG/51xY=")</f>
        <v>#VALUE!</v>
      </c>
      <c r="X234" t="e">
        <f>AND('GA55 Entry'!G941,"AAAAAG/51xc=")</f>
        <v>#VALUE!</v>
      </c>
      <c r="Y234" t="e">
        <f>AND('GA55 Entry'!H941,"AAAAAG/51xg=")</f>
        <v>#VALUE!</v>
      </c>
      <c r="Z234" t="e">
        <f>AND('GA55 Entry'!I941,"AAAAAG/51xk=")</f>
        <v>#VALUE!</v>
      </c>
      <c r="AA234" t="e">
        <f>AND('GA55 Entry'!J941,"AAAAAG/51xo=")</f>
        <v>#VALUE!</v>
      </c>
      <c r="AB234" t="e">
        <f>AND('GA55 Entry'!#REF!,"AAAAAG/51xs=")</f>
        <v>#REF!</v>
      </c>
      <c r="AC234" t="e">
        <f>AND('GA55 Entry'!K941,"AAAAAG/51xw=")</f>
        <v>#VALUE!</v>
      </c>
      <c r="AD234" t="e">
        <f>AND('GA55 Entry'!L941,"AAAAAG/51x0=")</f>
        <v>#VALUE!</v>
      </c>
      <c r="AE234" t="e">
        <f>AND('GA55 Entry'!M941,"AAAAAG/51x4=")</f>
        <v>#VALUE!</v>
      </c>
      <c r="AF234" t="e">
        <f>AND('GA55 Entry'!N941,"AAAAAG/51x8=")</f>
        <v>#VALUE!</v>
      </c>
      <c r="AG234" t="e">
        <f>AND('GA55 Entry'!O941,"AAAAAG/51yA=")</f>
        <v>#VALUE!</v>
      </c>
      <c r="AH234" t="e">
        <f>AND('GA55 Entry'!P941,"AAAAAG/51yE=")</f>
        <v>#VALUE!</v>
      </c>
      <c r="AI234" t="e">
        <f>AND('GA55 Entry'!Q941,"AAAAAG/51yI=")</f>
        <v>#VALUE!</v>
      </c>
      <c r="AJ234" t="e">
        <f>AND('GA55 Entry'!S941,"AAAAAG/51yM=")</f>
        <v>#VALUE!</v>
      </c>
      <c r="AK234" t="e">
        <f>AND('GA55 Entry'!#REF!,"AAAAAG/51yQ=")</f>
        <v>#REF!</v>
      </c>
      <c r="AL234" t="e">
        <f>AND('GA55 Entry'!T941,"AAAAAG/51yU=")</f>
        <v>#VALUE!</v>
      </c>
      <c r="AM234" t="e">
        <f>AND('GA55 Entry'!U941,"AAAAAG/51yY=")</f>
        <v>#VALUE!</v>
      </c>
      <c r="AN234" t="e">
        <f>AND('GA55 Entry'!V941,"AAAAAG/51yc=")</f>
        <v>#VALUE!</v>
      </c>
      <c r="AO234" t="e">
        <f>AND('GA55 Entry'!#REF!,"AAAAAG/51yg=")</f>
        <v>#REF!</v>
      </c>
      <c r="AP234" t="e">
        <f>AND('GA55 Entry'!#REF!,"AAAAAG/51yk=")</f>
        <v>#REF!</v>
      </c>
      <c r="AQ234" t="e">
        <f>AND('GA55 Entry'!X941,"AAAAAG/51yo=")</f>
        <v>#VALUE!</v>
      </c>
      <c r="AR234" t="e">
        <f>AND('GA55 Entry'!Y941,"AAAAAG/51ys=")</f>
        <v>#VALUE!</v>
      </c>
      <c r="AS234" t="e">
        <f>AND('GA55 Entry'!#REF!,"AAAAAG/51yw=")</f>
        <v>#REF!</v>
      </c>
      <c r="AT234" t="e">
        <f>AND('GA55 Entry'!#REF!,"AAAAAG/51y0=")</f>
        <v>#REF!</v>
      </c>
      <c r="AU234" t="e">
        <f>AND('GA55 Entry'!#REF!,"AAAAAG/51y4=")</f>
        <v>#REF!</v>
      </c>
      <c r="AV234" t="e">
        <f>AND('GA55 Entry'!#REF!,"AAAAAG/51y8=")</f>
        <v>#REF!</v>
      </c>
      <c r="AW234" t="e">
        <f>AND('GA55 Entry'!#REF!,"AAAAAG/51zA=")</f>
        <v>#REF!</v>
      </c>
      <c r="AX234" t="e">
        <f>AND('GA55 Entry'!#REF!,"AAAAAG/51zE=")</f>
        <v>#REF!</v>
      </c>
      <c r="AY234" t="e">
        <f>AND('GA55 Entry'!#REF!,"AAAAAG/51zI=")</f>
        <v>#REF!</v>
      </c>
      <c r="AZ234" t="e">
        <f>AND('GA55 Entry'!#REF!,"AAAAAG/51zM=")</f>
        <v>#REF!</v>
      </c>
      <c r="BA234" t="e">
        <f>AND('GA55 Entry'!#REF!,"AAAAAG/51zQ=")</f>
        <v>#REF!</v>
      </c>
      <c r="BB234" t="e">
        <f>AND('GA55 Entry'!Z941,"AAAAAG/51zU=")</f>
        <v>#VALUE!</v>
      </c>
      <c r="BC234" t="e">
        <f>AND('GA55 Entry'!AA941,"AAAAAG/51zY=")</f>
        <v>#VALUE!</v>
      </c>
      <c r="BD234" t="e">
        <f>AND('GA55 Entry'!#REF!,"AAAAAG/51zc=")</f>
        <v>#REF!</v>
      </c>
      <c r="BE234" t="e">
        <f>AND('GA55 Entry'!#REF!,"AAAAAG/51zg=")</f>
        <v>#REF!</v>
      </c>
      <c r="BF234" t="e">
        <f>AND('GA55 Entry'!#REF!,"AAAAAG/51zk=")</f>
        <v>#REF!</v>
      </c>
      <c r="BG234" t="e">
        <f>AND('GA55 Entry'!AB941,"AAAAAG/51zo=")</f>
        <v>#VALUE!</v>
      </c>
      <c r="BH234" t="e">
        <f>AND('GA55 Entry'!AC941,"AAAAAG/51zs=")</f>
        <v>#VALUE!</v>
      </c>
      <c r="BI234" t="e">
        <f>AND('GA55 Entry'!#REF!,"AAAAAG/51zw=")</f>
        <v>#REF!</v>
      </c>
      <c r="BJ234">
        <f>IF('GA55 Entry'!942:942,"AAAAAG/51z0=",0)</f>
        <v>0</v>
      </c>
      <c r="BK234" t="e">
        <f>AND('GA55 Entry'!B942,"AAAAAG/51z4=")</f>
        <v>#VALUE!</v>
      </c>
      <c r="BL234" t="e">
        <f>AND('GA55 Entry'!#REF!,"AAAAAG/51z8=")</f>
        <v>#REF!</v>
      </c>
      <c r="BM234" t="e">
        <f>AND('GA55 Entry'!C942,"AAAAAG/510A=")</f>
        <v>#VALUE!</v>
      </c>
      <c r="BN234" t="e">
        <f>AND('GA55 Entry'!#REF!,"AAAAAG/510E=")</f>
        <v>#REF!</v>
      </c>
      <c r="BO234" t="e">
        <f>AND('GA55 Entry'!#REF!,"AAAAAG/510I=")</f>
        <v>#REF!</v>
      </c>
      <c r="BP234" t="e">
        <f>AND('GA55 Entry'!#REF!,"AAAAAG/510M=")</f>
        <v>#REF!</v>
      </c>
      <c r="BQ234" t="e">
        <f>AND('GA55 Entry'!#REF!,"AAAAAG/510Q=")</f>
        <v>#REF!</v>
      </c>
      <c r="BR234" t="e">
        <f>AND('GA55 Entry'!#REF!,"AAAAAG/510U=")</f>
        <v>#REF!</v>
      </c>
      <c r="BS234" t="e">
        <f>AND('GA55 Entry'!D942,"AAAAAG/510Y=")</f>
        <v>#VALUE!</v>
      </c>
      <c r="BT234" t="e">
        <f>AND('GA55 Entry'!#REF!,"AAAAAG/510c=")</f>
        <v>#REF!</v>
      </c>
      <c r="BU234" t="e">
        <f>AND('GA55 Entry'!E942,"AAAAAG/510g=")</f>
        <v>#VALUE!</v>
      </c>
      <c r="BV234" t="e">
        <f>AND('GA55 Entry'!F942,"AAAAAG/510k=")</f>
        <v>#VALUE!</v>
      </c>
      <c r="BW234" t="e">
        <f>AND('GA55 Entry'!G942,"AAAAAG/510o=")</f>
        <v>#VALUE!</v>
      </c>
      <c r="BX234" t="e">
        <f>AND('GA55 Entry'!H942,"AAAAAG/510s=")</f>
        <v>#VALUE!</v>
      </c>
      <c r="BY234" t="e">
        <f>AND('GA55 Entry'!I942,"AAAAAG/510w=")</f>
        <v>#VALUE!</v>
      </c>
      <c r="BZ234" t="e">
        <f>AND('GA55 Entry'!J942,"AAAAAG/5100=")</f>
        <v>#VALUE!</v>
      </c>
      <c r="CA234" t="e">
        <f>AND('GA55 Entry'!#REF!,"AAAAAG/5104=")</f>
        <v>#REF!</v>
      </c>
      <c r="CB234" t="e">
        <f>AND('GA55 Entry'!K942,"AAAAAG/5108=")</f>
        <v>#VALUE!</v>
      </c>
      <c r="CC234" t="e">
        <f>AND('GA55 Entry'!L942,"AAAAAG/511A=")</f>
        <v>#VALUE!</v>
      </c>
      <c r="CD234" t="e">
        <f>AND('GA55 Entry'!M942,"AAAAAG/511E=")</f>
        <v>#VALUE!</v>
      </c>
      <c r="CE234" t="e">
        <f>AND('GA55 Entry'!N942,"AAAAAG/511I=")</f>
        <v>#VALUE!</v>
      </c>
      <c r="CF234" t="e">
        <f>AND('GA55 Entry'!O942,"AAAAAG/511M=")</f>
        <v>#VALUE!</v>
      </c>
      <c r="CG234" t="e">
        <f>AND('GA55 Entry'!P942,"AAAAAG/511Q=")</f>
        <v>#VALUE!</v>
      </c>
      <c r="CH234" t="e">
        <f>AND('GA55 Entry'!Q942,"AAAAAG/511U=")</f>
        <v>#VALUE!</v>
      </c>
      <c r="CI234" t="e">
        <f>AND('GA55 Entry'!S942,"AAAAAG/511Y=")</f>
        <v>#VALUE!</v>
      </c>
      <c r="CJ234" t="e">
        <f>AND('GA55 Entry'!#REF!,"AAAAAG/511c=")</f>
        <v>#REF!</v>
      </c>
      <c r="CK234" t="e">
        <f>AND('GA55 Entry'!T942,"AAAAAG/511g=")</f>
        <v>#VALUE!</v>
      </c>
      <c r="CL234" t="e">
        <f>AND('GA55 Entry'!U942,"AAAAAG/511k=")</f>
        <v>#VALUE!</v>
      </c>
      <c r="CM234" t="e">
        <f>AND('GA55 Entry'!V942,"AAAAAG/511o=")</f>
        <v>#VALUE!</v>
      </c>
      <c r="CN234" t="e">
        <f>AND('GA55 Entry'!#REF!,"AAAAAG/511s=")</f>
        <v>#REF!</v>
      </c>
      <c r="CO234" t="e">
        <f>AND('GA55 Entry'!#REF!,"AAAAAG/511w=")</f>
        <v>#REF!</v>
      </c>
      <c r="CP234" t="e">
        <f>AND('GA55 Entry'!X942,"AAAAAG/5110=")</f>
        <v>#VALUE!</v>
      </c>
      <c r="CQ234" t="e">
        <f>AND('GA55 Entry'!Y942,"AAAAAG/5114=")</f>
        <v>#VALUE!</v>
      </c>
      <c r="CR234" t="e">
        <f>AND('GA55 Entry'!#REF!,"AAAAAG/5118=")</f>
        <v>#REF!</v>
      </c>
      <c r="CS234" t="e">
        <f>AND('GA55 Entry'!#REF!,"AAAAAG/512A=")</f>
        <v>#REF!</v>
      </c>
      <c r="CT234" t="e">
        <f>AND('GA55 Entry'!#REF!,"AAAAAG/512E=")</f>
        <v>#REF!</v>
      </c>
      <c r="CU234" t="e">
        <f>AND('GA55 Entry'!#REF!,"AAAAAG/512I=")</f>
        <v>#REF!</v>
      </c>
      <c r="CV234" t="e">
        <f>AND('GA55 Entry'!#REF!,"AAAAAG/512M=")</f>
        <v>#REF!</v>
      </c>
      <c r="CW234" t="e">
        <f>AND('GA55 Entry'!#REF!,"AAAAAG/512Q=")</f>
        <v>#REF!</v>
      </c>
      <c r="CX234" t="e">
        <f>AND('GA55 Entry'!#REF!,"AAAAAG/512U=")</f>
        <v>#REF!</v>
      </c>
      <c r="CY234" t="e">
        <f>AND('GA55 Entry'!#REF!,"AAAAAG/512Y=")</f>
        <v>#REF!</v>
      </c>
      <c r="CZ234" t="e">
        <f>AND('GA55 Entry'!#REF!,"AAAAAG/512c=")</f>
        <v>#REF!</v>
      </c>
      <c r="DA234" t="e">
        <f>AND('GA55 Entry'!Z942,"AAAAAG/512g=")</f>
        <v>#VALUE!</v>
      </c>
      <c r="DB234" t="e">
        <f>AND('GA55 Entry'!AA942,"AAAAAG/512k=")</f>
        <v>#VALUE!</v>
      </c>
      <c r="DC234" t="e">
        <f>AND('GA55 Entry'!#REF!,"AAAAAG/512o=")</f>
        <v>#REF!</v>
      </c>
      <c r="DD234" t="e">
        <f>AND('GA55 Entry'!#REF!,"AAAAAG/512s=")</f>
        <v>#REF!</v>
      </c>
      <c r="DE234" t="e">
        <f>AND('GA55 Entry'!#REF!,"AAAAAG/512w=")</f>
        <v>#REF!</v>
      </c>
      <c r="DF234" t="e">
        <f>AND('GA55 Entry'!AB942,"AAAAAG/5120=")</f>
        <v>#VALUE!</v>
      </c>
      <c r="DG234" t="e">
        <f>AND('GA55 Entry'!AC942,"AAAAAG/5124=")</f>
        <v>#VALUE!</v>
      </c>
      <c r="DH234" t="e">
        <f>AND('GA55 Entry'!#REF!,"AAAAAG/5128=")</f>
        <v>#REF!</v>
      </c>
      <c r="DI234">
        <f>IF('GA55 Entry'!943:943,"AAAAAG/513A=",0)</f>
        <v>0</v>
      </c>
      <c r="DJ234" t="e">
        <f>AND('GA55 Entry'!B943,"AAAAAG/513E=")</f>
        <v>#VALUE!</v>
      </c>
      <c r="DK234" t="e">
        <f>AND('GA55 Entry'!#REF!,"AAAAAG/513I=")</f>
        <v>#REF!</v>
      </c>
      <c r="DL234" t="e">
        <f>AND('GA55 Entry'!C943,"AAAAAG/513M=")</f>
        <v>#VALUE!</v>
      </c>
      <c r="DM234" t="e">
        <f>AND('GA55 Entry'!#REF!,"AAAAAG/513Q=")</f>
        <v>#REF!</v>
      </c>
      <c r="DN234" t="e">
        <f>AND('GA55 Entry'!#REF!,"AAAAAG/513U=")</f>
        <v>#REF!</v>
      </c>
      <c r="DO234" t="e">
        <f>AND('GA55 Entry'!#REF!,"AAAAAG/513Y=")</f>
        <v>#REF!</v>
      </c>
      <c r="DP234" t="e">
        <f>AND('GA55 Entry'!#REF!,"AAAAAG/513c=")</f>
        <v>#REF!</v>
      </c>
      <c r="DQ234" t="e">
        <f>AND('GA55 Entry'!#REF!,"AAAAAG/513g=")</f>
        <v>#REF!</v>
      </c>
      <c r="DR234" t="e">
        <f>AND('GA55 Entry'!D943,"AAAAAG/513k=")</f>
        <v>#VALUE!</v>
      </c>
      <c r="DS234" t="e">
        <f>AND('GA55 Entry'!#REF!,"AAAAAG/513o=")</f>
        <v>#REF!</v>
      </c>
      <c r="DT234" t="e">
        <f>AND('GA55 Entry'!E943,"AAAAAG/513s=")</f>
        <v>#VALUE!</v>
      </c>
      <c r="DU234" t="e">
        <f>AND('GA55 Entry'!F943,"AAAAAG/513w=")</f>
        <v>#VALUE!</v>
      </c>
      <c r="DV234" t="e">
        <f>AND('GA55 Entry'!G943,"AAAAAG/5130=")</f>
        <v>#VALUE!</v>
      </c>
      <c r="DW234" t="e">
        <f>AND('GA55 Entry'!H943,"AAAAAG/5134=")</f>
        <v>#VALUE!</v>
      </c>
      <c r="DX234" t="e">
        <f>AND('GA55 Entry'!I943,"AAAAAG/5138=")</f>
        <v>#VALUE!</v>
      </c>
      <c r="DY234" t="e">
        <f>AND('GA55 Entry'!J943,"AAAAAG/514A=")</f>
        <v>#VALUE!</v>
      </c>
      <c r="DZ234" t="e">
        <f>AND('GA55 Entry'!#REF!,"AAAAAG/514E=")</f>
        <v>#REF!</v>
      </c>
      <c r="EA234" t="e">
        <f>AND('GA55 Entry'!K943,"AAAAAG/514I=")</f>
        <v>#VALUE!</v>
      </c>
      <c r="EB234" t="e">
        <f>AND('GA55 Entry'!L943,"AAAAAG/514M=")</f>
        <v>#VALUE!</v>
      </c>
      <c r="EC234" t="e">
        <f>AND('GA55 Entry'!M943,"AAAAAG/514Q=")</f>
        <v>#VALUE!</v>
      </c>
      <c r="ED234" t="e">
        <f>AND('GA55 Entry'!N943,"AAAAAG/514U=")</f>
        <v>#VALUE!</v>
      </c>
      <c r="EE234" t="e">
        <f>AND('GA55 Entry'!O943,"AAAAAG/514Y=")</f>
        <v>#VALUE!</v>
      </c>
      <c r="EF234" t="e">
        <f>AND('GA55 Entry'!P943,"AAAAAG/514c=")</f>
        <v>#VALUE!</v>
      </c>
      <c r="EG234" t="e">
        <f>AND('GA55 Entry'!Q943,"AAAAAG/514g=")</f>
        <v>#VALUE!</v>
      </c>
      <c r="EH234" t="e">
        <f>AND('GA55 Entry'!S943,"AAAAAG/514k=")</f>
        <v>#VALUE!</v>
      </c>
      <c r="EI234" t="e">
        <f>AND('GA55 Entry'!#REF!,"AAAAAG/514o=")</f>
        <v>#REF!</v>
      </c>
      <c r="EJ234" t="e">
        <f>AND('GA55 Entry'!T943,"AAAAAG/514s=")</f>
        <v>#VALUE!</v>
      </c>
      <c r="EK234" t="e">
        <f>AND('GA55 Entry'!U943,"AAAAAG/514w=")</f>
        <v>#VALUE!</v>
      </c>
      <c r="EL234" t="e">
        <f>AND('GA55 Entry'!V943,"AAAAAG/5140=")</f>
        <v>#VALUE!</v>
      </c>
      <c r="EM234" t="e">
        <f>AND('GA55 Entry'!#REF!,"AAAAAG/5144=")</f>
        <v>#REF!</v>
      </c>
      <c r="EN234" t="e">
        <f>AND('GA55 Entry'!#REF!,"AAAAAG/5148=")</f>
        <v>#REF!</v>
      </c>
      <c r="EO234" t="e">
        <f>AND('GA55 Entry'!X943,"AAAAAG/515A=")</f>
        <v>#VALUE!</v>
      </c>
      <c r="EP234" t="e">
        <f>AND('GA55 Entry'!Y943,"AAAAAG/515E=")</f>
        <v>#VALUE!</v>
      </c>
      <c r="EQ234" t="e">
        <f>AND('GA55 Entry'!#REF!,"AAAAAG/515I=")</f>
        <v>#REF!</v>
      </c>
      <c r="ER234" t="e">
        <f>AND('GA55 Entry'!#REF!,"AAAAAG/515M=")</f>
        <v>#REF!</v>
      </c>
      <c r="ES234" t="e">
        <f>AND('GA55 Entry'!#REF!,"AAAAAG/515Q=")</f>
        <v>#REF!</v>
      </c>
      <c r="ET234" t="e">
        <f>AND('GA55 Entry'!#REF!,"AAAAAG/515U=")</f>
        <v>#REF!</v>
      </c>
      <c r="EU234" t="e">
        <f>AND('GA55 Entry'!#REF!,"AAAAAG/515Y=")</f>
        <v>#REF!</v>
      </c>
      <c r="EV234" t="e">
        <f>AND('GA55 Entry'!#REF!,"AAAAAG/515c=")</f>
        <v>#REF!</v>
      </c>
      <c r="EW234" t="e">
        <f>AND('GA55 Entry'!#REF!,"AAAAAG/515g=")</f>
        <v>#REF!</v>
      </c>
      <c r="EX234" t="e">
        <f>AND('GA55 Entry'!#REF!,"AAAAAG/515k=")</f>
        <v>#REF!</v>
      </c>
      <c r="EY234" t="e">
        <f>AND('GA55 Entry'!#REF!,"AAAAAG/515o=")</f>
        <v>#REF!</v>
      </c>
      <c r="EZ234" t="e">
        <f>AND('GA55 Entry'!Z943,"AAAAAG/515s=")</f>
        <v>#VALUE!</v>
      </c>
      <c r="FA234" t="e">
        <f>AND('GA55 Entry'!AA943,"AAAAAG/515w=")</f>
        <v>#VALUE!</v>
      </c>
      <c r="FB234" t="e">
        <f>AND('GA55 Entry'!#REF!,"AAAAAG/5150=")</f>
        <v>#REF!</v>
      </c>
      <c r="FC234" t="e">
        <f>AND('GA55 Entry'!#REF!,"AAAAAG/5154=")</f>
        <v>#REF!</v>
      </c>
      <c r="FD234" t="e">
        <f>AND('GA55 Entry'!#REF!,"AAAAAG/5158=")</f>
        <v>#REF!</v>
      </c>
      <c r="FE234" t="e">
        <f>AND('GA55 Entry'!AB943,"AAAAAG/516A=")</f>
        <v>#VALUE!</v>
      </c>
      <c r="FF234" t="e">
        <f>AND('GA55 Entry'!AC943,"AAAAAG/516E=")</f>
        <v>#VALUE!</v>
      </c>
      <c r="FG234" t="e">
        <f>AND('GA55 Entry'!#REF!,"AAAAAG/516I=")</f>
        <v>#REF!</v>
      </c>
      <c r="FH234">
        <f>IF('GA55 Entry'!944:944,"AAAAAG/516M=",0)</f>
        <v>0</v>
      </c>
      <c r="FI234" t="e">
        <f>AND('GA55 Entry'!B944,"AAAAAG/516Q=")</f>
        <v>#VALUE!</v>
      </c>
      <c r="FJ234" t="e">
        <f>AND('GA55 Entry'!#REF!,"AAAAAG/516U=")</f>
        <v>#REF!</v>
      </c>
      <c r="FK234" t="e">
        <f>AND('GA55 Entry'!C944,"AAAAAG/516Y=")</f>
        <v>#VALUE!</v>
      </c>
      <c r="FL234" t="e">
        <f>AND('GA55 Entry'!#REF!,"AAAAAG/516c=")</f>
        <v>#REF!</v>
      </c>
      <c r="FM234" t="e">
        <f>AND('GA55 Entry'!#REF!,"AAAAAG/516g=")</f>
        <v>#REF!</v>
      </c>
      <c r="FN234" t="e">
        <f>AND('GA55 Entry'!#REF!,"AAAAAG/516k=")</f>
        <v>#REF!</v>
      </c>
      <c r="FO234" t="e">
        <f>AND('GA55 Entry'!#REF!,"AAAAAG/516o=")</f>
        <v>#REF!</v>
      </c>
      <c r="FP234" t="e">
        <f>AND('GA55 Entry'!#REF!,"AAAAAG/516s=")</f>
        <v>#REF!</v>
      </c>
      <c r="FQ234" t="e">
        <f>AND('GA55 Entry'!D944,"AAAAAG/516w=")</f>
        <v>#VALUE!</v>
      </c>
      <c r="FR234" t="e">
        <f>AND('GA55 Entry'!#REF!,"AAAAAG/5160=")</f>
        <v>#REF!</v>
      </c>
      <c r="FS234" t="e">
        <f>AND('GA55 Entry'!E944,"AAAAAG/5164=")</f>
        <v>#VALUE!</v>
      </c>
      <c r="FT234" t="e">
        <f>AND('GA55 Entry'!F944,"AAAAAG/5168=")</f>
        <v>#VALUE!</v>
      </c>
      <c r="FU234" t="e">
        <f>AND('GA55 Entry'!G944,"AAAAAG/517A=")</f>
        <v>#VALUE!</v>
      </c>
      <c r="FV234" t="e">
        <f>AND('GA55 Entry'!H944,"AAAAAG/517E=")</f>
        <v>#VALUE!</v>
      </c>
      <c r="FW234" t="e">
        <f>AND('GA55 Entry'!I944,"AAAAAG/517I=")</f>
        <v>#VALUE!</v>
      </c>
      <c r="FX234" t="e">
        <f>AND('GA55 Entry'!J944,"AAAAAG/517M=")</f>
        <v>#VALUE!</v>
      </c>
      <c r="FY234" t="e">
        <f>AND('GA55 Entry'!#REF!,"AAAAAG/517Q=")</f>
        <v>#REF!</v>
      </c>
      <c r="FZ234" t="e">
        <f>AND('GA55 Entry'!K944,"AAAAAG/517U=")</f>
        <v>#VALUE!</v>
      </c>
      <c r="GA234" t="e">
        <f>AND('GA55 Entry'!L944,"AAAAAG/517Y=")</f>
        <v>#VALUE!</v>
      </c>
      <c r="GB234" t="e">
        <f>AND('GA55 Entry'!M944,"AAAAAG/517c=")</f>
        <v>#VALUE!</v>
      </c>
      <c r="GC234" t="e">
        <f>AND('GA55 Entry'!N944,"AAAAAG/517g=")</f>
        <v>#VALUE!</v>
      </c>
      <c r="GD234" t="e">
        <f>AND('GA55 Entry'!O944,"AAAAAG/517k=")</f>
        <v>#VALUE!</v>
      </c>
      <c r="GE234" t="e">
        <f>AND('GA55 Entry'!P944,"AAAAAG/517o=")</f>
        <v>#VALUE!</v>
      </c>
      <c r="GF234" t="e">
        <f>AND('GA55 Entry'!Q944,"AAAAAG/517s=")</f>
        <v>#VALUE!</v>
      </c>
      <c r="GG234" t="e">
        <f>AND('GA55 Entry'!S944,"AAAAAG/517w=")</f>
        <v>#VALUE!</v>
      </c>
      <c r="GH234" t="e">
        <f>AND('GA55 Entry'!#REF!,"AAAAAG/5170=")</f>
        <v>#REF!</v>
      </c>
      <c r="GI234" t="e">
        <f>AND('GA55 Entry'!T944,"AAAAAG/5174=")</f>
        <v>#VALUE!</v>
      </c>
      <c r="GJ234" t="e">
        <f>AND('GA55 Entry'!U944,"AAAAAG/5178=")</f>
        <v>#VALUE!</v>
      </c>
      <c r="GK234" t="e">
        <f>AND('GA55 Entry'!V944,"AAAAAG/518A=")</f>
        <v>#VALUE!</v>
      </c>
      <c r="GL234" t="e">
        <f>AND('GA55 Entry'!#REF!,"AAAAAG/518E=")</f>
        <v>#REF!</v>
      </c>
      <c r="GM234" t="e">
        <f>AND('GA55 Entry'!#REF!,"AAAAAG/518I=")</f>
        <v>#REF!</v>
      </c>
      <c r="GN234" t="e">
        <f>AND('GA55 Entry'!X944,"AAAAAG/518M=")</f>
        <v>#VALUE!</v>
      </c>
      <c r="GO234" t="e">
        <f>AND('GA55 Entry'!Y944,"AAAAAG/518Q=")</f>
        <v>#VALUE!</v>
      </c>
      <c r="GP234" t="e">
        <f>AND('GA55 Entry'!#REF!,"AAAAAG/518U=")</f>
        <v>#REF!</v>
      </c>
      <c r="GQ234" t="e">
        <f>AND('GA55 Entry'!#REF!,"AAAAAG/518Y=")</f>
        <v>#REF!</v>
      </c>
      <c r="GR234" t="e">
        <f>AND('GA55 Entry'!#REF!,"AAAAAG/518c=")</f>
        <v>#REF!</v>
      </c>
      <c r="GS234" t="e">
        <f>AND('GA55 Entry'!#REF!,"AAAAAG/518g=")</f>
        <v>#REF!</v>
      </c>
      <c r="GT234" t="e">
        <f>AND('GA55 Entry'!#REF!,"AAAAAG/518k=")</f>
        <v>#REF!</v>
      </c>
      <c r="GU234" t="e">
        <f>AND('GA55 Entry'!#REF!,"AAAAAG/518o=")</f>
        <v>#REF!</v>
      </c>
      <c r="GV234" t="e">
        <f>AND('GA55 Entry'!#REF!,"AAAAAG/518s=")</f>
        <v>#REF!</v>
      </c>
      <c r="GW234" t="e">
        <f>AND('GA55 Entry'!#REF!,"AAAAAG/518w=")</f>
        <v>#REF!</v>
      </c>
      <c r="GX234" t="e">
        <f>AND('GA55 Entry'!#REF!,"AAAAAG/5180=")</f>
        <v>#REF!</v>
      </c>
      <c r="GY234" t="e">
        <f>AND('GA55 Entry'!Z944,"AAAAAG/5184=")</f>
        <v>#VALUE!</v>
      </c>
      <c r="GZ234" t="e">
        <f>AND('GA55 Entry'!AA944,"AAAAAG/5188=")</f>
        <v>#VALUE!</v>
      </c>
      <c r="HA234" t="e">
        <f>AND('GA55 Entry'!#REF!,"AAAAAG/519A=")</f>
        <v>#REF!</v>
      </c>
      <c r="HB234" t="e">
        <f>AND('GA55 Entry'!#REF!,"AAAAAG/519E=")</f>
        <v>#REF!</v>
      </c>
      <c r="HC234" t="e">
        <f>AND('GA55 Entry'!#REF!,"AAAAAG/519I=")</f>
        <v>#REF!</v>
      </c>
      <c r="HD234" t="e">
        <f>AND('GA55 Entry'!AB944,"AAAAAG/519M=")</f>
        <v>#VALUE!</v>
      </c>
      <c r="HE234" t="e">
        <f>AND('GA55 Entry'!AC944,"AAAAAG/519Q=")</f>
        <v>#VALUE!</v>
      </c>
      <c r="HF234" t="e">
        <f>AND('GA55 Entry'!#REF!,"AAAAAG/519U=")</f>
        <v>#REF!</v>
      </c>
      <c r="HG234">
        <f>IF('GA55 Entry'!945:945,"AAAAAG/519Y=",0)</f>
        <v>0</v>
      </c>
      <c r="HH234" t="e">
        <f>AND('GA55 Entry'!B945,"AAAAAG/519c=")</f>
        <v>#VALUE!</v>
      </c>
      <c r="HI234" t="e">
        <f>AND('GA55 Entry'!#REF!,"AAAAAG/519g=")</f>
        <v>#REF!</v>
      </c>
      <c r="HJ234" t="e">
        <f>AND('GA55 Entry'!C945,"AAAAAG/519k=")</f>
        <v>#VALUE!</v>
      </c>
      <c r="HK234" t="e">
        <f>AND('GA55 Entry'!#REF!,"AAAAAG/519o=")</f>
        <v>#REF!</v>
      </c>
      <c r="HL234" t="e">
        <f>AND('GA55 Entry'!#REF!,"AAAAAG/519s=")</f>
        <v>#REF!</v>
      </c>
      <c r="HM234" t="e">
        <f>AND('GA55 Entry'!#REF!,"AAAAAG/519w=")</f>
        <v>#REF!</v>
      </c>
      <c r="HN234" t="e">
        <f>AND('GA55 Entry'!#REF!,"AAAAAG/5190=")</f>
        <v>#REF!</v>
      </c>
      <c r="HO234" t="e">
        <f>AND('GA55 Entry'!#REF!,"AAAAAG/5194=")</f>
        <v>#REF!</v>
      </c>
      <c r="HP234" t="e">
        <f>AND('GA55 Entry'!D945,"AAAAAG/5198=")</f>
        <v>#VALUE!</v>
      </c>
      <c r="HQ234" t="e">
        <f>AND('GA55 Entry'!#REF!,"AAAAAG/51+A=")</f>
        <v>#REF!</v>
      </c>
      <c r="HR234" t="e">
        <f>AND('GA55 Entry'!E945,"AAAAAG/51+E=")</f>
        <v>#VALUE!</v>
      </c>
      <c r="HS234" t="e">
        <f>AND('GA55 Entry'!F945,"AAAAAG/51+I=")</f>
        <v>#VALUE!</v>
      </c>
      <c r="HT234" t="e">
        <f>AND('GA55 Entry'!G945,"AAAAAG/51+M=")</f>
        <v>#VALUE!</v>
      </c>
      <c r="HU234" t="e">
        <f>AND('GA55 Entry'!H945,"AAAAAG/51+Q=")</f>
        <v>#VALUE!</v>
      </c>
      <c r="HV234" t="e">
        <f>AND('GA55 Entry'!I945,"AAAAAG/51+U=")</f>
        <v>#VALUE!</v>
      </c>
      <c r="HW234" t="e">
        <f>AND('GA55 Entry'!J945,"AAAAAG/51+Y=")</f>
        <v>#VALUE!</v>
      </c>
      <c r="HX234" t="e">
        <f>AND('GA55 Entry'!#REF!,"AAAAAG/51+c=")</f>
        <v>#REF!</v>
      </c>
      <c r="HY234" t="e">
        <f>AND('GA55 Entry'!K945,"AAAAAG/51+g=")</f>
        <v>#VALUE!</v>
      </c>
      <c r="HZ234" t="e">
        <f>AND('GA55 Entry'!L945,"AAAAAG/51+k=")</f>
        <v>#VALUE!</v>
      </c>
      <c r="IA234" t="e">
        <f>AND('GA55 Entry'!M945,"AAAAAG/51+o=")</f>
        <v>#VALUE!</v>
      </c>
      <c r="IB234" t="e">
        <f>AND('GA55 Entry'!N945,"AAAAAG/51+s=")</f>
        <v>#VALUE!</v>
      </c>
      <c r="IC234" t="e">
        <f>AND('GA55 Entry'!O945,"AAAAAG/51+w=")</f>
        <v>#VALUE!</v>
      </c>
      <c r="ID234" t="e">
        <f>AND('GA55 Entry'!P945,"AAAAAG/51+0=")</f>
        <v>#VALUE!</v>
      </c>
      <c r="IE234" t="e">
        <f>AND('GA55 Entry'!Q945,"AAAAAG/51+4=")</f>
        <v>#VALUE!</v>
      </c>
      <c r="IF234" t="e">
        <f>AND('GA55 Entry'!S945,"AAAAAG/51+8=")</f>
        <v>#VALUE!</v>
      </c>
      <c r="IG234" t="e">
        <f>AND('GA55 Entry'!#REF!,"AAAAAG/51/A=")</f>
        <v>#REF!</v>
      </c>
      <c r="IH234" t="e">
        <f>AND('GA55 Entry'!T945,"AAAAAG/51/E=")</f>
        <v>#VALUE!</v>
      </c>
      <c r="II234" t="e">
        <f>AND('GA55 Entry'!U945,"AAAAAG/51/I=")</f>
        <v>#VALUE!</v>
      </c>
      <c r="IJ234" t="e">
        <f>AND('GA55 Entry'!V945,"AAAAAG/51/M=")</f>
        <v>#VALUE!</v>
      </c>
      <c r="IK234" t="e">
        <f>AND('GA55 Entry'!#REF!,"AAAAAG/51/Q=")</f>
        <v>#REF!</v>
      </c>
      <c r="IL234" t="e">
        <f>AND('GA55 Entry'!#REF!,"AAAAAG/51/U=")</f>
        <v>#REF!</v>
      </c>
      <c r="IM234" t="e">
        <f>AND('GA55 Entry'!X945,"AAAAAG/51/Y=")</f>
        <v>#VALUE!</v>
      </c>
      <c r="IN234" t="e">
        <f>AND('GA55 Entry'!Y945,"AAAAAG/51/c=")</f>
        <v>#VALUE!</v>
      </c>
      <c r="IO234" t="e">
        <f>AND('GA55 Entry'!#REF!,"AAAAAG/51/g=")</f>
        <v>#REF!</v>
      </c>
      <c r="IP234" t="e">
        <f>AND('GA55 Entry'!#REF!,"AAAAAG/51/k=")</f>
        <v>#REF!</v>
      </c>
      <c r="IQ234" t="e">
        <f>AND('GA55 Entry'!#REF!,"AAAAAG/51/o=")</f>
        <v>#REF!</v>
      </c>
      <c r="IR234" t="e">
        <f>AND('GA55 Entry'!#REF!,"AAAAAG/51/s=")</f>
        <v>#REF!</v>
      </c>
      <c r="IS234" t="e">
        <f>AND('GA55 Entry'!#REF!,"AAAAAG/51/w=")</f>
        <v>#REF!</v>
      </c>
      <c r="IT234" t="e">
        <f>AND('GA55 Entry'!#REF!,"AAAAAG/51/0=")</f>
        <v>#REF!</v>
      </c>
      <c r="IU234" t="e">
        <f>AND('GA55 Entry'!#REF!,"AAAAAG/51/4=")</f>
        <v>#REF!</v>
      </c>
      <c r="IV234" t="e">
        <f>AND('GA55 Entry'!#REF!,"AAAAAG/51/8=")</f>
        <v>#REF!</v>
      </c>
    </row>
    <row r="235" spans="1:256">
      <c r="A235" t="e">
        <f>AND('GA55 Entry'!#REF!,"AAAAAH1cDgA=")</f>
        <v>#REF!</v>
      </c>
      <c r="B235" t="e">
        <f>AND('GA55 Entry'!Z945,"AAAAAH1cDgE=")</f>
        <v>#VALUE!</v>
      </c>
      <c r="C235" t="e">
        <f>AND('GA55 Entry'!AA945,"AAAAAH1cDgI=")</f>
        <v>#VALUE!</v>
      </c>
      <c r="D235" t="e">
        <f>AND('GA55 Entry'!#REF!,"AAAAAH1cDgM=")</f>
        <v>#REF!</v>
      </c>
      <c r="E235" t="e">
        <f>AND('GA55 Entry'!#REF!,"AAAAAH1cDgQ=")</f>
        <v>#REF!</v>
      </c>
      <c r="F235" t="e">
        <f>AND('GA55 Entry'!#REF!,"AAAAAH1cDgU=")</f>
        <v>#REF!</v>
      </c>
      <c r="G235" t="e">
        <f>AND('GA55 Entry'!AB945,"AAAAAH1cDgY=")</f>
        <v>#VALUE!</v>
      </c>
      <c r="H235" t="e">
        <f>AND('GA55 Entry'!AC945,"AAAAAH1cDgc=")</f>
        <v>#VALUE!</v>
      </c>
      <c r="I235" t="e">
        <f>AND('GA55 Entry'!#REF!,"AAAAAH1cDgg=")</f>
        <v>#REF!</v>
      </c>
      <c r="J235">
        <f>IF('GA55 Entry'!946:946,"AAAAAH1cDgk=",0)</f>
        <v>0</v>
      </c>
      <c r="K235" t="e">
        <f>AND('GA55 Entry'!B946,"AAAAAH1cDgo=")</f>
        <v>#VALUE!</v>
      </c>
      <c r="L235" t="e">
        <f>AND('GA55 Entry'!#REF!,"AAAAAH1cDgs=")</f>
        <v>#REF!</v>
      </c>
      <c r="M235" t="e">
        <f>AND('GA55 Entry'!C946,"AAAAAH1cDgw=")</f>
        <v>#VALUE!</v>
      </c>
      <c r="N235" t="e">
        <f>AND('GA55 Entry'!#REF!,"AAAAAH1cDg0=")</f>
        <v>#REF!</v>
      </c>
      <c r="O235" t="e">
        <f>AND('GA55 Entry'!#REF!,"AAAAAH1cDg4=")</f>
        <v>#REF!</v>
      </c>
      <c r="P235" t="e">
        <f>AND('GA55 Entry'!#REF!,"AAAAAH1cDg8=")</f>
        <v>#REF!</v>
      </c>
      <c r="Q235" t="e">
        <f>AND('GA55 Entry'!#REF!,"AAAAAH1cDhA=")</f>
        <v>#REF!</v>
      </c>
      <c r="R235" t="e">
        <f>AND('GA55 Entry'!#REF!,"AAAAAH1cDhE=")</f>
        <v>#REF!</v>
      </c>
      <c r="S235" t="e">
        <f>AND('GA55 Entry'!D946,"AAAAAH1cDhI=")</f>
        <v>#VALUE!</v>
      </c>
      <c r="T235" t="e">
        <f>AND('GA55 Entry'!#REF!,"AAAAAH1cDhM=")</f>
        <v>#REF!</v>
      </c>
      <c r="U235" t="e">
        <f>AND('GA55 Entry'!E946,"AAAAAH1cDhQ=")</f>
        <v>#VALUE!</v>
      </c>
      <c r="V235" t="e">
        <f>AND('GA55 Entry'!F946,"AAAAAH1cDhU=")</f>
        <v>#VALUE!</v>
      </c>
      <c r="W235" t="e">
        <f>AND('GA55 Entry'!G946,"AAAAAH1cDhY=")</f>
        <v>#VALUE!</v>
      </c>
      <c r="X235" t="e">
        <f>AND('GA55 Entry'!H946,"AAAAAH1cDhc=")</f>
        <v>#VALUE!</v>
      </c>
      <c r="Y235" t="e">
        <f>AND('GA55 Entry'!I946,"AAAAAH1cDhg=")</f>
        <v>#VALUE!</v>
      </c>
      <c r="Z235" t="e">
        <f>AND('GA55 Entry'!J946,"AAAAAH1cDhk=")</f>
        <v>#VALUE!</v>
      </c>
      <c r="AA235" t="e">
        <f>AND('GA55 Entry'!#REF!,"AAAAAH1cDho=")</f>
        <v>#REF!</v>
      </c>
      <c r="AB235" t="e">
        <f>AND('GA55 Entry'!K946,"AAAAAH1cDhs=")</f>
        <v>#VALUE!</v>
      </c>
      <c r="AC235" t="e">
        <f>AND('GA55 Entry'!L946,"AAAAAH1cDhw=")</f>
        <v>#VALUE!</v>
      </c>
      <c r="AD235" t="e">
        <f>AND('GA55 Entry'!M946,"AAAAAH1cDh0=")</f>
        <v>#VALUE!</v>
      </c>
      <c r="AE235" t="e">
        <f>AND('GA55 Entry'!N946,"AAAAAH1cDh4=")</f>
        <v>#VALUE!</v>
      </c>
      <c r="AF235" t="e">
        <f>AND('GA55 Entry'!O946,"AAAAAH1cDh8=")</f>
        <v>#VALUE!</v>
      </c>
      <c r="AG235" t="e">
        <f>AND('GA55 Entry'!P946,"AAAAAH1cDiA=")</f>
        <v>#VALUE!</v>
      </c>
      <c r="AH235" t="e">
        <f>AND('GA55 Entry'!Q946,"AAAAAH1cDiE=")</f>
        <v>#VALUE!</v>
      </c>
      <c r="AI235" t="e">
        <f>AND('GA55 Entry'!S946,"AAAAAH1cDiI=")</f>
        <v>#VALUE!</v>
      </c>
      <c r="AJ235" t="e">
        <f>AND('GA55 Entry'!#REF!,"AAAAAH1cDiM=")</f>
        <v>#REF!</v>
      </c>
      <c r="AK235" t="e">
        <f>AND('GA55 Entry'!T946,"AAAAAH1cDiQ=")</f>
        <v>#VALUE!</v>
      </c>
      <c r="AL235" t="e">
        <f>AND('GA55 Entry'!U946,"AAAAAH1cDiU=")</f>
        <v>#VALUE!</v>
      </c>
      <c r="AM235" t="e">
        <f>AND('GA55 Entry'!V946,"AAAAAH1cDiY=")</f>
        <v>#VALUE!</v>
      </c>
      <c r="AN235" t="e">
        <f>AND('GA55 Entry'!#REF!,"AAAAAH1cDic=")</f>
        <v>#REF!</v>
      </c>
      <c r="AO235" t="e">
        <f>AND('GA55 Entry'!#REF!,"AAAAAH1cDig=")</f>
        <v>#REF!</v>
      </c>
      <c r="AP235" t="e">
        <f>AND('GA55 Entry'!X946,"AAAAAH1cDik=")</f>
        <v>#VALUE!</v>
      </c>
      <c r="AQ235" t="e">
        <f>AND('GA55 Entry'!Y946,"AAAAAH1cDio=")</f>
        <v>#VALUE!</v>
      </c>
      <c r="AR235" t="e">
        <f>AND('GA55 Entry'!#REF!,"AAAAAH1cDis=")</f>
        <v>#REF!</v>
      </c>
      <c r="AS235" t="e">
        <f>AND('GA55 Entry'!#REF!,"AAAAAH1cDiw=")</f>
        <v>#REF!</v>
      </c>
      <c r="AT235" t="e">
        <f>AND('GA55 Entry'!#REF!,"AAAAAH1cDi0=")</f>
        <v>#REF!</v>
      </c>
      <c r="AU235" t="e">
        <f>AND('GA55 Entry'!#REF!,"AAAAAH1cDi4=")</f>
        <v>#REF!</v>
      </c>
      <c r="AV235" t="e">
        <f>AND('GA55 Entry'!#REF!,"AAAAAH1cDi8=")</f>
        <v>#REF!</v>
      </c>
      <c r="AW235" t="e">
        <f>AND('GA55 Entry'!#REF!,"AAAAAH1cDjA=")</f>
        <v>#REF!</v>
      </c>
      <c r="AX235" t="e">
        <f>AND('GA55 Entry'!#REF!,"AAAAAH1cDjE=")</f>
        <v>#REF!</v>
      </c>
      <c r="AY235" t="e">
        <f>AND('GA55 Entry'!#REF!,"AAAAAH1cDjI=")</f>
        <v>#REF!</v>
      </c>
      <c r="AZ235" t="e">
        <f>AND('GA55 Entry'!#REF!,"AAAAAH1cDjM=")</f>
        <v>#REF!</v>
      </c>
      <c r="BA235" t="e">
        <f>AND('GA55 Entry'!Z946,"AAAAAH1cDjQ=")</f>
        <v>#VALUE!</v>
      </c>
      <c r="BB235" t="e">
        <f>AND('GA55 Entry'!AA946,"AAAAAH1cDjU=")</f>
        <v>#VALUE!</v>
      </c>
      <c r="BC235" t="e">
        <f>AND('GA55 Entry'!#REF!,"AAAAAH1cDjY=")</f>
        <v>#REF!</v>
      </c>
      <c r="BD235" t="e">
        <f>AND('GA55 Entry'!#REF!,"AAAAAH1cDjc=")</f>
        <v>#REF!</v>
      </c>
      <c r="BE235" t="e">
        <f>AND('GA55 Entry'!#REF!,"AAAAAH1cDjg=")</f>
        <v>#REF!</v>
      </c>
      <c r="BF235" t="e">
        <f>AND('GA55 Entry'!AB946,"AAAAAH1cDjk=")</f>
        <v>#VALUE!</v>
      </c>
      <c r="BG235" t="e">
        <f>AND('GA55 Entry'!AC946,"AAAAAH1cDjo=")</f>
        <v>#VALUE!</v>
      </c>
      <c r="BH235" t="e">
        <f>AND('GA55 Entry'!#REF!,"AAAAAH1cDjs=")</f>
        <v>#REF!</v>
      </c>
      <c r="BI235">
        <f>IF('GA55 Entry'!947:947,"AAAAAH1cDjw=",0)</f>
        <v>0</v>
      </c>
      <c r="BJ235" t="e">
        <f>AND('GA55 Entry'!B947,"AAAAAH1cDj0=")</f>
        <v>#VALUE!</v>
      </c>
      <c r="BK235" t="e">
        <f>AND('GA55 Entry'!#REF!,"AAAAAH1cDj4=")</f>
        <v>#REF!</v>
      </c>
      <c r="BL235" t="e">
        <f>AND('GA55 Entry'!C947,"AAAAAH1cDj8=")</f>
        <v>#VALUE!</v>
      </c>
      <c r="BM235" t="e">
        <f>AND('GA55 Entry'!#REF!,"AAAAAH1cDkA=")</f>
        <v>#REF!</v>
      </c>
      <c r="BN235" t="e">
        <f>AND('GA55 Entry'!#REF!,"AAAAAH1cDkE=")</f>
        <v>#REF!</v>
      </c>
      <c r="BO235" t="e">
        <f>AND('GA55 Entry'!#REF!,"AAAAAH1cDkI=")</f>
        <v>#REF!</v>
      </c>
      <c r="BP235" t="e">
        <f>AND('GA55 Entry'!#REF!,"AAAAAH1cDkM=")</f>
        <v>#REF!</v>
      </c>
      <c r="BQ235" t="e">
        <f>AND('GA55 Entry'!#REF!,"AAAAAH1cDkQ=")</f>
        <v>#REF!</v>
      </c>
      <c r="BR235" t="e">
        <f>AND('GA55 Entry'!D947,"AAAAAH1cDkU=")</f>
        <v>#VALUE!</v>
      </c>
      <c r="BS235" t="e">
        <f>AND('GA55 Entry'!#REF!,"AAAAAH1cDkY=")</f>
        <v>#REF!</v>
      </c>
      <c r="BT235" t="e">
        <f>AND('GA55 Entry'!E947,"AAAAAH1cDkc=")</f>
        <v>#VALUE!</v>
      </c>
      <c r="BU235" t="e">
        <f>AND('GA55 Entry'!F947,"AAAAAH1cDkg=")</f>
        <v>#VALUE!</v>
      </c>
      <c r="BV235" t="e">
        <f>AND('GA55 Entry'!G947,"AAAAAH1cDkk=")</f>
        <v>#VALUE!</v>
      </c>
      <c r="BW235" t="e">
        <f>AND('GA55 Entry'!H947,"AAAAAH1cDko=")</f>
        <v>#VALUE!</v>
      </c>
      <c r="BX235" t="e">
        <f>AND('GA55 Entry'!I947,"AAAAAH1cDks=")</f>
        <v>#VALUE!</v>
      </c>
      <c r="BY235" t="e">
        <f>AND('GA55 Entry'!J947,"AAAAAH1cDkw=")</f>
        <v>#VALUE!</v>
      </c>
      <c r="BZ235" t="e">
        <f>AND('GA55 Entry'!#REF!,"AAAAAH1cDk0=")</f>
        <v>#REF!</v>
      </c>
      <c r="CA235" t="e">
        <f>AND('GA55 Entry'!K947,"AAAAAH1cDk4=")</f>
        <v>#VALUE!</v>
      </c>
      <c r="CB235" t="e">
        <f>AND('GA55 Entry'!L947,"AAAAAH1cDk8=")</f>
        <v>#VALUE!</v>
      </c>
      <c r="CC235" t="e">
        <f>AND('GA55 Entry'!M947,"AAAAAH1cDlA=")</f>
        <v>#VALUE!</v>
      </c>
      <c r="CD235" t="e">
        <f>AND('GA55 Entry'!N947,"AAAAAH1cDlE=")</f>
        <v>#VALUE!</v>
      </c>
      <c r="CE235" t="e">
        <f>AND('GA55 Entry'!O947,"AAAAAH1cDlI=")</f>
        <v>#VALUE!</v>
      </c>
      <c r="CF235" t="e">
        <f>AND('GA55 Entry'!P947,"AAAAAH1cDlM=")</f>
        <v>#VALUE!</v>
      </c>
      <c r="CG235" t="e">
        <f>AND('GA55 Entry'!Q947,"AAAAAH1cDlQ=")</f>
        <v>#VALUE!</v>
      </c>
      <c r="CH235" t="e">
        <f>AND('GA55 Entry'!S947,"AAAAAH1cDlU=")</f>
        <v>#VALUE!</v>
      </c>
      <c r="CI235" t="e">
        <f>AND('GA55 Entry'!#REF!,"AAAAAH1cDlY=")</f>
        <v>#REF!</v>
      </c>
      <c r="CJ235" t="e">
        <f>AND('GA55 Entry'!T947,"AAAAAH1cDlc=")</f>
        <v>#VALUE!</v>
      </c>
      <c r="CK235" t="e">
        <f>AND('GA55 Entry'!U947,"AAAAAH1cDlg=")</f>
        <v>#VALUE!</v>
      </c>
      <c r="CL235" t="e">
        <f>AND('GA55 Entry'!V947,"AAAAAH1cDlk=")</f>
        <v>#VALUE!</v>
      </c>
      <c r="CM235" t="e">
        <f>AND('GA55 Entry'!#REF!,"AAAAAH1cDlo=")</f>
        <v>#REF!</v>
      </c>
      <c r="CN235" t="e">
        <f>AND('GA55 Entry'!#REF!,"AAAAAH1cDls=")</f>
        <v>#REF!</v>
      </c>
      <c r="CO235" t="e">
        <f>AND('GA55 Entry'!X947,"AAAAAH1cDlw=")</f>
        <v>#VALUE!</v>
      </c>
      <c r="CP235" t="e">
        <f>AND('GA55 Entry'!Y947,"AAAAAH1cDl0=")</f>
        <v>#VALUE!</v>
      </c>
      <c r="CQ235" t="e">
        <f>AND('GA55 Entry'!#REF!,"AAAAAH1cDl4=")</f>
        <v>#REF!</v>
      </c>
      <c r="CR235" t="e">
        <f>AND('GA55 Entry'!#REF!,"AAAAAH1cDl8=")</f>
        <v>#REF!</v>
      </c>
      <c r="CS235" t="e">
        <f>AND('GA55 Entry'!#REF!,"AAAAAH1cDmA=")</f>
        <v>#REF!</v>
      </c>
      <c r="CT235" t="e">
        <f>AND('GA55 Entry'!#REF!,"AAAAAH1cDmE=")</f>
        <v>#REF!</v>
      </c>
      <c r="CU235" t="e">
        <f>AND('GA55 Entry'!#REF!,"AAAAAH1cDmI=")</f>
        <v>#REF!</v>
      </c>
      <c r="CV235" t="e">
        <f>AND('GA55 Entry'!#REF!,"AAAAAH1cDmM=")</f>
        <v>#REF!</v>
      </c>
      <c r="CW235" t="e">
        <f>AND('GA55 Entry'!#REF!,"AAAAAH1cDmQ=")</f>
        <v>#REF!</v>
      </c>
      <c r="CX235" t="e">
        <f>AND('GA55 Entry'!#REF!,"AAAAAH1cDmU=")</f>
        <v>#REF!</v>
      </c>
      <c r="CY235" t="e">
        <f>AND('GA55 Entry'!#REF!,"AAAAAH1cDmY=")</f>
        <v>#REF!</v>
      </c>
      <c r="CZ235" t="e">
        <f>AND('GA55 Entry'!Z947,"AAAAAH1cDmc=")</f>
        <v>#VALUE!</v>
      </c>
      <c r="DA235" t="e">
        <f>AND('GA55 Entry'!AA947,"AAAAAH1cDmg=")</f>
        <v>#VALUE!</v>
      </c>
      <c r="DB235" t="e">
        <f>AND('GA55 Entry'!#REF!,"AAAAAH1cDmk=")</f>
        <v>#REF!</v>
      </c>
      <c r="DC235" t="e">
        <f>AND('GA55 Entry'!#REF!,"AAAAAH1cDmo=")</f>
        <v>#REF!</v>
      </c>
      <c r="DD235" t="e">
        <f>AND('GA55 Entry'!#REF!,"AAAAAH1cDms=")</f>
        <v>#REF!</v>
      </c>
      <c r="DE235" t="e">
        <f>AND('GA55 Entry'!AB947,"AAAAAH1cDmw=")</f>
        <v>#VALUE!</v>
      </c>
      <c r="DF235" t="e">
        <f>AND('GA55 Entry'!AC947,"AAAAAH1cDm0=")</f>
        <v>#VALUE!</v>
      </c>
      <c r="DG235" t="e">
        <f>AND('GA55 Entry'!#REF!,"AAAAAH1cDm4=")</f>
        <v>#REF!</v>
      </c>
      <c r="DH235">
        <f>IF('GA55 Entry'!948:948,"AAAAAH1cDm8=",0)</f>
        <v>0</v>
      </c>
      <c r="DI235" t="e">
        <f>AND('GA55 Entry'!B948,"AAAAAH1cDnA=")</f>
        <v>#VALUE!</v>
      </c>
      <c r="DJ235" t="e">
        <f>AND('GA55 Entry'!#REF!,"AAAAAH1cDnE=")</f>
        <v>#REF!</v>
      </c>
      <c r="DK235" t="e">
        <f>AND('GA55 Entry'!C948,"AAAAAH1cDnI=")</f>
        <v>#VALUE!</v>
      </c>
      <c r="DL235" t="e">
        <f>AND('GA55 Entry'!#REF!,"AAAAAH1cDnM=")</f>
        <v>#REF!</v>
      </c>
      <c r="DM235" t="e">
        <f>AND('GA55 Entry'!#REF!,"AAAAAH1cDnQ=")</f>
        <v>#REF!</v>
      </c>
      <c r="DN235" t="e">
        <f>AND('GA55 Entry'!#REF!,"AAAAAH1cDnU=")</f>
        <v>#REF!</v>
      </c>
      <c r="DO235" t="e">
        <f>AND('GA55 Entry'!#REF!,"AAAAAH1cDnY=")</f>
        <v>#REF!</v>
      </c>
      <c r="DP235" t="e">
        <f>AND('GA55 Entry'!#REF!,"AAAAAH1cDnc=")</f>
        <v>#REF!</v>
      </c>
      <c r="DQ235" t="e">
        <f>AND('GA55 Entry'!D948,"AAAAAH1cDng=")</f>
        <v>#VALUE!</v>
      </c>
      <c r="DR235" t="e">
        <f>AND('GA55 Entry'!#REF!,"AAAAAH1cDnk=")</f>
        <v>#REF!</v>
      </c>
      <c r="DS235" t="e">
        <f>AND('GA55 Entry'!E948,"AAAAAH1cDno=")</f>
        <v>#VALUE!</v>
      </c>
      <c r="DT235" t="e">
        <f>AND('GA55 Entry'!F948,"AAAAAH1cDns=")</f>
        <v>#VALUE!</v>
      </c>
      <c r="DU235" t="e">
        <f>AND('GA55 Entry'!G948,"AAAAAH1cDnw=")</f>
        <v>#VALUE!</v>
      </c>
      <c r="DV235" t="e">
        <f>AND('GA55 Entry'!H948,"AAAAAH1cDn0=")</f>
        <v>#VALUE!</v>
      </c>
      <c r="DW235" t="e">
        <f>AND('GA55 Entry'!I948,"AAAAAH1cDn4=")</f>
        <v>#VALUE!</v>
      </c>
      <c r="DX235" t="e">
        <f>AND('GA55 Entry'!J948,"AAAAAH1cDn8=")</f>
        <v>#VALUE!</v>
      </c>
      <c r="DY235" t="e">
        <f>AND('GA55 Entry'!#REF!,"AAAAAH1cDoA=")</f>
        <v>#REF!</v>
      </c>
      <c r="DZ235" t="e">
        <f>AND('GA55 Entry'!K948,"AAAAAH1cDoE=")</f>
        <v>#VALUE!</v>
      </c>
      <c r="EA235" t="e">
        <f>AND('GA55 Entry'!L948,"AAAAAH1cDoI=")</f>
        <v>#VALUE!</v>
      </c>
      <c r="EB235" t="e">
        <f>AND('GA55 Entry'!M948,"AAAAAH1cDoM=")</f>
        <v>#VALUE!</v>
      </c>
      <c r="EC235" t="e">
        <f>AND('GA55 Entry'!N948,"AAAAAH1cDoQ=")</f>
        <v>#VALUE!</v>
      </c>
      <c r="ED235" t="e">
        <f>AND('GA55 Entry'!O948,"AAAAAH1cDoU=")</f>
        <v>#VALUE!</v>
      </c>
      <c r="EE235" t="e">
        <f>AND('GA55 Entry'!P948,"AAAAAH1cDoY=")</f>
        <v>#VALUE!</v>
      </c>
      <c r="EF235" t="e">
        <f>AND('GA55 Entry'!Q948,"AAAAAH1cDoc=")</f>
        <v>#VALUE!</v>
      </c>
      <c r="EG235" t="e">
        <f>AND('GA55 Entry'!S948,"AAAAAH1cDog=")</f>
        <v>#VALUE!</v>
      </c>
      <c r="EH235" t="e">
        <f>AND('GA55 Entry'!#REF!,"AAAAAH1cDok=")</f>
        <v>#REF!</v>
      </c>
      <c r="EI235" t="e">
        <f>AND('GA55 Entry'!T948,"AAAAAH1cDoo=")</f>
        <v>#VALUE!</v>
      </c>
      <c r="EJ235" t="e">
        <f>AND('GA55 Entry'!U948,"AAAAAH1cDos=")</f>
        <v>#VALUE!</v>
      </c>
      <c r="EK235" t="e">
        <f>AND('GA55 Entry'!V948,"AAAAAH1cDow=")</f>
        <v>#VALUE!</v>
      </c>
      <c r="EL235" t="e">
        <f>AND('GA55 Entry'!#REF!,"AAAAAH1cDo0=")</f>
        <v>#REF!</v>
      </c>
      <c r="EM235" t="e">
        <f>AND('GA55 Entry'!#REF!,"AAAAAH1cDo4=")</f>
        <v>#REF!</v>
      </c>
      <c r="EN235" t="e">
        <f>AND('GA55 Entry'!X948,"AAAAAH1cDo8=")</f>
        <v>#VALUE!</v>
      </c>
      <c r="EO235" t="e">
        <f>AND('GA55 Entry'!Y948,"AAAAAH1cDpA=")</f>
        <v>#VALUE!</v>
      </c>
      <c r="EP235" t="e">
        <f>AND('GA55 Entry'!#REF!,"AAAAAH1cDpE=")</f>
        <v>#REF!</v>
      </c>
      <c r="EQ235" t="e">
        <f>AND('GA55 Entry'!#REF!,"AAAAAH1cDpI=")</f>
        <v>#REF!</v>
      </c>
      <c r="ER235" t="e">
        <f>AND('GA55 Entry'!#REF!,"AAAAAH1cDpM=")</f>
        <v>#REF!</v>
      </c>
      <c r="ES235" t="e">
        <f>AND('GA55 Entry'!#REF!,"AAAAAH1cDpQ=")</f>
        <v>#REF!</v>
      </c>
      <c r="ET235" t="e">
        <f>AND('GA55 Entry'!#REF!,"AAAAAH1cDpU=")</f>
        <v>#REF!</v>
      </c>
      <c r="EU235" t="e">
        <f>AND('GA55 Entry'!#REF!,"AAAAAH1cDpY=")</f>
        <v>#REF!</v>
      </c>
      <c r="EV235" t="e">
        <f>AND('GA55 Entry'!#REF!,"AAAAAH1cDpc=")</f>
        <v>#REF!</v>
      </c>
      <c r="EW235" t="e">
        <f>AND('GA55 Entry'!#REF!,"AAAAAH1cDpg=")</f>
        <v>#REF!</v>
      </c>
      <c r="EX235" t="e">
        <f>AND('GA55 Entry'!#REF!,"AAAAAH1cDpk=")</f>
        <v>#REF!</v>
      </c>
      <c r="EY235" t="e">
        <f>AND('GA55 Entry'!Z948,"AAAAAH1cDpo=")</f>
        <v>#VALUE!</v>
      </c>
      <c r="EZ235" t="e">
        <f>AND('GA55 Entry'!AA948,"AAAAAH1cDps=")</f>
        <v>#VALUE!</v>
      </c>
      <c r="FA235" t="e">
        <f>AND('GA55 Entry'!#REF!,"AAAAAH1cDpw=")</f>
        <v>#REF!</v>
      </c>
      <c r="FB235" t="e">
        <f>AND('GA55 Entry'!#REF!,"AAAAAH1cDp0=")</f>
        <v>#REF!</v>
      </c>
      <c r="FC235" t="e">
        <f>AND('GA55 Entry'!#REF!,"AAAAAH1cDp4=")</f>
        <v>#REF!</v>
      </c>
      <c r="FD235" t="e">
        <f>AND('GA55 Entry'!AB948,"AAAAAH1cDp8=")</f>
        <v>#VALUE!</v>
      </c>
      <c r="FE235" t="e">
        <f>AND('GA55 Entry'!AC948,"AAAAAH1cDqA=")</f>
        <v>#VALUE!</v>
      </c>
      <c r="FF235" t="e">
        <f>AND('GA55 Entry'!#REF!,"AAAAAH1cDqE=")</f>
        <v>#REF!</v>
      </c>
      <c r="FG235">
        <f>IF('GA55 Entry'!949:949,"AAAAAH1cDqI=",0)</f>
        <v>0</v>
      </c>
      <c r="FH235" t="e">
        <f>AND('GA55 Entry'!B949,"AAAAAH1cDqM=")</f>
        <v>#VALUE!</v>
      </c>
      <c r="FI235" t="e">
        <f>AND('GA55 Entry'!#REF!,"AAAAAH1cDqQ=")</f>
        <v>#REF!</v>
      </c>
      <c r="FJ235" t="e">
        <f>AND('GA55 Entry'!C949,"AAAAAH1cDqU=")</f>
        <v>#VALUE!</v>
      </c>
      <c r="FK235" t="e">
        <f>AND('GA55 Entry'!#REF!,"AAAAAH1cDqY=")</f>
        <v>#REF!</v>
      </c>
      <c r="FL235" t="e">
        <f>AND('GA55 Entry'!#REF!,"AAAAAH1cDqc=")</f>
        <v>#REF!</v>
      </c>
      <c r="FM235" t="e">
        <f>AND('GA55 Entry'!#REF!,"AAAAAH1cDqg=")</f>
        <v>#REF!</v>
      </c>
      <c r="FN235" t="e">
        <f>AND('GA55 Entry'!#REF!,"AAAAAH1cDqk=")</f>
        <v>#REF!</v>
      </c>
      <c r="FO235" t="e">
        <f>AND('GA55 Entry'!#REF!,"AAAAAH1cDqo=")</f>
        <v>#REF!</v>
      </c>
      <c r="FP235" t="e">
        <f>AND('GA55 Entry'!D949,"AAAAAH1cDqs=")</f>
        <v>#VALUE!</v>
      </c>
      <c r="FQ235" t="e">
        <f>AND('GA55 Entry'!#REF!,"AAAAAH1cDqw=")</f>
        <v>#REF!</v>
      </c>
      <c r="FR235" t="e">
        <f>AND('GA55 Entry'!E949,"AAAAAH1cDq0=")</f>
        <v>#VALUE!</v>
      </c>
      <c r="FS235" t="e">
        <f>AND('GA55 Entry'!F949,"AAAAAH1cDq4=")</f>
        <v>#VALUE!</v>
      </c>
      <c r="FT235" t="e">
        <f>AND('GA55 Entry'!G949,"AAAAAH1cDq8=")</f>
        <v>#VALUE!</v>
      </c>
      <c r="FU235" t="e">
        <f>AND('GA55 Entry'!H949,"AAAAAH1cDrA=")</f>
        <v>#VALUE!</v>
      </c>
      <c r="FV235" t="e">
        <f>AND('GA55 Entry'!I949,"AAAAAH1cDrE=")</f>
        <v>#VALUE!</v>
      </c>
      <c r="FW235" t="e">
        <f>AND('GA55 Entry'!J949,"AAAAAH1cDrI=")</f>
        <v>#VALUE!</v>
      </c>
      <c r="FX235" t="e">
        <f>AND('GA55 Entry'!#REF!,"AAAAAH1cDrM=")</f>
        <v>#REF!</v>
      </c>
      <c r="FY235" t="e">
        <f>AND('GA55 Entry'!K949,"AAAAAH1cDrQ=")</f>
        <v>#VALUE!</v>
      </c>
      <c r="FZ235" t="e">
        <f>AND('GA55 Entry'!L949,"AAAAAH1cDrU=")</f>
        <v>#VALUE!</v>
      </c>
      <c r="GA235" t="e">
        <f>AND('GA55 Entry'!M949,"AAAAAH1cDrY=")</f>
        <v>#VALUE!</v>
      </c>
      <c r="GB235" t="e">
        <f>AND('GA55 Entry'!N949,"AAAAAH1cDrc=")</f>
        <v>#VALUE!</v>
      </c>
      <c r="GC235" t="e">
        <f>AND('GA55 Entry'!O949,"AAAAAH1cDrg=")</f>
        <v>#VALUE!</v>
      </c>
      <c r="GD235" t="e">
        <f>AND('GA55 Entry'!P949,"AAAAAH1cDrk=")</f>
        <v>#VALUE!</v>
      </c>
      <c r="GE235" t="e">
        <f>AND('GA55 Entry'!Q949,"AAAAAH1cDro=")</f>
        <v>#VALUE!</v>
      </c>
      <c r="GF235" t="e">
        <f>AND('GA55 Entry'!S949,"AAAAAH1cDrs=")</f>
        <v>#VALUE!</v>
      </c>
      <c r="GG235" t="e">
        <f>AND('GA55 Entry'!#REF!,"AAAAAH1cDrw=")</f>
        <v>#REF!</v>
      </c>
      <c r="GH235" t="e">
        <f>AND('GA55 Entry'!T949,"AAAAAH1cDr0=")</f>
        <v>#VALUE!</v>
      </c>
      <c r="GI235" t="e">
        <f>AND('GA55 Entry'!U949,"AAAAAH1cDr4=")</f>
        <v>#VALUE!</v>
      </c>
      <c r="GJ235" t="e">
        <f>AND('GA55 Entry'!V949,"AAAAAH1cDr8=")</f>
        <v>#VALUE!</v>
      </c>
      <c r="GK235" t="e">
        <f>AND('GA55 Entry'!#REF!,"AAAAAH1cDsA=")</f>
        <v>#REF!</v>
      </c>
      <c r="GL235" t="e">
        <f>AND('GA55 Entry'!#REF!,"AAAAAH1cDsE=")</f>
        <v>#REF!</v>
      </c>
      <c r="GM235" t="e">
        <f>AND('GA55 Entry'!X949,"AAAAAH1cDsI=")</f>
        <v>#VALUE!</v>
      </c>
      <c r="GN235" t="e">
        <f>AND('GA55 Entry'!Y949,"AAAAAH1cDsM=")</f>
        <v>#VALUE!</v>
      </c>
      <c r="GO235" t="e">
        <f>AND('GA55 Entry'!#REF!,"AAAAAH1cDsQ=")</f>
        <v>#REF!</v>
      </c>
      <c r="GP235" t="e">
        <f>AND('GA55 Entry'!#REF!,"AAAAAH1cDsU=")</f>
        <v>#REF!</v>
      </c>
      <c r="GQ235" t="e">
        <f>AND('GA55 Entry'!#REF!,"AAAAAH1cDsY=")</f>
        <v>#REF!</v>
      </c>
      <c r="GR235" t="e">
        <f>AND('GA55 Entry'!#REF!,"AAAAAH1cDsc=")</f>
        <v>#REF!</v>
      </c>
      <c r="GS235" t="e">
        <f>AND('GA55 Entry'!#REF!,"AAAAAH1cDsg=")</f>
        <v>#REF!</v>
      </c>
      <c r="GT235" t="e">
        <f>AND('GA55 Entry'!#REF!,"AAAAAH1cDsk=")</f>
        <v>#REF!</v>
      </c>
      <c r="GU235" t="e">
        <f>AND('GA55 Entry'!#REF!,"AAAAAH1cDso=")</f>
        <v>#REF!</v>
      </c>
      <c r="GV235" t="e">
        <f>AND('GA55 Entry'!#REF!,"AAAAAH1cDss=")</f>
        <v>#REF!</v>
      </c>
      <c r="GW235" t="e">
        <f>AND('GA55 Entry'!#REF!,"AAAAAH1cDsw=")</f>
        <v>#REF!</v>
      </c>
      <c r="GX235" t="e">
        <f>AND('GA55 Entry'!Z949,"AAAAAH1cDs0=")</f>
        <v>#VALUE!</v>
      </c>
      <c r="GY235" t="e">
        <f>AND('GA55 Entry'!AA949,"AAAAAH1cDs4=")</f>
        <v>#VALUE!</v>
      </c>
      <c r="GZ235" t="e">
        <f>AND('GA55 Entry'!#REF!,"AAAAAH1cDs8=")</f>
        <v>#REF!</v>
      </c>
      <c r="HA235" t="e">
        <f>AND('GA55 Entry'!#REF!,"AAAAAH1cDtA=")</f>
        <v>#REF!</v>
      </c>
      <c r="HB235" t="e">
        <f>AND('GA55 Entry'!#REF!,"AAAAAH1cDtE=")</f>
        <v>#REF!</v>
      </c>
      <c r="HC235" t="e">
        <f>AND('GA55 Entry'!AB949,"AAAAAH1cDtI=")</f>
        <v>#VALUE!</v>
      </c>
      <c r="HD235" t="e">
        <f>AND('GA55 Entry'!AC949,"AAAAAH1cDtM=")</f>
        <v>#VALUE!</v>
      </c>
      <c r="HE235" t="e">
        <f>AND('GA55 Entry'!#REF!,"AAAAAH1cDtQ=")</f>
        <v>#REF!</v>
      </c>
      <c r="HF235">
        <f>IF('GA55 Entry'!950:950,"AAAAAH1cDtU=",0)</f>
        <v>0</v>
      </c>
      <c r="HG235" t="e">
        <f>AND('GA55 Entry'!B950,"AAAAAH1cDtY=")</f>
        <v>#VALUE!</v>
      </c>
      <c r="HH235" t="e">
        <f>AND('GA55 Entry'!#REF!,"AAAAAH1cDtc=")</f>
        <v>#REF!</v>
      </c>
      <c r="HI235" t="e">
        <f>AND('GA55 Entry'!C950,"AAAAAH1cDtg=")</f>
        <v>#VALUE!</v>
      </c>
      <c r="HJ235" t="e">
        <f>AND('GA55 Entry'!#REF!,"AAAAAH1cDtk=")</f>
        <v>#REF!</v>
      </c>
      <c r="HK235" t="e">
        <f>AND('GA55 Entry'!#REF!,"AAAAAH1cDto=")</f>
        <v>#REF!</v>
      </c>
      <c r="HL235" t="e">
        <f>AND('GA55 Entry'!#REF!,"AAAAAH1cDts=")</f>
        <v>#REF!</v>
      </c>
      <c r="HM235" t="e">
        <f>AND('GA55 Entry'!#REF!,"AAAAAH1cDtw=")</f>
        <v>#REF!</v>
      </c>
      <c r="HN235" t="e">
        <f>AND('GA55 Entry'!#REF!,"AAAAAH1cDt0=")</f>
        <v>#REF!</v>
      </c>
      <c r="HO235" t="e">
        <f>AND('GA55 Entry'!D950,"AAAAAH1cDt4=")</f>
        <v>#VALUE!</v>
      </c>
      <c r="HP235" t="e">
        <f>AND('GA55 Entry'!#REF!,"AAAAAH1cDt8=")</f>
        <v>#REF!</v>
      </c>
      <c r="HQ235" t="e">
        <f>AND('GA55 Entry'!E950,"AAAAAH1cDuA=")</f>
        <v>#VALUE!</v>
      </c>
      <c r="HR235" t="e">
        <f>AND('GA55 Entry'!F950,"AAAAAH1cDuE=")</f>
        <v>#VALUE!</v>
      </c>
      <c r="HS235" t="e">
        <f>AND('GA55 Entry'!G950,"AAAAAH1cDuI=")</f>
        <v>#VALUE!</v>
      </c>
      <c r="HT235" t="e">
        <f>AND('GA55 Entry'!H950,"AAAAAH1cDuM=")</f>
        <v>#VALUE!</v>
      </c>
      <c r="HU235" t="e">
        <f>AND('GA55 Entry'!I950,"AAAAAH1cDuQ=")</f>
        <v>#VALUE!</v>
      </c>
      <c r="HV235" t="e">
        <f>AND('GA55 Entry'!J950,"AAAAAH1cDuU=")</f>
        <v>#VALUE!</v>
      </c>
      <c r="HW235" t="e">
        <f>AND('GA55 Entry'!#REF!,"AAAAAH1cDuY=")</f>
        <v>#REF!</v>
      </c>
      <c r="HX235" t="e">
        <f>AND('GA55 Entry'!K950,"AAAAAH1cDuc=")</f>
        <v>#VALUE!</v>
      </c>
      <c r="HY235" t="e">
        <f>AND('GA55 Entry'!L950,"AAAAAH1cDug=")</f>
        <v>#VALUE!</v>
      </c>
      <c r="HZ235" t="e">
        <f>AND('GA55 Entry'!M950,"AAAAAH1cDuk=")</f>
        <v>#VALUE!</v>
      </c>
      <c r="IA235" t="e">
        <f>AND('GA55 Entry'!N950,"AAAAAH1cDuo=")</f>
        <v>#VALUE!</v>
      </c>
      <c r="IB235" t="e">
        <f>AND('GA55 Entry'!O950,"AAAAAH1cDus=")</f>
        <v>#VALUE!</v>
      </c>
      <c r="IC235" t="e">
        <f>AND('GA55 Entry'!P950,"AAAAAH1cDuw=")</f>
        <v>#VALUE!</v>
      </c>
      <c r="ID235" t="e">
        <f>AND('GA55 Entry'!Q950,"AAAAAH1cDu0=")</f>
        <v>#VALUE!</v>
      </c>
      <c r="IE235" t="e">
        <f>AND('GA55 Entry'!S950,"AAAAAH1cDu4=")</f>
        <v>#VALUE!</v>
      </c>
      <c r="IF235" t="e">
        <f>AND('GA55 Entry'!#REF!,"AAAAAH1cDu8=")</f>
        <v>#REF!</v>
      </c>
      <c r="IG235" t="e">
        <f>AND('GA55 Entry'!T950,"AAAAAH1cDvA=")</f>
        <v>#VALUE!</v>
      </c>
      <c r="IH235" t="e">
        <f>AND('GA55 Entry'!U950,"AAAAAH1cDvE=")</f>
        <v>#VALUE!</v>
      </c>
      <c r="II235" t="e">
        <f>AND('GA55 Entry'!V950,"AAAAAH1cDvI=")</f>
        <v>#VALUE!</v>
      </c>
      <c r="IJ235" t="e">
        <f>AND('GA55 Entry'!#REF!,"AAAAAH1cDvM=")</f>
        <v>#REF!</v>
      </c>
      <c r="IK235" t="e">
        <f>AND('GA55 Entry'!#REF!,"AAAAAH1cDvQ=")</f>
        <v>#REF!</v>
      </c>
      <c r="IL235" t="e">
        <f>AND('GA55 Entry'!X950,"AAAAAH1cDvU=")</f>
        <v>#VALUE!</v>
      </c>
      <c r="IM235" t="e">
        <f>AND('GA55 Entry'!Y950,"AAAAAH1cDvY=")</f>
        <v>#VALUE!</v>
      </c>
      <c r="IN235" t="e">
        <f>AND('GA55 Entry'!#REF!,"AAAAAH1cDvc=")</f>
        <v>#REF!</v>
      </c>
      <c r="IO235" t="e">
        <f>AND('GA55 Entry'!#REF!,"AAAAAH1cDvg=")</f>
        <v>#REF!</v>
      </c>
      <c r="IP235" t="e">
        <f>AND('GA55 Entry'!#REF!,"AAAAAH1cDvk=")</f>
        <v>#REF!</v>
      </c>
      <c r="IQ235" t="e">
        <f>AND('GA55 Entry'!#REF!,"AAAAAH1cDvo=")</f>
        <v>#REF!</v>
      </c>
      <c r="IR235" t="e">
        <f>AND('GA55 Entry'!#REF!,"AAAAAH1cDvs=")</f>
        <v>#REF!</v>
      </c>
      <c r="IS235" t="e">
        <f>AND('GA55 Entry'!#REF!,"AAAAAH1cDvw=")</f>
        <v>#REF!</v>
      </c>
      <c r="IT235" t="e">
        <f>AND('GA55 Entry'!#REF!,"AAAAAH1cDv0=")</f>
        <v>#REF!</v>
      </c>
      <c r="IU235" t="e">
        <f>AND('GA55 Entry'!#REF!,"AAAAAH1cDv4=")</f>
        <v>#REF!</v>
      </c>
      <c r="IV235" t="e">
        <f>AND('GA55 Entry'!#REF!,"AAAAAH1cDv8=")</f>
        <v>#REF!</v>
      </c>
    </row>
    <row r="236" spans="1:256">
      <c r="A236" t="e">
        <f>AND('GA55 Entry'!Z950,"AAAAAD3/vgA=")</f>
        <v>#VALUE!</v>
      </c>
      <c r="B236" t="e">
        <f>AND('GA55 Entry'!AA950,"AAAAAD3/vgE=")</f>
        <v>#VALUE!</v>
      </c>
      <c r="C236" t="e">
        <f>AND('GA55 Entry'!#REF!,"AAAAAD3/vgI=")</f>
        <v>#REF!</v>
      </c>
      <c r="D236" t="e">
        <f>AND('GA55 Entry'!#REF!,"AAAAAD3/vgM=")</f>
        <v>#REF!</v>
      </c>
      <c r="E236" t="e">
        <f>AND('GA55 Entry'!#REF!,"AAAAAD3/vgQ=")</f>
        <v>#REF!</v>
      </c>
      <c r="F236" t="e">
        <f>AND('GA55 Entry'!AB950,"AAAAAD3/vgU=")</f>
        <v>#VALUE!</v>
      </c>
      <c r="G236" t="e">
        <f>AND('GA55 Entry'!AC950,"AAAAAD3/vgY=")</f>
        <v>#VALUE!</v>
      </c>
      <c r="H236" t="e">
        <f>AND('GA55 Entry'!#REF!,"AAAAAD3/vgc=")</f>
        <v>#REF!</v>
      </c>
      <c r="I236">
        <f>IF('GA55 Entry'!951:951,"AAAAAD3/vgg=",0)</f>
        <v>0</v>
      </c>
      <c r="J236" t="e">
        <f>AND('GA55 Entry'!B951,"AAAAAD3/vgk=")</f>
        <v>#VALUE!</v>
      </c>
      <c r="K236" t="e">
        <f>AND('GA55 Entry'!#REF!,"AAAAAD3/vgo=")</f>
        <v>#REF!</v>
      </c>
      <c r="L236" t="e">
        <f>AND('GA55 Entry'!C951,"AAAAAD3/vgs=")</f>
        <v>#VALUE!</v>
      </c>
      <c r="M236" t="e">
        <f>AND('GA55 Entry'!#REF!,"AAAAAD3/vgw=")</f>
        <v>#REF!</v>
      </c>
      <c r="N236" t="e">
        <f>AND('GA55 Entry'!#REF!,"AAAAAD3/vg0=")</f>
        <v>#REF!</v>
      </c>
      <c r="O236" t="e">
        <f>AND('GA55 Entry'!#REF!,"AAAAAD3/vg4=")</f>
        <v>#REF!</v>
      </c>
      <c r="P236" t="e">
        <f>AND('GA55 Entry'!#REF!,"AAAAAD3/vg8=")</f>
        <v>#REF!</v>
      </c>
      <c r="Q236" t="e">
        <f>AND('GA55 Entry'!#REF!,"AAAAAD3/vhA=")</f>
        <v>#REF!</v>
      </c>
      <c r="R236" t="e">
        <f>AND('GA55 Entry'!D951,"AAAAAD3/vhE=")</f>
        <v>#VALUE!</v>
      </c>
      <c r="S236" t="e">
        <f>AND('GA55 Entry'!#REF!,"AAAAAD3/vhI=")</f>
        <v>#REF!</v>
      </c>
      <c r="T236" t="e">
        <f>AND('GA55 Entry'!E951,"AAAAAD3/vhM=")</f>
        <v>#VALUE!</v>
      </c>
      <c r="U236" t="e">
        <f>AND('GA55 Entry'!F951,"AAAAAD3/vhQ=")</f>
        <v>#VALUE!</v>
      </c>
      <c r="V236" t="e">
        <f>AND('GA55 Entry'!G951,"AAAAAD3/vhU=")</f>
        <v>#VALUE!</v>
      </c>
      <c r="W236" t="e">
        <f>AND('GA55 Entry'!H951,"AAAAAD3/vhY=")</f>
        <v>#VALUE!</v>
      </c>
      <c r="X236" t="e">
        <f>AND('GA55 Entry'!I951,"AAAAAD3/vhc=")</f>
        <v>#VALUE!</v>
      </c>
      <c r="Y236" t="e">
        <f>AND('GA55 Entry'!J951,"AAAAAD3/vhg=")</f>
        <v>#VALUE!</v>
      </c>
      <c r="Z236" t="e">
        <f>AND('GA55 Entry'!#REF!,"AAAAAD3/vhk=")</f>
        <v>#REF!</v>
      </c>
      <c r="AA236" t="e">
        <f>AND('GA55 Entry'!K951,"AAAAAD3/vho=")</f>
        <v>#VALUE!</v>
      </c>
      <c r="AB236" t="e">
        <f>AND('GA55 Entry'!L951,"AAAAAD3/vhs=")</f>
        <v>#VALUE!</v>
      </c>
      <c r="AC236" t="e">
        <f>AND('GA55 Entry'!M951,"AAAAAD3/vhw=")</f>
        <v>#VALUE!</v>
      </c>
      <c r="AD236" t="e">
        <f>AND('GA55 Entry'!N951,"AAAAAD3/vh0=")</f>
        <v>#VALUE!</v>
      </c>
      <c r="AE236" t="e">
        <f>AND('GA55 Entry'!O951,"AAAAAD3/vh4=")</f>
        <v>#VALUE!</v>
      </c>
      <c r="AF236" t="e">
        <f>AND('GA55 Entry'!P951,"AAAAAD3/vh8=")</f>
        <v>#VALUE!</v>
      </c>
      <c r="AG236" t="e">
        <f>AND('GA55 Entry'!Q951,"AAAAAD3/viA=")</f>
        <v>#VALUE!</v>
      </c>
      <c r="AH236" t="e">
        <f>AND('GA55 Entry'!S951,"AAAAAD3/viE=")</f>
        <v>#VALUE!</v>
      </c>
      <c r="AI236" t="e">
        <f>AND('GA55 Entry'!#REF!,"AAAAAD3/viI=")</f>
        <v>#REF!</v>
      </c>
      <c r="AJ236" t="e">
        <f>AND('GA55 Entry'!T951,"AAAAAD3/viM=")</f>
        <v>#VALUE!</v>
      </c>
      <c r="AK236" t="e">
        <f>AND('GA55 Entry'!U951,"AAAAAD3/viQ=")</f>
        <v>#VALUE!</v>
      </c>
      <c r="AL236" t="e">
        <f>AND('GA55 Entry'!V951,"AAAAAD3/viU=")</f>
        <v>#VALUE!</v>
      </c>
      <c r="AM236" t="e">
        <f>AND('GA55 Entry'!#REF!,"AAAAAD3/viY=")</f>
        <v>#REF!</v>
      </c>
      <c r="AN236" t="e">
        <f>AND('GA55 Entry'!#REF!,"AAAAAD3/vic=")</f>
        <v>#REF!</v>
      </c>
      <c r="AO236" t="e">
        <f>AND('GA55 Entry'!X951,"AAAAAD3/vig=")</f>
        <v>#VALUE!</v>
      </c>
      <c r="AP236" t="e">
        <f>AND('GA55 Entry'!Y951,"AAAAAD3/vik=")</f>
        <v>#VALUE!</v>
      </c>
      <c r="AQ236" t="e">
        <f>AND('GA55 Entry'!#REF!,"AAAAAD3/vio=")</f>
        <v>#REF!</v>
      </c>
      <c r="AR236" t="e">
        <f>AND('GA55 Entry'!#REF!,"AAAAAD3/vis=")</f>
        <v>#REF!</v>
      </c>
      <c r="AS236" t="e">
        <f>AND('GA55 Entry'!#REF!,"AAAAAD3/viw=")</f>
        <v>#REF!</v>
      </c>
      <c r="AT236" t="e">
        <f>AND('GA55 Entry'!#REF!,"AAAAAD3/vi0=")</f>
        <v>#REF!</v>
      </c>
      <c r="AU236" t="e">
        <f>AND('GA55 Entry'!#REF!,"AAAAAD3/vi4=")</f>
        <v>#REF!</v>
      </c>
      <c r="AV236" t="e">
        <f>AND('GA55 Entry'!#REF!,"AAAAAD3/vi8=")</f>
        <v>#REF!</v>
      </c>
      <c r="AW236" t="e">
        <f>AND('GA55 Entry'!#REF!,"AAAAAD3/vjA=")</f>
        <v>#REF!</v>
      </c>
      <c r="AX236" t="e">
        <f>AND('GA55 Entry'!#REF!,"AAAAAD3/vjE=")</f>
        <v>#REF!</v>
      </c>
      <c r="AY236" t="e">
        <f>AND('GA55 Entry'!#REF!,"AAAAAD3/vjI=")</f>
        <v>#REF!</v>
      </c>
      <c r="AZ236" t="e">
        <f>AND('GA55 Entry'!Z951,"AAAAAD3/vjM=")</f>
        <v>#VALUE!</v>
      </c>
      <c r="BA236" t="e">
        <f>AND('GA55 Entry'!AA951,"AAAAAD3/vjQ=")</f>
        <v>#VALUE!</v>
      </c>
      <c r="BB236" t="e">
        <f>AND('GA55 Entry'!#REF!,"AAAAAD3/vjU=")</f>
        <v>#REF!</v>
      </c>
      <c r="BC236" t="e">
        <f>AND('GA55 Entry'!#REF!,"AAAAAD3/vjY=")</f>
        <v>#REF!</v>
      </c>
      <c r="BD236" t="e">
        <f>AND('GA55 Entry'!#REF!,"AAAAAD3/vjc=")</f>
        <v>#REF!</v>
      </c>
      <c r="BE236" t="e">
        <f>AND('GA55 Entry'!AB951,"AAAAAD3/vjg=")</f>
        <v>#VALUE!</v>
      </c>
      <c r="BF236" t="e">
        <f>AND('GA55 Entry'!AC951,"AAAAAD3/vjk=")</f>
        <v>#VALUE!</v>
      </c>
      <c r="BG236" t="e">
        <f>AND('GA55 Entry'!#REF!,"AAAAAD3/vjo=")</f>
        <v>#REF!</v>
      </c>
      <c r="BH236">
        <f>IF('GA55 Entry'!952:952,"AAAAAD3/vjs=",0)</f>
        <v>0</v>
      </c>
      <c r="BI236" t="e">
        <f>AND('GA55 Entry'!B952,"AAAAAD3/vjw=")</f>
        <v>#VALUE!</v>
      </c>
      <c r="BJ236" t="e">
        <f>AND('GA55 Entry'!#REF!,"AAAAAD3/vj0=")</f>
        <v>#REF!</v>
      </c>
      <c r="BK236" t="e">
        <f>AND('GA55 Entry'!C952,"AAAAAD3/vj4=")</f>
        <v>#VALUE!</v>
      </c>
      <c r="BL236" t="e">
        <f>AND('GA55 Entry'!#REF!,"AAAAAD3/vj8=")</f>
        <v>#REF!</v>
      </c>
      <c r="BM236" t="e">
        <f>AND('GA55 Entry'!#REF!,"AAAAAD3/vkA=")</f>
        <v>#REF!</v>
      </c>
      <c r="BN236" t="e">
        <f>AND('GA55 Entry'!#REF!,"AAAAAD3/vkE=")</f>
        <v>#REF!</v>
      </c>
      <c r="BO236" t="e">
        <f>AND('GA55 Entry'!#REF!,"AAAAAD3/vkI=")</f>
        <v>#REF!</v>
      </c>
      <c r="BP236" t="e">
        <f>AND('GA55 Entry'!#REF!,"AAAAAD3/vkM=")</f>
        <v>#REF!</v>
      </c>
      <c r="BQ236" t="e">
        <f>AND('GA55 Entry'!D952,"AAAAAD3/vkQ=")</f>
        <v>#VALUE!</v>
      </c>
      <c r="BR236" t="e">
        <f>AND('GA55 Entry'!#REF!,"AAAAAD3/vkU=")</f>
        <v>#REF!</v>
      </c>
      <c r="BS236" t="e">
        <f>AND('GA55 Entry'!E952,"AAAAAD3/vkY=")</f>
        <v>#VALUE!</v>
      </c>
      <c r="BT236" t="e">
        <f>AND('GA55 Entry'!F952,"AAAAAD3/vkc=")</f>
        <v>#VALUE!</v>
      </c>
      <c r="BU236" t="e">
        <f>AND('GA55 Entry'!G952,"AAAAAD3/vkg=")</f>
        <v>#VALUE!</v>
      </c>
      <c r="BV236" t="e">
        <f>AND('GA55 Entry'!H952,"AAAAAD3/vkk=")</f>
        <v>#VALUE!</v>
      </c>
      <c r="BW236" t="e">
        <f>AND('GA55 Entry'!I952,"AAAAAD3/vko=")</f>
        <v>#VALUE!</v>
      </c>
      <c r="BX236" t="e">
        <f>AND('GA55 Entry'!J952,"AAAAAD3/vks=")</f>
        <v>#VALUE!</v>
      </c>
      <c r="BY236" t="e">
        <f>AND('GA55 Entry'!#REF!,"AAAAAD3/vkw=")</f>
        <v>#REF!</v>
      </c>
      <c r="BZ236" t="e">
        <f>AND('GA55 Entry'!K952,"AAAAAD3/vk0=")</f>
        <v>#VALUE!</v>
      </c>
      <c r="CA236" t="e">
        <f>AND('GA55 Entry'!L952,"AAAAAD3/vk4=")</f>
        <v>#VALUE!</v>
      </c>
      <c r="CB236" t="e">
        <f>AND('GA55 Entry'!M952,"AAAAAD3/vk8=")</f>
        <v>#VALUE!</v>
      </c>
      <c r="CC236" t="e">
        <f>AND('GA55 Entry'!N952,"AAAAAD3/vlA=")</f>
        <v>#VALUE!</v>
      </c>
      <c r="CD236" t="e">
        <f>AND('GA55 Entry'!O952,"AAAAAD3/vlE=")</f>
        <v>#VALUE!</v>
      </c>
      <c r="CE236" t="e">
        <f>AND('GA55 Entry'!P952,"AAAAAD3/vlI=")</f>
        <v>#VALUE!</v>
      </c>
      <c r="CF236" t="e">
        <f>AND('GA55 Entry'!Q952,"AAAAAD3/vlM=")</f>
        <v>#VALUE!</v>
      </c>
      <c r="CG236" t="e">
        <f>AND('GA55 Entry'!S952,"AAAAAD3/vlQ=")</f>
        <v>#VALUE!</v>
      </c>
      <c r="CH236" t="e">
        <f>AND('GA55 Entry'!#REF!,"AAAAAD3/vlU=")</f>
        <v>#REF!</v>
      </c>
      <c r="CI236" t="e">
        <f>AND('GA55 Entry'!T952,"AAAAAD3/vlY=")</f>
        <v>#VALUE!</v>
      </c>
      <c r="CJ236" t="e">
        <f>AND('GA55 Entry'!U952,"AAAAAD3/vlc=")</f>
        <v>#VALUE!</v>
      </c>
      <c r="CK236" t="e">
        <f>AND('GA55 Entry'!V952,"AAAAAD3/vlg=")</f>
        <v>#VALUE!</v>
      </c>
      <c r="CL236" t="e">
        <f>AND('GA55 Entry'!#REF!,"AAAAAD3/vlk=")</f>
        <v>#REF!</v>
      </c>
      <c r="CM236" t="e">
        <f>AND('GA55 Entry'!#REF!,"AAAAAD3/vlo=")</f>
        <v>#REF!</v>
      </c>
      <c r="CN236" t="e">
        <f>AND('GA55 Entry'!X952,"AAAAAD3/vls=")</f>
        <v>#VALUE!</v>
      </c>
      <c r="CO236" t="e">
        <f>AND('GA55 Entry'!Y952,"AAAAAD3/vlw=")</f>
        <v>#VALUE!</v>
      </c>
      <c r="CP236" t="e">
        <f>AND('GA55 Entry'!#REF!,"AAAAAD3/vl0=")</f>
        <v>#REF!</v>
      </c>
      <c r="CQ236" t="e">
        <f>AND('GA55 Entry'!#REF!,"AAAAAD3/vl4=")</f>
        <v>#REF!</v>
      </c>
      <c r="CR236" t="e">
        <f>AND('GA55 Entry'!#REF!,"AAAAAD3/vl8=")</f>
        <v>#REF!</v>
      </c>
      <c r="CS236" t="e">
        <f>AND('GA55 Entry'!#REF!,"AAAAAD3/vmA=")</f>
        <v>#REF!</v>
      </c>
      <c r="CT236" t="e">
        <f>AND('GA55 Entry'!#REF!,"AAAAAD3/vmE=")</f>
        <v>#REF!</v>
      </c>
      <c r="CU236" t="e">
        <f>AND('GA55 Entry'!#REF!,"AAAAAD3/vmI=")</f>
        <v>#REF!</v>
      </c>
      <c r="CV236" t="e">
        <f>AND('GA55 Entry'!#REF!,"AAAAAD3/vmM=")</f>
        <v>#REF!</v>
      </c>
      <c r="CW236" t="e">
        <f>AND('GA55 Entry'!#REF!,"AAAAAD3/vmQ=")</f>
        <v>#REF!</v>
      </c>
      <c r="CX236" t="e">
        <f>AND('GA55 Entry'!#REF!,"AAAAAD3/vmU=")</f>
        <v>#REF!</v>
      </c>
      <c r="CY236" t="e">
        <f>AND('GA55 Entry'!Z952,"AAAAAD3/vmY=")</f>
        <v>#VALUE!</v>
      </c>
      <c r="CZ236" t="e">
        <f>AND('GA55 Entry'!AA952,"AAAAAD3/vmc=")</f>
        <v>#VALUE!</v>
      </c>
      <c r="DA236" t="e">
        <f>AND('GA55 Entry'!#REF!,"AAAAAD3/vmg=")</f>
        <v>#REF!</v>
      </c>
      <c r="DB236" t="e">
        <f>AND('GA55 Entry'!#REF!,"AAAAAD3/vmk=")</f>
        <v>#REF!</v>
      </c>
      <c r="DC236" t="e">
        <f>AND('GA55 Entry'!#REF!,"AAAAAD3/vmo=")</f>
        <v>#REF!</v>
      </c>
      <c r="DD236" t="e">
        <f>AND('GA55 Entry'!AB952,"AAAAAD3/vms=")</f>
        <v>#VALUE!</v>
      </c>
      <c r="DE236" t="e">
        <f>AND('GA55 Entry'!AC952,"AAAAAD3/vmw=")</f>
        <v>#VALUE!</v>
      </c>
      <c r="DF236" t="e">
        <f>AND('GA55 Entry'!#REF!,"AAAAAD3/vm0=")</f>
        <v>#REF!</v>
      </c>
      <c r="DG236">
        <f>IF('GA55 Entry'!953:953,"AAAAAD3/vm4=",0)</f>
        <v>0</v>
      </c>
      <c r="DH236" t="e">
        <f>AND('GA55 Entry'!B953,"AAAAAD3/vm8=")</f>
        <v>#VALUE!</v>
      </c>
      <c r="DI236" t="e">
        <f>AND('GA55 Entry'!#REF!,"AAAAAD3/vnA=")</f>
        <v>#REF!</v>
      </c>
      <c r="DJ236" t="e">
        <f>AND('GA55 Entry'!C953,"AAAAAD3/vnE=")</f>
        <v>#VALUE!</v>
      </c>
      <c r="DK236" t="e">
        <f>AND('GA55 Entry'!#REF!,"AAAAAD3/vnI=")</f>
        <v>#REF!</v>
      </c>
      <c r="DL236" t="e">
        <f>AND('GA55 Entry'!#REF!,"AAAAAD3/vnM=")</f>
        <v>#REF!</v>
      </c>
      <c r="DM236" t="e">
        <f>AND('GA55 Entry'!#REF!,"AAAAAD3/vnQ=")</f>
        <v>#REF!</v>
      </c>
      <c r="DN236" t="e">
        <f>AND('GA55 Entry'!#REF!,"AAAAAD3/vnU=")</f>
        <v>#REF!</v>
      </c>
      <c r="DO236" t="e">
        <f>AND('GA55 Entry'!#REF!,"AAAAAD3/vnY=")</f>
        <v>#REF!</v>
      </c>
      <c r="DP236" t="e">
        <f>AND('GA55 Entry'!D953,"AAAAAD3/vnc=")</f>
        <v>#VALUE!</v>
      </c>
      <c r="DQ236" t="e">
        <f>AND('GA55 Entry'!#REF!,"AAAAAD3/vng=")</f>
        <v>#REF!</v>
      </c>
      <c r="DR236" t="e">
        <f>AND('GA55 Entry'!E953,"AAAAAD3/vnk=")</f>
        <v>#VALUE!</v>
      </c>
      <c r="DS236" t="e">
        <f>AND('GA55 Entry'!F953,"AAAAAD3/vno=")</f>
        <v>#VALUE!</v>
      </c>
      <c r="DT236" t="e">
        <f>AND('GA55 Entry'!G953,"AAAAAD3/vns=")</f>
        <v>#VALUE!</v>
      </c>
      <c r="DU236" t="e">
        <f>AND('GA55 Entry'!H953,"AAAAAD3/vnw=")</f>
        <v>#VALUE!</v>
      </c>
      <c r="DV236" t="e">
        <f>AND('GA55 Entry'!I953,"AAAAAD3/vn0=")</f>
        <v>#VALUE!</v>
      </c>
      <c r="DW236" t="e">
        <f>AND('GA55 Entry'!J953,"AAAAAD3/vn4=")</f>
        <v>#VALUE!</v>
      </c>
      <c r="DX236" t="e">
        <f>AND('GA55 Entry'!#REF!,"AAAAAD3/vn8=")</f>
        <v>#REF!</v>
      </c>
      <c r="DY236" t="e">
        <f>AND('GA55 Entry'!K953,"AAAAAD3/voA=")</f>
        <v>#VALUE!</v>
      </c>
      <c r="DZ236" t="e">
        <f>AND('GA55 Entry'!L953,"AAAAAD3/voE=")</f>
        <v>#VALUE!</v>
      </c>
      <c r="EA236" t="e">
        <f>AND('GA55 Entry'!M953,"AAAAAD3/voI=")</f>
        <v>#VALUE!</v>
      </c>
      <c r="EB236" t="e">
        <f>AND('GA55 Entry'!N953,"AAAAAD3/voM=")</f>
        <v>#VALUE!</v>
      </c>
      <c r="EC236" t="e">
        <f>AND('GA55 Entry'!O953,"AAAAAD3/voQ=")</f>
        <v>#VALUE!</v>
      </c>
      <c r="ED236" t="e">
        <f>AND('GA55 Entry'!P953,"AAAAAD3/voU=")</f>
        <v>#VALUE!</v>
      </c>
      <c r="EE236" t="e">
        <f>AND('GA55 Entry'!Q953,"AAAAAD3/voY=")</f>
        <v>#VALUE!</v>
      </c>
      <c r="EF236" t="e">
        <f>AND('GA55 Entry'!S953,"AAAAAD3/voc=")</f>
        <v>#VALUE!</v>
      </c>
      <c r="EG236" t="e">
        <f>AND('GA55 Entry'!#REF!,"AAAAAD3/vog=")</f>
        <v>#REF!</v>
      </c>
      <c r="EH236" t="e">
        <f>AND('GA55 Entry'!T953,"AAAAAD3/vok=")</f>
        <v>#VALUE!</v>
      </c>
      <c r="EI236" t="e">
        <f>AND('GA55 Entry'!U953,"AAAAAD3/voo=")</f>
        <v>#VALUE!</v>
      </c>
      <c r="EJ236" t="e">
        <f>AND('GA55 Entry'!V953,"AAAAAD3/vos=")</f>
        <v>#VALUE!</v>
      </c>
      <c r="EK236" t="e">
        <f>AND('GA55 Entry'!#REF!,"AAAAAD3/vow=")</f>
        <v>#REF!</v>
      </c>
      <c r="EL236" t="e">
        <f>AND('GA55 Entry'!#REF!,"AAAAAD3/vo0=")</f>
        <v>#REF!</v>
      </c>
      <c r="EM236" t="e">
        <f>AND('GA55 Entry'!X953,"AAAAAD3/vo4=")</f>
        <v>#VALUE!</v>
      </c>
      <c r="EN236" t="e">
        <f>AND('GA55 Entry'!Y953,"AAAAAD3/vo8=")</f>
        <v>#VALUE!</v>
      </c>
      <c r="EO236" t="e">
        <f>AND('GA55 Entry'!#REF!,"AAAAAD3/vpA=")</f>
        <v>#REF!</v>
      </c>
      <c r="EP236" t="e">
        <f>AND('GA55 Entry'!#REF!,"AAAAAD3/vpE=")</f>
        <v>#REF!</v>
      </c>
      <c r="EQ236" t="e">
        <f>AND('GA55 Entry'!#REF!,"AAAAAD3/vpI=")</f>
        <v>#REF!</v>
      </c>
      <c r="ER236" t="e">
        <f>AND('GA55 Entry'!#REF!,"AAAAAD3/vpM=")</f>
        <v>#REF!</v>
      </c>
      <c r="ES236" t="e">
        <f>AND('GA55 Entry'!#REF!,"AAAAAD3/vpQ=")</f>
        <v>#REF!</v>
      </c>
      <c r="ET236" t="e">
        <f>AND('GA55 Entry'!#REF!,"AAAAAD3/vpU=")</f>
        <v>#REF!</v>
      </c>
      <c r="EU236" t="e">
        <f>AND('GA55 Entry'!#REF!,"AAAAAD3/vpY=")</f>
        <v>#REF!</v>
      </c>
      <c r="EV236" t="e">
        <f>AND('GA55 Entry'!#REF!,"AAAAAD3/vpc=")</f>
        <v>#REF!</v>
      </c>
      <c r="EW236" t="e">
        <f>AND('GA55 Entry'!#REF!,"AAAAAD3/vpg=")</f>
        <v>#REF!</v>
      </c>
      <c r="EX236" t="e">
        <f>AND('GA55 Entry'!Z953,"AAAAAD3/vpk=")</f>
        <v>#VALUE!</v>
      </c>
      <c r="EY236" t="e">
        <f>AND('GA55 Entry'!AA953,"AAAAAD3/vpo=")</f>
        <v>#VALUE!</v>
      </c>
      <c r="EZ236" t="e">
        <f>AND('GA55 Entry'!#REF!,"AAAAAD3/vps=")</f>
        <v>#REF!</v>
      </c>
      <c r="FA236" t="e">
        <f>AND('GA55 Entry'!#REF!,"AAAAAD3/vpw=")</f>
        <v>#REF!</v>
      </c>
      <c r="FB236" t="e">
        <f>AND('GA55 Entry'!#REF!,"AAAAAD3/vp0=")</f>
        <v>#REF!</v>
      </c>
      <c r="FC236" t="e">
        <f>AND('GA55 Entry'!AB953,"AAAAAD3/vp4=")</f>
        <v>#VALUE!</v>
      </c>
      <c r="FD236" t="e">
        <f>AND('GA55 Entry'!AC953,"AAAAAD3/vp8=")</f>
        <v>#VALUE!</v>
      </c>
      <c r="FE236" t="e">
        <f>AND('GA55 Entry'!#REF!,"AAAAAD3/vqA=")</f>
        <v>#REF!</v>
      </c>
      <c r="FF236">
        <f>IF('GA55 Entry'!954:954,"AAAAAD3/vqE=",0)</f>
        <v>0</v>
      </c>
      <c r="FG236" t="e">
        <f>AND('GA55 Entry'!B954,"AAAAAD3/vqI=")</f>
        <v>#VALUE!</v>
      </c>
      <c r="FH236" t="e">
        <f>AND('GA55 Entry'!#REF!,"AAAAAD3/vqM=")</f>
        <v>#REF!</v>
      </c>
      <c r="FI236" t="e">
        <f>AND('GA55 Entry'!C954,"AAAAAD3/vqQ=")</f>
        <v>#VALUE!</v>
      </c>
      <c r="FJ236" t="e">
        <f>AND('GA55 Entry'!#REF!,"AAAAAD3/vqU=")</f>
        <v>#REF!</v>
      </c>
      <c r="FK236" t="e">
        <f>AND('GA55 Entry'!#REF!,"AAAAAD3/vqY=")</f>
        <v>#REF!</v>
      </c>
      <c r="FL236" t="e">
        <f>AND('GA55 Entry'!#REF!,"AAAAAD3/vqc=")</f>
        <v>#REF!</v>
      </c>
      <c r="FM236" t="e">
        <f>AND('GA55 Entry'!#REF!,"AAAAAD3/vqg=")</f>
        <v>#REF!</v>
      </c>
      <c r="FN236" t="e">
        <f>AND('GA55 Entry'!#REF!,"AAAAAD3/vqk=")</f>
        <v>#REF!</v>
      </c>
      <c r="FO236" t="e">
        <f>AND('GA55 Entry'!D954,"AAAAAD3/vqo=")</f>
        <v>#VALUE!</v>
      </c>
      <c r="FP236" t="e">
        <f>AND('GA55 Entry'!#REF!,"AAAAAD3/vqs=")</f>
        <v>#REF!</v>
      </c>
      <c r="FQ236" t="e">
        <f>AND('GA55 Entry'!E954,"AAAAAD3/vqw=")</f>
        <v>#VALUE!</v>
      </c>
      <c r="FR236" t="e">
        <f>AND('GA55 Entry'!F954,"AAAAAD3/vq0=")</f>
        <v>#VALUE!</v>
      </c>
      <c r="FS236" t="e">
        <f>AND('GA55 Entry'!G954,"AAAAAD3/vq4=")</f>
        <v>#VALUE!</v>
      </c>
      <c r="FT236" t="e">
        <f>AND('GA55 Entry'!H954,"AAAAAD3/vq8=")</f>
        <v>#VALUE!</v>
      </c>
      <c r="FU236" t="e">
        <f>AND('GA55 Entry'!I954,"AAAAAD3/vrA=")</f>
        <v>#VALUE!</v>
      </c>
      <c r="FV236" t="e">
        <f>AND('GA55 Entry'!J954,"AAAAAD3/vrE=")</f>
        <v>#VALUE!</v>
      </c>
      <c r="FW236" t="e">
        <f>AND('GA55 Entry'!#REF!,"AAAAAD3/vrI=")</f>
        <v>#REF!</v>
      </c>
      <c r="FX236" t="e">
        <f>AND('GA55 Entry'!K954,"AAAAAD3/vrM=")</f>
        <v>#VALUE!</v>
      </c>
      <c r="FY236" t="e">
        <f>AND('GA55 Entry'!L954,"AAAAAD3/vrQ=")</f>
        <v>#VALUE!</v>
      </c>
      <c r="FZ236" t="e">
        <f>AND('GA55 Entry'!M954,"AAAAAD3/vrU=")</f>
        <v>#VALUE!</v>
      </c>
      <c r="GA236" t="e">
        <f>AND('GA55 Entry'!N954,"AAAAAD3/vrY=")</f>
        <v>#VALUE!</v>
      </c>
      <c r="GB236" t="e">
        <f>AND('GA55 Entry'!O954,"AAAAAD3/vrc=")</f>
        <v>#VALUE!</v>
      </c>
      <c r="GC236" t="e">
        <f>AND('GA55 Entry'!P954,"AAAAAD3/vrg=")</f>
        <v>#VALUE!</v>
      </c>
      <c r="GD236" t="e">
        <f>AND('GA55 Entry'!Q954,"AAAAAD3/vrk=")</f>
        <v>#VALUE!</v>
      </c>
      <c r="GE236" t="e">
        <f>AND('GA55 Entry'!S954,"AAAAAD3/vro=")</f>
        <v>#VALUE!</v>
      </c>
      <c r="GF236" t="e">
        <f>AND('GA55 Entry'!#REF!,"AAAAAD3/vrs=")</f>
        <v>#REF!</v>
      </c>
      <c r="GG236" t="e">
        <f>AND('GA55 Entry'!T954,"AAAAAD3/vrw=")</f>
        <v>#VALUE!</v>
      </c>
      <c r="GH236" t="e">
        <f>AND('GA55 Entry'!U954,"AAAAAD3/vr0=")</f>
        <v>#VALUE!</v>
      </c>
      <c r="GI236" t="e">
        <f>AND('GA55 Entry'!V954,"AAAAAD3/vr4=")</f>
        <v>#VALUE!</v>
      </c>
      <c r="GJ236" t="e">
        <f>AND('GA55 Entry'!#REF!,"AAAAAD3/vr8=")</f>
        <v>#REF!</v>
      </c>
      <c r="GK236" t="e">
        <f>AND('GA55 Entry'!#REF!,"AAAAAD3/vsA=")</f>
        <v>#REF!</v>
      </c>
      <c r="GL236" t="e">
        <f>AND('GA55 Entry'!X954,"AAAAAD3/vsE=")</f>
        <v>#VALUE!</v>
      </c>
      <c r="GM236" t="e">
        <f>AND('GA55 Entry'!Y954,"AAAAAD3/vsI=")</f>
        <v>#VALUE!</v>
      </c>
      <c r="GN236" t="e">
        <f>AND('GA55 Entry'!#REF!,"AAAAAD3/vsM=")</f>
        <v>#REF!</v>
      </c>
      <c r="GO236" t="e">
        <f>AND('GA55 Entry'!#REF!,"AAAAAD3/vsQ=")</f>
        <v>#REF!</v>
      </c>
      <c r="GP236" t="e">
        <f>AND('GA55 Entry'!#REF!,"AAAAAD3/vsU=")</f>
        <v>#REF!</v>
      </c>
      <c r="GQ236" t="e">
        <f>AND('GA55 Entry'!#REF!,"AAAAAD3/vsY=")</f>
        <v>#REF!</v>
      </c>
      <c r="GR236" t="e">
        <f>AND('GA55 Entry'!#REF!,"AAAAAD3/vsc=")</f>
        <v>#REF!</v>
      </c>
      <c r="GS236" t="e">
        <f>AND('GA55 Entry'!#REF!,"AAAAAD3/vsg=")</f>
        <v>#REF!</v>
      </c>
      <c r="GT236" t="e">
        <f>AND('GA55 Entry'!#REF!,"AAAAAD3/vsk=")</f>
        <v>#REF!</v>
      </c>
      <c r="GU236" t="e">
        <f>AND('GA55 Entry'!#REF!,"AAAAAD3/vso=")</f>
        <v>#REF!</v>
      </c>
      <c r="GV236" t="e">
        <f>AND('GA55 Entry'!#REF!,"AAAAAD3/vss=")</f>
        <v>#REF!</v>
      </c>
      <c r="GW236" t="e">
        <f>AND('GA55 Entry'!Z954,"AAAAAD3/vsw=")</f>
        <v>#VALUE!</v>
      </c>
      <c r="GX236" t="e">
        <f>AND('GA55 Entry'!AA954,"AAAAAD3/vs0=")</f>
        <v>#VALUE!</v>
      </c>
      <c r="GY236" t="e">
        <f>AND('GA55 Entry'!#REF!,"AAAAAD3/vs4=")</f>
        <v>#REF!</v>
      </c>
      <c r="GZ236" t="e">
        <f>AND('GA55 Entry'!#REF!,"AAAAAD3/vs8=")</f>
        <v>#REF!</v>
      </c>
      <c r="HA236" t="e">
        <f>AND('GA55 Entry'!#REF!,"AAAAAD3/vtA=")</f>
        <v>#REF!</v>
      </c>
      <c r="HB236" t="e">
        <f>AND('GA55 Entry'!AB954,"AAAAAD3/vtE=")</f>
        <v>#VALUE!</v>
      </c>
      <c r="HC236" t="e">
        <f>AND('GA55 Entry'!AC954,"AAAAAD3/vtI=")</f>
        <v>#VALUE!</v>
      </c>
      <c r="HD236" t="e">
        <f>AND('GA55 Entry'!#REF!,"AAAAAD3/vtM=")</f>
        <v>#REF!</v>
      </c>
      <c r="HE236">
        <f>IF('GA55 Entry'!955:955,"AAAAAD3/vtQ=",0)</f>
        <v>0</v>
      </c>
      <c r="HF236" t="e">
        <f>AND('GA55 Entry'!B955,"AAAAAD3/vtU=")</f>
        <v>#VALUE!</v>
      </c>
      <c r="HG236" t="e">
        <f>AND('GA55 Entry'!#REF!,"AAAAAD3/vtY=")</f>
        <v>#REF!</v>
      </c>
      <c r="HH236" t="e">
        <f>AND('GA55 Entry'!C955,"AAAAAD3/vtc=")</f>
        <v>#VALUE!</v>
      </c>
      <c r="HI236" t="e">
        <f>AND('GA55 Entry'!#REF!,"AAAAAD3/vtg=")</f>
        <v>#REF!</v>
      </c>
      <c r="HJ236" t="e">
        <f>AND('GA55 Entry'!#REF!,"AAAAAD3/vtk=")</f>
        <v>#REF!</v>
      </c>
      <c r="HK236" t="e">
        <f>AND('GA55 Entry'!#REF!,"AAAAAD3/vto=")</f>
        <v>#REF!</v>
      </c>
      <c r="HL236" t="e">
        <f>AND('GA55 Entry'!#REF!,"AAAAAD3/vts=")</f>
        <v>#REF!</v>
      </c>
      <c r="HM236" t="e">
        <f>AND('GA55 Entry'!#REF!,"AAAAAD3/vtw=")</f>
        <v>#REF!</v>
      </c>
      <c r="HN236" t="e">
        <f>AND('GA55 Entry'!D955,"AAAAAD3/vt0=")</f>
        <v>#VALUE!</v>
      </c>
      <c r="HO236" t="e">
        <f>AND('GA55 Entry'!#REF!,"AAAAAD3/vt4=")</f>
        <v>#REF!</v>
      </c>
      <c r="HP236" t="e">
        <f>AND('GA55 Entry'!E955,"AAAAAD3/vt8=")</f>
        <v>#VALUE!</v>
      </c>
      <c r="HQ236" t="e">
        <f>AND('GA55 Entry'!F955,"AAAAAD3/vuA=")</f>
        <v>#VALUE!</v>
      </c>
      <c r="HR236" t="e">
        <f>AND('GA55 Entry'!G955,"AAAAAD3/vuE=")</f>
        <v>#VALUE!</v>
      </c>
      <c r="HS236" t="e">
        <f>AND('GA55 Entry'!H955,"AAAAAD3/vuI=")</f>
        <v>#VALUE!</v>
      </c>
      <c r="HT236" t="e">
        <f>AND('GA55 Entry'!I955,"AAAAAD3/vuM=")</f>
        <v>#VALUE!</v>
      </c>
      <c r="HU236" t="e">
        <f>AND('GA55 Entry'!J955,"AAAAAD3/vuQ=")</f>
        <v>#VALUE!</v>
      </c>
      <c r="HV236" t="e">
        <f>AND('GA55 Entry'!#REF!,"AAAAAD3/vuU=")</f>
        <v>#REF!</v>
      </c>
      <c r="HW236" t="e">
        <f>AND('GA55 Entry'!K955,"AAAAAD3/vuY=")</f>
        <v>#VALUE!</v>
      </c>
      <c r="HX236" t="e">
        <f>AND('GA55 Entry'!L955,"AAAAAD3/vuc=")</f>
        <v>#VALUE!</v>
      </c>
      <c r="HY236" t="e">
        <f>AND('GA55 Entry'!M955,"AAAAAD3/vug=")</f>
        <v>#VALUE!</v>
      </c>
      <c r="HZ236" t="e">
        <f>AND('GA55 Entry'!N955,"AAAAAD3/vuk=")</f>
        <v>#VALUE!</v>
      </c>
      <c r="IA236" t="e">
        <f>AND('GA55 Entry'!O955,"AAAAAD3/vuo=")</f>
        <v>#VALUE!</v>
      </c>
      <c r="IB236" t="e">
        <f>AND('GA55 Entry'!P955,"AAAAAD3/vus=")</f>
        <v>#VALUE!</v>
      </c>
      <c r="IC236" t="e">
        <f>AND('GA55 Entry'!Q955,"AAAAAD3/vuw=")</f>
        <v>#VALUE!</v>
      </c>
      <c r="ID236" t="e">
        <f>AND('GA55 Entry'!S955,"AAAAAD3/vu0=")</f>
        <v>#VALUE!</v>
      </c>
      <c r="IE236" t="e">
        <f>AND('GA55 Entry'!#REF!,"AAAAAD3/vu4=")</f>
        <v>#REF!</v>
      </c>
      <c r="IF236" t="e">
        <f>AND('GA55 Entry'!T955,"AAAAAD3/vu8=")</f>
        <v>#VALUE!</v>
      </c>
      <c r="IG236" t="e">
        <f>AND('GA55 Entry'!U955,"AAAAAD3/vvA=")</f>
        <v>#VALUE!</v>
      </c>
      <c r="IH236" t="e">
        <f>AND('GA55 Entry'!V955,"AAAAAD3/vvE=")</f>
        <v>#VALUE!</v>
      </c>
      <c r="II236" t="e">
        <f>AND('GA55 Entry'!#REF!,"AAAAAD3/vvI=")</f>
        <v>#REF!</v>
      </c>
      <c r="IJ236" t="e">
        <f>AND('GA55 Entry'!#REF!,"AAAAAD3/vvM=")</f>
        <v>#REF!</v>
      </c>
      <c r="IK236" t="e">
        <f>AND('GA55 Entry'!X955,"AAAAAD3/vvQ=")</f>
        <v>#VALUE!</v>
      </c>
      <c r="IL236" t="e">
        <f>AND('GA55 Entry'!Y955,"AAAAAD3/vvU=")</f>
        <v>#VALUE!</v>
      </c>
      <c r="IM236" t="e">
        <f>AND('GA55 Entry'!#REF!,"AAAAAD3/vvY=")</f>
        <v>#REF!</v>
      </c>
      <c r="IN236" t="e">
        <f>AND('GA55 Entry'!#REF!,"AAAAAD3/vvc=")</f>
        <v>#REF!</v>
      </c>
      <c r="IO236" t="e">
        <f>AND('GA55 Entry'!#REF!,"AAAAAD3/vvg=")</f>
        <v>#REF!</v>
      </c>
      <c r="IP236" t="e">
        <f>AND('GA55 Entry'!#REF!,"AAAAAD3/vvk=")</f>
        <v>#REF!</v>
      </c>
      <c r="IQ236" t="e">
        <f>AND('GA55 Entry'!#REF!,"AAAAAD3/vvo=")</f>
        <v>#REF!</v>
      </c>
      <c r="IR236" t="e">
        <f>AND('GA55 Entry'!#REF!,"AAAAAD3/vvs=")</f>
        <v>#REF!</v>
      </c>
      <c r="IS236" t="e">
        <f>AND('GA55 Entry'!#REF!,"AAAAAD3/vvw=")</f>
        <v>#REF!</v>
      </c>
      <c r="IT236" t="e">
        <f>AND('GA55 Entry'!#REF!,"AAAAAD3/vv0=")</f>
        <v>#REF!</v>
      </c>
      <c r="IU236" t="e">
        <f>AND('GA55 Entry'!#REF!,"AAAAAD3/vv4=")</f>
        <v>#REF!</v>
      </c>
      <c r="IV236" t="e">
        <f>AND('GA55 Entry'!Z955,"AAAAAD3/vv8=")</f>
        <v>#VALUE!</v>
      </c>
    </row>
    <row r="237" spans="1:256">
      <c r="A237" t="e">
        <f>AND('GA55 Entry'!AA955,"AAAAAG7P/QA=")</f>
        <v>#VALUE!</v>
      </c>
      <c r="B237" t="e">
        <f>AND('GA55 Entry'!#REF!,"AAAAAG7P/QE=")</f>
        <v>#REF!</v>
      </c>
      <c r="C237" t="e">
        <f>AND('GA55 Entry'!#REF!,"AAAAAG7P/QI=")</f>
        <v>#REF!</v>
      </c>
      <c r="D237" t="e">
        <f>AND('GA55 Entry'!#REF!,"AAAAAG7P/QM=")</f>
        <v>#REF!</v>
      </c>
      <c r="E237" t="e">
        <f>AND('GA55 Entry'!AB955,"AAAAAG7P/QQ=")</f>
        <v>#VALUE!</v>
      </c>
      <c r="F237" t="e">
        <f>AND('GA55 Entry'!AC955,"AAAAAG7P/QU=")</f>
        <v>#VALUE!</v>
      </c>
      <c r="G237" t="e">
        <f>AND('GA55 Entry'!#REF!,"AAAAAG7P/QY=")</f>
        <v>#REF!</v>
      </c>
      <c r="H237">
        <f>IF('GA55 Entry'!956:956,"AAAAAG7P/Qc=",0)</f>
        <v>0</v>
      </c>
      <c r="I237" t="e">
        <f>AND('GA55 Entry'!B956,"AAAAAG7P/Qg=")</f>
        <v>#VALUE!</v>
      </c>
      <c r="J237" t="e">
        <f>AND('GA55 Entry'!#REF!,"AAAAAG7P/Qk=")</f>
        <v>#REF!</v>
      </c>
      <c r="K237" t="e">
        <f>AND('GA55 Entry'!C956,"AAAAAG7P/Qo=")</f>
        <v>#VALUE!</v>
      </c>
      <c r="L237" t="e">
        <f>AND('GA55 Entry'!#REF!,"AAAAAG7P/Qs=")</f>
        <v>#REF!</v>
      </c>
      <c r="M237" t="e">
        <f>AND('GA55 Entry'!#REF!,"AAAAAG7P/Qw=")</f>
        <v>#REF!</v>
      </c>
      <c r="N237" t="e">
        <f>AND('GA55 Entry'!#REF!,"AAAAAG7P/Q0=")</f>
        <v>#REF!</v>
      </c>
      <c r="O237" t="e">
        <f>AND('GA55 Entry'!#REF!,"AAAAAG7P/Q4=")</f>
        <v>#REF!</v>
      </c>
      <c r="P237" t="e">
        <f>AND('GA55 Entry'!#REF!,"AAAAAG7P/Q8=")</f>
        <v>#REF!</v>
      </c>
      <c r="Q237" t="e">
        <f>AND('GA55 Entry'!D956,"AAAAAG7P/RA=")</f>
        <v>#VALUE!</v>
      </c>
      <c r="R237" t="e">
        <f>AND('GA55 Entry'!#REF!,"AAAAAG7P/RE=")</f>
        <v>#REF!</v>
      </c>
      <c r="S237" t="e">
        <f>AND('GA55 Entry'!E956,"AAAAAG7P/RI=")</f>
        <v>#VALUE!</v>
      </c>
      <c r="T237" t="e">
        <f>AND('GA55 Entry'!F956,"AAAAAG7P/RM=")</f>
        <v>#VALUE!</v>
      </c>
      <c r="U237" t="e">
        <f>AND('GA55 Entry'!G956,"AAAAAG7P/RQ=")</f>
        <v>#VALUE!</v>
      </c>
      <c r="V237" t="e">
        <f>AND('GA55 Entry'!H956,"AAAAAG7P/RU=")</f>
        <v>#VALUE!</v>
      </c>
      <c r="W237" t="e">
        <f>AND('GA55 Entry'!I956,"AAAAAG7P/RY=")</f>
        <v>#VALUE!</v>
      </c>
      <c r="X237" t="e">
        <f>AND('GA55 Entry'!J956,"AAAAAG7P/Rc=")</f>
        <v>#VALUE!</v>
      </c>
      <c r="Y237" t="e">
        <f>AND('GA55 Entry'!#REF!,"AAAAAG7P/Rg=")</f>
        <v>#REF!</v>
      </c>
      <c r="Z237" t="e">
        <f>AND('GA55 Entry'!K956,"AAAAAG7P/Rk=")</f>
        <v>#VALUE!</v>
      </c>
      <c r="AA237" t="e">
        <f>AND('GA55 Entry'!L956,"AAAAAG7P/Ro=")</f>
        <v>#VALUE!</v>
      </c>
      <c r="AB237" t="e">
        <f>AND('GA55 Entry'!M956,"AAAAAG7P/Rs=")</f>
        <v>#VALUE!</v>
      </c>
      <c r="AC237" t="e">
        <f>AND('GA55 Entry'!N956,"AAAAAG7P/Rw=")</f>
        <v>#VALUE!</v>
      </c>
      <c r="AD237" t="e">
        <f>AND('GA55 Entry'!O956,"AAAAAG7P/R0=")</f>
        <v>#VALUE!</v>
      </c>
      <c r="AE237" t="e">
        <f>AND('GA55 Entry'!P956,"AAAAAG7P/R4=")</f>
        <v>#VALUE!</v>
      </c>
      <c r="AF237" t="e">
        <f>AND('GA55 Entry'!Q956,"AAAAAG7P/R8=")</f>
        <v>#VALUE!</v>
      </c>
      <c r="AG237" t="e">
        <f>AND('GA55 Entry'!S956,"AAAAAG7P/SA=")</f>
        <v>#VALUE!</v>
      </c>
      <c r="AH237" t="e">
        <f>AND('GA55 Entry'!#REF!,"AAAAAG7P/SE=")</f>
        <v>#REF!</v>
      </c>
      <c r="AI237" t="e">
        <f>AND('GA55 Entry'!T956,"AAAAAG7P/SI=")</f>
        <v>#VALUE!</v>
      </c>
      <c r="AJ237" t="e">
        <f>AND('GA55 Entry'!U956,"AAAAAG7P/SM=")</f>
        <v>#VALUE!</v>
      </c>
      <c r="AK237" t="e">
        <f>AND('GA55 Entry'!V956,"AAAAAG7P/SQ=")</f>
        <v>#VALUE!</v>
      </c>
      <c r="AL237" t="e">
        <f>AND('GA55 Entry'!#REF!,"AAAAAG7P/SU=")</f>
        <v>#REF!</v>
      </c>
      <c r="AM237" t="e">
        <f>AND('GA55 Entry'!#REF!,"AAAAAG7P/SY=")</f>
        <v>#REF!</v>
      </c>
      <c r="AN237" t="e">
        <f>AND('GA55 Entry'!X956,"AAAAAG7P/Sc=")</f>
        <v>#VALUE!</v>
      </c>
      <c r="AO237" t="e">
        <f>AND('GA55 Entry'!Y956,"AAAAAG7P/Sg=")</f>
        <v>#VALUE!</v>
      </c>
      <c r="AP237" t="e">
        <f>AND('GA55 Entry'!#REF!,"AAAAAG7P/Sk=")</f>
        <v>#REF!</v>
      </c>
      <c r="AQ237" t="e">
        <f>AND('GA55 Entry'!#REF!,"AAAAAG7P/So=")</f>
        <v>#REF!</v>
      </c>
      <c r="AR237" t="e">
        <f>AND('GA55 Entry'!#REF!,"AAAAAG7P/Ss=")</f>
        <v>#REF!</v>
      </c>
      <c r="AS237" t="e">
        <f>AND('GA55 Entry'!#REF!,"AAAAAG7P/Sw=")</f>
        <v>#REF!</v>
      </c>
      <c r="AT237" t="e">
        <f>AND('GA55 Entry'!#REF!,"AAAAAG7P/S0=")</f>
        <v>#REF!</v>
      </c>
      <c r="AU237" t="e">
        <f>AND('GA55 Entry'!#REF!,"AAAAAG7P/S4=")</f>
        <v>#REF!</v>
      </c>
      <c r="AV237" t="e">
        <f>AND('GA55 Entry'!#REF!,"AAAAAG7P/S8=")</f>
        <v>#REF!</v>
      </c>
      <c r="AW237" t="e">
        <f>AND('GA55 Entry'!#REF!,"AAAAAG7P/TA=")</f>
        <v>#REF!</v>
      </c>
      <c r="AX237" t="e">
        <f>AND('GA55 Entry'!#REF!,"AAAAAG7P/TE=")</f>
        <v>#REF!</v>
      </c>
      <c r="AY237" t="e">
        <f>AND('GA55 Entry'!Z956,"AAAAAG7P/TI=")</f>
        <v>#VALUE!</v>
      </c>
      <c r="AZ237" t="e">
        <f>AND('GA55 Entry'!AA956,"AAAAAG7P/TM=")</f>
        <v>#VALUE!</v>
      </c>
      <c r="BA237" t="e">
        <f>AND('GA55 Entry'!#REF!,"AAAAAG7P/TQ=")</f>
        <v>#REF!</v>
      </c>
      <c r="BB237" t="e">
        <f>AND('GA55 Entry'!#REF!,"AAAAAG7P/TU=")</f>
        <v>#REF!</v>
      </c>
      <c r="BC237" t="e">
        <f>AND('GA55 Entry'!#REF!,"AAAAAG7P/TY=")</f>
        <v>#REF!</v>
      </c>
      <c r="BD237" t="e">
        <f>AND('GA55 Entry'!AB956,"AAAAAG7P/Tc=")</f>
        <v>#VALUE!</v>
      </c>
      <c r="BE237" t="e">
        <f>AND('GA55 Entry'!AC956,"AAAAAG7P/Tg=")</f>
        <v>#VALUE!</v>
      </c>
      <c r="BF237" t="e">
        <f>AND('GA55 Entry'!#REF!,"AAAAAG7P/Tk=")</f>
        <v>#REF!</v>
      </c>
      <c r="BG237">
        <f>IF('GA55 Entry'!957:957,"AAAAAG7P/To=",0)</f>
        <v>0</v>
      </c>
      <c r="BH237" t="e">
        <f>AND('GA55 Entry'!B957,"AAAAAG7P/Ts=")</f>
        <v>#VALUE!</v>
      </c>
      <c r="BI237" t="e">
        <f>AND('GA55 Entry'!#REF!,"AAAAAG7P/Tw=")</f>
        <v>#REF!</v>
      </c>
      <c r="BJ237" t="e">
        <f>AND('GA55 Entry'!C957,"AAAAAG7P/T0=")</f>
        <v>#VALUE!</v>
      </c>
      <c r="BK237" t="e">
        <f>AND('GA55 Entry'!#REF!,"AAAAAG7P/T4=")</f>
        <v>#REF!</v>
      </c>
      <c r="BL237" t="e">
        <f>AND('GA55 Entry'!#REF!,"AAAAAG7P/T8=")</f>
        <v>#REF!</v>
      </c>
      <c r="BM237" t="e">
        <f>AND('GA55 Entry'!#REF!,"AAAAAG7P/UA=")</f>
        <v>#REF!</v>
      </c>
      <c r="BN237" t="e">
        <f>AND('GA55 Entry'!#REF!,"AAAAAG7P/UE=")</f>
        <v>#REF!</v>
      </c>
      <c r="BO237" t="e">
        <f>AND('GA55 Entry'!#REF!,"AAAAAG7P/UI=")</f>
        <v>#REF!</v>
      </c>
      <c r="BP237" t="e">
        <f>AND('GA55 Entry'!D957,"AAAAAG7P/UM=")</f>
        <v>#VALUE!</v>
      </c>
      <c r="BQ237" t="e">
        <f>AND('GA55 Entry'!#REF!,"AAAAAG7P/UQ=")</f>
        <v>#REF!</v>
      </c>
      <c r="BR237" t="e">
        <f>AND('GA55 Entry'!E957,"AAAAAG7P/UU=")</f>
        <v>#VALUE!</v>
      </c>
      <c r="BS237" t="e">
        <f>AND('GA55 Entry'!F957,"AAAAAG7P/UY=")</f>
        <v>#VALUE!</v>
      </c>
      <c r="BT237" t="e">
        <f>AND('GA55 Entry'!G957,"AAAAAG7P/Uc=")</f>
        <v>#VALUE!</v>
      </c>
      <c r="BU237" t="e">
        <f>AND('GA55 Entry'!H957,"AAAAAG7P/Ug=")</f>
        <v>#VALUE!</v>
      </c>
      <c r="BV237" t="e">
        <f>AND('GA55 Entry'!I957,"AAAAAG7P/Uk=")</f>
        <v>#VALUE!</v>
      </c>
      <c r="BW237" t="e">
        <f>AND('GA55 Entry'!J957,"AAAAAG7P/Uo=")</f>
        <v>#VALUE!</v>
      </c>
      <c r="BX237" t="e">
        <f>AND('GA55 Entry'!#REF!,"AAAAAG7P/Us=")</f>
        <v>#REF!</v>
      </c>
      <c r="BY237" t="e">
        <f>AND('GA55 Entry'!K957,"AAAAAG7P/Uw=")</f>
        <v>#VALUE!</v>
      </c>
      <c r="BZ237" t="e">
        <f>AND('GA55 Entry'!L957,"AAAAAG7P/U0=")</f>
        <v>#VALUE!</v>
      </c>
      <c r="CA237" t="e">
        <f>AND('GA55 Entry'!M957,"AAAAAG7P/U4=")</f>
        <v>#VALUE!</v>
      </c>
      <c r="CB237" t="e">
        <f>AND('GA55 Entry'!N957,"AAAAAG7P/U8=")</f>
        <v>#VALUE!</v>
      </c>
      <c r="CC237" t="e">
        <f>AND('GA55 Entry'!O957,"AAAAAG7P/VA=")</f>
        <v>#VALUE!</v>
      </c>
      <c r="CD237" t="e">
        <f>AND('GA55 Entry'!P957,"AAAAAG7P/VE=")</f>
        <v>#VALUE!</v>
      </c>
      <c r="CE237" t="e">
        <f>AND('GA55 Entry'!Q957,"AAAAAG7P/VI=")</f>
        <v>#VALUE!</v>
      </c>
      <c r="CF237" t="e">
        <f>AND('GA55 Entry'!S957,"AAAAAG7P/VM=")</f>
        <v>#VALUE!</v>
      </c>
      <c r="CG237" t="e">
        <f>AND('GA55 Entry'!#REF!,"AAAAAG7P/VQ=")</f>
        <v>#REF!</v>
      </c>
      <c r="CH237" t="e">
        <f>AND('GA55 Entry'!T957,"AAAAAG7P/VU=")</f>
        <v>#VALUE!</v>
      </c>
      <c r="CI237" t="e">
        <f>AND('GA55 Entry'!U957,"AAAAAG7P/VY=")</f>
        <v>#VALUE!</v>
      </c>
      <c r="CJ237" t="e">
        <f>AND('GA55 Entry'!V957,"AAAAAG7P/Vc=")</f>
        <v>#VALUE!</v>
      </c>
      <c r="CK237" t="e">
        <f>AND('GA55 Entry'!#REF!,"AAAAAG7P/Vg=")</f>
        <v>#REF!</v>
      </c>
      <c r="CL237" t="e">
        <f>AND('GA55 Entry'!#REF!,"AAAAAG7P/Vk=")</f>
        <v>#REF!</v>
      </c>
      <c r="CM237" t="e">
        <f>AND('GA55 Entry'!X957,"AAAAAG7P/Vo=")</f>
        <v>#VALUE!</v>
      </c>
      <c r="CN237" t="e">
        <f>AND('GA55 Entry'!Y957,"AAAAAG7P/Vs=")</f>
        <v>#VALUE!</v>
      </c>
      <c r="CO237" t="e">
        <f>AND('GA55 Entry'!#REF!,"AAAAAG7P/Vw=")</f>
        <v>#REF!</v>
      </c>
      <c r="CP237" t="e">
        <f>AND('GA55 Entry'!#REF!,"AAAAAG7P/V0=")</f>
        <v>#REF!</v>
      </c>
      <c r="CQ237" t="e">
        <f>AND('GA55 Entry'!#REF!,"AAAAAG7P/V4=")</f>
        <v>#REF!</v>
      </c>
      <c r="CR237" t="e">
        <f>AND('GA55 Entry'!#REF!,"AAAAAG7P/V8=")</f>
        <v>#REF!</v>
      </c>
      <c r="CS237" t="e">
        <f>AND('GA55 Entry'!#REF!,"AAAAAG7P/WA=")</f>
        <v>#REF!</v>
      </c>
      <c r="CT237" t="e">
        <f>AND('GA55 Entry'!#REF!,"AAAAAG7P/WE=")</f>
        <v>#REF!</v>
      </c>
      <c r="CU237" t="e">
        <f>AND('GA55 Entry'!#REF!,"AAAAAG7P/WI=")</f>
        <v>#REF!</v>
      </c>
      <c r="CV237" t="e">
        <f>AND('GA55 Entry'!#REF!,"AAAAAG7P/WM=")</f>
        <v>#REF!</v>
      </c>
      <c r="CW237" t="e">
        <f>AND('GA55 Entry'!#REF!,"AAAAAG7P/WQ=")</f>
        <v>#REF!</v>
      </c>
      <c r="CX237" t="e">
        <f>AND('GA55 Entry'!Z957,"AAAAAG7P/WU=")</f>
        <v>#VALUE!</v>
      </c>
      <c r="CY237" t="e">
        <f>AND('GA55 Entry'!AA957,"AAAAAG7P/WY=")</f>
        <v>#VALUE!</v>
      </c>
      <c r="CZ237" t="e">
        <f>AND('GA55 Entry'!#REF!,"AAAAAG7P/Wc=")</f>
        <v>#REF!</v>
      </c>
      <c r="DA237" t="e">
        <f>AND('GA55 Entry'!#REF!,"AAAAAG7P/Wg=")</f>
        <v>#REF!</v>
      </c>
      <c r="DB237" t="e">
        <f>AND('GA55 Entry'!#REF!,"AAAAAG7P/Wk=")</f>
        <v>#REF!</v>
      </c>
      <c r="DC237" t="e">
        <f>AND('GA55 Entry'!AB957,"AAAAAG7P/Wo=")</f>
        <v>#VALUE!</v>
      </c>
      <c r="DD237" t="e">
        <f>AND('GA55 Entry'!AC957,"AAAAAG7P/Ws=")</f>
        <v>#VALUE!</v>
      </c>
      <c r="DE237" t="e">
        <f>AND('GA55 Entry'!#REF!,"AAAAAG7P/Ww=")</f>
        <v>#REF!</v>
      </c>
      <c r="DF237">
        <f>IF('GA55 Entry'!958:958,"AAAAAG7P/W0=",0)</f>
        <v>0</v>
      </c>
      <c r="DG237" t="e">
        <f>AND('GA55 Entry'!B958,"AAAAAG7P/W4=")</f>
        <v>#VALUE!</v>
      </c>
      <c r="DH237" t="e">
        <f>AND('GA55 Entry'!#REF!,"AAAAAG7P/W8=")</f>
        <v>#REF!</v>
      </c>
      <c r="DI237" t="e">
        <f>AND('GA55 Entry'!C958,"AAAAAG7P/XA=")</f>
        <v>#VALUE!</v>
      </c>
      <c r="DJ237" t="e">
        <f>AND('GA55 Entry'!#REF!,"AAAAAG7P/XE=")</f>
        <v>#REF!</v>
      </c>
      <c r="DK237" t="e">
        <f>AND('GA55 Entry'!#REF!,"AAAAAG7P/XI=")</f>
        <v>#REF!</v>
      </c>
      <c r="DL237" t="e">
        <f>AND('GA55 Entry'!#REF!,"AAAAAG7P/XM=")</f>
        <v>#REF!</v>
      </c>
      <c r="DM237" t="e">
        <f>AND('GA55 Entry'!#REF!,"AAAAAG7P/XQ=")</f>
        <v>#REF!</v>
      </c>
      <c r="DN237" t="e">
        <f>AND('GA55 Entry'!#REF!,"AAAAAG7P/XU=")</f>
        <v>#REF!</v>
      </c>
      <c r="DO237" t="e">
        <f>AND('GA55 Entry'!D958,"AAAAAG7P/XY=")</f>
        <v>#VALUE!</v>
      </c>
      <c r="DP237" t="e">
        <f>AND('GA55 Entry'!#REF!,"AAAAAG7P/Xc=")</f>
        <v>#REF!</v>
      </c>
      <c r="DQ237" t="e">
        <f>AND('GA55 Entry'!E958,"AAAAAG7P/Xg=")</f>
        <v>#VALUE!</v>
      </c>
      <c r="DR237" t="e">
        <f>AND('GA55 Entry'!F958,"AAAAAG7P/Xk=")</f>
        <v>#VALUE!</v>
      </c>
      <c r="DS237" t="e">
        <f>AND('GA55 Entry'!G958,"AAAAAG7P/Xo=")</f>
        <v>#VALUE!</v>
      </c>
      <c r="DT237" t="e">
        <f>AND('GA55 Entry'!H958,"AAAAAG7P/Xs=")</f>
        <v>#VALUE!</v>
      </c>
      <c r="DU237" t="e">
        <f>AND('GA55 Entry'!I958,"AAAAAG7P/Xw=")</f>
        <v>#VALUE!</v>
      </c>
      <c r="DV237" t="e">
        <f>AND('GA55 Entry'!J958,"AAAAAG7P/X0=")</f>
        <v>#VALUE!</v>
      </c>
      <c r="DW237" t="e">
        <f>AND('GA55 Entry'!#REF!,"AAAAAG7P/X4=")</f>
        <v>#REF!</v>
      </c>
      <c r="DX237" t="e">
        <f>AND('GA55 Entry'!K958,"AAAAAG7P/X8=")</f>
        <v>#VALUE!</v>
      </c>
      <c r="DY237" t="e">
        <f>AND('GA55 Entry'!L958,"AAAAAG7P/YA=")</f>
        <v>#VALUE!</v>
      </c>
      <c r="DZ237" t="e">
        <f>AND('GA55 Entry'!M958,"AAAAAG7P/YE=")</f>
        <v>#VALUE!</v>
      </c>
      <c r="EA237" t="e">
        <f>AND('GA55 Entry'!N958,"AAAAAG7P/YI=")</f>
        <v>#VALUE!</v>
      </c>
      <c r="EB237" t="e">
        <f>AND('GA55 Entry'!O958,"AAAAAG7P/YM=")</f>
        <v>#VALUE!</v>
      </c>
      <c r="EC237" t="e">
        <f>AND('GA55 Entry'!P958,"AAAAAG7P/YQ=")</f>
        <v>#VALUE!</v>
      </c>
      <c r="ED237" t="e">
        <f>AND('GA55 Entry'!Q958,"AAAAAG7P/YU=")</f>
        <v>#VALUE!</v>
      </c>
      <c r="EE237" t="e">
        <f>AND('GA55 Entry'!S958,"AAAAAG7P/YY=")</f>
        <v>#VALUE!</v>
      </c>
      <c r="EF237" t="e">
        <f>AND('GA55 Entry'!#REF!,"AAAAAG7P/Yc=")</f>
        <v>#REF!</v>
      </c>
      <c r="EG237" t="e">
        <f>AND('GA55 Entry'!T958,"AAAAAG7P/Yg=")</f>
        <v>#VALUE!</v>
      </c>
      <c r="EH237" t="e">
        <f>AND('GA55 Entry'!U958,"AAAAAG7P/Yk=")</f>
        <v>#VALUE!</v>
      </c>
      <c r="EI237" t="e">
        <f>AND('GA55 Entry'!V958,"AAAAAG7P/Yo=")</f>
        <v>#VALUE!</v>
      </c>
      <c r="EJ237" t="e">
        <f>AND('GA55 Entry'!#REF!,"AAAAAG7P/Ys=")</f>
        <v>#REF!</v>
      </c>
      <c r="EK237" t="e">
        <f>AND('GA55 Entry'!#REF!,"AAAAAG7P/Yw=")</f>
        <v>#REF!</v>
      </c>
      <c r="EL237" t="e">
        <f>AND('GA55 Entry'!X958,"AAAAAG7P/Y0=")</f>
        <v>#VALUE!</v>
      </c>
      <c r="EM237" t="e">
        <f>AND('GA55 Entry'!Y958,"AAAAAG7P/Y4=")</f>
        <v>#VALUE!</v>
      </c>
      <c r="EN237" t="e">
        <f>AND('GA55 Entry'!#REF!,"AAAAAG7P/Y8=")</f>
        <v>#REF!</v>
      </c>
      <c r="EO237" t="e">
        <f>AND('GA55 Entry'!#REF!,"AAAAAG7P/ZA=")</f>
        <v>#REF!</v>
      </c>
      <c r="EP237" t="e">
        <f>AND('GA55 Entry'!#REF!,"AAAAAG7P/ZE=")</f>
        <v>#REF!</v>
      </c>
      <c r="EQ237" t="e">
        <f>AND('GA55 Entry'!#REF!,"AAAAAG7P/ZI=")</f>
        <v>#REF!</v>
      </c>
      <c r="ER237" t="e">
        <f>AND('GA55 Entry'!#REF!,"AAAAAG7P/ZM=")</f>
        <v>#REF!</v>
      </c>
      <c r="ES237" t="e">
        <f>AND('GA55 Entry'!#REF!,"AAAAAG7P/ZQ=")</f>
        <v>#REF!</v>
      </c>
      <c r="ET237" t="e">
        <f>AND('GA55 Entry'!#REF!,"AAAAAG7P/ZU=")</f>
        <v>#REF!</v>
      </c>
      <c r="EU237" t="e">
        <f>AND('GA55 Entry'!#REF!,"AAAAAG7P/ZY=")</f>
        <v>#REF!</v>
      </c>
      <c r="EV237" t="e">
        <f>AND('GA55 Entry'!#REF!,"AAAAAG7P/Zc=")</f>
        <v>#REF!</v>
      </c>
      <c r="EW237" t="e">
        <f>AND('GA55 Entry'!Z958,"AAAAAG7P/Zg=")</f>
        <v>#VALUE!</v>
      </c>
      <c r="EX237" t="e">
        <f>AND('GA55 Entry'!AA958,"AAAAAG7P/Zk=")</f>
        <v>#VALUE!</v>
      </c>
      <c r="EY237" t="e">
        <f>AND('GA55 Entry'!#REF!,"AAAAAG7P/Zo=")</f>
        <v>#REF!</v>
      </c>
      <c r="EZ237" t="e">
        <f>AND('GA55 Entry'!#REF!,"AAAAAG7P/Zs=")</f>
        <v>#REF!</v>
      </c>
      <c r="FA237" t="e">
        <f>AND('GA55 Entry'!#REF!,"AAAAAG7P/Zw=")</f>
        <v>#REF!</v>
      </c>
      <c r="FB237" t="e">
        <f>AND('GA55 Entry'!AB958,"AAAAAG7P/Z0=")</f>
        <v>#VALUE!</v>
      </c>
      <c r="FC237" t="e">
        <f>AND('GA55 Entry'!AC958,"AAAAAG7P/Z4=")</f>
        <v>#VALUE!</v>
      </c>
      <c r="FD237" t="e">
        <f>AND('GA55 Entry'!#REF!,"AAAAAG7P/Z8=")</f>
        <v>#REF!</v>
      </c>
      <c r="FE237">
        <f>IF('GA55 Entry'!959:959,"AAAAAG7P/aA=",0)</f>
        <v>0</v>
      </c>
      <c r="FF237" t="e">
        <f>AND('GA55 Entry'!B959,"AAAAAG7P/aE=")</f>
        <v>#VALUE!</v>
      </c>
      <c r="FG237" t="e">
        <f>AND('GA55 Entry'!#REF!,"AAAAAG7P/aI=")</f>
        <v>#REF!</v>
      </c>
      <c r="FH237" t="e">
        <f>AND('GA55 Entry'!C959,"AAAAAG7P/aM=")</f>
        <v>#VALUE!</v>
      </c>
      <c r="FI237" t="e">
        <f>AND('GA55 Entry'!#REF!,"AAAAAG7P/aQ=")</f>
        <v>#REF!</v>
      </c>
      <c r="FJ237" t="e">
        <f>AND('GA55 Entry'!#REF!,"AAAAAG7P/aU=")</f>
        <v>#REF!</v>
      </c>
      <c r="FK237" t="e">
        <f>AND('GA55 Entry'!#REF!,"AAAAAG7P/aY=")</f>
        <v>#REF!</v>
      </c>
      <c r="FL237" t="e">
        <f>AND('GA55 Entry'!#REF!,"AAAAAG7P/ac=")</f>
        <v>#REF!</v>
      </c>
      <c r="FM237" t="e">
        <f>AND('GA55 Entry'!#REF!,"AAAAAG7P/ag=")</f>
        <v>#REF!</v>
      </c>
      <c r="FN237" t="e">
        <f>AND('GA55 Entry'!D959,"AAAAAG7P/ak=")</f>
        <v>#VALUE!</v>
      </c>
      <c r="FO237" t="e">
        <f>AND('GA55 Entry'!#REF!,"AAAAAG7P/ao=")</f>
        <v>#REF!</v>
      </c>
      <c r="FP237" t="e">
        <f>AND('GA55 Entry'!E959,"AAAAAG7P/as=")</f>
        <v>#VALUE!</v>
      </c>
      <c r="FQ237" t="e">
        <f>AND('GA55 Entry'!F959,"AAAAAG7P/aw=")</f>
        <v>#VALUE!</v>
      </c>
      <c r="FR237" t="e">
        <f>AND('GA55 Entry'!G959,"AAAAAG7P/a0=")</f>
        <v>#VALUE!</v>
      </c>
      <c r="FS237" t="e">
        <f>AND('GA55 Entry'!H959,"AAAAAG7P/a4=")</f>
        <v>#VALUE!</v>
      </c>
      <c r="FT237" t="e">
        <f>AND('GA55 Entry'!I959,"AAAAAG7P/a8=")</f>
        <v>#VALUE!</v>
      </c>
      <c r="FU237" t="e">
        <f>AND('GA55 Entry'!J959,"AAAAAG7P/bA=")</f>
        <v>#VALUE!</v>
      </c>
      <c r="FV237" t="e">
        <f>AND('GA55 Entry'!#REF!,"AAAAAG7P/bE=")</f>
        <v>#REF!</v>
      </c>
      <c r="FW237" t="e">
        <f>AND('GA55 Entry'!K959,"AAAAAG7P/bI=")</f>
        <v>#VALUE!</v>
      </c>
      <c r="FX237" t="e">
        <f>AND('GA55 Entry'!L959,"AAAAAG7P/bM=")</f>
        <v>#VALUE!</v>
      </c>
      <c r="FY237" t="e">
        <f>AND('GA55 Entry'!M959,"AAAAAG7P/bQ=")</f>
        <v>#VALUE!</v>
      </c>
      <c r="FZ237" t="e">
        <f>AND('GA55 Entry'!N959,"AAAAAG7P/bU=")</f>
        <v>#VALUE!</v>
      </c>
      <c r="GA237" t="e">
        <f>AND('GA55 Entry'!O959,"AAAAAG7P/bY=")</f>
        <v>#VALUE!</v>
      </c>
      <c r="GB237" t="e">
        <f>AND('GA55 Entry'!P959,"AAAAAG7P/bc=")</f>
        <v>#VALUE!</v>
      </c>
      <c r="GC237" t="e">
        <f>AND('GA55 Entry'!Q959,"AAAAAG7P/bg=")</f>
        <v>#VALUE!</v>
      </c>
      <c r="GD237" t="e">
        <f>AND('GA55 Entry'!S959,"AAAAAG7P/bk=")</f>
        <v>#VALUE!</v>
      </c>
      <c r="GE237" t="e">
        <f>AND('GA55 Entry'!#REF!,"AAAAAG7P/bo=")</f>
        <v>#REF!</v>
      </c>
      <c r="GF237" t="e">
        <f>AND('GA55 Entry'!T959,"AAAAAG7P/bs=")</f>
        <v>#VALUE!</v>
      </c>
      <c r="GG237" t="e">
        <f>AND('GA55 Entry'!U959,"AAAAAG7P/bw=")</f>
        <v>#VALUE!</v>
      </c>
      <c r="GH237" t="e">
        <f>AND('GA55 Entry'!V959,"AAAAAG7P/b0=")</f>
        <v>#VALUE!</v>
      </c>
      <c r="GI237" t="e">
        <f>AND('GA55 Entry'!#REF!,"AAAAAG7P/b4=")</f>
        <v>#REF!</v>
      </c>
      <c r="GJ237" t="e">
        <f>AND('GA55 Entry'!#REF!,"AAAAAG7P/b8=")</f>
        <v>#REF!</v>
      </c>
      <c r="GK237" t="e">
        <f>AND('GA55 Entry'!X959,"AAAAAG7P/cA=")</f>
        <v>#VALUE!</v>
      </c>
      <c r="GL237" t="e">
        <f>AND('GA55 Entry'!Y959,"AAAAAG7P/cE=")</f>
        <v>#VALUE!</v>
      </c>
      <c r="GM237" t="e">
        <f>AND('GA55 Entry'!#REF!,"AAAAAG7P/cI=")</f>
        <v>#REF!</v>
      </c>
      <c r="GN237" t="e">
        <f>AND('GA55 Entry'!#REF!,"AAAAAG7P/cM=")</f>
        <v>#REF!</v>
      </c>
      <c r="GO237" t="e">
        <f>AND('GA55 Entry'!#REF!,"AAAAAG7P/cQ=")</f>
        <v>#REF!</v>
      </c>
      <c r="GP237" t="e">
        <f>AND('GA55 Entry'!#REF!,"AAAAAG7P/cU=")</f>
        <v>#REF!</v>
      </c>
      <c r="GQ237" t="e">
        <f>AND('GA55 Entry'!#REF!,"AAAAAG7P/cY=")</f>
        <v>#REF!</v>
      </c>
      <c r="GR237" t="e">
        <f>AND('GA55 Entry'!#REF!,"AAAAAG7P/cc=")</f>
        <v>#REF!</v>
      </c>
      <c r="GS237" t="e">
        <f>AND('GA55 Entry'!#REF!,"AAAAAG7P/cg=")</f>
        <v>#REF!</v>
      </c>
      <c r="GT237" t="e">
        <f>AND('GA55 Entry'!#REF!,"AAAAAG7P/ck=")</f>
        <v>#REF!</v>
      </c>
      <c r="GU237" t="e">
        <f>AND('GA55 Entry'!#REF!,"AAAAAG7P/co=")</f>
        <v>#REF!</v>
      </c>
      <c r="GV237" t="e">
        <f>AND('GA55 Entry'!Z959,"AAAAAG7P/cs=")</f>
        <v>#VALUE!</v>
      </c>
      <c r="GW237" t="e">
        <f>AND('GA55 Entry'!AA959,"AAAAAG7P/cw=")</f>
        <v>#VALUE!</v>
      </c>
      <c r="GX237" t="e">
        <f>AND('GA55 Entry'!#REF!,"AAAAAG7P/c0=")</f>
        <v>#REF!</v>
      </c>
      <c r="GY237" t="e">
        <f>AND('GA55 Entry'!#REF!,"AAAAAG7P/c4=")</f>
        <v>#REF!</v>
      </c>
      <c r="GZ237" t="e">
        <f>AND('GA55 Entry'!#REF!,"AAAAAG7P/c8=")</f>
        <v>#REF!</v>
      </c>
      <c r="HA237" t="e">
        <f>AND('GA55 Entry'!AB959,"AAAAAG7P/dA=")</f>
        <v>#VALUE!</v>
      </c>
      <c r="HB237" t="e">
        <f>AND('GA55 Entry'!AC959,"AAAAAG7P/dE=")</f>
        <v>#VALUE!</v>
      </c>
      <c r="HC237" t="e">
        <f>AND('GA55 Entry'!#REF!,"AAAAAG7P/dI=")</f>
        <v>#REF!</v>
      </c>
      <c r="HD237">
        <f>IF('GA55 Entry'!960:960,"AAAAAG7P/dM=",0)</f>
        <v>0</v>
      </c>
      <c r="HE237" t="e">
        <f>AND('GA55 Entry'!B960,"AAAAAG7P/dQ=")</f>
        <v>#VALUE!</v>
      </c>
      <c r="HF237" t="e">
        <f>AND('GA55 Entry'!#REF!,"AAAAAG7P/dU=")</f>
        <v>#REF!</v>
      </c>
      <c r="HG237" t="e">
        <f>AND('GA55 Entry'!C960,"AAAAAG7P/dY=")</f>
        <v>#VALUE!</v>
      </c>
      <c r="HH237" t="e">
        <f>AND('GA55 Entry'!#REF!,"AAAAAG7P/dc=")</f>
        <v>#REF!</v>
      </c>
      <c r="HI237" t="e">
        <f>AND('GA55 Entry'!#REF!,"AAAAAG7P/dg=")</f>
        <v>#REF!</v>
      </c>
      <c r="HJ237" t="e">
        <f>AND('GA55 Entry'!#REF!,"AAAAAG7P/dk=")</f>
        <v>#REF!</v>
      </c>
      <c r="HK237" t="e">
        <f>AND('GA55 Entry'!#REF!,"AAAAAG7P/do=")</f>
        <v>#REF!</v>
      </c>
      <c r="HL237" t="e">
        <f>AND('GA55 Entry'!#REF!,"AAAAAG7P/ds=")</f>
        <v>#REF!</v>
      </c>
      <c r="HM237" t="e">
        <f>AND('GA55 Entry'!D960,"AAAAAG7P/dw=")</f>
        <v>#VALUE!</v>
      </c>
      <c r="HN237" t="e">
        <f>AND('GA55 Entry'!#REF!,"AAAAAG7P/d0=")</f>
        <v>#REF!</v>
      </c>
      <c r="HO237" t="e">
        <f>AND('GA55 Entry'!E960,"AAAAAG7P/d4=")</f>
        <v>#VALUE!</v>
      </c>
      <c r="HP237" t="e">
        <f>AND('GA55 Entry'!F960,"AAAAAG7P/d8=")</f>
        <v>#VALUE!</v>
      </c>
      <c r="HQ237" t="e">
        <f>AND('GA55 Entry'!G960,"AAAAAG7P/eA=")</f>
        <v>#VALUE!</v>
      </c>
      <c r="HR237" t="e">
        <f>AND('GA55 Entry'!H960,"AAAAAG7P/eE=")</f>
        <v>#VALUE!</v>
      </c>
      <c r="HS237" t="e">
        <f>AND('GA55 Entry'!I960,"AAAAAG7P/eI=")</f>
        <v>#VALUE!</v>
      </c>
      <c r="HT237" t="e">
        <f>AND('GA55 Entry'!J960,"AAAAAG7P/eM=")</f>
        <v>#VALUE!</v>
      </c>
      <c r="HU237" t="e">
        <f>AND('GA55 Entry'!#REF!,"AAAAAG7P/eQ=")</f>
        <v>#REF!</v>
      </c>
      <c r="HV237" t="e">
        <f>AND('GA55 Entry'!K960,"AAAAAG7P/eU=")</f>
        <v>#VALUE!</v>
      </c>
      <c r="HW237" t="e">
        <f>AND('GA55 Entry'!L960,"AAAAAG7P/eY=")</f>
        <v>#VALUE!</v>
      </c>
      <c r="HX237" t="e">
        <f>AND('GA55 Entry'!M960,"AAAAAG7P/ec=")</f>
        <v>#VALUE!</v>
      </c>
      <c r="HY237" t="e">
        <f>AND('GA55 Entry'!N960,"AAAAAG7P/eg=")</f>
        <v>#VALUE!</v>
      </c>
      <c r="HZ237" t="e">
        <f>AND('GA55 Entry'!O960,"AAAAAG7P/ek=")</f>
        <v>#VALUE!</v>
      </c>
      <c r="IA237" t="e">
        <f>AND('GA55 Entry'!P960,"AAAAAG7P/eo=")</f>
        <v>#VALUE!</v>
      </c>
      <c r="IB237" t="e">
        <f>AND('GA55 Entry'!Q960,"AAAAAG7P/es=")</f>
        <v>#VALUE!</v>
      </c>
      <c r="IC237" t="e">
        <f>AND('GA55 Entry'!S960,"AAAAAG7P/ew=")</f>
        <v>#VALUE!</v>
      </c>
      <c r="ID237" t="e">
        <f>AND('GA55 Entry'!#REF!,"AAAAAG7P/e0=")</f>
        <v>#REF!</v>
      </c>
      <c r="IE237" t="e">
        <f>AND('GA55 Entry'!T960,"AAAAAG7P/e4=")</f>
        <v>#VALUE!</v>
      </c>
      <c r="IF237" t="e">
        <f>AND('GA55 Entry'!U960,"AAAAAG7P/e8=")</f>
        <v>#VALUE!</v>
      </c>
      <c r="IG237" t="e">
        <f>AND('GA55 Entry'!V960,"AAAAAG7P/fA=")</f>
        <v>#VALUE!</v>
      </c>
      <c r="IH237" t="e">
        <f>AND('GA55 Entry'!#REF!,"AAAAAG7P/fE=")</f>
        <v>#REF!</v>
      </c>
      <c r="II237" t="e">
        <f>AND('GA55 Entry'!#REF!,"AAAAAG7P/fI=")</f>
        <v>#REF!</v>
      </c>
      <c r="IJ237" t="e">
        <f>AND('GA55 Entry'!X960,"AAAAAG7P/fM=")</f>
        <v>#VALUE!</v>
      </c>
      <c r="IK237" t="e">
        <f>AND('GA55 Entry'!Y960,"AAAAAG7P/fQ=")</f>
        <v>#VALUE!</v>
      </c>
      <c r="IL237" t="e">
        <f>AND('GA55 Entry'!#REF!,"AAAAAG7P/fU=")</f>
        <v>#REF!</v>
      </c>
      <c r="IM237" t="e">
        <f>AND('GA55 Entry'!#REF!,"AAAAAG7P/fY=")</f>
        <v>#REF!</v>
      </c>
      <c r="IN237" t="e">
        <f>AND('GA55 Entry'!#REF!,"AAAAAG7P/fc=")</f>
        <v>#REF!</v>
      </c>
      <c r="IO237" t="e">
        <f>AND('GA55 Entry'!#REF!,"AAAAAG7P/fg=")</f>
        <v>#REF!</v>
      </c>
      <c r="IP237" t="e">
        <f>AND('GA55 Entry'!#REF!,"AAAAAG7P/fk=")</f>
        <v>#REF!</v>
      </c>
      <c r="IQ237" t="e">
        <f>AND('GA55 Entry'!#REF!,"AAAAAG7P/fo=")</f>
        <v>#REF!</v>
      </c>
      <c r="IR237" t="e">
        <f>AND('GA55 Entry'!#REF!,"AAAAAG7P/fs=")</f>
        <v>#REF!</v>
      </c>
      <c r="IS237" t="e">
        <f>AND('GA55 Entry'!#REF!,"AAAAAG7P/fw=")</f>
        <v>#REF!</v>
      </c>
      <c r="IT237" t="e">
        <f>AND('GA55 Entry'!#REF!,"AAAAAG7P/f0=")</f>
        <v>#REF!</v>
      </c>
      <c r="IU237" t="e">
        <f>AND('GA55 Entry'!Z960,"AAAAAG7P/f4=")</f>
        <v>#VALUE!</v>
      </c>
      <c r="IV237" t="e">
        <f>AND('GA55 Entry'!AA960,"AAAAAG7P/f8=")</f>
        <v>#VALUE!</v>
      </c>
    </row>
    <row r="238" spans="1:256">
      <c r="A238" t="e">
        <f>AND('GA55 Entry'!#REF!,"AAAAABa7PgA=")</f>
        <v>#REF!</v>
      </c>
      <c r="B238" t="e">
        <f>AND('GA55 Entry'!#REF!,"AAAAABa7PgE=")</f>
        <v>#REF!</v>
      </c>
      <c r="C238" t="e">
        <f>AND('GA55 Entry'!#REF!,"AAAAABa7PgI=")</f>
        <v>#REF!</v>
      </c>
      <c r="D238" t="e">
        <f>AND('GA55 Entry'!AB960,"AAAAABa7PgM=")</f>
        <v>#VALUE!</v>
      </c>
      <c r="E238" t="e">
        <f>AND('GA55 Entry'!AC960,"AAAAABa7PgQ=")</f>
        <v>#VALUE!</v>
      </c>
      <c r="F238" t="e">
        <f>AND('GA55 Entry'!#REF!,"AAAAABa7PgU=")</f>
        <v>#REF!</v>
      </c>
      <c r="G238">
        <f>IF('GA55 Entry'!961:961,"AAAAABa7PgY=",0)</f>
        <v>0</v>
      </c>
      <c r="H238" t="e">
        <f>AND('GA55 Entry'!B961,"AAAAABa7Pgc=")</f>
        <v>#VALUE!</v>
      </c>
      <c r="I238" t="e">
        <f>AND('GA55 Entry'!#REF!,"AAAAABa7Pgg=")</f>
        <v>#REF!</v>
      </c>
      <c r="J238" t="e">
        <f>AND('GA55 Entry'!C961,"AAAAABa7Pgk=")</f>
        <v>#VALUE!</v>
      </c>
      <c r="K238" t="e">
        <f>AND('GA55 Entry'!#REF!,"AAAAABa7Pgo=")</f>
        <v>#REF!</v>
      </c>
      <c r="L238" t="e">
        <f>AND('GA55 Entry'!#REF!,"AAAAABa7Pgs=")</f>
        <v>#REF!</v>
      </c>
      <c r="M238" t="e">
        <f>AND('GA55 Entry'!#REF!,"AAAAABa7Pgw=")</f>
        <v>#REF!</v>
      </c>
      <c r="N238" t="e">
        <f>AND('GA55 Entry'!#REF!,"AAAAABa7Pg0=")</f>
        <v>#REF!</v>
      </c>
      <c r="O238" t="e">
        <f>AND('GA55 Entry'!#REF!,"AAAAABa7Pg4=")</f>
        <v>#REF!</v>
      </c>
      <c r="P238" t="e">
        <f>AND('GA55 Entry'!D961,"AAAAABa7Pg8=")</f>
        <v>#VALUE!</v>
      </c>
      <c r="Q238" t="e">
        <f>AND('GA55 Entry'!#REF!,"AAAAABa7PhA=")</f>
        <v>#REF!</v>
      </c>
      <c r="R238" t="e">
        <f>AND('GA55 Entry'!E961,"AAAAABa7PhE=")</f>
        <v>#VALUE!</v>
      </c>
      <c r="S238" t="e">
        <f>AND('GA55 Entry'!F961,"AAAAABa7PhI=")</f>
        <v>#VALUE!</v>
      </c>
      <c r="T238" t="e">
        <f>AND('GA55 Entry'!G961,"AAAAABa7PhM=")</f>
        <v>#VALUE!</v>
      </c>
      <c r="U238" t="e">
        <f>AND('GA55 Entry'!H961,"AAAAABa7PhQ=")</f>
        <v>#VALUE!</v>
      </c>
      <c r="V238" t="e">
        <f>AND('GA55 Entry'!I961,"AAAAABa7PhU=")</f>
        <v>#VALUE!</v>
      </c>
      <c r="W238" t="e">
        <f>AND('GA55 Entry'!J961,"AAAAABa7PhY=")</f>
        <v>#VALUE!</v>
      </c>
      <c r="X238" t="e">
        <f>AND('GA55 Entry'!#REF!,"AAAAABa7Phc=")</f>
        <v>#REF!</v>
      </c>
      <c r="Y238" t="e">
        <f>AND('GA55 Entry'!K961,"AAAAABa7Phg=")</f>
        <v>#VALUE!</v>
      </c>
      <c r="Z238" t="e">
        <f>AND('GA55 Entry'!L961,"AAAAABa7Phk=")</f>
        <v>#VALUE!</v>
      </c>
      <c r="AA238" t="e">
        <f>AND('GA55 Entry'!M961,"AAAAABa7Pho=")</f>
        <v>#VALUE!</v>
      </c>
      <c r="AB238" t="e">
        <f>AND('GA55 Entry'!N961,"AAAAABa7Phs=")</f>
        <v>#VALUE!</v>
      </c>
      <c r="AC238" t="e">
        <f>AND('GA55 Entry'!O961,"AAAAABa7Phw=")</f>
        <v>#VALUE!</v>
      </c>
      <c r="AD238" t="e">
        <f>AND('GA55 Entry'!P961,"AAAAABa7Ph0=")</f>
        <v>#VALUE!</v>
      </c>
      <c r="AE238" t="e">
        <f>AND('GA55 Entry'!Q961,"AAAAABa7Ph4=")</f>
        <v>#VALUE!</v>
      </c>
      <c r="AF238" t="e">
        <f>AND('GA55 Entry'!S961,"AAAAABa7Ph8=")</f>
        <v>#VALUE!</v>
      </c>
      <c r="AG238" t="e">
        <f>AND('GA55 Entry'!#REF!,"AAAAABa7PiA=")</f>
        <v>#REF!</v>
      </c>
      <c r="AH238" t="e">
        <f>AND('GA55 Entry'!T961,"AAAAABa7PiE=")</f>
        <v>#VALUE!</v>
      </c>
      <c r="AI238" t="e">
        <f>AND('GA55 Entry'!U961,"AAAAABa7PiI=")</f>
        <v>#VALUE!</v>
      </c>
      <c r="AJ238" t="e">
        <f>AND('GA55 Entry'!V961,"AAAAABa7PiM=")</f>
        <v>#VALUE!</v>
      </c>
      <c r="AK238" t="e">
        <f>AND('GA55 Entry'!#REF!,"AAAAABa7PiQ=")</f>
        <v>#REF!</v>
      </c>
      <c r="AL238" t="e">
        <f>AND('GA55 Entry'!#REF!,"AAAAABa7PiU=")</f>
        <v>#REF!</v>
      </c>
      <c r="AM238" t="e">
        <f>AND('GA55 Entry'!X961,"AAAAABa7PiY=")</f>
        <v>#VALUE!</v>
      </c>
      <c r="AN238" t="e">
        <f>AND('GA55 Entry'!Y961,"AAAAABa7Pic=")</f>
        <v>#VALUE!</v>
      </c>
      <c r="AO238" t="e">
        <f>AND('GA55 Entry'!#REF!,"AAAAABa7Pig=")</f>
        <v>#REF!</v>
      </c>
      <c r="AP238" t="e">
        <f>AND('GA55 Entry'!#REF!,"AAAAABa7Pik=")</f>
        <v>#REF!</v>
      </c>
      <c r="AQ238" t="e">
        <f>AND('GA55 Entry'!#REF!,"AAAAABa7Pio=")</f>
        <v>#REF!</v>
      </c>
      <c r="AR238" t="e">
        <f>AND('GA55 Entry'!#REF!,"AAAAABa7Pis=")</f>
        <v>#REF!</v>
      </c>
      <c r="AS238" t="e">
        <f>AND('GA55 Entry'!#REF!,"AAAAABa7Piw=")</f>
        <v>#REF!</v>
      </c>
      <c r="AT238" t="e">
        <f>AND('GA55 Entry'!#REF!,"AAAAABa7Pi0=")</f>
        <v>#REF!</v>
      </c>
      <c r="AU238" t="e">
        <f>AND('GA55 Entry'!#REF!,"AAAAABa7Pi4=")</f>
        <v>#REF!</v>
      </c>
      <c r="AV238" t="e">
        <f>AND('GA55 Entry'!#REF!,"AAAAABa7Pi8=")</f>
        <v>#REF!</v>
      </c>
      <c r="AW238" t="e">
        <f>AND('GA55 Entry'!#REF!,"AAAAABa7PjA=")</f>
        <v>#REF!</v>
      </c>
      <c r="AX238" t="e">
        <f>AND('GA55 Entry'!Z961,"AAAAABa7PjE=")</f>
        <v>#VALUE!</v>
      </c>
      <c r="AY238" t="e">
        <f>AND('GA55 Entry'!AA961,"AAAAABa7PjI=")</f>
        <v>#VALUE!</v>
      </c>
      <c r="AZ238" t="e">
        <f>AND('GA55 Entry'!#REF!,"AAAAABa7PjM=")</f>
        <v>#REF!</v>
      </c>
      <c r="BA238" t="e">
        <f>AND('GA55 Entry'!#REF!,"AAAAABa7PjQ=")</f>
        <v>#REF!</v>
      </c>
      <c r="BB238" t="e">
        <f>AND('GA55 Entry'!#REF!,"AAAAABa7PjU=")</f>
        <v>#REF!</v>
      </c>
      <c r="BC238" t="e">
        <f>AND('GA55 Entry'!AB961,"AAAAABa7PjY=")</f>
        <v>#VALUE!</v>
      </c>
      <c r="BD238" t="e">
        <f>AND('GA55 Entry'!AC961,"AAAAABa7Pjc=")</f>
        <v>#VALUE!</v>
      </c>
      <c r="BE238" t="e">
        <f>AND('GA55 Entry'!#REF!,"AAAAABa7Pjg=")</f>
        <v>#REF!</v>
      </c>
      <c r="BF238">
        <f>IF('GA55 Entry'!962:962,"AAAAABa7Pjk=",0)</f>
        <v>0</v>
      </c>
      <c r="BG238" t="e">
        <f>AND('GA55 Entry'!B962,"AAAAABa7Pjo=")</f>
        <v>#VALUE!</v>
      </c>
      <c r="BH238" t="e">
        <f>AND('GA55 Entry'!#REF!,"AAAAABa7Pjs=")</f>
        <v>#REF!</v>
      </c>
      <c r="BI238" t="e">
        <f>AND('GA55 Entry'!C962,"AAAAABa7Pjw=")</f>
        <v>#VALUE!</v>
      </c>
      <c r="BJ238" t="e">
        <f>AND('GA55 Entry'!#REF!,"AAAAABa7Pj0=")</f>
        <v>#REF!</v>
      </c>
      <c r="BK238" t="e">
        <f>AND('GA55 Entry'!#REF!,"AAAAABa7Pj4=")</f>
        <v>#REF!</v>
      </c>
      <c r="BL238" t="e">
        <f>AND('GA55 Entry'!#REF!,"AAAAABa7Pj8=")</f>
        <v>#REF!</v>
      </c>
      <c r="BM238" t="e">
        <f>AND('GA55 Entry'!#REF!,"AAAAABa7PkA=")</f>
        <v>#REF!</v>
      </c>
      <c r="BN238" t="e">
        <f>AND('GA55 Entry'!#REF!,"AAAAABa7PkE=")</f>
        <v>#REF!</v>
      </c>
      <c r="BO238" t="e">
        <f>AND('GA55 Entry'!D962,"AAAAABa7PkI=")</f>
        <v>#VALUE!</v>
      </c>
      <c r="BP238" t="e">
        <f>AND('GA55 Entry'!#REF!,"AAAAABa7PkM=")</f>
        <v>#REF!</v>
      </c>
      <c r="BQ238" t="e">
        <f>AND('GA55 Entry'!E962,"AAAAABa7PkQ=")</f>
        <v>#VALUE!</v>
      </c>
      <c r="BR238" t="e">
        <f>AND('GA55 Entry'!F962,"AAAAABa7PkU=")</f>
        <v>#VALUE!</v>
      </c>
      <c r="BS238" t="e">
        <f>AND('GA55 Entry'!G962,"AAAAABa7PkY=")</f>
        <v>#VALUE!</v>
      </c>
      <c r="BT238" t="e">
        <f>AND('GA55 Entry'!H962,"AAAAABa7Pkc=")</f>
        <v>#VALUE!</v>
      </c>
      <c r="BU238" t="e">
        <f>AND('GA55 Entry'!I962,"AAAAABa7Pkg=")</f>
        <v>#VALUE!</v>
      </c>
      <c r="BV238" t="e">
        <f>AND('GA55 Entry'!J962,"AAAAABa7Pkk=")</f>
        <v>#VALUE!</v>
      </c>
      <c r="BW238" t="e">
        <f>AND('GA55 Entry'!#REF!,"AAAAABa7Pko=")</f>
        <v>#REF!</v>
      </c>
      <c r="BX238" t="e">
        <f>AND('GA55 Entry'!K962,"AAAAABa7Pks=")</f>
        <v>#VALUE!</v>
      </c>
      <c r="BY238" t="e">
        <f>AND('GA55 Entry'!L962,"AAAAABa7Pkw=")</f>
        <v>#VALUE!</v>
      </c>
      <c r="BZ238" t="e">
        <f>AND('GA55 Entry'!M962,"AAAAABa7Pk0=")</f>
        <v>#VALUE!</v>
      </c>
      <c r="CA238" t="e">
        <f>AND('GA55 Entry'!N962,"AAAAABa7Pk4=")</f>
        <v>#VALUE!</v>
      </c>
      <c r="CB238" t="e">
        <f>AND('GA55 Entry'!O962,"AAAAABa7Pk8=")</f>
        <v>#VALUE!</v>
      </c>
      <c r="CC238" t="e">
        <f>AND('GA55 Entry'!P962,"AAAAABa7PlA=")</f>
        <v>#VALUE!</v>
      </c>
      <c r="CD238" t="e">
        <f>AND('GA55 Entry'!Q962,"AAAAABa7PlE=")</f>
        <v>#VALUE!</v>
      </c>
      <c r="CE238" t="e">
        <f>AND('GA55 Entry'!S962,"AAAAABa7PlI=")</f>
        <v>#VALUE!</v>
      </c>
      <c r="CF238" t="e">
        <f>AND('GA55 Entry'!#REF!,"AAAAABa7PlM=")</f>
        <v>#REF!</v>
      </c>
      <c r="CG238" t="e">
        <f>AND('GA55 Entry'!T962,"AAAAABa7PlQ=")</f>
        <v>#VALUE!</v>
      </c>
      <c r="CH238" t="e">
        <f>AND('GA55 Entry'!U962,"AAAAABa7PlU=")</f>
        <v>#VALUE!</v>
      </c>
      <c r="CI238" t="e">
        <f>AND('GA55 Entry'!V962,"AAAAABa7PlY=")</f>
        <v>#VALUE!</v>
      </c>
      <c r="CJ238" t="e">
        <f>AND('GA55 Entry'!#REF!,"AAAAABa7Plc=")</f>
        <v>#REF!</v>
      </c>
      <c r="CK238" t="e">
        <f>AND('GA55 Entry'!#REF!,"AAAAABa7Plg=")</f>
        <v>#REF!</v>
      </c>
      <c r="CL238" t="e">
        <f>AND('GA55 Entry'!X962,"AAAAABa7Plk=")</f>
        <v>#VALUE!</v>
      </c>
      <c r="CM238" t="e">
        <f>AND('GA55 Entry'!Y962,"AAAAABa7Plo=")</f>
        <v>#VALUE!</v>
      </c>
      <c r="CN238" t="e">
        <f>AND('GA55 Entry'!#REF!,"AAAAABa7Pls=")</f>
        <v>#REF!</v>
      </c>
      <c r="CO238" t="e">
        <f>AND('GA55 Entry'!#REF!,"AAAAABa7Plw=")</f>
        <v>#REF!</v>
      </c>
      <c r="CP238" t="e">
        <f>AND('GA55 Entry'!#REF!,"AAAAABa7Pl0=")</f>
        <v>#REF!</v>
      </c>
      <c r="CQ238" t="e">
        <f>AND('GA55 Entry'!#REF!,"AAAAABa7Pl4=")</f>
        <v>#REF!</v>
      </c>
      <c r="CR238" t="e">
        <f>AND('GA55 Entry'!#REF!,"AAAAABa7Pl8=")</f>
        <v>#REF!</v>
      </c>
      <c r="CS238" t="e">
        <f>AND('GA55 Entry'!#REF!,"AAAAABa7PmA=")</f>
        <v>#REF!</v>
      </c>
      <c r="CT238" t="e">
        <f>AND('GA55 Entry'!#REF!,"AAAAABa7PmE=")</f>
        <v>#REF!</v>
      </c>
      <c r="CU238" t="e">
        <f>AND('GA55 Entry'!#REF!,"AAAAABa7PmI=")</f>
        <v>#REF!</v>
      </c>
      <c r="CV238" t="e">
        <f>AND('GA55 Entry'!#REF!,"AAAAABa7PmM=")</f>
        <v>#REF!</v>
      </c>
      <c r="CW238" t="e">
        <f>AND('GA55 Entry'!Z962,"AAAAABa7PmQ=")</f>
        <v>#VALUE!</v>
      </c>
      <c r="CX238" t="e">
        <f>AND('GA55 Entry'!AA962,"AAAAABa7PmU=")</f>
        <v>#VALUE!</v>
      </c>
      <c r="CY238" t="e">
        <f>AND('GA55 Entry'!#REF!,"AAAAABa7PmY=")</f>
        <v>#REF!</v>
      </c>
      <c r="CZ238" t="e">
        <f>AND('GA55 Entry'!#REF!,"AAAAABa7Pmc=")</f>
        <v>#REF!</v>
      </c>
      <c r="DA238" t="e">
        <f>AND('GA55 Entry'!#REF!,"AAAAABa7Pmg=")</f>
        <v>#REF!</v>
      </c>
      <c r="DB238" t="e">
        <f>AND('GA55 Entry'!AB962,"AAAAABa7Pmk=")</f>
        <v>#VALUE!</v>
      </c>
      <c r="DC238" t="e">
        <f>AND('GA55 Entry'!AC962,"AAAAABa7Pmo=")</f>
        <v>#VALUE!</v>
      </c>
      <c r="DD238" t="e">
        <f>AND('GA55 Entry'!#REF!,"AAAAABa7Pms=")</f>
        <v>#REF!</v>
      </c>
      <c r="DE238">
        <f>IF('GA55 Entry'!963:963,"AAAAABa7Pmw=",0)</f>
        <v>0</v>
      </c>
      <c r="DF238" t="e">
        <f>AND('GA55 Entry'!B963,"AAAAABa7Pm0=")</f>
        <v>#VALUE!</v>
      </c>
      <c r="DG238" t="e">
        <f>AND('GA55 Entry'!#REF!,"AAAAABa7Pm4=")</f>
        <v>#REF!</v>
      </c>
      <c r="DH238" t="e">
        <f>AND('GA55 Entry'!C963,"AAAAABa7Pm8=")</f>
        <v>#VALUE!</v>
      </c>
      <c r="DI238" t="e">
        <f>AND('GA55 Entry'!#REF!,"AAAAABa7PnA=")</f>
        <v>#REF!</v>
      </c>
      <c r="DJ238" t="e">
        <f>AND('GA55 Entry'!#REF!,"AAAAABa7PnE=")</f>
        <v>#REF!</v>
      </c>
      <c r="DK238" t="e">
        <f>AND('GA55 Entry'!#REF!,"AAAAABa7PnI=")</f>
        <v>#REF!</v>
      </c>
      <c r="DL238" t="e">
        <f>AND('GA55 Entry'!#REF!,"AAAAABa7PnM=")</f>
        <v>#REF!</v>
      </c>
      <c r="DM238" t="e">
        <f>AND('GA55 Entry'!#REF!,"AAAAABa7PnQ=")</f>
        <v>#REF!</v>
      </c>
      <c r="DN238" t="e">
        <f>AND('GA55 Entry'!D963,"AAAAABa7PnU=")</f>
        <v>#VALUE!</v>
      </c>
      <c r="DO238" t="e">
        <f>AND('GA55 Entry'!#REF!,"AAAAABa7PnY=")</f>
        <v>#REF!</v>
      </c>
      <c r="DP238" t="e">
        <f>AND('GA55 Entry'!E963,"AAAAABa7Pnc=")</f>
        <v>#VALUE!</v>
      </c>
      <c r="DQ238" t="e">
        <f>AND('GA55 Entry'!F963,"AAAAABa7Png=")</f>
        <v>#VALUE!</v>
      </c>
      <c r="DR238" t="e">
        <f>AND('GA55 Entry'!G963,"AAAAABa7Pnk=")</f>
        <v>#VALUE!</v>
      </c>
      <c r="DS238" t="e">
        <f>AND('GA55 Entry'!H963,"AAAAABa7Pno=")</f>
        <v>#VALUE!</v>
      </c>
      <c r="DT238" t="e">
        <f>AND('GA55 Entry'!I963,"AAAAABa7Pns=")</f>
        <v>#VALUE!</v>
      </c>
      <c r="DU238" t="e">
        <f>AND('GA55 Entry'!J963,"AAAAABa7Pnw=")</f>
        <v>#VALUE!</v>
      </c>
      <c r="DV238" t="e">
        <f>AND('GA55 Entry'!#REF!,"AAAAABa7Pn0=")</f>
        <v>#REF!</v>
      </c>
      <c r="DW238" t="e">
        <f>AND('GA55 Entry'!K963,"AAAAABa7Pn4=")</f>
        <v>#VALUE!</v>
      </c>
      <c r="DX238" t="e">
        <f>AND('GA55 Entry'!L963,"AAAAABa7Pn8=")</f>
        <v>#VALUE!</v>
      </c>
      <c r="DY238" t="e">
        <f>AND('GA55 Entry'!M963,"AAAAABa7PoA=")</f>
        <v>#VALUE!</v>
      </c>
      <c r="DZ238" t="e">
        <f>AND('GA55 Entry'!N963,"AAAAABa7PoE=")</f>
        <v>#VALUE!</v>
      </c>
      <c r="EA238" t="e">
        <f>AND('GA55 Entry'!O963,"AAAAABa7PoI=")</f>
        <v>#VALUE!</v>
      </c>
      <c r="EB238" t="e">
        <f>AND('GA55 Entry'!P963,"AAAAABa7PoM=")</f>
        <v>#VALUE!</v>
      </c>
      <c r="EC238" t="e">
        <f>AND('GA55 Entry'!Q963,"AAAAABa7PoQ=")</f>
        <v>#VALUE!</v>
      </c>
      <c r="ED238" t="e">
        <f>AND('GA55 Entry'!S963,"AAAAABa7PoU=")</f>
        <v>#VALUE!</v>
      </c>
      <c r="EE238" t="e">
        <f>AND('GA55 Entry'!#REF!,"AAAAABa7PoY=")</f>
        <v>#REF!</v>
      </c>
      <c r="EF238" t="e">
        <f>AND('GA55 Entry'!T963,"AAAAABa7Poc=")</f>
        <v>#VALUE!</v>
      </c>
      <c r="EG238" t="e">
        <f>AND('GA55 Entry'!U963,"AAAAABa7Pog=")</f>
        <v>#VALUE!</v>
      </c>
      <c r="EH238" t="e">
        <f>AND('GA55 Entry'!V963,"AAAAABa7Pok=")</f>
        <v>#VALUE!</v>
      </c>
      <c r="EI238" t="e">
        <f>AND('GA55 Entry'!#REF!,"AAAAABa7Poo=")</f>
        <v>#REF!</v>
      </c>
      <c r="EJ238" t="e">
        <f>AND('GA55 Entry'!#REF!,"AAAAABa7Pos=")</f>
        <v>#REF!</v>
      </c>
      <c r="EK238" t="e">
        <f>AND('GA55 Entry'!X963,"AAAAABa7Pow=")</f>
        <v>#VALUE!</v>
      </c>
      <c r="EL238" t="e">
        <f>AND('GA55 Entry'!Y963,"AAAAABa7Po0=")</f>
        <v>#VALUE!</v>
      </c>
      <c r="EM238" t="e">
        <f>AND('GA55 Entry'!#REF!,"AAAAABa7Po4=")</f>
        <v>#REF!</v>
      </c>
      <c r="EN238" t="e">
        <f>AND('GA55 Entry'!#REF!,"AAAAABa7Po8=")</f>
        <v>#REF!</v>
      </c>
      <c r="EO238" t="e">
        <f>AND('GA55 Entry'!#REF!,"AAAAABa7PpA=")</f>
        <v>#REF!</v>
      </c>
      <c r="EP238" t="e">
        <f>AND('GA55 Entry'!#REF!,"AAAAABa7PpE=")</f>
        <v>#REF!</v>
      </c>
      <c r="EQ238" t="e">
        <f>AND('GA55 Entry'!#REF!,"AAAAABa7PpI=")</f>
        <v>#REF!</v>
      </c>
      <c r="ER238" t="e">
        <f>AND('GA55 Entry'!#REF!,"AAAAABa7PpM=")</f>
        <v>#REF!</v>
      </c>
      <c r="ES238" t="e">
        <f>AND('GA55 Entry'!#REF!,"AAAAABa7PpQ=")</f>
        <v>#REF!</v>
      </c>
      <c r="ET238" t="e">
        <f>AND('GA55 Entry'!#REF!,"AAAAABa7PpU=")</f>
        <v>#REF!</v>
      </c>
      <c r="EU238" t="e">
        <f>AND('GA55 Entry'!#REF!,"AAAAABa7PpY=")</f>
        <v>#REF!</v>
      </c>
      <c r="EV238" t="e">
        <f>AND('GA55 Entry'!Z963,"AAAAABa7Ppc=")</f>
        <v>#VALUE!</v>
      </c>
      <c r="EW238" t="e">
        <f>AND('GA55 Entry'!AA963,"AAAAABa7Ppg=")</f>
        <v>#VALUE!</v>
      </c>
      <c r="EX238" t="e">
        <f>AND('GA55 Entry'!#REF!,"AAAAABa7Ppk=")</f>
        <v>#REF!</v>
      </c>
      <c r="EY238" t="e">
        <f>AND('GA55 Entry'!#REF!,"AAAAABa7Ppo=")</f>
        <v>#REF!</v>
      </c>
      <c r="EZ238" t="e">
        <f>AND('GA55 Entry'!#REF!,"AAAAABa7Pps=")</f>
        <v>#REF!</v>
      </c>
      <c r="FA238" t="e">
        <f>AND('GA55 Entry'!AB963,"AAAAABa7Ppw=")</f>
        <v>#VALUE!</v>
      </c>
      <c r="FB238" t="e">
        <f>AND('GA55 Entry'!AC963,"AAAAABa7Pp0=")</f>
        <v>#VALUE!</v>
      </c>
      <c r="FC238" t="e">
        <f>AND('GA55 Entry'!#REF!,"AAAAABa7Pp4=")</f>
        <v>#REF!</v>
      </c>
      <c r="FD238">
        <f>IF('GA55 Entry'!964:964,"AAAAABa7Pp8=",0)</f>
        <v>0</v>
      </c>
      <c r="FE238" t="e">
        <f>AND('GA55 Entry'!B964,"AAAAABa7PqA=")</f>
        <v>#VALUE!</v>
      </c>
      <c r="FF238" t="e">
        <f>AND('GA55 Entry'!#REF!,"AAAAABa7PqE=")</f>
        <v>#REF!</v>
      </c>
      <c r="FG238" t="e">
        <f>AND('GA55 Entry'!C964,"AAAAABa7PqI=")</f>
        <v>#VALUE!</v>
      </c>
      <c r="FH238" t="e">
        <f>AND('GA55 Entry'!#REF!,"AAAAABa7PqM=")</f>
        <v>#REF!</v>
      </c>
      <c r="FI238" t="e">
        <f>AND('GA55 Entry'!#REF!,"AAAAABa7PqQ=")</f>
        <v>#REF!</v>
      </c>
      <c r="FJ238" t="e">
        <f>AND('GA55 Entry'!#REF!,"AAAAABa7PqU=")</f>
        <v>#REF!</v>
      </c>
      <c r="FK238" t="e">
        <f>AND('GA55 Entry'!#REF!,"AAAAABa7PqY=")</f>
        <v>#REF!</v>
      </c>
      <c r="FL238" t="e">
        <f>AND('GA55 Entry'!#REF!,"AAAAABa7Pqc=")</f>
        <v>#REF!</v>
      </c>
      <c r="FM238" t="e">
        <f>AND('GA55 Entry'!D964,"AAAAABa7Pqg=")</f>
        <v>#VALUE!</v>
      </c>
      <c r="FN238" t="e">
        <f>AND('GA55 Entry'!#REF!,"AAAAABa7Pqk=")</f>
        <v>#REF!</v>
      </c>
      <c r="FO238" t="e">
        <f>AND('GA55 Entry'!E964,"AAAAABa7Pqo=")</f>
        <v>#VALUE!</v>
      </c>
      <c r="FP238" t="e">
        <f>AND('GA55 Entry'!F964,"AAAAABa7Pqs=")</f>
        <v>#VALUE!</v>
      </c>
      <c r="FQ238" t="e">
        <f>AND('GA55 Entry'!G964,"AAAAABa7Pqw=")</f>
        <v>#VALUE!</v>
      </c>
      <c r="FR238" t="e">
        <f>AND('GA55 Entry'!H964,"AAAAABa7Pq0=")</f>
        <v>#VALUE!</v>
      </c>
      <c r="FS238" t="e">
        <f>AND('GA55 Entry'!I964,"AAAAABa7Pq4=")</f>
        <v>#VALUE!</v>
      </c>
      <c r="FT238" t="e">
        <f>AND('GA55 Entry'!J964,"AAAAABa7Pq8=")</f>
        <v>#VALUE!</v>
      </c>
      <c r="FU238" t="e">
        <f>AND('GA55 Entry'!#REF!,"AAAAABa7PrA=")</f>
        <v>#REF!</v>
      </c>
      <c r="FV238" t="e">
        <f>AND('GA55 Entry'!K964,"AAAAABa7PrE=")</f>
        <v>#VALUE!</v>
      </c>
      <c r="FW238" t="e">
        <f>AND('GA55 Entry'!L964,"AAAAABa7PrI=")</f>
        <v>#VALUE!</v>
      </c>
      <c r="FX238" t="e">
        <f>AND('GA55 Entry'!M964,"AAAAABa7PrM=")</f>
        <v>#VALUE!</v>
      </c>
      <c r="FY238" t="e">
        <f>AND('GA55 Entry'!N964,"AAAAABa7PrQ=")</f>
        <v>#VALUE!</v>
      </c>
      <c r="FZ238" t="e">
        <f>AND('GA55 Entry'!O964,"AAAAABa7PrU=")</f>
        <v>#VALUE!</v>
      </c>
      <c r="GA238" t="e">
        <f>AND('GA55 Entry'!P964,"AAAAABa7PrY=")</f>
        <v>#VALUE!</v>
      </c>
      <c r="GB238" t="e">
        <f>AND('GA55 Entry'!Q964,"AAAAABa7Prc=")</f>
        <v>#VALUE!</v>
      </c>
      <c r="GC238" t="e">
        <f>AND('GA55 Entry'!S964,"AAAAABa7Prg=")</f>
        <v>#VALUE!</v>
      </c>
      <c r="GD238" t="e">
        <f>AND('GA55 Entry'!#REF!,"AAAAABa7Prk=")</f>
        <v>#REF!</v>
      </c>
      <c r="GE238" t="e">
        <f>AND('GA55 Entry'!T964,"AAAAABa7Pro=")</f>
        <v>#VALUE!</v>
      </c>
      <c r="GF238" t="e">
        <f>AND('GA55 Entry'!U964,"AAAAABa7Prs=")</f>
        <v>#VALUE!</v>
      </c>
      <c r="GG238" t="e">
        <f>AND('GA55 Entry'!V964,"AAAAABa7Prw=")</f>
        <v>#VALUE!</v>
      </c>
      <c r="GH238" t="e">
        <f>AND('GA55 Entry'!#REF!,"AAAAABa7Pr0=")</f>
        <v>#REF!</v>
      </c>
      <c r="GI238" t="e">
        <f>AND('GA55 Entry'!#REF!,"AAAAABa7Pr4=")</f>
        <v>#REF!</v>
      </c>
      <c r="GJ238" t="e">
        <f>AND('GA55 Entry'!X964,"AAAAABa7Pr8=")</f>
        <v>#VALUE!</v>
      </c>
      <c r="GK238" t="e">
        <f>AND('GA55 Entry'!Y964,"AAAAABa7PsA=")</f>
        <v>#VALUE!</v>
      </c>
      <c r="GL238" t="e">
        <f>AND('GA55 Entry'!#REF!,"AAAAABa7PsE=")</f>
        <v>#REF!</v>
      </c>
      <c r="GM238" t="e">
        <f>AND('GA55 Entry'!#REF!,"AAAAABa7PsI=")</f>
        <v>#REF!</v>
      </c>
      <c r="GN238" t="e">
        <f>AND('GA55 Entry'!#REF!,"AAAAABa7PsM=")</f>
        <v>#REF!</v>
      </c>
      <c r="GO238" t="e">
        <f>AND('GA55 Entry'!#REF!,"AAAAABa7PsQ=")</f>
        <v>#REF!</v>
      </c>
      <c r="GP238" t="e">
        <f>AND('GA55 Entry'!#REF!,"AAAAABa7PsU=")</f>
        <v>#REF!</v>
      </c>
      <c r="GQ238" t="e">
        <f>AND('GA55 Entry'!#REF!,"AAAAABa7PsY=")</f>
        <v>#REF!</v>
      </c>
      <c r="GR238" t="e">
        <f>AND('GA55 Entry'!#REF!,"AAAAABa7Psc=")</f>
        <v>#REF!</v>
      </c>
      <c r="GS238" t="e">
        <f>AND('GA55 Entry'!#REF!,"AAAAABa7Psg=")</f>
        <v>#REF!</v>
      </c>
      <c r="GT238" t="e">
        <f>AND('GA55 Entry'!#REF!,"AAAAABa7Psk=")</f>
        <v>#REF!</v>
      </c>
      <c r="GU238" t="e">
        <f>AND('GA55 Entry'!Z964,"AAAAABa7Pso=")</f>
        <v>#VALUE!</v>
      </c>
      <c r="GV238" t="e">
        <f>AND('GA55 Entry'!AA964,"AAAAABa7Pss=")</f>
        <v>#VALUE!</v>
      </c>
      <c r="GW238" t="e">
        <f>AND('GA55 Entry'!#REF!,"AAAAABa7Psw=")</f>
        <v>#REF!</v>
      </c>
      <c r="GX238" t="e">
        <f>AND('GA55 Entry'!#REF!,"AAAAABa7Ps0=")</f>
        <v>#REF!</v>
      </c>
      <c r="GY238" t="e">
        <f>AND('GA55 Entry'!#REF!,"AAAAABa7Ps4=")</f>
        <v>#REF!</v>
      </c>
      <c r="GZ238" t="e">
        <f>AND('GA55 Entry'!AB964,"AAAAABa7Ps8=")</f>
        <v>#VALUE!</v>
      </c>
      <c r="HA238" t="e">
        <f>AND('GA55 Entry'!AC964,"AAAAABa7PtA=")</f>
        <v>#VALUE!</v>
      </c>
      <c r="HB238" t="e">
        <f>AND('GA55 Entry'!#REF!,"AAAAABa7PtE=")</f>
        <v>#REF!</v>
      </c>
      <c r="HC238">
        <f>IF('GA55 Entry'!965:965,"AAAAABa7PtI=",0)</f>
        <v>0</v>
      </c>
      <c r="HD238" t="e">
        <f>AND('GA55 Entry'!B965,"AAAAABa7PtM=")</f>
        <v>#VALUE!</v>
      </c>
      <c r="HE238" t="e">
        <f>AND('GA55 Entry'!#REF!,"AAAAABa7PtQ=")</f>
        <v>#REF!</v>
      </c>
      <c r="HF238" t="e">
        <f>AND('GA55 Entry'!C965,"AAAAABa7PtU=")</f>
        <v>#VALUE!</v>
      </c>
      <c r="HG238" t="e">
        <f>AND('GA55 Entry'!#REF!,"AAAAABa7PtY=")</f>
        <v>#REF!</v>
      </c>
      <c r="HH238" t="e">
        <f>AND('GA55 Entry'!#REF!,"AAAAABa7Ptc=")</f>
        <v>#REF!</v>
      </c>
      <c r="HI238" t="e">
        <f>AND('GA55 Entry'!#REF!,"AAAAABa7Ptg=")</f>
        <v>#REF!</v>
      </c>
      <c r="HJ238" t="e">
        <f>AND('GA55 Entry'!#REF!,"AAAAABa7Ptk=")</f>
        <v>#REF!</v>
      </c>
      <c r="HK238" t="e">
        <f>AND('GA55 Entry'!#REF!,"AAAAABa7Pto=")</f>
        <v>#REF!</v>
      </c>
      <c r="HL238" t="e">
        <f>AND('GA55 Entry'!D965,"AAAAABa7Pts=")</f>
        <v>#VALUE!</v>
      </c>
      <c r="HM238" t="e">
        <f>AND('GA55 Entry'!#REF!,"AAAAABa7Ptw=")</f>
        <v>#REF!</v>
      </c>
      <c r="HN238" t="e">
        <f>AND('GA55 Entry'!E965,"AAAAABa7Pt0=")</f>
        <v>#VALUE!</v>
      </c>
      <c r="HO238" t="e">
        <f>AND('GA55 Entry'!F965,"AAAAABa7Pt4=")</f>
        <v>#VALUE!</v>
      </c>
      <c r="HP238" t="e">
        <f>AND('GA55 Entry'!G965,"AAAAABa7Pt8=")</f>
        <v>#VALUE!</v>
      </c>
      <c r="HQ238" t="e">
        <f>AND('GA55 Entry'!H965,"AAAAABa7PuA=")</f>
        <v>#VALUE!</v>
      </c>
      <c r="HR238" t="e">
        <f>AND('GA55 Entry'!I965,"AAAAABa7PuE=")</f>
        <v>#VALUE!</v>
      </c>
      <c r="HS238" t="e">
        <f>AND('GA55 Entry'!J965,"AAAAABa7PuI=")</f>
        <v>#VALUE!</v>
      </c>
      <c r="HT238" t="e">
        <f>AND('GA55 Entry'!#REF!,"AAAAABa7PuM=")</f>
        <v>#REF!</v>
      </c>
      <c r="HU238" t="e">
        <f>AND('GA55 Entry'!K965,"AAAAABa7PuQ=")</f>
        <v>#VALUE!</v>
      </c>
      <c r="HV238" t="e">
        <f>AND('GA55 Entry'!L965,"AAAAABa7PuU=")</f>
        <v>#VALUE!</v>
      </c>
      <c r="HW238" t="e">
        <f>AND('GA55 Entry'!M965,"AAAAABa7PuY=")</f>
        <v>#VALUE!</v>
      </c>
      <c r="HX238" t="e">
        <f>AND('GA55 Entry'!N965,"AAAAABa7Puc=")</f>
        <v>#VALUE!</v>
      </c>
      <c r="HY238" t="e">
        <f>AND('GA55 Entry'!O965,"AAAAABa7Pug=")</f>
        <v>#VALUE!</v>
      </c>
      <c r="HZ238" t="e">
        <f>AND('GA55 Entry'!P965,"AAAAABa7Puk=")</f>
        <v>#VALUE!</v>
      </c>
      <c r="IA238" t="e">
        <f>AND('GA55 Entry'!Q965,"AAAAABa7Puo=")</f>
        <v>#VALUE!</v>
      </c>
      <c r="IB238" t="e">
        <f>AND('GA55 Entry'!S965,"AAAAABa7Pus=")</f>
        <v>#VALUE!</v>
      </c>
      <c r="IC238" t="e">
        <f>AND('GA55 Entry'!#REF!,"AAAAABa7Puw=")</f>
        <v>#REF!</v>
      </c>
      <c r="ID238" t="e">
        <f>AND('GA55 Entry'!T965,"AAAAABa7Pu0=")</f>
        <v>#VALUE!</v>
      </c>
      <c r="IE238" t="e">
        <f>AND('GA55 Entry'!U965,"AAAAABa7Pu4=")</f>
        <v>#VALUE!</v>
      </c>
      <c r="IF238" t="e">
        <f>AND('GA55 Entry'!V965,"AAAAABa7Pu8=")</f>
        <v>#VALUE!</v>
      </c>
      <c r="IG238" t="e">
        <f>AND('GA55 Entry'!#REF!,"AAAAABa7PvA=")</f>
        <v>#REF!</v>
      </c>
      <c r="IH238" t="e">
        <f>AND('GA55 Entry'!#REF!,"AAAAABa7PvE=")</f>
        <v>#REF!</v>
      </c>
      <c r="II238" t="e">
        <f>AND('GA55 Entry'!X965,"AAAAABa7PvI=")</f>
        <v>#VALUE!</v>
      </c>
      <c r="IJ238" t="e">
        <f>AND('GA55 Entry'!Y965,"AAAAABa7PvM=")</f>
        <v>#VALUE!</v>
      </c>
      <c r="IK238" t="e">
        <f>AND('GA55 Entry'!#REF!,"AAAAABa7PvQ=")</f>
        <v>#REF!</v>
      </c>
      <c r="IL238" t="e">
        <f>AND('GA55 Entry'!#REF!,"AAAAABa7PvU=")</f>
        <v>#REF!</v>
      </c>
      <c r="IM238" t="e">
        <f>AND('GA55 Entry'!#REF!,"AAAAABa7PvY=")</f>
        <v>#REF!</v>
      </c>
      <c r="IN238" t="e">
        <f>AND('GA55 Entry'!#REF!,"AAAAABa7Pvc=")</f>
        <v>#REF!</v>
      </c>
      <c r="IO238" t="e">
        <f>AND('GA55 Entry'!#REF!,"AAAAABa7Pvg=")</f>
        <v>#REF!</v>
      </c>
      <c r="IP238" t="e">
        <f>AND('GA55 Entry'!#REF!,"AAAAABa7Pvk=")</f>
        <v>#REF!</v>
      </c>
      <c r="IQ238" t="e">
        <f>AND('GA55 Entry'!#REF!,"AAAAABa7Pvo=")</f>
        <v>#REF!</v>
      </c>
      <c r="IR238" t="e">
        <f>AND('GA55 Entry'!#REF!,"AAAAABa7Pvs=")</f>
        <v>#REF!</v>
      </c>
      <c r="IS238" t="e">
        <f>AND('GA55 Entry'!#REF!,"AAAAABa7Pvw=")</f>
        <v>#REF!</v>
      </c>
      <c r="IT238" t="e">
        <f>AND('GA55 Entry'!Z965,"AAAAABa7Pv0=")</f>
        <v>#VALUE!</v>
      </c>
      <c r="IU238" t="e">
        <f>AND('GA55 Entry'!AA965,"AAAAABa7Pv4=")</f>
        <v>#VALUE!</v>
      </c>
      <c r="IV238" t="e">
        <f>AND('GA55 Entry'!#REF!,"AAAAABa7Pv8=")</f>
        <v>#REF!</v>
      </c>
    </row>
    <row r="239" spans="1:256">
      <c r="A239" t="e">
        <f>AND('GA55 Entry'!#REF!,"AAAAAHe3cQA=")</f>
        <v>#REF!</v>
      </c>
      <c r="B239" t="e">
        <f>AND('GA55 Entry'!#REF!,"AAAAAHe3cQE=")</f>
        <v>#REF!</v>
      </c>
      <c r="C239" t="e">
        <f>AND('GA55 Entry'!AB965,"AAAAAHe3cQI=")</f>
        <v>#VALUE!</v>
      </c>
      <c r="D239" t="e">
        <f>AND('GA55 Entry'!AC965,"AAAAAHe3cQM=")</f>
        <v>#VALUE!</v>
      </c>
      <c r="E239" t="e">
        <f>AND('GA55 Entry'!#REF!,"AAAAAHe3cQQ=")</f>
        <v>#REF!</v>
      </c>
      <c r="F239">
        <f>IF('GA55 Entry'!966:966,"AAAAAHe3cQU=",0)</f>
        <v>0</v>
      </c>
      <c r="G239" t="e">
        <f>AND('GA55 Entry'!B966,"AAAAAHe3cQY=")</f>
        <v>#VALUE!</v>
      </c>
      <c r="H239" t="e">
        <f>AND('GA55 Entry'!#REF!,"AAAAAHe3cQc=")</f>
        <v>#REF!</v>
      </c>
      <c r="I239" t="e">
        <f>AND('GA55 Entry'!C966,"AAAAAHe3cQg=")</f>
        <v>#VALUE!</v>
      </c>
      <c r="J239" t="e">
        <f>AND('GA55 Entry'!#REF!,"AAAAAHe3cQk=")</f>
        <v>#REF!</v>
      </c>
      <c r="K239" t="e">
        <f>AND('GA55 Entry'!#REF!,"AAAAAHe3cQo=")</f>
        <v>#REF!</v>
      </c>
      <c r="L239" t="e">
        <f>AND('GA55 Entry'!#REF!,"AAAAAHe3cQs=")</f>
        <v>#REF!</v>
      </c>
      <c r="M239" t="e">
        <f>AND('GA55 Entry'!#REF!,"AAAAAHe3cQw=")</f>
        <v>#REF!</v>
      </c>
      <c r="N239" t="e">
        <f>AND('GA55 Entry'!#REF!,"AAAAAHe3cQ0=")</f>
        <v>#REF!</v>
      </c>
      <c r="O239" t="e">
        <f>AND('GA55 Entry'!D966,"AAAAAHe3cQ4=")</f>
        <v>#VALUE!</v>
      </c>
      <c r="P239" t="e">
        <f>AND('GA55 Entry'!#REF!,"AAAAAHe3cQ8=")</f>
        <v>#REF!</v>
      </c>
      <c r="Q239" t="e">
        <f>AND('GA55 Entry'!E966,"AAAAAHe3cRA=")</f>
        <v>#VALUE!</v>
      </c>
      <c r="R239" t="e">
        <f>AND('GA55 Entry'!F966,"AAAAAHe3cRE=")</f>
        <v>#VALUE!</v>
      </c>
      <c r="S239" t="e">
        <f>AND('GA55 Entry'!G966,"AAAAAHe3cRI=")</f>
        <v>#VALUE!</v>
      </c>
      <c r="T239" t="e">
        <f>AND('GA55 Entry'!H966,"AAAAAHe3cRM=")</f>
        <v>#VALUE!</v>
      </c>
      <c r="U239" t="e">
        <f>AND('GA55 Entry'!I966,"AAAAAHe3cRQ=")</f>
        <v>#VALUE!</v>
      </c>
      <c r="V239" t="e">
        <f>AND('GA55 Entry'!J966,"AAAAAHe3cRU=")</f>
        <v>#VALUE!</v>
      </c>
      <c r="W239" t="e">
        <f>AND('GA55 Entry'!#REF!,"AAAAAHe3cRY=")</f>
        <v>#REF!</v>
      </c>
      <c r="X239" t="e">
        <f>AND('GA55 Entry'!K966,"AAAAAHe3cRc=")</f>
        <v>#VALUE!</v>
      </c>
      <c r="Y239" t="e">
        <f>AND('GA55 Entry'!L966,"AAAAAHe3cRg=")</f>
        <v>#VALUE!</v>
      </c>
      <c r="Z239" t="e">
        <f>AND('GA55 Entry'!M966,"AAAAAHe3cRk=")</f>
        <v>#VALUE!</v>
      </c>
      <c r="AA239" t="e">
        <f>AND('GA55 Entry'!N966,"AAAAAHe3cRo=")</f>
        <v>#VALUE!</v>
      </c>
      <c r="AB239" t="e">
        <f>AND('GA55 Entry'!O966,"AAAAAHe3cRs=")</f>
        <v>#VALUE!</v>
      </c>
      <c r="AC239" t="e">
        <f>AND('GA55 Entry'!P966,"AAAAAHe3cRw=")</f>
        <v>#VALUE!</v>
      </c>
      <c r="AD239" t="e">
        <f>AND('GA55 Entry'!Q966,"AAAAAHe3cR0=")</f>
        <v>#VALUE!</v>
      </c>
      <c r="AE239" t="e">
        <f>AND('GA55 Entry'!S966,"AAAAAHe3cR4=")</f>
        <v>#VALUE!</v>
      </c>
      <c r="AF239" t="e">
        <f>AND('GA55 Entry'!#REF!,"AAAAAHe3cR8=")</f>
        <v>#REF!</v>
      </c>
      <c r="AG239" t="e">
        <f>AND('GA55 Entry'!T966,"AAAAAHe3cSA=")</f>
        <v>#VALUE!</v>
      </c>
      <c r="AH239" t="e">
        <f>AND('GA55 Entry'!U966,"AAAAAHe3cSE=")</f>
        <v>#VALUE!</v>
      </c>
      <c r="AI239" t="e">
        <f>AND('GA55 Entry'!V966,"AAAAAHe3cSI=")</f>
        <v>#VALUE!</v>
      </c>
      <c r="AJ239" t="e">
        <f>AND('GA55 Entry'!#REF!,"AAAAAHe3cSM=")</f>
        <v>#REF!</v>
      </c>
      <c r="AK239" t="e">
        <f>AND('GA55 Entry'!#REF!,"AAAAAHe3cSQ=")</f>
        <v>#REF!</v>
      </c>
      <c r="AL239" t="e">
        <f>AND('GA55 Entry'!X966,"AAAAAHe3cSU=")</f>
        <v>#VALUE!</v>
      </c>
      <c r="AM239" t="e">
        <f>AND('GA55 Entry'!Y966,"AAAAAHe3cSY=")</f>
        <v>#VALUE!</v>
      </c>
      <c r="AN239" t="e">
        <f>AND('GA55 Entry'!#REF!,"AAAAAHe3cSc=")</f>
        <v>#REF!</v>
      </c>
      <c r="AO239" t="e">
        <f>AND('GA55 Entry'!#REF!,"AAAAAHe3cSg=")</f>
        <v>#REF!</v>
      </c>
      <c r="AP239" t="e">
        <f>AND('GA55 Entry'!#REF!,"AAAAAHe3cSk=")</f>
        <v>#REF!</v>
      </c>
      <c r="AQ239" t="e">
        <f>AND('GA55 Entry'!#REF!,"AAAAAHe3cSo=")</f>
        <v>#REF!</v>
      </c>
      <c r="AR239" t="e">
        <f>AND('GA55 Entry'!#REF!,"AAAAAHe3cSs=")</f>
        <v>#REF!</v>
      </c>
      <c r="AS239" t="e">
        <f>AND('GA55 Entry'!#REF!,"AAAAAHe3cSw=")</f>
        <v>#REF!</v>
      </c>
      <c r="AT239" t="e">
        <f>AND('GA55 Entry'!#REF!,"AAAAAHe3cS0=")</f>
        <v>#REF!</v>
      </c>
      <c r="AU239" t="e">
        <f>AND('GA55 Entry'!#REF!,"AAAAAHe3cS4=")</f>
        <v>#REF!</v>
      </c>
      <c r="AV239" t="e">
        <f>AND('GA55 Entry'!#REF!,"AAAAAHe3cS8=")</f>
        <v>#REF!</v>
      </c>
      <c r="AW239" t="e">
        <f>AND('GA55 Entry'!Z966,"AAAAAHe3cTA=")</f>
        <v>#VALUE!</v>
      </c>
      <c r="AX239" t="e">
        <f>AND('GA55 Entry'!AA966,"AAAAAHe3cTE=")</f>
        <v>#VALUE!</v>
      </c>
      <c r="AY239" t="e">
        <f>AND('GA55 Entry'!#REF!,"AAAAAHe3cTI=")</f>
        <v>#REF!</v>
      </c>
      <c r="AZ239" t="e">
        <f>AND('GA55 Entry'!#REF!,"AAAAAHe3cTM=")</f>
        <v>#REF!</v>
      </c>
      <c r="BA239" t="e">
        <f>AND('GA55 Entry'!#REF!,"AAAAAHe3cTQ=")</f>
        <v>#REF!</v>
      </c>
      <c r="BB239" t="e">
        <f>AND('GA55 Entry'!AB966,"AAAAAHe3cTU=")</f>
        <v>#VALUE!</v>
      </c>
      <c r="BC239" t="e">
        <f>AND('GA55 Entry'!AC966,"AAAAAHe3cTY=")</f>
        <v>#VALUE!</v>
      </c>
      <c r="BD239" t="e">
        <f>AND('GA55 Entry'!#REF!,"AAAAAHe3cTc=")</f>
        <v>#REF!</v>
      </c>
      <c r="BE239">
        <f>IF('GA55 Entry'!967:967,"AAAAAHe3cTg=",0)</f>
        <v>0</v>
      </c>
      <c r="BF239" t="e">
        <f>AND('GA55 Entry'!B967,"AAAAAHe3cTk=")</f>
        <v>#VALUE!</v>
      </c>
      <c r="BG239" t="e">
        <f>AND('GA55 Entry'!#REF!,"AAAAAHe3cTo=")</f>
        <v>#REF!</v>
      </c>
      <c r="BH239" t="e">
        <f>AND('GA55 Entry'!C967,"AAAAAHe3cTs=")</f>
        <v>#VALUE!</v>
      </c>
      <c r="BI239" t="e">
        <f>AND('GA55 Entry'!#REF!,"AAAAAHe3cTw=")</f>
        <v>#REF!</v>
      </c>
      <c r="BJ239" t="e">
        <f>AND('GA55 Entry'!#REF!,"AAAAAHe3cT0=")</f>
        <v>#REF!</v>
      </c>
      <c r="BK239" t="e">
        <f>AND('GA55 Entry'!#REF!,"AAAAAHe3cT4=")</f>
        <v>#REF!</v>
      </c>
      <c r="BL239" t="e">
        <f>AND('GA55 Entry'!#REF!,"AAAAAHe3cT8=")</f>
        <v>#REF!</v>
      </c>
      <c r="BM239" t="e">
        <f>AND('GA55 Entry'!#REF!,"AAAAAHe3cUA=")</f>
        <v>#REF!</v>
      </c>
      <c r="BN239" t="e">
        <f>AND('GA55 Entry'!D967,"AAAAAHe3cUE=")</f>
        <v>#VALUE!</v>
      </c>
      <c r="BO239" t="e">
        <f>AND('GA55 Entry'!#REF!,"AAAAAHe3cUI=")</f>
        <v>#REF!</v>
      </c>
      <c r="BP239" t="e">
        <f>AND('GA55 Entry'!E967,"AAAAAHe3cUM=")</f>
        <v>#VALUE!</v>
      </c>
      <c r="BQ239" t="e">
        <f>AND('GA55 Entry'!F967,"AAAAAHe3cUQ=")</f>
        <v>#VALUE!</v>
      </c>
      <c r="BR239" t="e">
        <f>AND('GA55 Entry'!G967,"AAAAAHe3cUU=")</f>
        <v>#VALUE!</v>
      </c>
      <c r="BS239" t="e">
        <f>AND('GA55 Entry'!H967,"AAAAAHe3cUY=")</f>
        <v>#VALUE!</v>
      </c>
      <c r="BT239" t="e">
        <f>AND('GA55 Entry'!I967,"AAAAAHe3cUc=")</f>
        <v>#VALUE!</v>
      </c>
      <c r="BU239" t="e">
        <f>AND('GA55 Entry'!J967,"AAAAAHe3cUg=")</f>
        <v>#VALUE!</v>
      </c>
      <c r="BV239" t="e">
        <f>AND('GA55 Entry'!#REF!,"AAAAAHe3cUk=")</f>
        <v>#REF!</v>
      </c>
      <c r="BW239" t="e">
        <f>AND('GA55 Entry'!K967,"AAAAAHe3cUo=")</f>
        <v>#VALUE!</v>
      </c>
      <c r="BX239" t="e">
        <f>AND('GA55 Entry'!L967,"AAAAAHe3cUs=")</f>
        <v>#VALUE!</v>
      </c>
      <c r="BY239" t="e">
        <f>AND('GA55 Entry'!M967,"AAAAAHe3cUw=")</f>
        <v>#VALUE!</v>
      </c>
      <c r="BZ239" t="e">
        <f>AND('GA55 Entry'!N967,"AAAAAHe3cU0=")</f>
        <v>#VALUE!</v>
      </c>
      <c r="CA239" t="e">
        <f>AND('GA55 Entry'!O967,"AAAAAHe3cU4=")</f>
        <v>#VALUE!</v>
      </c>
      <c r="CB239" t="e">
        <f>AND('GA55 Entry'!P967,"AAAAAHe3cU8=")</f>
        <v>#VALUE!</v>
      </c>
      <c r="CC239" t="e">
        <f>AND('GA55 Entry'!Q967,"AAAAAHe3cVA=")</f>
        <v>#VALUE!</v>
      </c>
      <c r="CD239" t="e">
        <f>AND('GA55 Entry'!S967,"AAAAAHe3cVE=")</f>
        <v>#VALUE!</v>
      </c>
      <c r="CE239" t="e">
        <f>AND('GA55 Entry'!#REF!,"AAAAAHe3cVI=")</f>
        <v>#REF!</v>
      </c>
      <c r="CF239" t="e">
        <f>AND('GA55 Entry'!T967,"AAAAAHe3cVM=")</f>
        <v>#VALUE!</v>
      </c>
      <c r="CG239" t="e">
        <f>AND('GA55 Entry'!U967,"AAAAAHe3cVQ=")</f>
        <v>#VALUE!</v>
      </c>
      <c r="CH239" t="e">
        <f>AND('GA55 Entry'!V967,"AAAAAHe3cVU=")</f>
        <v>#VALUE!</v>
      </c>
      <c r="CI239" t="e">
        <f>AND('GA55 Entry'!#REF!,"AAAAAHe3cVY=")</f>
        <v>#REF!</v>
      </c>
      <c r="CJ239" t="e">
        <f>AND('GA55 Entry'!#REF!,"AAAAAHe3cVc=")</f>
        <v>#REF!</v>
      </c>
      <c r="CK239" t="e">
        <f>AND('GA55 Entry'!X967,"AAAAAHe3cVg=")</f>
        <v>#VALUE!</v>
      </c>
      <c r="CL239" t="e">
        <f>AND('GA55 Entry'!Y967,"AAAAAHe3cVk=")</f>
        <v>#VALUE!</v>
      </c>
      <c r="CM239" t="e">
        <f>AND('GA55 Entry'!#REF!,"AAAAAHe3cVo=")</f>
        <v>#REF!</v>
      </c>
      <c r="CN239" t="e">
        <f>AND('GA55 Entry'!#REF!,"AAAAAHe3cVs=")</f>
        <v>#REF!</v>
      </c>
      <c r="CO239" t="e">
        <f>AND('GA55 Entry'!#REF!,"AAAAAHe3cVw=")</f>
        <v>#REF!</v>
      </c>
      <c r="CP239" t="e">
        <f>AND('GA55 Entry'!#REF!,"AAAAAHe3cV0=")</f>
        <v>#REF!</v>
      </c>
      <c r="CQ239" t="e">
        <f>AND('GA55 Entry'!#REF!,"AAAAAHe3cV4=")</f>
        <v>#REF!</v>
      </c>
      <c r="CR239" t="e">
        <f>AND('GA55 Entry'!#REF!,"AAAAAHe3cV8=")</f>
        <v>#REF!</v>
      </c>
      <c r="CS239" t="e">
        <f>AND('GA55 Entry'!#REF!,"AAAAAHe3cWA=")</f>
        <v>#REF!</v>
      </c>
      <c r="CT239" t="e">
        <f>AND('GA55 Entry'!#REF!,"AAAAAHe3cWE=")</f>
        <v>#REF!</v>
      </c>
      <c r="CU239" t="e">
        <f>AND('GA55 Entry'!#REF!,"AAAAAHe3cWI=")</f>
        <v>#REF!</v>
      </c>
      <c r="CV239" t="e">
        <f>AND('GA55 Entry'!Z967,"AAAAAHe3cWM=")</f>
        <v>#VALUE!</v>
      </c>
      <c r="CW239" t="e">
        <f>AND('GA55 Entry'!AA967,"AAAAAHe3cWQ=")</f>
        <v>#VALUE!</v>
      </c>
      <c r="CX239" t="e">
        <f>AND('GA55 Entry'!#REF!,"AAAAAHe3cWU=")</f>
        <v>#REF!</v>
      </c>
      <c r="CY239" t="e">
        <f>AND('GA55 Entry'!#REF!,"AAAAAHe3cWY=")</f>
        <v>#REF!</v>
      </c>
      <c r="CZ239" t="e">
        <f>AND('GA55 Entry'!#REF!,"AAAAAHe3cWc=")</f>
        <v>#REF!</v>
      </c>
      <c r="DA239" t="e">
        <f>AND('GA55 Entry'!AB967,"AAAAAHe3cWg=")</f>
        <v>#VALUE!</v>
      </c>
      <c r="DB239" t="e">
        <f>AND('GA55 Entry'!AC967,"AAAAAHe3cWk=")</f>
        <v>#VALUE!</v>
      </c>
      <c r="DC239" t="e">
        <f>AND('GA55 Entry'!#REF!,"AAAAAHe3cWo=")</f>
        <v>#REF!</v>
      </c>
      <c r="DD239">
        <f>IF('GA55 Entry'!968:968,"AAAAAHe3cWs=",0)</f>
        <v>0</v>
      </c>
      <c r="DE239">
        <f>IF('GA55 Entry'!969:969,"AAAAAHe3cWw=",0)</f>
        <v>0</v>
      </c>
      <c r="DF239">
        <f>IF('GA55 Entry'!970:970,"AAAAAHe3cW0=",0)</f>
        <v>0</v>
      </c>
      <c r="DG239">
        <f>IF('GA55 Entry'!971:971,"AAAAAHe3cW4=",0)</f>
        <v>0</v>
      </c>
      <c r="DH239">
        <f>IF('GA55 Entry'!972:972,"AAAAAHe3cW8=",0)</f>
        <v>0</v>
      </c>
      <c r="DI239">
        <f>IF('GA55 Entry'!973:973,"AAAAAHe3cXA=",0)</f>
        <v>0</v>
      </c>
      <c r="DJ239">
        <f>IF('GA55 Entry'!974:974,"AAAAAHe3cXE=",0)</f>
        <v>0</v>
      </c>
      <c r="DK239">
        <f>IF('GA55 Entry'!975:975,"AAAAAHe3cXI=",0)</f>
        <v>0</v>
      </c>
      <c r="DL239">
        <f>IF('GA55 Entry'!976:976,"AAAAAHe3cXM=",0)</f>
        <v>0</v>
      </c>
      <c r="DM239">
        <f>IF('GA55 Entry'!977:977,"AAAAAHe3cXQ=",0)</f>
        <v>0</v>
      </c>
      <c r="DN239">
        <f>IF('GA55 Entry'!978:978,"AAAAAHe3cXU=",0)</f>
        <v>0</v>
      </c>
      <c r="DO239">
        <f>IF('GA55 Entry'!979:979,"AAAAAHe3cXY=",0)</f>
        <v>0</v>
      </c>
      <c r="DP239">
        <f>IF('GA55 Entry'!980:980,"AAAAAHe3cXc=",0)</f>
        <v>0</v>
      </c>
      <c r="DQ239">
        <f>IF('GA55 Entry'!981:981,"AAAAAHe3cXg=",0)</f>
        <v>0</v>
      </c>
      <c r="DR239">
        <f>IF('GA55 Entry'!982:982,"AAAAAHe3cXk=",0)</f>
        <v>0</v>
      </c>
      <c r="DS239">
        <f>IF('GA55 Entry'!983:983,"AAAAAHe3cXo=",0)</f>
        <v>0</v>
      </c>
      <c r="DT239">
        <f>IF('GA55 Entry'!984:984,"AAAAAHe3cXs=",0)</f>
        <v>0</v>
      </c>
      <c r="DU239">
        <f>IF('GA55 Entry'!985:985,"AAAAAHe3cXw=",0)</f>
        <v>0</v>
      </c>
      <c r="DV239">
        <f>IF('GA55 Entry'!986:986,"AAAAAHe3cX0=",0)</f>
        <v>0</v>
      </c>
      <c r="DW239">
        <f>IF('GA55 Entry'!987:987,"AAAAAHe3cX4=",0)</f>
        <v>0</v>
      </c>
      <c r="DX239">
        <f>IF('GA55 Entry'!988:988,"AAAAAHe3cX8=",0)</f>
        <v>0</v>
      </c>
      <c r="DY239">
        <f>IF('GA55 Entry'!989:989,"AAAAAHe3cYA=",0)</f>
        <v>0</v>
      </c>
      <c r="DZ239">
        <f>IF('GA55 Entry'!990:990,"AAAAAHe3cYE=",0)</f>
        <v>0</v>
      </c>
      <c r="EA239">
        <f>IF('GA55 Entry'!991:991,"AAAAAHe3cYI=",0)</f>
        <v>0</v>
      </c>
      <c r="EB239">
        <f>IF('GA55 Entry'!992:992,"AAAAAHe3cYM=",0)</f>
        <v>0</v>
      </c>
      <c r="EC239">
        <f>IF('GA55 Entry'!993:993,"AAAAAHe3cYQ=",0)</f>
        <v>0</v>
      </c>
      <c r="ED239">
        <f>IF('GA55 Entry'!994:994,"AAAAAHe3cYU=",0)</f>
        <v>0</v>
      </c>
      <c r="EE239">
        <f>IF('GA55 Entry'!995:995,"AAAAAHe3cYY=",0)</f>
        <v>0</v>
      </c>
      <c r="EF239">
        <f>IF('GA55 Entry'!996:996,"AAAAAHe3cYc=",0)</f>
        <v>0</v>
      </c>
      <c r="EG239">
        <f>IF('GA55 Entry'!997:997,"AAAAAHe3cYg=",0)</f>
        <v>0</v>
      </c>
      <c r="EH239">
        <f>IF('GA55 Entry'!998:998,"AAAAAHe3cYk=",0)</f>
        <v>0</v>
      </c>
      <c r="EI239">
        <f>IF('GA55 Entry'!999:999,"AAAAAHe3cYo=",0)</f>
        <v>0</v>
      </c>
      <c r="EJ239">
        <f>IF('GA55 Entry'!1000:1000,"AAAAAHe3cYs=",0)</f>
        <v>0</v>
      </c>
      <c r="EK239">
        <f>IF('GA55 Entry'!1001:1001,"AAAAAHe3cYw=",0)</f>
        <v>0</v>
      </c>
      <c r="EL239">
        <f>IF('GA55 Entry'!1002:1002,"AAAAAHe3cY0=",0)</f>
        <v>0</v>
      </c>
      <c r="EM239">
        <f>IF('GA55 Entry'!1003:1003,"AAAAAHe3cY4=",0)</f>
        <v>0</v>
      </c>
      <c r="EN239">
        <f>IF('GA55 Entry'!1004:1004,"AAAAAHe3cY8=",0)</f>
        <v>0</v>
      </c>
      <c r="EO239">
        <f>IF('GA55 Entry'!1005:1005,"AAAAAHe3cZA=",0)</f>
        <v>0</v>
      </c>
      <c r="EP239">
        <f>IF('GA55 Entry'!1006:1006,"AAAAAHe3cZE=",0)</f>
        <v>0</v>
      </c>
      <c r="EQ239">
        <f>IF('GA55 Entry'!1007:1007,"AAAAAHe3cZI=",0)</f>
        <v>0</v>
      </c>
      <c r="ER239">
        <f>IF('GA55 Entry'!1008:1008,"AAAAAHe3cZM=",0)</f>
        <v>0</v>
      </c>
      <c r="ES239">
        <f>IF('GA55 Entry'!1009:1009,"AAAAAHe3cZQ=",0)</f>
        <v>0</v>
      </c>
      <c r="ET239">
        <f>IF('GA55 Entry'!1010:1010,"AAAAAHe3cZU=",0)</f>
        <v>0</v>
      </c>
      <c r="EU239">
        <f>IF('GA55 Entry'!1011:1011,"AAAAAHe3cZY=",0)</f>
        <v>0</v>
      </c>
      <c r="EV239">
        <f>IF('GA55 Entry'!1012:1012,"AAAAAHe3cZc=",0)</f>
        <v>0</v>
      </c>
      <c r="EW239">
        <f>IF('GA55 Entry'!1013:1013,"AAAAAHe3cZg=",0)</f>
        <v>0</v>
      </c>
      <c r="EX239">
        <f>IF('GA55 Entry'!1014:1014,"AAAAAHe3cZk=",0)</f>
        <v>0</v>
      </c>
      <c r="EY239">
        <f>IF('GA55 Entry'!1015:1015,"AAAAAHe3cZo=",0)</f>
        <v>0</v>
      </c>
      <c r="EZ239">
        <f>IF('GA55 Entry'!1016:1016,"AAAAAHe3cZs=",0)</f>
        <v>0</v>
      </c>
      <c r="FA239">
        <f>IF('GA55 Entry'!1017:1017,"AAAAAHe3cZw=",0)</f>
        <v>0</v>
      </c>
      <c r="FB239">
        <f>IF('GA55 Entry'!1018:1018,"AAAAAHe3cZ0=",0)</f>
        <v>0</v>
      </c>
      <c r="FC239">
        <f>IF('GA55 Entry'!1019:1019,"AAAAAHe3cZ4=",0)</f>
        <v>0</v>
      </c>
      <c r="FD239">
        <f>IF('GA55 Entry'!1020:1020,"AAAAAHe3cZ8=",0)</f>
        <v>0</v>
      </c>
      <c r="FE239">
        <f>IF('GA55 Entry'!1021:1021,"AAAAAHe3caA=",0)</f>
        <v>0</v>
      </c>
      <c r="FF239">
        <f>IF('GA55 Entry'!1022:1022,"AAAAAHe3caE=",0)</f>
        <v>0</v>
      </c>
      <c r="FG239">
        <f>IF('GA55 Entry'!1023:1023,"AAAAAHe3caI=",0)</f>
        <v>0</v>
      </c>
      <c r="FH239">
        <f>IF('GA55 Entry'!1024:1024,"AAAAAHe3caM=",0)</f>
        <v>0</v>
      </c>
      <c r="FI239">
        <f>IF('GA55 Entry'!1025:1025,"AAAAAHe3caQ=",0)</f>
        <v>0</v>
      </c>
      <c r="FJ239">
        <f>IF('GA55 Entry'!1026:1026,"AAAAAHe3caU=",0)</f>
        <v>0</v>
      </c>
      <c r="FK239">
        <f>IF('GA55 Entry'!1027:1027,"AAAAAHe3caY=",0)</f>
        <v>0</v>
      </c>
      <c r="FL239">
        <f>IF('GA55 Entry'!1028:1028,"AAAAAHe3cac=",0)</f>
        <v>0</v>
      </c>
      <c r="FM239">
        <f>IF('GA55 Entry'!1029:1029,"AAAAAHe3cag=",0)</f>
        <v>0</v>
      </c>
      <c r="FN239">
        <f>IF('GA55 Entry'!1030:1030,"AAAAAHe3cak=",0)</f>
        <v>0</v>
      </c>
      <c r="FO239">
        <f>IF('GA55 Entry'!1031:1031,"AAAAAHe3cao=",0)</f>
        <v>0</v>
      </c>
      <c r="FP239">
        <f>IF('GA55 Entry'!1032:1032,"AAAAAHe3cas=",0)</f>
        <v>0</v>
      </c>
      <c r="FQ239">
        <f>IF('GA55 Entry'!1033:1033,"AAAAAHe3caw=",0)</f>
        <v>0</v>
      </c>
      <c r="FR239">
        <f>IF('GA55 Entry'!1034:1034,"AAAAAHe3ca0=",0)</f>
        <v>0</v>
      </c>
      <c r="FS239">
        <f>IF('GA55 Entry'!1035:1035,"AAAAAHe3ca4=",0)</f>
        <v>0</v>
      </c>
      <c r="FT239">
        <f>IF('GA55 Entry'!1036:1036,"AAAAAHe3ca8=",0)</f>
        <v>0</v>
      </c>
      <c r="FU239">
        <f>IF('GA55 Entry'!1037:1037,"AAAAAHe3cbA=",0)</f>
        <v>0</v>
      </c>
      <c r="FV239">
        <f>IF('GA55 Entry'!1038:1038,"AAAAAHe3cbE=",0)</f>
        <v>0</v>
      </c>
      <c r="FW239">
        <f>IF('GA55 Entry'!1039:1039,"AAAAAHe3cbI=",0)</f>
        <v>0</v>
      </c>
      <c r="FX239">
        <f>IF('GA55 Entry'!1040:1040,"AAAAAHe3cbM=",0)</f>
        <v>0</v>
      </c>
      <c r="FY239">
        <f>IF('GA55 Entry'!1041:1041,"AAAAAHe3cbQ=",0)</f>
        <v>0</v>
      </c>
      <c r="FZ239">
        <f>IF('GA55 Entry'!1042:1042,"AAAAAHe3cbU=",0)</f>
        <v>0</v>
      </c>
      <c r="GA239">
        <f>IF('GA55 Entry'!1043:1043,"AAAAAHe3cbY=",0)</f>
        <v>0</v>
      </c>
      <c r="GB239">
        <f>IF('GA55 Entry'!1044:1044,"AAAAAHe3cbc=",0)</f>
        <v>0</v>
      </c>
      <c r="GC239">
        <f>IF('GA55 Entry'!1045:1045,"AAAAAHe3cbg=",0)</f>
        <v>0</v>
      </c>
      <c r="GD239">
        <f>IF('GA55 Entry'!1046:1046,"AAAAAHe3cbk=",0)</f>
        <v>0</v>
      </c>
      <c r="GE239">
        <f>IF('GA55 Entry'!1047:1047,"AAAAAHe3cbo=",0)</f>
        <v>0</v>
      </c>
      <c r="GF239">
        <f>IF('GA55 Entry'!1048:1048,"AAAAAHe3cbs=",0)</f>
        <v>0</v>
      </c>
      <c r="GG239">
        <f>IF('GA55 Entry'!1049:1049,"AAAAAHe3cbw=",0)</f>
        <v>0</v>
      </c>
      <c r="GH239">
        <f>IF('GA55 Entry'!1050:1050,"AAAAAHe3cb0=",0)</f>
        <v>0</v>
      </c>
      <c r="GI239">
        <f>IF('GA55 Entry'!1051:1051,"AAAAAHe3cb4=",0)</f>
        <v>0</v>
      </c>
      <c r="GJ239">
        <f>IF('GA55 Entry'!1052:1052,"AAAAAHe3cb8=",0)</f>
        <v>0</v>
      </c>
      <c r="GK239">
        <f>IF('GA55 Entry'!1053:1053,"AAAAAHe3ccA=",0)</f>
        <v>0</v>
      </c>
      <c r="GL239">
        <f>IF('GA55 Entry'!1054:1054,"AAAAAHe3ccE=",0)</f>
        <v>0</v>
      </c>
      <c r="GM239">
        <f>IF('GA55 Entry'!1055:1055,"AAAAAHe3ccI=",0)</f>
        <v>0</v>
      </c>
      <c r="GN239">
        <f>IF('GA55 Entry'!1056:1056,"AAAAAHe3ccM=",0)</f>
        <v>0</v>
      </c>
      <c r="GO239">
        <f>IF('GA55 Entry'!1057:1057,"AAAAAHe3ccQ=",0)</f>
        <v>0</v>
      </c>
      <c r="GP239">
        <f>IF('GA55 Entry'!1058:1058,"AAAAAHe3ccU=",0)</f>
        <v>0</v>
      </c>
      <c r="GQ239">
        <f>IF('GA55 Entry'!1059:1059,"AAAAAHe3ccY=",0)</f>
        <v>0</v>
      </c>
      <c r="GR239">
        <f>IF('GA55 Entry'!1060:1060,"AAAAAHe3ccc=",0)</f>
        <v>0</v>
      </c>
      <c r="GS239">
        <f>IF('GA55 Entry'!1061:1061,"AAAAAHe3ccg=",0)</f>
        <v>0</v>
      </c>
      <c r="GT239">
        <f>IF('GA55 Entry'!1062:1062,"AAAAAHe3cck=",0)</f>
        <v>0</v>
      </c>
      <c r="GU239">
        <f>IF('GA55 Entry'!1063:1063,"AAAAAHe3cco=",0)</f>
        <v>0</v>
      </c>
      <c r="GV239">
        <f>IF('GA55 Entry'!1064:1064,"AAAAAHe3ccs=",0)</f>
        <v>0</v>
      </c>
      <c r="GW239">
        <f>IF('GA55 Entry'!1065:1065,"AAAAAHe3ccw=",0)</f>
        <v>0</v>
      </c>
      <c r="GX239">
        <f>IF('GA55 Entry'!1066:1066,"AAAAAHe3cc0=",0)</f>
        <v>0</v>
      </c>
      <c r="GY239">
        <f>IF('GA55 Entry'!B:B,"AAAAAHe3cc4=",0)</f>
        <v>0</v>
      </c>
      <c r="GZ239" t="e">
        <f>IF('GA55 Entry'!#REF!,"AAAAAHe3cc8=",0)</f>
        <v>#REF!</v>
      </c>
      <c r="HA239">
        <f>IF('GA55 Entry'!C:C,"AAAAAHe3cdA=",0)</f>
        <v>0</v>
      </c>
      <c r="HB239" t="e">
        <f>IF('GA55 Entry'!#REF!,"AAAAAHe3cdE=",0)</f>
        <v>#REF!</v>
      </c>
      <c r="HC239" t="e">
        <f>IF('GA55 Entry'!#REF!,"AAAAAHe3cdI=",0)</f>
        <v>#REF!</v>
      </c>
      <c r="HD239" t="e">
        <f>IF('GA55 Entry'!#REF!,"AAAAAHe3cdM=",0)</f>
        <v>#REF!</v>
      </c>
      <c r="HE239" t="e">
        <f>IF('GA55 Entry'!#REF!,"AAAAAHe3cdQ=",0)</f>
        <v>#REF!</v>
      </c>
      <c r="HF239" t="e">
        <f>IF('GA55 Entry'!#REF!,"AAAAAHe3cdU=",0)</f>
        <v>#REF!</v>
      </c>
      <c r="HG239">
        <f>IF('GA55 Entry'!D:D,"AAAAAHe3cdY=",0)</f>
        <v>0</v>
      </c>
      <c r="HH239" t="e">
        <f>IF('GA55 Entry'!#REF!,"AAAAAHe3cdc=",0)</f>
        <v>#REF!</v>
      </c>
      <c r="HI239">
        <f>IF('GA55 Entry'!E:E,"AAAAAHe3cdg=",0)</f>
        <v>0</v>
      </c>
      <c r="HJ239">
        <f>IF('GA55 Entry'!F:F,"AAAAAHe3cdk=",0)</f>
        <v>0</v>
      </c>
      <c r="HK239">
        <f>IF('GA55 Entry'!G:G,"AAAAAHe3cdo=",0)</f>
        <v>0</v>
      </c>
      <c r="HL239">
        <f>IF('GA55 Entry'!H:H,"AAAAAHe3cds=",0)</f>
        <v>0</v>
      </c>
      <c r="HM239">
        <f>IF('GA55 Entry'!I:I,"AAAAAHe3cdw=",0)</f>
        <v>0</v>
      </c>
      <c r="HN239">
        <f>IF('GA55 Entry'!J:J,"AAAAAHe3cd0=",0)</f>
        <v>0</v>
      </c>
      <c r="HO239" t="e">
        <f>IF('GA55 Entry'!#REF!,"AAAAAHe3cd4=",0)</f>
        <v>#REF!</v>
      </c>
      <c r="HP239">
        <f>IF('GA55 Entry'!K:K,"AAAAAHe3cd8=",0)</f>
        <v>0</v>
      </c>
      <c r="HQ239">
        <f>IF('GA55 Entry'!L:L,"AAAAAHe3ceA=",0)</f>
        <v>0</v>
      </c>
      <c r="HR239">
        <f>IF('GA55 Entry'!M:M,"AAAAAHe3ceE=",0)</f>
        <v>0</v>
      </c>
      <c r="HS239">
        <f>IF('GA55 Entry'!N:N,"AAAAAHe3ceI=",0)</f>
        <v>0</v>
      </c>
      <c r="HT239">
        <f>IF('GA55 Entry'!O:O,"AAAAAHe3ceM=",0)</f>
        <v>0</v>
      </c>
      <c r="HU239">
        <f>IF('GA55 Entry'!P:P,"AAAAAHe3ceQ=",0)</f>
        <v>0</v>
      </c>
      <c r="HV239">
        <f>IF('GA55 Entry'!Q:Q,"AAAAAHe3ceU=",0)</f>
        <v>0</v>
      </c>
      <c r="HW239">
        <f>IF('GA55 Entry'!S:S,"AAAAAHe3ceY=",0)</f>
        <v>0</v>
      </c>
      <c r="HX239" t="e">
        <f>IF('GA55 Entry'!#REF!,"AAAAAHe3cec=",0)</f>
        <v>#REF!</v>
      </c>
      <c r="HY239">
        <f>IF('GA55 Entry'!T:T,"AAAAAHe3ceg=",0)</f>
        <v>0</v>
      </c>
      <c r="HZ239">
        <f>IF('GA55 Entry'!U:U,"AAAAAHe3cek=",0)</f>
        <v>0</v>
      </c>
      <c r="IA239">
        <f>IF('GA55 Entry'!V:V,"AAAAAHe3ceo=",0)</f>
        <v>0</v>
      </c>
      <c r="IB239" t="e">
        <f>IF('GA55 Entry'!#REF!,"AAAAAHe3ces=",0)</f>
        <v>#REF!</v>
      </c>
      <c r="IC239" t="e">
        <f>IF('GA55 Entry'!#REF!,"AAAAAHe3cew=",0)</f>
        <v>#REF!</v>
      </c>
      <c r="ID239">
        <f>IF('GA55 Entry'!X:X,"AAAAAHe3ce0=",0)</f>
        <v>0</v>
      </c>
      <c r="IE239">
        <f>IF('GA55 Entry'!Y:Y,"AAAAAHe3ce4=",0)</f>
        <v>0</v>
      </c>
      <c r="IF239" t="e">
        <f>IF('GA55 Entry'!#REF!,"AAAAAHe3ce8=",0)</f>
        <v>#REF!</v>
      </c>
      <c r="IG239" t="e">
        <f>IF('GA55 Entry'!#REF!,"AAAAAHe3cfA=",0)</f>
        <v>#REF!</v>
      </c>
      <c r="IH239" t="e">
        <f>IF('GA55 Entry'!#REF!,"AAAAAHe3cfE=",0)</f>
        <v>#REF!</v>
      </c>
      <c r="II239" t="e">
        <f>IF('GA55 Entry'!#REF!,"AAAAAHe3cfI=",0)</f>
        <v>#REF!</v>
      </c>
      <c r="IJ239" t="e">
        <f>IF('GA55 Entry'!#REF!,"AAAAAHe3cfM=",0)</f>
        <v>#REF!</v>
      </c>
      <c r="IK239" t="e">
        <f>IF('GA55 Entry'!#REF!,"AAAAAHe3cfQ=",0)</f>
        <v>#REF!</v>
      </c>
      <c r="IL239" t="e">
        <f>IF('GA55 Entry'!#REF!,"AAAAAHe3cfU=",0)</f>
        <v>#REF!</v>
      </c>
      <c r="IM239" t="e">
        <f>IF('GA55 Entry'!#REF!,"AAAAAHe3cfY=",0)</f>
        <v>#REF!</v>
      </c>
      <c r="IN239" t="e">
        <f>IF('GA55 Entry'!#REF!,"AAAAAHe3cfc=",0)</f>
        <v>#REF!</v>
      </c>
      <c r="IO239">
        <f>IF('GA55 Entry'!Z:Z,"AAAAAHe3cfg=",0)</f>
        <v>0</v>
      </c>
      <c r="IP239">
        <f>IF('GA55 Entry'!AA:AA,"AAAAAHe3cfk=",0)</f>
        <v>0</v>
      </c>
      <c r="IQ239" t="e">
        <f>IF('GA55 Entry'!#REF!,"AAAAAHe3cfo=",0)</f>
        <v>#REF!</v>
      </c>
      <c r="IR239" t="e">
        <f>IF('GA55 Entry'!#REF!,"AAAAAHe3cfs=",0)</f>
        <v>#REF!</v>
      </c>
      <c r="IS239" t="e">
        <f>IF('GA55 Entry'!#REF!,"AAAAAHe3cfw=",0)</f>
        <v>#REF!</v>
      </c>
      <c r="IT239">
        <f>IF('GA55 Entry'!AB:AB,"AAAAAHe3cf0=",0)</f>
        <v>0</v>
      </c>
      <c r="IU239">
        <f>IF('GA55 Entry'!AC:AC,"AAAAAHe3cf4=",0)</f>
        <v>0</v>
      </c>
      <c r="IV239" t="e">
        <f>IF('GA55 Entry'!#REF!,"AAAAAHe3cf8=",0)</f>
        <v>#REF!</v>
      </c>
    </row>
    <row r="240" spans="1:256">
      <c r="A240" t="e">
        <f>IF('GA55 Only Print'!#REF!,"AAAAAGff3wA=",0)</f>
        <v>#REF!</v>
      </c>
      <c r="B240" t="e">
        <f>AND('GA55 Only Print'!#REF!,"AAAAAGff3wE=")</f>
        <v>#REF!</v>
      </c>
      <c r="C240" t="e">
        <f>AND('GA55 Only Print'!#REF!,"AAAAAGff3wI=")</f>
        <v>#REF!</v>
      </c>
      <c r="D240" t="e">
        <f>AND('GA55 Only Print'!#REF!,"AAAAAGff3wM=")</f>
        <v>#REF!</v>
      </c>
      <c r="E240" t="e">
        <f>AND('GA55 Only Print'!#REF!,"AAAAAGff3wQ=")</f>
        <v>#REF!</v>
      </c>
      <c r="F240" t="e">
        <f>AND('GA55 Only Print'!#REF!,"AAAAAGff3wU=")</f>
        <v>#REF!</v>
      </c>
      <c r="G240" t="e">
        <f>AND('GA55 Only Print'!#REF!,"AAAAAGff3wY=")</f>
        <v>#REF!</v>
      </c>
      <c r="H240" t="e">
        <f>AND('GA55 Only Print'!#REF!,"AAAAAGff3wc=")</f>
        <v>#REF!</v>
      </c>
      <c r="I240" t="e">
        <f>AND('GA55 Only Print'!#REF!,"AAAAAGff3wg=")</f>
        <v>#REF!</v>
      </c>
      <c r="J240" t="e">
        <f>AND('GA55 Only Print'!#REF!,"AAAAAGff3wk=")</f>
        <v>#REF!</v>
      </c>
      <c r="K240" t="e">
        <f>AND('GA55 Only Print'!#REF!,"AAAAAGff3wo=")</f>
        <v>#REF!</v>
      </c>
      <c r="L240" t="e">
        <f>AND('GA55 Only Print'!#REF!,"AAAAAGff3ws=")</f>
        <v>#REF!</v>
      </c>
      <c r="M240" t="e">
        <f>AND('GA55 Only Print'!#REF!,"AAAAAGff3ww=")</f>
        <v>#REF!</v>
      </c>
      <c r="N240" t="e">
        <f>AND('GA55 Only Print'!#REF!,"AAAAAGff3w0=")</f>
        <v>#REF!</v>
      </c>
      <c r="O240" t="e">
        <f>AND('GA55 Only Print'!#REF!,"AAAAAGff3w4=")</f>
        <v>#REF!</v>
      </c>
      <c r="P240" t="e">
        <f>AND('GA55 Only Print'!#REF!,"AAAAAGff3w8=")</f>
        <v>#REF!</v>
      </c>
      <c r="Q240" t="e">
        <f>AND('GA55 Only Print'!#REF!,"AAAAAGff3xA=")</f>
        <v>#REF!</v>
      </c>
      <c r="R240" t="e">
        <f>AND('GA55 Only Print'!#REF!,"AAAAAGff3xE=")</f>
        <v>#REF!</v>
      </c>
      <c r="S240" t="e">
        <f>AND('GA55 Only Print'!#REF!,"AAAAAGff3xI=")</f>
        <v>#REF!</v>
      </c>
      <c r="T240" t="e">
        <f>AND('GA55 Only Print'!#REF!,"AAAAAGff3xM=")</f>
        <v>#REF!</v>
      </c>
      <c r="U240" t="e">
        <f>AND('GA55 Only Print'!#REF!,"AAAAAGff3xQ=")</f>
        <v>#REF!</v>
      </c>
      <c r="V240" t="e">
        <f>AND('GA55 Only Print'!#REF!,"AAAAAGff3xU=")</f>
        <v>#REF!</v>
      </c>
      <c r="W240" t="e">
        <f>AND('GA55 Only Print'!#REF!,"AAAAAGff3xY=")</f>
        <v>#REF!</v>
      </c>
      <c r="X240" t="e">
        <f>AND('GA55 Only Print'!#REF!,"AAAAAGff3xc=")</f>
        <v>#REF!</v>
      </c>
      <c r="Y240" t="e">
        <f>AND('GA55 Only Print'!#REF!,"AAAAAGff3xg=")</f>
        <v>#REF!</v>
      </c>
      <c r="Z240" t="e">
        <f>AND('GA55 Only Print'!#REF!,"AAAAAGff3xk=")</f>
        <v>#REF!</v>
      </c>
      <c r="AA240" t="e">
        <f>AND('GA55 Only Print'!#REF!,"AAAAAGff3xo=")</f>
        <v>#REF!</v>
      </c>
      <c r="AB240" t="e">
        <f>AND('GA55 Only Print'!#REF!,"AAAAAGff3xs=")</f>
        <v>#REF!</v>
      </c>
      <c r="AC240" t="e">
        <f>AND('GA55 Only Print'!#REF!,"AAAAAGff3xw=")</f>
        <v>#REF!</v>
      </c>
      <c r="AD240" t="e">
        <f>AND('GA55 Only Print'!#REF!,"AAAAAGff3x0=")</f>
        <v>#REF!</v>
      </c>
      <c r="AE240" t="e">
        <f>AND('GA55 Only Print'!#REF!,"AAAAAGff3x4=")</f>
        <v>#REF!</v>
      </c>
      <c r="AF240" t="e">
        <f>AND('GA55 Only Print'!#REF!,"AAAAAGff3x8=")</f>
        <v>#REF!</v>
      </c>
      <c r="AG240" t="e">
        <f>AND('GA55 Only Print'!#REF!,"AAAAAGff3yA=")</f>
        <v>#REF!</v>
      </c>
      <c r="AH240" t="e">
        <f>AND('GA55 Only Print'!#REF!,"AAAAAGff3yE=")</f>
        <v>#REF!</v>
      </c>
      <c r="AI240" t="e">
        <f>AND('GA55 Only Print'!#REF!,"AAAAAGff3yI=")</f>
        <v>#REF!</v>
      </c>
      <c r="AJ240" t="e">
        <f>AND('GA55 Only Print'!#REF!,"AAAAAGff3yM=")</f>
        <v>#REF!</v>
      </c>
      <c r="AK240" t="e">
        <f>AND('GA55 Only Print'!#REF!,"AAAAAGff3yQ=")</f>
        <v>#REF!</v>
      </c>
      <c r="AL240" t="e">
        <f>AND('GA55 Only Print'!#REF!,"AAAAAGff3yU=")</f>
        <v>#REF!</v>
      </c>
      <c r="AM240" t="e">
        <f>AND('GA55 Only Print'!#REF!,"AAAAAGff3yY=")</f>
        <v>#REF!</v>
      </c>
      <c r="AN240" t="e">
        <f>AND('GA55 Only Print'!#REF!,"AAAAAGff3yc=")</f>
        <v>#REF!</v>
      </c>
      <c r="AO240" t="e">
        <f>AND('GA55 Only Print'!#REF!,"AAAAAGff3yg=")</f>
        <v>#REF!</v>
      </c>
      <c r="AP240" t="e">
        <f>AND('GA55 Only Print'!#REF!,"AAAAAGff3yk=")</f>
        <v>#REF!</v>
      </c>
      <c r="AQ240" t="e">
        <f>AND('GA55 Only Print'!#REF!,"AAAAAGff3yo=")</f>
        <v>#REF!</v>
      </c>
      <c r="AR240" t="e">
        <f>AND('GA55 Only Print'!#REF!,"AAAAAGff3ys=")</f>
        <v>#REF!</v>
      </c>
      <c r="AS240" t="e">
        <f>AND('GA55 Only Print'!#REF!,"AAAAAGff3yw=")</f>
        <v>#REF!</v>
      </c>
      <c r="AT240" t="e">
        <f>AND('GA55 Only Print'!#REF!,"AAAAAGff3y0=")</f>
        <v>#REF!</v>
      </c>
      <c r="AU240" t="e">
        <f>AND('GA55 Only Print'!#REF!,"AAAAAGff3y4=")</f>
        <v>#REF!</v>
      </c>
      <c r="AV240" t="e">
        <f>AND('GA55 Only Print'!#REF!,"AAAAAGff3y8=")</f>
        <v>#REF!</v>
      </c>
      <c r="AW240" t="e">
        <f>AND('GA55 Only Print'!#REF!,"AAAAAGff3zA=")</f>
        <v>#REF!</v>
      </c>
      <c r="AX240" t="e">
        <f>AND('GA55 Only Print'!#REF!,"AAAAAGff3zE=")</f>
        <v>#REF!</v>
      </c>
      <c r="AY240" t="e">
        <f>AND('GA55 Only Print'!#REF!,"AAAAAGff3zI=")</f>
        <v>#REF!</v>
      </c>
      <c r="AZ240" t="e">
        <f>AND('GA55 Only Print'!#REF!,"AAAAAGff3zM=")</f>
        <v>#REF!</v>
      </c>
      <c r="BA240" t="e">
        <f>AND('GA55 Only Print'!#REF!,"AAAAAGff3zQ=")</f>
        <v>#REF!</v>
      </c>
      <c r="BB240" t="e">
        <f>AND('GA55 Only Print'!#REF!,"AAAAAGff3zU=")</f>
        <v>#REF!</v>
      </c>
      <c r="BC240" t="e">
        <f>AND('GA55 Only Print'!#REF!,"AAAAAGff3zY=")</f>
        <v>#REF!</v>
      </c>
      <c r="BD240" t="e">
        <f>AND('GA55 Only Print'!#REF!,"AAAAAGff3zc=")</f>
        <v>#REF!</v>
      </c>
      <c r="BE240" t="e">
        <f>AND('GA55 Only Print'!#REF!,"AAAAAGff3zg=")</f>
        <v>#REF!</v>
      </c>
      <c r="BF240" t="e">
        <f>AND('GA55 Only Print'!#REF!,"AAAAAGff3zk=")</f>
        <v>#REF!</v>
      </c>
      <c r="BG240" t="e">
        <f>AND('GA55 Only Print'!#REF!,"AAAAAGff3zo=")</f>
        <v>#REF!</v>
      </c>
      <c r="BH240" t="e">
        <f>AND('GA55 Only Print'!#REF!,"AAAAAGff3zs=")</f>
        <v>#REF!</v>
      </c>
      <c r="BI240" t="e">
        <f>AND('GA55 Only Print'!#REF!,"AAAAAGff3zw=")</f>
        <v>#REF!</v>
      </c>
      <c r="BJ240" t="e">
        <f>AND('GA55 Only Print'!#REF!,"AAAAAGff3z0=")</f>
        <v>#REF!</v>
      </c>
      <c r="BK240" t="e">
        <f>AND('GA55 Only Print'!#REF!,"AAAAAGff3z4=")</f>
        <v>#REF!</v>
      </c>
      <c r="BL240" t="e">
        <f>AND('GA55 Only Print'!#REF!,"AAAAAGff3z8=")</f>
        <v>#REF!</v>
      </c>
      <c r="BM240" t="e">
        <f>AND('GA55 Only Print'!#REF!,"AAAAAGff30A=")</f>
        <v>#REF!</v>
      </c>
      <c r="BN240" t="e">
        <f>AND('GA55 Only Print'!#REF!,"AAAAAGff30E=")</f>
        <v>#REF!</v>
      </c>
      <c r="BO240" t="e">
        <f>AND('GA55 Only Print'!#REF!,"AAAAAGff30I=")</f>
        <v>#REF!</v>
      </c>
      <c r="BP240" t="e">
        <f>AND('GA55 Only Print'!#REF!,"AAAAAGff30M=")</f>
        <v>#REF!</v>
      </c>
      <c r="BQ240" t="e">
        <f>AND('GA55 Only Print'!#REF!,"AAAAAGff30Q=")</f>
        <v>#REF!</v>
      </c>
      <c r="BR240" t="e">
        <f>AND('GA55 Only Print'!#REF!,"AAAAAGff30U=")</f>
        <v>#REF!</v>
      </c>
      <c r="BS240" t="e">
        <f>AND('GA55 Only Print'!#REF!,"AAAAAGff30Y=")</f>
        <v>#REF!</v>
      </c>
      <c r="BT240" t="e">
        <f>AND('GA55 Only Print'!#REF!,"AAAAAGff30c=")</f>
        <v>#REF!</v>
      </c>
      <c r="BU240" t="e">
        <f>AND('GA55 Only Print'!#REF!,"AAAAAGff30g=")</f>
        <v>#REF!</v>
      </c>
      <c r="BV240" t="e">
        <f>AND('GA55 Only Print'!#REF!,"AAAAAGff30k=")</f>
        <v>#REF!</v>
      </c>
      <c r="BW240" t="e">
        <f>AND('GA55 Only Print'!#REF!,"AAAAAGff30o=")</f>
        <v>#REF!</v>
      </c>
      <c r="BX240" t="e">
        <f>IF('GA55 Only Print'!#REF!,"AAAAAGff30s=",0)</f>
        <v>#REF!</v>
      </c>
      <c r="BY240" t="e">
        <f>AND('GA55 Only Print'!#REF!,"AAAAAGff30w=")</f>
        <v>#REF!</v>
      </c>
      <c r="BZ240" t="e">
        <f>AND('GA55 Only Print'!#REF!,"AAAAAGff300=")</f>
        <v>#REF!</v>
      </c>
      <c r="CA240" t="e">
        <f>AND('GA55 Only Print'!#REF!,"AAAAAGff304=")</f>
        <v>#REF!</v>
      </c>
      <c r="CB240" t="e">
        <f>AND('GA55 Only Print'!#REF!,"AAAAAGff308=")</f>
        <v>#REF!</v>
      </c>
      <c r="CC240" t="e">
        <f>AND('GA55 Only Print'!#REF!,"AAAAAGff31A=")</f>
        <v>#REF!</v>
      </c>
      <c r="CD240" t="e">
        <f>AND('GA55 Only Print'!#REF!,"AAAAAGff31E=")</f>
        <v>#REF!</v>
      </c>
      <c r="CE240" t="e">
        <f>AND('GA55 Only Print'!#REF!,"AAAAAGff31I=")</f>
        <v>#REF!</v>
      </c>
      <c r="CF240" t="e">
        <f>AND('GA55 Only Print'!#REF!,"AAAAAGff31M=")</f>
        <v>#REF!</v>
      </c>
      <c r="CG240" t="e">
        <f>AND('GA55 Only Print'!#REF!,"AAAAAGff31Q=")</f>
        <v>#REF!</v>
      </c>
      <c r="CH240" t="e">
        <f>AND('GA55 Only Print'!#REF!,"AAAAAGff31U=")</f>
        <v>#REF!</v>
      </c>
      <c r="CI240" t="e">
        <f>AND('GA55 Only Print'!#REF!,"AAAAAGff31Y=")</f>
        <v>#REF!</v>
      </c>
      <c r="CJ240" t="e">
        <f>AND('GA55 Only Print'!#REF!,"AAAAAGff31c=")</f>
        <v>#REF!</v>
      </c>
      <c r="CK240" t="e">
        <f>AND('GA55 Only Print'!#REF!,"AAAAAGff31g=")</f>
        <v>#REF!</v>
      </c>
      <c r="CL240" t="e">
        <f>AND('GA55 Only Print'!#REF!,"AAAAAGff31k=")</f>
        <v>#REF!</v>
      </c>
      <c r="CM240" t="e">
        <f>AND('GA55 Only Print'!#REF!,"AAAAAGff31o=")</f>
        <v>#REF!</v>
      </c>
      <c r="CN240" t="e">
        <f>AND('GA55 Only Print'!#REF!,"AAAAAGff31s=")</f>
        <v>#REF!</v>
      </c>
      <c r="CO240" t="e">
        <f>AND('GA55 Only Print'!#REF!,"AAAAAGff31w=")</f>
        <v>#REF!</v>
      </c>
      <c r="CP240" t="e">
        <f>AND('GA55 Only Print'!#REF!,"AAAAAGff310=")</f>
        <v>#REF!</v>
      </c>
      <c r="CQ240" t="e">
        <f>AND('GA55 Only Print'!#REF!,"AAAAAGff314=")</f>
        <v>#REF!</v>
      </c>
      <c r="CR240" t="e">
        <f>AND('GA55 Only Print'!#REF!,"AAAAAGff318=")</f>
        <v>#REF!</v>
      </c>
      <c r="CS240" t="e">
        <f>AND('GA55 Only Print'!#REF!,"AAAAAGff32A=")</f>
        <v>#REF!</v>
      </c>
      <c r="CT240" t="e">
        <f>AND('GA55 Only Print'!#REF!,"AAAAAGff32E=")</f>
        <v>#REF!</v>
      </c>
      <c r="CU240" t="e">
        <f>AND('GA55 Only Print'!#REF!,"AAAAAGff32I=")</f>
        <v>#REF!</v>
      </c>
      <c r="CV240" t="e">
        <f>AND('GA55 Only Print'!#REF!,"AAAAAGff32M=")</f>
        <v>#REF!</v>
      </c>
      <c r="CW240" t="e">
        <f>AND('GA55 Only Print'!#REF!,"AAAAAGff32Q=")</f>
        <v>#REF!</v>
      </c>
      <c r="CX240" t="e">
        <f>AND('GA55 Only Print'!#REF!,"AAAAAGff32U=")</f>
        <v>#REF!</v>
      </c>
      <c r="CY240" t="e">
        <f>AND('GA55 Only Print'!#REF!,"AAAAAGff32Y=")</f>
        <v>#REF!</v>
      </c>
      <c r="CZ240" t="e">
        <f>AND('GA55 Only Print'!#REF!,"AAAAAGff32c=")</f>
        <v>#REF!</v>
      </c>
      <c r="DA240" t="e">
        <f>AND('GA55 Only Print'!#REF!,"AAAAAGff32g=")</f>
        <v>#REF!</v>
      </c>
      <c r="DB240" t="e">
        <f>AND('GA55 Only Print'!#REF!,"AAAAAGff32k=")</f>
        <v>#REF!</v>
      </c>
      <c r="DC240" t="e">
        <f>AND('GA55 Only Print'!#REF!,"AAAAAGff32o=")</f>
        <v>#REF!</v>
      </c>
      <c r="DD240" t="e">
        <f>AND('GA55 Only Print'!#REF!,"AAAAAGff32s=")</f>
        <v>#REF!</v>
      </c>
      <c r="DE240" t="e">
        <f>AND('GA55 Only Print'!#REF!,"AAAAAGff32w=")</f>
        <v>#REF!</v>
      </c>
      <c r="DF240" t="e">
        <f>AND('GA55 Only Print'!#REF!,"AAAAAGff320=")</f>
        <v>#REF!</v>
      </c>
      <c r="DG240" t="e">
        <f>AND('GA55 Only Print'!#REF!,"AAAAAGff324=")</f>
        <v>#REF!</v>
      </c>
      <c r="DH240" t="e">
        <f>AND('GA55 Only Print'!#REF!,"AAAAAGff328=")</f>
        <v>#REF!</v>
      </c>
      <c r="DI240" t="e">
        <f>AND('GA55 Only Print'!#REF!,"AAAAAGff33A=")</f>
        <v>#REF!</v>
      </c>
      <c r="DJ240" t="e">
        <f>AND('GA55 Only Print'!#REF!,"AAAAAGff33E=")</f>
        <v>#REF!</v>
      </c>
      <c r="DK240" t="e">
        <f>AND('GA55 Only Print'!#REF!,"AAAAAGff33I=")</f>
        <v>#REF!</v>
      </c>
      <c r="DL240" t="e">
        <f>AND('GA55 Only Print'!#REF!,"AAAAAGff33M=")</f>
        <v>#REF!</v>
      </c>
      <c r="DM240" t="e">
        <f>AND('GA55 Only Print'!#REF!,"AAAAAGff33Q=")</f>
        <v>#REF!</v>
      </c>
      <c r="DN240" t="e">
        <f>AND('GA55 Only Print'!#REF!,"AAAAAGff33U=")</f>
        <v>#REF!</v>
      </c>
      <c r="DO240" t="e">
        <f>AND('GA55 Only Print'!#REF!,"AAAAAGff33Y=")</f>
        <v>#REF!</v>
      </c>
      <c r="DP240" t="e">
        <f>AND('GA55 Only Print'!#REF!,"AAAAAGff33c=")</f>
        <v>#REF!</v>
      </c>
      <c r="DQ240" t="e">
        <f>AND('GA55 Only Print'!#REF!,"AAAAAGff33g=")</f>
        <v>#REF!</v>
      </c>
      <c r="DR240" t="e">
        <f>AND('GA55 Only Print'!#REF!,"AAAAAGff33k=")</f>
        <v>#REF!</v>
      </c>
      <c r="DS240" t="e">
        <f>AND('GA55 Only Print'!#REF!,"AAAAAGff33o=")</f>
        <v>#REF!</v>
      </c>
      <c r="DT240" t="e">
        <f>AND('GA55 Only Print'!#REF!,"AAAAAGff33s=")</f>
        <v>#REF!</v>
      </c>
      <c r="DU240" t="e">
        <f>AND('GA55 Only Print'!#REF!,"AAAAAGff33w=")</f>
        <v>#REF!</v>
      </c>
      <c r="DV240" t="e">
        <f>AND('GA55 Only Print'!#REF!,"AAAAAGff330=")</f>
        <v>#REF!</v>
      </c>
      <c r="DW240" t="e">
        <f>AND('GA55 Only Print'!#REF!,"AAAAAGff334=")</f>
        <v>#REF!</v>
      </c>
      <c r="DX240" t="e">
        <f>AND('GA55 Only Print'!#REF!,"AAAAAGff338=")</f>
        <v>#REF!</v>
      </c>
      <c r="DY240" t="e">
        <f>AND('GA55 Only Print'!#REF!,"AAAAAGff34A=")</f>
        <v>#REF!</v>
      </c>
      <c r="DZ240" t="e">
        <f>AND('GA55 Only Print'!#REF!,"AAAAAGff34E=")</f>
        <v>#REF!</v>
      </c>
      <c r="EA240" t="e">
        <f>AND('GA55 Only Print'!#REF!,"AAAAAGff34I=")</f>
        <v>#REF!</v>
      </c>
      <c r="EB240" t="e">
        <f>AND('GA55 Only Print'!#REF!,"AAAAAGff34M=")</f>
        <v>#REF!</v>
      </c>
      <c r="EC240" t="e">
        <f>AND('GA55 Only Print'!#REF!,"AAAAAGff34Q=")</f>
        <v>#REF!</v>
      </c>
      <c r="ED240" t="e">
        <f>AND('GA55 Only Print'!#REF!,"AAAAAGff34U=")</f>
        <v>#REF!</v>
      </c>
      <c r="EE240" t="e">
        <f>AND('GA55 Only Print'!#REF!,"AAAAAGff34Y=")</f>
        <v>#REF!</v>
      </c>
      <c r="EF240" t="e">
        <f>AND('GA55 Only Print'!#REF!,"AAAAAGff34c=")</f>
        <v>#REF!</v>
      </c>
      <c r="EG240" t="e">
        <f>AND('GA55 Only Print'!#REF!,"AAAAAGff34g=")</f>
        <v>#REF!</v>
      </c>
      <c r="EH240" t="e">
        <f>AND('GA55 Only Print'!#REF!,"AAAAAGff34k=")</f>
        <v>#REF!</v>
      </c>
      <c r="EI240" t="e">
        <f>AND('GA55 Only Print'!#REF!,"AAAAAGff34o=")</f>
        <v>#REF!</v>
      </c>
      <c r="EJ240" t="e">
        <f>AND('GA55 Only Print'!#REF!,"AAAAAGff34s=")</f>
        <v>#REF!</v>
      </c>
      <c r="EK240" t="e">
        <f>AND('GA55 Only Print'!#REF!,"AAAAAGff34w=")</f>
        <v>#REF!</v>
      </c>
      <c r="EL240" t="e">
        <f>AND('GA55 Only Print'!#REF!,"AAAAAGff340=")</f>
        <v>#REF!</v>
      </c>
      <c r="EM240" t="e">
        <f>AND('GA55 Only Print'!#REF!,"AAAAAGff344=")</f>
        <v>#REF!</v>
      </c>
      <c r="EN240" t="e">
        <f>AND('GA55 Only Print'!#REF!,"AAAAAGff348=")</f>
        <v>#REF!</v>
      </c>
      <c r="EO240" t="e">
        <f>AND('GA55 Only Print'!#REF!,"AAAAAGff35A=")</f>
        <v>#REF!</v>
      </c>
      <c r="EP240" t="e">
        <f>AND('GA55 Only Print'!#REF!,"AAAAAGff35E=")</f>
        <v>#REF!</v>
      </c>
      <c r="EQ240" t="e">
        <f>AND('GA55 Only Print'!#REF!,"AAAAAGff35I=")</f>
        <v>#REF!</v>
      </c>
      <c r="ER240" t="e">
        <f>AND('GA55 Only Print'!#REF!,"AAAAAGff35M=")</f>
        <v>#REF!</v>
      </c>
      <c r="ES240" t="e">
        <f>AND('GA55 Only Print'!#REF!,"AAAAAGff35Q=")</f>
        <v>#REF!</v>
      </c>
      <c r="ET240" t="e">
        <f>AND('GA55 Only Print'!#REF!,"AAAAAGff35U=")</f>
        <v>#REF!</v>
      </c>
      <c r="EU240" t="e">
        <f>IF('GA55 Only Print'!#REF!,"AAAAAGff35Y=",0)</f>
        <v>#REF!</v>
      </c>
      <c r="EV240" t="e">
        <f>AND('GA55 Only Print'!#REF!,"AAAAAGff35c=")</f>
        <v>#REF!</v>
      </c>
      <c r="EW240" t="e">
        <f>AND('GA55 Only Print'!#REF!,"AAAAAGff35g=")</f>
        <v>#REF!</v>
      </c>
      <c r="EX240" t="e">
        <f>AND('GA55 Only Print'!#REF!,"AAAAAGff35k=")</f>
        <v>#REF!</v>
      </c>
      <c r="EY240" t="e">
        <f>AND('GA55 Only Print'!#REF!,"AAAAAGff35o=")</f>
        <v>#REF!</v>
      </c>
      <c r="EZ240" t="e">
        <f>AND('GA55 Only Print'!#REF!,"AAAAAGff35s=")</f>
        <v>#REF!</v>
      </c>
      <c r="FA240" t="e">
        <f>AND('GA55 Only Print'!#REF!,"AAAAAGff35w=")</f>
        <v>#REF!</v>
      </c>
      <c r="FB240" t="e">
        <f>AND('GA55 Only Print'!#REF!,"AAAAAGff350=")</f>
        <v>#REF!</v>
      </c>
      <c r="FC240" t="e">
        <f>AND('GA55 Only Print'!#REF!,"AAAAAGff354=")</f>
        <v>#REF!</v>
      </c>
      <c r="FD240" t="e">
        <f>AND('GA55 Only Print'!#REF!,"AAAAAGff358=")</f>
        <v>#REF!</v>
      </c>
      <c r="FE240" t="e">
        <f>AND('GA55 Only Print'!#REF!,"AAAAAGff36A=")</f>
        <v>#REF!</v>
      </c>
      <c r="FF240" t="e">
        <f>AND('GA55 Only Print'!#REF!,"AAAAAGff36E=")</f>
        <v>#REF!</v>
      </c>
      <c r="FG240" t="e">
        <f>AND('GA55 Only Print'!#REF!,"AAAAAGff36I=")</f>
        <v>#REF!</v>
      </c>
      <c r="FH240" t="e">
        <f>AND('GA55 Only Print'!#REF!,"AAAAAGff36M=")</f>
        <v>#REF!</v>
      </c>
      <c r="FI240" t="e">
        <f>AND('GA55 Only Print'!#REF!,"AAAAAGff36Q=")</f>
        <v>#REF!</v>
      </c>
      <c r="FJ240" t="e">
        <f>AND('GA55 Only Print'!#REF!,"AAAAAGff36U=")</f>
        <v>#REF!</v>
      </c>
      <c r="FK240" t="e">
        <f>AND('GA55 Only Print'!#REF!,"AAAAAGff36Y=")</f>
        <v>#REF!</v>
      </c>
      <c r="FL240" t="e">
        <f>AND('GA55 Only Print'!#REF!,"AAAAAGff36c=")</f>
        <v>#REF!</v>
      </c>
      <c r="FM240" t="e">
        <f>AND('GA55 Only Print'!#REF!,"AAAAAGff36g=")</f>
        <v>#REF!</v>
      </c>
      <c r="FN240" t="e">
        <f>AND('GA55 Only Print'!#REF!,"AAAAAGff36k=")</f>
        <v>#REF!</v>
      </c>
      <c r="FO240" t="e">
        <f>AND('GA55 Only Print'!#REF!,"AAAAAGff36o=")</f>
        <v>#REF!</v>
      </c>
      <c r="FP240" t="e">
        <f>AND('GA55 Only Print'!#REF!,"AAAAAGff36s=")</f>
        <v>#REF!</v>
      </c>
      <c r="FQ240" t="e">
        <f>AND('GA55 Only Print'!#REF!,"AAAAAGff36w=")</f>
        <v>#REF!</v>
      </c>
      <c r="FR240" t="e">
        <f>AND('GA55 Only Print'!#REF!,"AAAAAGff360=")</f>
        <v>#REF!</v>
      </c>
      <c r="FS240" t="e">
        <f>AND('GA55 Only Print'!#REF!,"AAAAAGff364=")</f>
        <v>#REF!</v>
      </c>
      <c r="FT240" t="e">
        <f>AND('GA55 Only Print'!#REF!,"AAAAAGff368=")</f>
        <v>#REF!</v>
      </c>
      <c r="FU240" t="e">
        <f>AND('GA55 Only Print'!#REF!,"AAAAAGff37A=")</f>
        <v>#REF!</v>
      </c>
      <c r="FV240" t="e">
        <f>AND('GA55 Only Print'!#REF!,"AAAAAGff37E=")</f>
        <v>#REF!</v>
      </c>
      <c r="FW240" t="e">
        <f>AND('GA55 Only Print'!#REF!,"AAAAAGff37I=")</f>
        <v>#REF!</v>
      </c>
      <c r="FX240" t="e">
        <f>AND('GA55 Only Print'!#REF!,"AAAAAGff37M=")</f>
        <v>#REF!</v>
      </c>
      <c r="FY240" t="e">
        <f>AND('GA55 Only Print'!#REF!,"AAAAAGff37Q=")</f>
        <v>#REF!</v>
      </c>
      <c r="FZ240" t="e">
        <f>AND('GA55 Only Print'!#REF!,"AAAAAGff37U=")</f>
        <v>#REF!</v>
      </c>
      <c r="GA240" t="e">
        <f>AND('GA55 Only Print'!#REF!,"AAAAAGff37Y=")</f>
        <v>#REF!</v>
      </c>
      <c r="GB240" t="e">
        <f>AND('GA55 Only Print'!#REF!,"AAAAAGff37c=")</f>
        <v>#REF!</v>
      </c>
      <c r="GC240" t="e">
        <f>AND('GA55 Only Print'!#REF!,"AAAAAGff37g=")</f>
        <v>#REF!</v>
      </c>
      <c r="GD240" t="e">
        <f>AND('GA55 Only Print'!#REF!,"AAAAAGff37k=")</f>
        <v>#REF!</v>
      </c>
      <c r="GE240" t="e">
        <f>AND('GA55 Only Print'!#REF!,"AAAAAGff37o=")</f>
        <v>#REF!</v>
      </c>
      <c r="GF240" t="e">
        <f>AND('GA55 Only Print'!#REF!,"AAAAAGff37s=")</f>
        <v>#REF!</v>
      </c>
      <c r="GG240" t="e">
        <f>AND('GA55 Only Print'!#REF!,"AAAAAGff37w=")</f>
        <v>#REF!</v>
      </c>
      <c r="GH240" t="e">
        <f>AND('GA55 Only Print'!#REF!,"AAAAAGff370=")</f>
        <v>#REF!</v>
      </c>
      <c r="GI240" t="e">
        <f>AND('GA55 Only Print'!#REF!,"AAAAAGff374=")</f>
        <v>#REF!</v>
      </c>
      <c r="GJ240" t="e">
        <f>AND('GA55 Only Print'!#REF!,"AAAAAGff378=")</f>
        <v>#REF!</v>
      </c>
      <c r="GK240" t="e">
        <f>AND('GA55 Only Print'!#REF!,"AAAAAGff38A=")</f>
        <v>#REF!</v>
      </c>
      <c r="GL240" t="e">
        <f>AND('GA55 Only Print'!#REF!,"AAAAAGff38E=")</f>
        <v>#REF!</v>
      </c>
      <c r="GM240" t="e">
        <f>AND('GA55 Only Print'!#REF!,"AAAAAGff38I=")</f>
        <v>#REF!</v>
      </c>
      <c r="GN240" t="e">
        <f>AND('GA55 Only Print'!#REF!,"AAAAAGff38M=")</f>
        <v>#REF!</v>
      </c>
      <c r="GO240" t="e">
        <f>AND('GA55 Only Print'!#REF!,"AAAAAGff38Q=")</f>
        <v>#REF!</v>
      </c>
      <c r="GP240" t="e">
        <f>AND('GA55 Only Print'!#REF!,"AAAAAGff38U=")</f>
        <v>#REF!</v>
      </c>
      <c r="GQ240" t="e">
        <f>AND('GA55 Only Print'!#REF!,"AAAAAGff38Y=")</f>
        <v>#REF!</v>
      </c>
      <c r="GR240" t="e">
        <f>AND('GA55 Only Print'!#REF!,"AAAAAGff38c=")</f>
        <v>#REF!</v>
      </c>
      <c r="GS240" t="e">
        <f>AND('GA55 Only Print'!#REF!,"AAAAAGff38g=")</f>
        <v>#REF!</v>
      </c>
      <c r="GT240" t="e">
        <f>AND('GA55 Only Print'!#REF!,"AAAAAGff38k=")</f>
        <v>#REF!</v>
      </c>
      <c r="GU240" t="e">
        <f>AND('GA55 Only Print'!#REF!,"AAAAAGff38o=")</f>
        <v>#REF!</v>
      </c>
      <c r="GV240" t="e">
        <f>AND('GA55 Only Print'!#REF!,"AAAAAGff38s=")</f>
        <v>#REF!</v>
      </c>
      <c r="GW240" t="e">
        <f>AND('GA55 Only Print'!#REF!,"AAAAAGff38w=")</f>
        <v>#REF!</v>
      </c>
      <c r="GX240" t="e">
        <f>AND('GA55 Only Print'!#REF!,"AAAAAGff380=")</f>
        <v>#REF!</v>
      </c>
      <c r="GY240" t="e">
        <f>AND('GA55 Only Print'!#REF!,"AAAAAGff384=")</f>
        <v>#REF!</v>
      </c>
      <c r="GZ240" t="e">
        <f>AND('GA55 Only Print'!#REF!,"AAAAAGff388=")</f>
        <v>#REF!</v>
      </c>
      <c r="HA240" t="e">
        <f>AND('GA55 Only Print'!#REF!,"AAAAAGff39A=")</f>
        <v>#REF!</v>
      </c>
      <c r="HB240" t="e">
        <f>AND('GA55 Only Print'!#REF!,"AAAAAGff39E=")</f>
        <v>#REF!</v>
      </c>
      <c r="HC240" t="e">
        <f>AND('GA55 Only Print'!#REF!,"AAAAAGff39I=")</f>
        <v>#REF!</v>
      </c>
      <c r="HD240" t="e">
        <f>AND('GA55 Only Print'!#REF!,"AAAAAGff39M=")</f>
        <v>#REF!</v>
      </c>
      <c r="HE240" t="e">
        <f>AND('GA55 Only Print'!#REF!,"AAAAAGff39Q=")</f>
        <v>#REF!</v>
      </c>
      <c r="HF240" t="e">
        <f>AND('GA55 Only Print'!#REF!,"AAAAAGff39U=")</f>
        <v>#REF!</v>
      </c>
      <c r="HG240" t="e">
        <f>AND('GA55 Only Print'!#REF!,"AAAAAGff39Y=")</f>
        <v>#REF!</v>
      </c>
      <c r="HH240" t="e">
        <f>AND('GA55 Only Print'!#REF!,"AAAAAGff39c=")</f>
        <v>#REF!</v>
      </c>
      <c r="HI240" t="e">
        <f>AND('GA55 Only Print'!#REF!,"AAAAAGff39g=")</f>
        <v>#REF!</v>
      </c>
      <c r="HJ240" t="e">
        <f>AND('GA55 Only Print'!#REF!,"AAAAAGff39k=")</f>
        <v>#REF!</v>
      </c>
      <c r="HK240" t="e">
        <f>AND('GA55 Only Print'!#REF!,"AAAAAGff39o=")</f>
        <v>#REF!</v>
      </c>
      <c r="HL240" t="e">
        <f>AND('GA55 Only Print'!#REF!,"AAAAAGff39s=")</f>
        <v>#REF!</v>
      </c>
      <c r="HM240" t="e">
        <f>AND('GA55 Only Print'!#REF!,"AAAAAGff39w=")</f>
        <v>#REF!</v>
      </c>
      <c r="HN240" t="e">
        <f>AND('GA55 Only Print'!#REF!,"AAAAAGff390=")</f>
        <v>#REF!</v>
      </c>
      <c r="HO240" t="e">
        <f>AND('GA55 Only Print'!#REF!,"AAAAAGff394=")</f>
        <v>#REF!</v>
      </c>
      <c r="HP240" t="e">
        <f>AND('GA55 Only Print'!#REF!,"AAAAAGff398=")</f>
        <v>#REF!</v>
      </c>
      <c r="HQ240" t="e">
        <f>AND('GA55 Only Print'!#REF!,"AAAAAGff3+A=")</f>
        <v>#REF!</v>
      </c>
      <c r="HR240" t="e">
        <f>IF('GA55 Only Print'!#REF!,"AAAAAGff3+E=",0)</f>
        <v>#REF!</v>
      </c>
      <c r="HS240" t="e">
        <f>AND('GA55 Only Print'!#REF!,"AAAAAGff3+I=")</f>
        <v>#REF!</v>
      </c>
      <c r="HT240" t="e">
        <f>AND('GA55 Only Print'!#REF!,"AAAAAGff3+M=")</f>
        <v>#REF!</v>
      </c>
      <c r="HU240" t="e">
        <f>AND('GA55 Only Print'!#REF!,"AAAAAGff3+Q=")</f>
        <v>#REF!</v>
      </c>
      <c r="HV240" t="e">
        <f>AND('GA55 Only Print'!#REF!,"AAAAAGff3+U=")</f>
        <v>#REF!</v>
      </c>
      <c r="HW240" t="e">
        <f>AND('GA55 Only Print'!#REF!,"AAAAAGff3+Y=")</f>
        <v>#REF!</v>
      </c>
      <c r="HX240" t="e">
        <f>AND('GA55 Only Print'!#REF!,"AAAAAGff3+c=")</f>
        <v>#REF!</v>
      </c>
      <c r="HY240" t="e">
        <f>AND('GA55 Only Print'!#REF!,"AAAAAGff3+g=")</f>
        <v>#REF!</v>
      </c>
      <c r="HZ240" t="e">
        <f>AND('GA55 Only Print'!#REF!,"AAAAAGff3+k=")</f>
        <v>#REF!</v>
      </c>
      <c r="IA240" t="e">
        <f>AND('GA55 Only Print'!#REF!,"AAAAAGff3+o=")</f>
        <v>#REF!</v>
      </c>
      <c r="IB240" t="e">
        <f>AND('GA55 Only Print'!#REF!,"AAAAAGff3+s=")</f>
        <v>#REF!</v>
      </c>
      <c r="IC240" t="e">
        <f>AND('GA55 Only Print'!#REF!,"AAAAAGff3+w=")</f>
        <v>#REF!</v>
      </c>
      <c r="ID240" t="e">
        <f>AND('GA55 Only Print'!#REF!,"AAAAAGff3+0=")</f>
        <v>#REF!</v>
      </c>
      <c r="IE240" t="e">
        <f>AND('GA55 Only Print'!#REF!,"AAAAAGff3+4=")</f>
        <v>#REF!</v>
      </c>
      <c r="IF240" t="e">
        <f>AND('GA55 Only Print'!#REF!,"AAAAAGff3+8=")</f>
        <v>#REF!</v>
      </c>
      <c r="IG240" t="e">
        <f>AND('GA55 Only Print'!#REF!,"AAAAAGff3/A=")</f>
        <v>#REF!</v>
      </c>
      <c r="IH240" t="e">
        <f>AND('GA55 Only Print'!#REF!,"AAAAAGff3/E=")</f>
        <v>#REF!</v>
      </c>
      <c r="II240" t="e">
        <f>AND('GA55 Only Print'!#REF!,"AAAAAGff3/I=")</f>
        <v>#REF!</v>
      </c>
      <c r="IJ240" t="e">
        <f>AND('GA55 Only Print'!#REF!,"AAAAAGff3/M=")</f>
        <v>#REF!</v>
      </c>
      <c r="IK240" t="e">
        <f>AND('GA55 Only Print'!#REF!,"AAAAAGff3/Q=")</f>
        <v>#REF!</v>
      </c>
      <c r="IL240" t="e">
        <f>AND('GA55 Only Print'!#REF!,"AAAAAGff3/U=")</f>
        <v>#REF!</v>
      </c>
      <c r="IM240" t="e">
        <f>AND('GA55 Only Print'!#REF!,"AAAAAGff3/Y=")</f>
        <v>#REF!</v>
      </c>
      <c r="IN240" t="e">
        <f>AND('GA55 Only Print'!#REF!,"AAAAAGff3/c=")</f>
        <v>#REF!</v>
      </c>
      <c r="IO240" t="e">
        <f>AND('GA55 Only Print'!#REF!,"AAAAAGff3/g=")</f>
        <v>#REF!</v>
      </c>
      <c r="IP240" t="e">
        <f>AND('GA55 Only Print'!#REF!,"AAAAAGff3/k=")</f>
        <v>#REF!</v>
      </c>
      <c r="IQ240" t="e">
        <f>AND('GA55 Only Print'!#REF!,"AAAAAGff3/o=")</f>
        <v>#REF!</v>
      </c>
      <c r="IR240" t="e">
        <f>AND('GA55 Only Print'!#REF!,"AAAAAGff3/s=")</f>
        <v>#REF!</v>
      </c>
      <c r="IS240" t="e">
        <f>AND('GA55 Only Print'!#REF!,"AAAAAGff3/w=")</f>
        <v>#REF!</v>
      </c>
      <c r="IT240" t="e">
        <f>AND('GA55 Only Print'!#REF!,"AAAAAGff3/0=")</f>
        <v>#REF!</v>
      </c>
      <c r="IU240" t="e">
        <f>AND('GA55 Only Print'!#REF!,"AAAAAGff3/4=")</f>
        <v>#REF!</v>
      </c>
      <c r="IV240" t="e">
        <f>AND('GA55 Only Print'!#REF!,"AAAAAGff3/8=")</f>
        <v>#REF!</v>
      </c>
    </row>
    <row r="241" spans="1:256">
      <c r="A241" t="e">
        <f>AND('GA55 Only Print'!#REF!,"AAAAAH1OUwA=")</f>
        <v>#REF!</v>
      </c>
      <c r="B241" t="e">
        <f>AND('GA55 Only Print'!#REF!,"AAAAAH1OUwE=")</f>
        <v>#REF!</v>
      </c>
      <c r="C241" t="e">
        <f>AND('GA55 Only Print'!#REF!,"AAAAAH1OUwI=")</f>
        <v>#REF!</v>
      </c>
      <c r="D241" t="e">
        <f>AND('GA55 Only Print'!#REF!,"AAAAAH1OUwM=")</f>
        <v>#REF!</v>
      </c>
      <c r="E241" t="e">
        <f>AND('GA55 Only Print'!#REF!,"AAAAAH1OUwQ=")</f>
        <v>#REF!</v>
      </c>
      <c r="F241" t="e">
        <f>AND('GA55 Only Print'!#REF!,"AAAAAH1OUwU=")</f>
        <v>#REF!</v>
      </c>
      <c r="G241" t="e">
        <f>AND('GA55 Only Print'!#REF!,"AAAAAH1OUwY=")</f>
        <v>#REF!</v>
      </c>
      <c r="H241" t="e">
        <f>AND('GA55 Only Print'!#REF!,"AAAAAH1OUwc=")</f>
        <v>#REF!</v>
      </c>
      <c r="I241" t="e">
        <f>AND('GA55 Only Print'!#REF!,"AAAAAH1OUwg=")</f>
        <v>#REF!</v>
      </c>
      <c r="J241" t="e">
        <f>AND('GA55 Only Print'!#REF!,"AAAAAH1OUwk=")</f>
        <v>#REF!</v>
      </c>
      <c r="K241" t="e">
        <f>AND('GA55 Only Print'!#REF!,"AAAAAH1OUwo=")</f>
        <v>#REF!</v>
      </c>
      <c r="L241" t="e">
        <f>AND('GA55 Only Print'!#REF!,"AAAAAH1OUws=")</f>
        <v>#REF!</v>
      </c>
      <c r="M241" t="e">
        <f>AND('GA55 Only Print'!#REF!,"AAAAAH1OUww=")</f>
        <v>#REF!</v>
      </c>
      <c r="N241" t="e">
        <f>AND('GA55 Only Print'!#REF!,"AAAAAH1OUw0=")</f>
        <v>#REF!</v>
      </c>
      <c r="O241" t="e">
        <f>AND('GA55 Only Print'!#REF!,"AAAAAH1OUw4=")</f>
        <v>#REF!</v>
      </c>
      <c r="P241" t="e">
        <f>AND('GA55 Only Print'!#REF!,"AAAAAH1OUw8=")</f>
        <v>#REF!</v>
      </c>
      <c r="Q241" t="e">
        <f>AND('GA55 Only Print'!#REF!,"AAAAAH1OUxA=")</f>
        <v>#REF!</v>
      </c>
      <c r="R241" t="e">
        <f>AND('GA55 Only Print'!#REF!,"AAAAAH1OUxE=")</f>
        <v>#REF!</v>
      </c>
      <c r="S241" t="e">
        <f>AND('GA55 Only Print'!#REF!,"AAAAAH1OUxI=")</f>
        <v>#REF!</v>
      </c>
      <c r="T241" t="e">
        <f>AND('GA55 Only Print'!#REF!,"AAAAAH1OUxM=")</f>
        <v>#REF!</v>
      </c>
      <c r="U241" t="e">
        <f>AND('GA55 Only Print'!#REF!,"AAAAAH1OUxQ=")</f>
        <v>#REF!</v>
      </c>
      <c r="V241" t="e">
        <f>AND('GA55 Only Print'!#REF!,"AAAAAH1OUxU=")</f>
        <v>#REF!</v>
      </c>
      <c r="W241" t="e">
        <f>AND('GA55 Only Print'!#REF!,"AAAAAH1OUxY=")</f>
        <v>#REF!</v>
      </c>
      <c r="X241" t="e">
        <f>AND('GA55 Only Print'!#REF!,"AAAAAH1OUxc=")</f>
        <v>#REF!</v>
      </c>
      <c r="Y241" t="e">
        <f>AND('GA55 Only Print'!#REF!,"AAAAAH1OUxg=")</f>
        <v>#REF!</v>
      </c>
      <c r="Z241" t="e">
        <f>AND('GA55 Only Print'!#REF!,"AAAAAH1OUxk=")</f>
        <v>#REF!</v>
      </c>
      <c r="AA241" t="e">
        <f>AND('GA55 Only Print'!#REF!,"AAAAAH1OUxo=")</f>
        <v>#REF!</v>
      </c>
      <c r="AB241" t="e">
        <f>AND('GA55 Only Print'!#REF!,"AAAAAH1OUxs=")</f>
        <v>#REF!</v>
      </c>
      <c r="AC241" t="e">
        <f>AND('GA55 Only Print'!#REF!,"AAAAAH1OUxw=")</f>
        <v>#REF!</v>
      </c>
      <c r="AD241" t="e">
        <f>AND('GA55 Only Print'!#REF!,"AAAAAH1OUx0=")</f>
        <v>#REF!</v>
      </c>
      <c r="AE241" t="e">
        <f>AND('GA55 Only Print'!#REF!,"AAAAAH1OUx4=")</f>
        <v>#REF!</v>
      </c>
      <c r="AF241" t="e">
        <f>AND('GA55 Only Print'!#REF!,"AAAAAH1OUx8=")</f>
        <v>#REF!</v>
      </c>
      <c r="AG241" t="e">
        <f>AND('GA55 Only Print'!#REF!,"AAAAAH1OUyA=")</f>
        <v>#REF!</v>
      </c>
      <c r="AH241" t="e">
        <f>AND('GA55 Only Print'!#REF!,"AAAAAH1OUyE=")</f>
        <v>#REF!</v>
      </c>
      <c r="AI241" t="e">
        <f>AND('GA55 Only Print'!#REF!,"AAAAAH1OUyI=")</f>
        <v>#REF!</v>
      </c>
      <c r="AJ241" t="e">
        <f>AND('GA55 Only Print'!#REF!,"AAAAAH1OUyM=")</f>
        <v>#REF!</v>
      </c>
      <c r="AK241" t="e">
        <f>AND('GA55 Only Print'!#REF!,"AAAAAH1OUyQ=")</f>
        <v>#REF!</v>
      </c>
      <c r="AL241" t="e">
        <f>AND('GA55 Only Print'!#REF!,"AAAAAH1OUyU=")</f>
        <v>#REF!</v>
      </c>
      <c r="AM241" t="e">
        <f>AND('GA55 Only Print'!#REF!,"AAAAAH1OUyY=")</f>
        <v>#REF!</v>
      </c>
      <c r="AN241" t="e">
        <f>AND('GA55 Only Print'!#REF!,"AAAAAH1OUyc=")</f>
        <v>#REF!</v>
      </c>
      <c r="AO241" t="e">
        <f>AND('GA55 Only Print'!#REF!,"AAAAAH1OUyg=")</f>
        <v>#REF!</v>
      </c>
      <c r="AP241" t="e">
        <f>AND('GA55 Only Print'!#REF!,"AAAAAH1OUyk=")</f>
        <v>#REF!</v>
      </c>
      <c r="AQ241" t="e">
        <f>AND('GA55 Only Print'!#REF!,"AAAAAH1OUyo=")</f>
        <v>#REF!</v>
      </c>
      <c r="AR241" t="e">
        <f>AND('GA55 Only Print'!#REF!,"AAAAAH1OUys=")</f>
        <v>#REF!</v>
      </c>
      <c r="AS241" t="e">
        <f>IF('GA55 Only Print'!#REF!,"AAAAAH1OUyw=",0)</f>
        <v>#REF!</v>
      </c>
      <c r="AT241" t="e">
        <f>AND('GA55 Only Print'!#REF!,"AAAAAH1OUy0=")</f>
        <v>#REF!</v>
      </c>
      <c r="AU241" t="e">
        <f>AND('GA55 Only Print'!#REF!,"AAAAAH1OUy4=")</f>
        <v>#REF!</v>
      </c>
      <c r="AV241" t="e">
        <f>AND('GA55 Only Print'!#REF!,"AAAAAH1OUy8=")</f>
        <v>#REF!</v>
      </c>
      <c r="AW241" t="e">
        <f>AND('GA55 Only Print'!#REF!,"AAAAAH1OUzA=")</f>
        <v>#REF!</v>
      </c>
      <c r="AX241" t="e">
        <f>AND('GA55 Only Print'!#REF!,"AAAAAH1OUzE=")</f>
        <v>#REF!</v>
      </c>
      <c r="AY241" t="e">
        <f>AND('GA55 Only Print'!#REF!,"AAAAAH1OUzI=")</f>
        <v>#REF!</v>
      </c>
      <c r="AZ241" t="e">
        <f>AND('GA55 Only Print'!#REF!,"AAAAAH1OUzM=")</f>
        <v>#REF!</v>
      </c>
      <c r="BA241" t="e">
        <f>AND('GA55 Only Print'!#REF!,"AAAAAH1OUzQ=")</f>
        <v>#REF!</v>
      </c>
      <c r="BB241" t="e">
        <f>AND('GA55 Only Print'!#REF!,"AAAAAH1OUzU=")</f>
        <v>#REF!</v>
      </c>
      <c r="BC241" t="e">
        <f>AND('GA55 Only Print'!#REF!,"AAAAAH1OUzY=")</f>
        <v>#REF!</v>
      </c>
      <c r="BD241" t="e">
        <f>AND('GA55 Only Print'!#REF!,"AAAAAH1OUzc=")</f>
        <v>#REF!</v>
      </c>
      <c r="BE241" t="e">
        <f>AND('GA55 Only Print'!#REF!,"AAAAAH1OUzg=")</f>
        <v>#REF!</v>
      </c>
      <c r="BF241" t="e">
        <f>AND('GA55 Only Print'!#REF!,"AAAAAH1OUzk=")</f>
        <v>#REF!</v>
      </c>
      <c r="BG241" t="e">
        <f>AND('GA55 Only Print'!#REF!,"AAAAAH1OUzo=")</f>
        <v>#REF!</v>
      </c>
      <c r="BH241" t="e">
        <f>AND('GA55 Only Print'!#REF!,"AAAAAH1OUzs=")</f>
        <v>#REF!</v>
      </c>
      <c r="BI241" t="e">
        <f>AND('GA55 Only Print'!#REF!,"AAAAAH1OUzw=")</f>
        <v>#REF!</v>
      </c>
      <c r="BJ241" t="e">
        <f>AND('GA55 Only Print'!#REF!,"AAAAAH1OUz0=")</f>
        <v>#REF!</v>
      </c>
      <c r="BK241" t="e">
        <f>AND('GA55 Only Print'!#REF!,"AAAAAH1OUz4=")</f>
        <v>#REF!</v>
      </c>
      <c r="BL241" t="e">
        <f>AND('GA55 Only Print'!#REF!,"AAAAAH1OUz8=")</f>
        <v>#REF!</v>
      </c>
      <c r="BM241" t="e">
        <f>AND('GA55 Only Print'!#REF!,"AAAAAH1OU0A=")</f>
        <v>#REF!</v>
      </c>
      <c r="BN241" t="e">
        <f>AND('GA55 Only Print'!#REF!,"AAAAAH1OU0E=")</f>
        <v>#REF!</v>
      </c>
      <c r="BO241" t="e">
        <f>AND('GA55 Only Print'!#REF!,"AAAAAH1OU0I=")</f>
        <v>#REF!</v>
      </c>
      <c r="BP241" t="e">
        <f>AND('GA55 Only Print'!#REF!,"AAAAAH1OU0M=")</f>
        <v>#REF!</v>
      </c>
      <c r="BQ241" t="e">
        <f>AND('GA55 Only Print'!#REF!,"AAAAAH1OU0Q=")</f>
        <v>#REF!</v>
      </c>
      <c r="BR241" t="e">
        <f>AND('GA55 Only Print'!#REF!,"AAAAAH1OU0U=")</f>
        <v>#REF!</v>
      </c>
      <c r="BS241" t="e">
        <f>AND('GA55 Only Print'!#REF!,"AAAAAH1OU0Y=")</f>
        <v>#REF!</v>
      </c>
      <c r="BT241" t="e">
        <f>AND('GA55 Only Print'!#REF!,"AAAAAH1OU0c=")</f>
        <v>#REF!</v>
      </c>
      <c r="BU241" t="e">
        <f>AND('GA55 Only Print'!#REF!,"AAAAAH1OU0g=")</f>
        <v>#REF!</v>
      </c>
      <c r="BV241" t="e">
        <f>AND('GA55 Only Print'!#REF!,"AAAAAH1OU0k=")</f>
        <v>#REF!</v>
      </c>
      <c r="BW241" t="e">
        <f>AND('GA55 Only Print'!#REF!,"AAAAAH1OU0o=")</f>
        <v>#REF!</v>
      </c>
      <c r="BX241" t="e">
        <f>AND('GA55 Only Print'!#REF!,"AAAAAH1OU0s=")</f>
        <v>#REF!</v>
      </c>
      <c r="BY241" t="e">
        <f>AND('GA55 Only Print'!#REF!,"AAAAAH1OU0w=")</f>
        <v>#REF!</v>
      </c>
      <c r="BZ241" t="e">
        <f>AND('GA55 Only Print'!#REF!,"AAAAAH1OU00=")</f>
        <v>#REF!</v>
      </c>
      <c r="CA241" t="e">
        <f>AND('GA55 Only Print'!#REF!,"AAAAAH1OU04=")</f>
        <v>#REF!</v>
      </c>
      <c r="CB241" t="e">
        <f>AND('GA55 Only Print'!#REF!,"AAAAAH1OU08=")</f>
        <v>#REF!</v>
      </c>
      <c r="CC241" t="e">
        <f>AND('GA55 Only Print'!#REF!,"AAAAAH1OU1A=")</f>
        <v>#REF!</v>
      </c>
      <c r="CD241" t="e">
        <f>AND('GA55 Only Print'!#REF!,"AAAAAH1OU1E=")</f>
        <v>#REF!</v>
      </c>
      <c r="CE241" t="e">
        <f>AND('GA55 Only Print'!#REF!,"AAAAAH1OU1I=")</f>
        <v>#REF!</v>
      </c>
      <c r="CF241" t="e">
        <f>AND('GA55 Only Print'!#REF!,"AAAAAH1OU1M=")</f>
        <v>#REF!</v>
      </c>
      <c r="CG241" t="e">
        <f>AND('GA55 Only Print'!#REF!,"AAAAAH1OU1Q=")</f>
        <v>#REF!</v>
      </c>
      <c r="CH241" t="e">
        <f>AND('GA55 Only Print'!#REF!,"AAAAAH1OU1U=")</f>
        <v>#REF!</v>
      </c>
      <c r="CI241" t="e">
        <f>AND('GA55 Only Print'!#REF!,"AAAAAH1OU1Y=")</f>
        <v>#REF!</v>
      </c>
      <c r="CJ241" t="e">
        <f>AND('GA55 Only Print'!#REF!,"AAAAAH1OU1c=")</f>
        <v>#REF!</v>
      </c>
      <c r="CK241" t="e">
        <f>AND('GA55 Only Print'!#REF!,"AAAAAH1OU1g=")</f>
        <v>#REF!</v>
      </c>
      <c r="CL241" t="e">
        <f>AND('GA55 Only Print'!#REF!,"AAAAAH1OU1k=")</f>
        <v>#REF!</v>
      </c>
      <c r="CM241" t="e">
        <f>AND('GA55 Only Print'!#REF!,"AAAAAH1OU1o=")</f>
        <v>#REF!</v>
      </c>
      <c r="CN241" t="e">
        <f>AND('GA55 Only Print'!#REF!,"AAAAAH1OU1s=")</f>
        <v>#REF!</v>
      </c>
      <c r="CO241" t="e">
        <f>AND('GA55 Only Print'!#REF!,"AAAAAH1OU1w=")</f>
        <v>#REF!</v>
      </c>
      <c r="CP241" t="e">
        <f>AND('GA55 Only Print'!#REF!,"AAAAAH1OU10=")</f>
        <v>#REF!</v>
      </c>
      <c r="CQ241" t="e">
        <f>AND('GA55 Only Print'!#REF!,"AAAAAH1OU14=")</f>
        <v>#REF!</v>
      </c>
      <c r="CR241" t="e">
        <f>AND('GA55 Only Print'!#REF!,"AAAAAH1OU18=")</f>
        <v>#REF!</v>
      </c>
      <c r="CS241" t="e">
        <f>AND('GA55 Only Print'!#REF!,"AAAAAH1OU2A=")</f>
        <v>#REF!</v>
      </c>
      <c r="CT241" t="e">
        <f>AND('GA55 Only Print'!#REF!,"AAAAAH1OU2E=")</f>
        <v>#REF!</v>
      </c>
      <c r="CU241" t="e">
        <f>AND('GA55 Only Print'!#REF!,"AAAAAH1OU2I=")</f>
        <v>#REF!</v>
      </c>
      <c r="CV241" t="e">
        <f>AND('GA55 Only Print'!#REF!,"AAAAAH1OU2M=")</f>
        <v>#REF!</v>
      </c>
      <c r="CW241" t="e">
        <f>AND('GA55 Only Print'!#REF!,"AAAAAH1OU2Q=")</f>
        <v>#REF!</v>
      </c>
      <c r="CX241" t="e">
        <f>AND('GA55 Only Print'!#REF!,"AAAAAH1OU2U=")</f>
        <v>#REF!</v>
      </c>
      <c r="CY241" t="e">
        <f>AND('GA55 Only Print'!#REF!,"AAAAAH1OU2Y=")</f>
        <v>#REF!</v>
      </c>
      <c r="CZ241" t="e">
        <f>AND('GA55 Only Print'!#REF!,"AAAAAH1OU2c=")</f>
        <v>#REF!</v>
      </c>
      <c r="DA241" t="e">
        <f>AND('GA55 Only Print'!#REF!,"AAAAAH1OU2g=")</f>
        <v>#REF!</v>
      </c>
      <c r="DB241" t="e">
        <f>AND('GA55 Only Print'!#REF!,"AAAAAH1OU2k=")</f>
        <v>#REF!</v>
      </c>
      <c r="DC241" t="e">
        <f>AND('GA55 Only Print'!#REF!,"AAAAAH1OU2o=")</f>
        <v>#REF!</v>
      </c>
      <c r="DD241" t="e">
        <f>AND('GA55 Only Print'!#REF!,"AAAAAH1OU2s=")</f>
        <v>#REF!</v>
      </c>
      <c r="DE241" t="e">
        <f>AND('GA55 Only Print'!#REF!,"AAAAAH1OU2w=")</f>
        <v>#REF!</v>
      </c>
      <c r="DF241" t="e">
        <f>AND('GA55 Only Print'!#REF!,"AAAAAH1OU20=")</f>
        <v>#REF!</v>
      </c>
      <c r="DG241" t="e">
        <f>AND('GA55 Only Print'!#REF!,"AAAAAH1OU24=")</f>
        <v>#REF!</v>
      </c>
      <c r="DH241" t="e">
        <f>AND('GA55 Only Print'!#REF!,"AAAAAH1OU28=")</f>
        <v>#REF!</v>
      </c>
      <c r="DI241" t="e">
        <f>AND('GA55 Only Print'!#REF!,"AAAAAH1OU3A=")</f>
        <v>#REF!</v>
      </c>
      <c r="DJ241" t="e">
        <f>AND('GA55 Only Print'!#REF!,"AAAAAH1OU3E=")</f>
        <v>#REF!</v>
      </c>
      <c r="DK241" t="e">
        <f>AND('GA55 Only Print'!#REF!,"AAAAAH1OU3I=")</f>
        <v>#REF!</v>
      </c>
      <c r="DL241" t="e">
        <f>AND('GA55 Only Print'!#REF!,"AAAAAH1OU3M=")</f>
        <v>#REF!</v>
      </c>
      <c r="DM241" t="e">
        <f>AND('GA55 Only Print'!#REF!,"AAAAAH1OU3Q=")</f>
        <v>#REF!</v>
      </c>
      <c r="DN241" t="e">
        <f>AND('GA55 Only Print'!#REF!,"AAAAAH1OU3U=")</f>
        <v>#REF!</v>
      </c>
      <c r="DO241" t="e">
        <f>AND('GA55 Only Print'!#REF!,"AAAAAH1OU3Y=")</f>
        <v>#REF!</v>
      </c>
      <c r="DP241" t="e">
        <f>IF('GA55 Only Print'!#REF!,"AAAAAH1OU3c=",0)</f>
        <v>#REF!</v>
      </c>
      <c r="DQ241" t="e">
        <f>AND('GA55 Only Print'!#REF!,"AAAAAH1OU3g=")</f>
        <v>#REF!</v>
      </c>
      <c r="DR241" t="e">
        <f>AND('GA55 Only Print'!#REF!,"AAAAAH1OU3k=")</f>
        <v>#REF!</v>
      </c>
      <c r="DS241" t="e">
        <f>AND('GA55 Only Print'!#REF!,"AAAAAH1OU3o=")</f>
        <v>#REF!</v>
      </c>
      <c r="DT241" t="e">
        <f>AND('GA55 Only Print'!#REF!,"AAAAAH1OU3s=")</f>
        <v>#REF!</v>
      </c>
      <c r="DU241" t="e">
        <f>AND('GA55 Only Print'!#REF!,"AAAAAH1OU3w=")</f>
        <v>#REF!</v>
      </c>
      <c r="DV241" t="e">
        <f>AND('GA55 Only Print'!#REF!,"AAAAAH1OU30=")</f>
        <v>#REF!</v>
      </c>
      <c r="DW241" t="e">
        <f>AND('GA55 Only Print'!#REF!,"AAAAAH1OU34=")</f>
        <v>#REF!</v>
      </c>
      <c r="DX241" t="e">
        <f>AND('GA55 Only Print'!#REF!,"AAAAAH1OU38=")</f>
        <v>#REF!</v>
      </c>
      <c r="DY241" t="e">
        <f>AND('GA55 Only Print'!#REF!,"AAAAAH1OU4A=")</f>
        <v>#REF!</v>
      </c>
      <c r="DZ241" t="e">
        <f>AND('GA55 Only Print'!#REF!,"AAAAAH1OU4E=")</f>
        <v>#REF!</v>
      </c>
      <c r="EA241" t="e">
        <f>AND('GA55 Only Print'!#REF!,"AAAAAH1OU4I=")</f>
        <v>#REF!</v>
      </c>
      <c r="EB241" t="e">
        <f>AND('GA55 Only Print'!#REF!,"AAAAAH1OU4M=")</f>
        <v>#REF!</v>
      </c>
      <c r="EC241" t="e">
        <f>AND('GA55 Only Print'!#REF!,"AAAAAH1OU4Q=")</f>
        <v>#REF!</v>
      </c>
      <c r="ED241" t="e">
        <f>AND('GA55 Only Print'!#REF!,"AAAAAH1OU4U=")</f>
        <v>#REF!</v>
      </c>
      <c r="EE241" t="e">
        <f>AND('GA55 Only Print'!#REF!,"AAAAAH1OU4Y=")</f>
        <v>#REF!</v>
      </c>
      <c r="EF241" t="e">
        <f>AND('GA55 Only Print'!#REF!,"AAAAAH1OU4c=")</f>
        <v>#REF!</v>
      </c>
      <c r="EG241" t="e">
        <f>AND('GA55 Only Print'!#REF!,"AAAAAH1OU4g=")</f>
        <v>#REF!</v>
      </c>
      <c r="EH241" t="e">
        <f>AND('GA55 Only Print'!#REF!,"AAAAAH1OU4k=")</f>
        <v>#REF!</v>
      </c>
      <c r="EI241" t="e">
        <f>AND('GA55 Only Print'!#REF!,"AAAAAH1OU4o=")</f>
        <v>#REF!</v>
      </c>
      <c r="EJ241" t="e">
        <f>AND('GA55 Only Print'!#REF!,"AAAAAH1OU4s=")</f>
        <v>#REF!</v>
      </c>
      <c r="EK241" t="e">
        <f>AND('GA55 Only Print'!#REF!,"AAAAAH1OU4w=")</f>
        <v>#REF!</v>
      </c>
      <c r="EL241" t="e">
        <f>AND('GA55 Only Print'!#REF!,"AAAAAH1OU40=")</f>
        <v>#REF!</v>
      </c>
      <c r="EM241" t="e">
        <f>AND('GA55 Only Print'!#REF!,"AAAAAH1OU44=")</f>
        <v>#REF!</v>
      </c>
      <c r="EN241" t="e">
        <f>AND('GA55 Only Print'!#REF!,"AAAAAH1OU48=")</f>
        <v>#REF!</v>
      </c>
      <c r="EO241" t="e">
        <f>AND('GA55 Only Print'!#REF!,"AAAAAH1OU5A=")</f>
        <v>#REF!</v>
      </c>
      <c r="EP241" t="e">
        <f>AND('GA55 Only Print'!#REF!,"AAAAAH1OU5E=")</f>
        <v>#REF!</v>
      </c>
      <c r="EQ241" t="e">
        <f>AND('GA55 Only Print'!#REF!,"AAAAAH1OU5I=")</f>
        <v>#REF!</v>
      </c>
      <c r="ER241" t="e">
        <f>AND('GA55 Only Print'!#REF!,"AAAAAH1OU5M=")</f>
        <v>#REF!</v>
      </c>
      <c r="ES241" t="e">
        <f>AND('GA55 Only Print'!#REF!,"AAAAAH1OU5Q=")</f>
        <v>#REF!</v>
      </c>
      <c r="ET241" t="e">
        <f>AND('GA55 Only Print'!#REF!,"AAAAAH1OU5U=")</f>
        <v>#REF!</v>
      </c>
      <c r="EU241" t="e">
        <f>AND('GA55 Only Print'!#REF!,"AAAAAH1OU5Y=")</f>
        <v>#REF!</v>
      </c>
      <c r="EV241" t="e">
        <f>AND('GA55 Only Print'!#REF!,"AAAAAH1OU5c=")</f>
        <v>#REF!</v>
      </c>
      <c r="EW241" t="e">
        <f>AND('GA55 Only Print'!#REF!,"AAAAAH1OU5g=")</f>
        <v>#REF!</v>
      </c>
      <c r="EX241" t="e">
        <f>AND('GA55 Only Print'!#REF!,"AAAAAH1OU5k=")</f>
        <v>#REF!</v>
      </c>
      <c r="EY241" t="e">
        <f>AND('GA55 Only Print'!#REF!,"AAAAAH1OU5o=")</f>
        <v>#REF!</v>
      </c>
      <c r="EZ241" t="e">
        <f>AND('GA55 Only Print'!#REF!,"AAAAAH1OU5s=")</f>
        <v>#REF!</v>
      </c>
      <c r="FA241" t="e">
        <f>AND('GA55 Only Print'!#REF!,"AAAAAH1OU5w=")</f>
        <v>#REF!</v>
      </c>
      <c r="FB241" t="e">
        <f>AND('GA55 Only Print'!#REF!,"AAAAAH1OU50=")</f>
        <v>#REF!</v>
      </c>
      <c r="FC241" t="e">
        <f>AND('GA55 Only Print'!#REF!,"AAAAAH1OU54=")</f>
        <v>#REF!</v>
      </c>
      <c r="FD241" t="e">
        <f>AND('GA55 Only Print'!#REF!,"AAAAAH1OU58=")</f>
        <v>#REF!</v>
      </c>
      <c r="FE241" t="e">
        <f>AND('GA55 Only Print'!#REF!,"AAAAAH1OU6A=")</f>
        <v>#REF!</v>
      </c>
      <c r="FF241" t="e">
        <f>AND('GA55 Only Print'!#REF!,"AAAAAH1OU6E=")</f>
        <v>#REF!</v>
      </c>
      <c r="FG241" t="e">
        <f>AND('GA55 Only Print'!#REF!,"AAAAAH1OU6I=")</f>
        <v>#REF!</v>
      </c>
      <c r="FH241" t="e">
        <f>AND('GA55 Only Print'!#REF!,"AAAAAH1OU6M=")</f>
        <v>#REF!</v>
      </c>
      <c r="FI241" t="e">
        <f>AND('GA55 Only Print'!#REF!,"AAAAAH1OU6Q=")</f>
        <v>#REF!</v>
      </c>
      <c r="FJ241" t="e">
        <f>AND('GA55 Only Print'!#REF!,"AAAAAH1OU6U=")</f>
        <v>#REF!</v>
      </c>
      <c r="FK241" t="e">
        <f>AND('GA55 Only Print'!#REF!,"AAAAAH1OU6Y=")</f>
        <v>#REF!</v>
      </c>
      <c r="FL241" t="e">
        <f>AND('GA55 Only Print'!#REF!,"AAAAAH1OU6c=")</f>
        <v>#REF!</v>
      </c>
      <c r="FM241" t="e">
        <f>AND('GA55 Only Print'!#REF!,"AAAAAH1OU6g=")</f>
        <v>#REF!</v>
      </c>
      <c r="FN241" t="e">
        <f>AND('GA55 Only Print'!#REF!,"AAAAAH1OU6k=")</f>
        <v>#REF!</v>
      </c>
      <c r="FO241" t="e">
        <f>AND('GA55 Only Print'!#REF!,"AAAAAH1OU6o=")</f>
        <v>#REF!</v>
      </c>
      <c r="FP241" t="e">
        <f>AND('GA55 Only Print'!#REF!,"AAAAAH1OU6s=")</f>
        <v>#REF!</v>
      </c>
      <c r="FQ241" t="e">
        <f>AND('GA55 Only Print'!#REF!,"AAAAAH1OU6w=")</f>
        <v>#REF!</v>
      </c>
      <c r="FR241" t="e">
        <f>AND('GA55 Only Print'!#REF!,"AAAAAH1OU60=")</f>
        <v>#REF!</v>
      </c>
      <c r="FS241" t="e">
        <f>AND('GA55 Only Print'!#REF!,"AAAAAH1OU64=")</f>
        <v>#REF!</v>
      </c>
      <c r="FT241" t="e">
        <f>AND('GA55 Only Print'!#REF!,"AAAAAH1OU68=")</f>
        <v>#REF!</v>
      </c>
      <c r="FU241" t="e">
        <f>AND('GA55 Only Print'!#REF!,"AAAAAH1OU7A=")</f>
        <v>#REF!</v>
      </c>
      <c r="FV241" t="e">
        <f>AND('GA55 Only Print'!#REF!,"AAAAAH1OU7E=")</f>
        <v>#REF!</v>
      </c>
      <c r="FW241" t="e">
        <f>AND('GA55 Only Print'!#REF!,"AAAAAH1OU7I=")</f>
        <v>#REF!</v>
      </c>
      <c r="FX241" t="e">
        <f>AND('GA55 Only Print'!#REF!,"AAAAAH1OU7M=")</f>
        <v>#REF!</v>
      </c>
      <c r="FY241" t="e">
        <f>AND('GA55 Only Print'!#REF!,"AAAAAH1OU7Q=")</f>
        <v>#REF!</v>
      </c>
      <c r="FZ241" t="e">
        <f>AND('GA55 Only Print'!#REF!,"AAAAAH1OU7U=")</f>
        <v>#REF!</v>
      </c>
      <c r="GA241" t="e">
        <f>AND('GA55 Only Print'!#REF!,"AAAAAH1OU7Y=")</f>
        <v>#REF!</v>
      </c>
      <c r="GB241" t="e">
        <f>AND('GA55 Only Print'!#REF!,"AAAAAH1OU7c=")</f>
        <v>#REF!</v>
      </c>
      <c r="GC241" t="e">
        <f>AND('GA55 Only Print'!#REF!,"AAAAAH1OU7g=")</f>
        <v>#REF!</v>
      </c>
      <c r="GD241" t="e">
        <f>AND('GA55 Only Print'!#REF!,"AAAAAH1OU7k=")</f>
        <v>#REF!</v>
      </c>
      <c r="GE241" t="e">
        <f>AND('GA55 Only Print'!#REF!,"AAAAAH1OU7o=")</f>
        <v>#REF!</v>
      </c>
      <c r="GF241" t="e">
        <f>AND('GA55 Only Print'!#REF!,"AAAAAH1OU7s=")</f>
        <v>#REF!</v>
      </c>
      <c r="GG241" t="e">
        <f>AND('GA55 Only Print'!#REF!,"AAAAAH1OU7w=")</f>
        <v>#REF!</v>
      </c>
      <c r="GH241" t="e">
        <f>AND('GA55 Only Print'!#REF!,"AAAAAH1OU70=")</f>
        <v>#REF!</v>
      </c>
      <c r="GI241" t="e">
        <f>AND('GA55 Only Print'!#REF!,"AAAAAH1OU74=")</f>
        <v>#REF!</v>
      </c>
      <c r="GJ241" t="e">
        <f>AND('GA55 Only Print'!#REF!,"AAAAAH1OU78=")</f>
        <v>#REF!</v>
      </c>
      <c r="GK241" t="e">
        <f>AND('GA55 Only Print'!#REF!,"AAAAAH1OU8A=")</f>
        <v>#REF!</v>
      </c>
      <c r="GL241" t="e">
        <f>AND('GA55 Only Print'!#REF!,"AAAAAH1OU8E=")</f>
        <v>#REF!</v>
      </c>
      <c r="GM241" t="e">
        <f>IF('GA55 Only Print'!#REF!,"AAAAAH1OU8I=",0)</f>
        <v>#REF!</v>
      </c>
      <c r="GN241" t="e">
        <f>AND('GA55 Only Print'!#REF!,"AAAAAH1OU8M=")</f>
        <v>#REF!</v>
      </c>
      <c r="GO241" t="e">
        <f>AND('GA55 Only Print'!#REF!,"AAAAAH1OU8Q=")</f>
        <v>#REF!</v>
      </c>
      <c r="GP241" t="e">
        <f>AND('GA55 Only Print'!#REF!,"AAAAAH1OU8U=")</f>
        <v>#REF!</v>
      </c>
      <c r="GQ241" t="e">
        <f>AND('GA55 Only Print'!#REF!,"AAAAAH1OU8Y=")</f>
        <v>#REF!</v>
      </c>
      <c r="GR241" t="e">
        <f>AND('GA55 Only Print'!#REF!,"AAAAAH1OU8c=")</f>
        <v>#REF!</v>
      </c>
      <c r="GS241" t="e">
        <f>AND('GA55 Only Print'!#REF!,"AAAAAH1OU8g=")</f>
        <v>#REF!</v>
      </c>
      <c r="GT241" t="e">
        <f>AND('GA55 Only Print'!#REF!,"AAAAAH1OU8k=")</f>
        <v>#REF!</v>
      </c>
      <c r="GU241" t="e">
        <f>AND('GA55 Only Print'!#REF!,"AAAAAH1OU8o=")</f>
        <v>#REF!</v>
      </c>
      <c r="GV241" t="e">
        <f>AND('GA55 Only Print'!#REF!,"AAAAAH1OU8s=")</f>
        <v>#REF!</v>
      </c>
      <c r="GW241" t="e">
        <f>AND('GA55 Only Print'!#REF!,"AAAAAH1OU8w=")</f>
        <v>#REF!</v>
      </c>
      <c r="GX241" t="e">
        <f>AND('GA55 Only Print'!#REF!,"AAAAAH1OU80=")</f>
        <v>#REF!</v>
      </c>
      <c r="GY241" t="e">
        <f>AND('GA55 Only Print'!#REF!,"AAAAAH1OU84=")</f>
        <v>#REF!</v>
      </c>
      <c r="GZ241" t="e">
        <f>AND('GA55 Only Print'!#REF!,"AAAAAH1OU88=")</f>
        <v>#REF!</v>
      </c>
      <c r="HA241" t="e">
        <f>AND('GA55 Only Print'!#REF!,"AAAAAH1OU9A=")</f>
        <v>#REF!</v>
      </c>
      <c r="HB241" t="e">
        <f>AND('GA55 Only Print'!#REF!,"AAAAAH1OU9E=")</f>
        <v>#REF!</v>
      </c>
      <c r="HC241" t="e">
        <f>AND('GA55 Only Print'!#REF!,"AAAAAH1OU9I=")</f>
        <v>#REF!</v>
      </c>
      <c r="HD241" t="e">
        <f>AND('GA55 Only Print'!#REF!,"AAAAAH1OU9M=")</f>
        <v>#REF!</v>
      </c>
      <c r="HE241" t="e">
        <f>AND('GA55 Only Print'!#REF!,"AAAAAH1OU9Q=")</f>
        <v>#REF!</v>
      </c>
      <c r="HF241" t="e">
        <f>AND('GA55 Only Print'!#REF!,"AAAAAH1OU9U=")</f>
        <v>#REF!</v>
      </c>
      <c r="HG241" t="e">
        <f>AND('GA55 Only Print'!#REF!,"AAAAAH1OU9Y=")</f>
        <v>#REF!</v>
      </c>
      <c r="HH241" t="e">
        <f>AND('GA55 Only Print'!#REF!,"AAAAAH1OU9c=")</f>
        <v>#REF!</v>
      </c>
      <c r="HI241" t="e">
        <f>AND('GA55 Only Print'!#REF!,"AAAAAH1OU9g=")</f>
        <v>#REF!</v>
      </c>
      <c r="HJ241" t="e">
        <f>AND('GA55 Only Print'!#REF!,"AAAAAH1OU9k=")</f>
        <v>#REF!</v>
      </c>
      <c r="HK241" t="e">
        <f>AND('GA55 Only Print'!#REF!,"AAAAAH1OU9o=")</f>
        <v>#REF!</v>
      </c>
      <c r="HL241" t="e">
        <f>AND('GA55 Only Print'!#REF!,"AAAAAH1OU9s=")</f>
        <v>#REF!</v>
      </c>
      <c r="HM241" t="e">
        <f>AND('GA55 Only Print'!#REF!,"AAAAAH1OU9w=")</f>
        <v>#REF!</v>
      </c>
      <c r="HN241" t="e">
        <f>AND('GA55 Only Print'!#REF!,"AAAAAH1OU90=")</f>
        <v>#REF!</v>
      </c>
      <c r="HO241" t="e">
        <f>AND('GA55 Only Print'!#REF!,"AAAAAH1OU94=")</f>
        <v>#REF!</v>
      </c>
      <c r="HP241" t="e">
        <f>AND('GA55 Only Print'!#REF!,"AAAAAH1OU98=")</f>
        <v>#REF!</v>
      </c>
      <c r="HQ241" t="e">
        <f>AND('GA55 Only Print'!#REF!,"AAAAAH1OU+A=")</f>
        <v>#REF!</v>
      </c>
      <c r="HR241" t="e">
        <f>AND('GA55 Only Print'!#REF!,"AAAAAH1OU+E=")</f>
        <v>#REF!</v>
      </c>
      <c r="HS241" t="e">
        <f>AND('GA55 Only Print'!#REF!,"AAAAAH1OU+I=")</f>
        <v>#REF!</v>
      </c>
      <c r="HT241" t="e">
        <f>AND('GA55 Only Print'!#REF!,"AAAAAH1OU+M=")</f>
        <v>#REF!</v>
      </c>
      <c r="HU241" t="e">
        <f>AND('GA55 Only Print'!#REF!,"AAAAAH1OU+Q=")</f>
        <v>#REF!</v>
      </c>
      <c r="HV241" t="e">
        <f>AND('GA55 Only Print'!#REF!,"AAAAAH1OU+U=")</f>
        <v>#REF!</v>
      </c>
      <c r="HW241" t="e">
        <f>AND('GA55 Only Print'!#REF!,"AAAAAH1OU+Y=")</f>
        <v>#REF!</v>
      </c>
      <c r="HX241" t="e">
        <f>AND('GA55 Only Print'!#REF!,"AAAAAH1OU+c=")</f>
        <v>#REF!</v>
      </c>
      <c r="HY241" t="e">
        <f>AND('GA55 Only Print'!#REF!,"AAAAAH1OU+g=")</f>
        <v>#REF!</v>
      </c>
      <c r="HZ241" t="e">
        <f>AND('GA55 Only Print'!#REF!,"AAAAAH1OU+k=")</f>
        <v>#REF!</v>
      </c>
      <c r="IA241" t="e">
        <f>AND('GA55 Only Print'!#REF!,"AAAAAH1OU+o=")</f>
        <v>#REF!</v>
      </c>
      <c r="IB241" t="e">
        <f>AND('GA55 Only Print'!#REF!,"AAAAAH1OU+s=")</f>
        <v>#REF!</v>
      </c>
      <c r="IC241" t="e">
        <f>AND('GA55 Only Print'!#REF!,"AAAAAH1OU+w=")</f>
        <v>#REF!</v>
      </c>
      <c r="ID241" t="e">
        <f>AND('GA55 Only Print'!#REF!,"AAAAAH1OU+0=")</f>
        <v>#REF!</v>
      </c>
      <c r="IE241" t="e">
        <f>AND('GA55 Only Print'!#REF!,"AAAAAH1OU+4=")</f>
        <v>#REF!</v>
      </c>
      <c r="IF241" t="e">
        <f>AND('GA55 Only Print'!#REF!,"AAAAAH1OU+8=")</f>
        <v>#REF!</v>
      </c>
      <c r="IG241" t="e">
        <f>AND('GA55 Only Print'!#REF!,"AAAAAH1OU/A=")</f>
        <v>#REF!</v>
      </c>
      <c r="IH241" t="e">
        <f>AND('GA55 Only Print'!#REF!,"AAAAAH1OU/E=")</f>
        <v>#REF!</v>
      </c>
      <c r="II241" t="e">
        <f>AND('GA55 Only Print'!#REF!,"AAAAAH1OU/I=")</f>
        <v>#REF!</v>
      </c>
      <c r="IJ241" t="e">
        <f>AND('GA55 Only Print'!#REF!,"AAAAAH1OU/M=")</f>
        <v>#REF!</v>
      </c>
      <c r="IK241" t="e">
        <f>AND('GA55 Only Print'!#REF!,"AAAAAH1OU/Q=")</f>
        <v>#REF!</v>
      </c>
      <c r="IL241" t="e">
        <f>AND('GA55 Only Print'!#REF!,"AAAAAH1OU/U=")</f>
        <v>#REF!</v>
      </c>
      <c r="IM241" t="e">
        <f>AND('GA55 Only Print'!#REF!,"AAAAAH1OU/Y=")</f>
        <v>#REF!</v>
      </c>
      <c r="IN241" t="e">
        <f>AND('GA55 Only Print'!#REF!,"AAAAAH1OU/c=")</f>
        <v>#REF!</v>
      </c>
      <c r="IO241" t="e">
        <f>AND('GA55 Only Print'!#REF!,"AAAAAH1OU/g=")</f>
        <v>#REF!</v>
      </c>
      <c r="IP241" t="e">
        <f>AND('GA55 Only Print'!#REF!,"AAAAAH1OU/k=")</f>
        <v>#REF!</v>
      </c>
      <c r="IQ241" t="e">
        <f>AND('GA55 Only Print'!#REF!,"AAAAAH1OU/o=")</f>
        <v>#REF!</v>
      </c>
      <c r="IR241" t="e">
        <f>AND('GA55 Only Print'!#REF!,"AAAAAH1OU/s=")</f>
        <v>#REF!</v>
      </c>
      <c r="IS241" t="e">
        <f>AND('GA55 Only Print'!#REF!,"AAAAAH1OU/w=")</f>
        <v>#REF!</v>
      </c>
      <c r="IT241" t="e">
        <f>AND('GA55 Only Print'!#REF!,"AAAAAH1OU/0=")</f>
        <v>#REF!</v>
      </c>
      <c r="IU241" t="e">
        <f>AND('GA55 Only Print'!#REF!,"AAAAAH1OU/4=")</f>
        <v>#REF!</v>
      </c>
      <c r="IV241" t="e">
        <f>AND('GA55 Only Print'!#REF!,"AAAAAH1OU/8=")</f>
        <v>#REF!</v>
      </c>
    </row>
    <row r="242" spans="1:256">
      <c r="A242" t="e">
        <f>AND('GA55 Only Print'!#REF!,"AAAAABn77gA=")</f>
        <v>#REF!</v>
      </c>
      <c r="B242" t="e">
        <f>AND('GA55 Only Print'!#REF!,"AAAAABn77gE=")</f>
        <v>#REF!</v>
      </c>
      <c r="C242" t="e">
        <f>AND('GA55 Only Print'!#REF!,"AAAAABn77gI=")</f>
        <v>#REF!</v>
      </c>
      <c r="D242" t="e">
        <f>AND('GA55 Only Print'!#REF!,"AAAAABn77gM=")</f>
        <v>#REF!</v>
      </c>
      <c r="E242" t="e">
        <f>AND('GA55 Only Print'!#REF!,"AAAAABn77gQ=")</f>
        <v>#REF!</v>
      </c>
      <c r="F242" t="e">
        <f>AND('GA55 Only Print'!#REF!,"AAAAABn77gU=")</f>
        <v>#REF!</v>
      </c>
      <c r="G242" t="e">
        <f>AND('GA55 Only Print'!#REF!,"AAAAABn77gY=")</f>
        <v>#REF!</v>
      </c>
      <c r="H242" t="e">
        <f>AND('GA55 Only Print'!#REF!,"AAAAABn77gc=")</f>
        <v>#REF!</v>
      </c>
      <c r="I242" t="e">
        <f>AND('GA55 Only Print'!#REF!,"AAAAABn77gg=")</f>
        <v>#REF!</v>
      </c>
      <c r="J242" t="e">
        <f>AND('GA55 Only Print'!#REF!,"AAAAABn77gk=")</f>
        <v>#REF!</v>
      </c>
      <c r="K242" t="e">
        <f>AND('GA55 Only Print'!#REF!,"AAAAABn77go=")</f>
        <v>#REF!</v>
      </c>
      <c r="L242" t="e">
        <f>AND('GA55 Only Print'!#REF!,"AAAAABn77gs=")</f>
        <v>#REF!</v>
      </c>
      <c r="M242" t="e">
        <f>AND('GA55 Only Print'!#REF!,"AAAAABn77gw=")</f>
        <v>#REF!</v>
      </c>
      <c r="N242" t="e">
        <f>IF('GA55 Only Print'!#REF!,"AAAAABn77g0=",0)</f>
        <v>#REF!</v>
      </c>
      <c r="O242" t="e">
        <f>AND('GA55 Only Print'!#REF!,"AAAAABn77g4=")</f>
        <v>#REF!</v>
      </c>
      <c r="P242" t="e">
        <f>AND('GA55 Only Print'!#REF!,"AAAAABn77g8=")</f>
        <v>#REF!</v>
      </c>
      <c r="Q242" t="e">
        <f>AND('GA55 Only Print'!#REF!,"AAAAABn77hA=")</f>
        <v>#REF!</v>
      </c>
      <c r="R242" t="e">
        <f>AND('GA55 Only Print'!#REF!,"AAAAABn77hE=")</f>
        <v>#REF!</v>
      </c>
      <c r="S242" t="e">
        <f>AND('GA55 Only Print'!#REF!,"AAAAABn77hI=")</f>
        <v>#REF!</v>
      </c>
      <c r="T242" t="e">
        <f>AND('GA55 Only Print'!#REF!,"AAAAABn77hM=")</f>
        <v>#REF!</v>
      </c>
      <c r="U242" t="e">
        <f>AND('GA55 Only Print'!#REF!,"AAAAABn77hQ=")</f>
        <v>#REF!</v>
      </c>
      <c r="V242" t="e">
        <f>AND('GA55 Only Print'!#REF!,"AAAAABn77hU=")</f>
        <v>#REF!</v>
      </c>
      <c r="W242" t="e">
        <f>AND('GA55 Only Print'!#REF!,"AAAAABn77hY=")</f>
        <v>#REF!</v>
      </c>
      <c r="X242" t="e">
        <f>AND('GA55 Only Print'!#REF!,"AAAAABn77hc=")</f>
        <v>#REF!</v>
      </c>
      <c r="Y242" t="e">
        <f>AND('GA55 Only Print'!#REF!,"AAAAABn77hg=")</f>
        <v>#REF!</v>
      </c>
      <c r="Z242" t="e">
        <f>AND('GA55 Only Print'!#REF!,"AAAAABn77hk=")</f>
        <v>#REF!</v>
      </c>
      <c r="AA242" t="e">
        <f>AND('GA55 Only Print'!#REF!,"AAAAABn77ho=")</f>
        <v>#REF!</v>
      </c>
      <c r="AB242" t="e">
        <f>AND('GA55 Only Print'!#REF!,"AAAAABn77hs=")</f>
        <v>#REF!</v>
      </c>
      <c r="AC242" t="e">
        <f>AND('GA55 Only Print'!#REF!,"AAAAABn77hw=")</f>
        <v>#REF!</v>
      </c>
      <c r="AD242" t="e">
        <f>AND('GA55 Only Print'!#REF!,"AAAAABn77h0=")</f>
        <v>#REF!</v>
      </c>
      <c r="AE242" t="e">
        <f>AND('GA55 Only Print'!#REF!,"AAAAABn77h4=")</f>
        <v>#REF!</v>
      </c>
      <c r="AF242" t="e">
        <f>AND('GA55 Only Print'!#REF!,"AAAAABn77h8=")</f>
        <v>#REF!</v>
      </c>
      <c r="AG242" t="e">
        <f>AND('GA55 Only Print'!#REF!,"AAAAABn77iA=")</f>
        <v>#REF!</v>
      </c>
      <c r="AH242" t="e">
        <f>AND('GA55 Only Print'!#REF!,"AAAAABn77iE=")</f>
        <v>#REF!</v>
      </c>
      <c r="AI242" t="e">
        <f>AND('GA55 Only Print'!#REF!,"AAAAABn77iI=")</f>
        <v>#REF!</v>
      </c>
      <c r="AJ242" t="e">
        <f>AND('GA55 Only Print'!#REF!,"AAAAABn77iM=")</f>
        <v>#REF!</v>
      </c>
      <c r="AK242" t="e">
        <f>AND('GA55 Only Print'!#REF!,"AAAAABn77iQ=")</f>
        <v>#REF!</v>
      </c>
      <c r="AL242" t="e">
        <f>AND('GA55 Only Print'!#REF!,"AAAAABn77iU=")</f>
        <v>#REF!</v>
      </c>
      <c r="AM242" t="e">
        <f>AND('GA55 Only Print'!#REF!,"AAAAABn77iY=")</f>
        <v>#REF!</v>
      </c>
      <c r="AN242" t="e">
        <f>AND('GA55 Only Print'!#REF!,"AAAAABn77ic=")</f>
        <v>#REF!</v>
      </c>
      <c r="AO242" t="e">
        <f>AND('GA55 Only Print'!#REF!,"AAAAABn77ig=")</f>
        <v>#REF!</v>
      </c>
      <c r="AP242" t="e">
        <f>AND('GA55 Only Print'!#REF!,"AAAAABn77ik=")</f>
        <v>#REF!</v>
      </c>
      <c r="AQ242" t="e">
        <f>AND('GA55 Only Print'!#REF!,"AAAAABn77io=")</f>
        <v>#REF!</v>
      </c>
      <c r="AR242" t="e">
        <f>AND('GA55 Only Print'!#REF!,"AAAAABn77is=")</f>
        <v>#REF!</v>
      </c>
      <c r="AS242" t="e">
        <f>AND('GA55 Only Print'!#REF!,"AAAAABn77iw=")</f>
        <v>#REF!</v>
      </c>
      <c r="AT242" t="e">
        <f>AND('GA55 Only Print'!#REF!,"AAAAABn77i0=")</f>
        <v>#REF!</v>
      </c>
      <c r="AU242" t="e">
        <f>AND('GA55 Only Print'!#REF!,"AAAAABn77i4=")</f>
        <v>#REF!</v>
      </c>
      <c r="AV242" t="e">
        <f>AND('GA55 Only Print'!#REF!,"AAAAABn77i8=")</f>
        <v>#REF!</v>
      </c>
      <c r="AW242" t="e">
        <f>AND('GA55 Only Print'!#REF!,"AAAAABn77jA=")</f>
        <v>#REF!</v>
      </c>
      <c r="AX242" t="e">
        <f>AND('GA55 Only Print'!#REF!,"AAAAABn77jE=")</f>
        <v>#REF!</v>
      </c>
      <c r="AY242" t="e">
        <f>AND('GA55 Only Print'!#REF!,"AAAAABn77jI=")</f>
        <v>#REF!</v>
      </c>
      <c r="AZ242" t="e">
        <f>AND('GA55 Only Print'!#REF!,"AAAAABn77jM=")</f>
        <v>#REF!</v>
      </c>
      <c r="BA242" t="e">
        <f>AND('GA55 Only Print'!#REF!,"AAAAABn77jQ=")</f>
        <v>#REF!</v>
      </c>
      <c r="BB242" t="e">
        <f>AND('GA55 Only Print'!#REF!,"AAAAABn77jU=")</f>
        <v>#REF!</v>
      </c>
      <c r="BC242" t="e">
        <f>AND('GA55 Only Print'!#REF!,"AAAAABn77jY=")</f>
        <v>#REF!</v>
      </c>
      <c r="BD242" t="e">
        <f>AND('GA55 Only Print'!#REF!,"AAAAABn77jc=")</f>
        <v>#REF!</v>
      </c>
      <c r="BE242" t="e">
        <f>AND('GA55 Only Print'!#REF!,"AAAAABn77jg=")</f>
        <v>#REF!</v>
      </c>
      <c r="BF242" t="e">
        <f>AND('GA55 Only Print'!#REF!,"AAAAABn77jk=")</f>
        <v>#REF!</v>
      </c>
      <c r="BG242" t="e">
        <f>AND('GA55 Only Print'!#REF!,"AAAAABn77jo=")</f>
        <v>#REF!</v>
      </c>
      <c r="BH242" t="e">
        <f>AND('GA55 Only Print'!#REF!,"AAAAABn77js=")</f>
        <v>#REF!</v>
      </c>
      <c r="BI242" t="e">
        <f>AND('GA55 Only Print'!#REF!,"AAAAABn77jw=")</f>
        <v>#REF!</v>
      </c>
      <c r="BJ242" t="e">
        <f>AND('GA55 Only Print'!#REF!,"AAAAABn77j0=")</f>
        <v>#REF!</v>
      </c>
      <c r="BK242" t="e">
        <f>AND('GA55 Only Print'!#REF!,"AAAAABn77j4=")</f>
        <v>#REF!</v>
      </c>
      <c r="BL242" t="e">
        <f>AND('GA55 Only Print'!#REF!,"AAAAABn77j8=")</f>
        <v>#REF!</v>
      </c>
      <c r="BM242" t="e">
        <f>AND('GA55 Only Print'!#REF!,"AAAAABn77kA=")</f>
        <v>#REF!</v>
      </c>
      <c r="BN242" t="e">
        <f>AND('GA55 Only Print'!#REF!,"AAAAABn77kE=")</f>
        <v>#REF!</v>
      </c>
      <c r="BO242" t="e">
        <f>AND('GA55 Only Print'!#REF!,"AAAAABn77kI=")</f>
        <v>#REF!</v>
      </c>
      <c r="BP242" t="e">
        <f>AND('GA55 Only Print'!#REF!,"AAAAABn77kM=")</f>
        <v>#REF!</v>
      </c>
      <c r="BQ242" t="e">
        <f>AND('GA55 Only Print'!#REF!,"AAAAABn77kQ=")</f>
        <v>#REF!</v>
      </c>
      <c r="BR242" t="e">
        <f>AND('GA55 Only Print'!#REF!,"AAAAABn77kU=")</f>
        <v>#REF!</v>
      </c>
      <c r="BS242" t="e">
        <f>AND('GA55 Only Print'!#REF!,"AAAAABn77kY=")</f>
        <v>#REF!</v>
      </c>
      <c r="BT242" t="e">
        <f>AND('GA55 Only Print'!#REF!,"AAAAABn77kc=")</f>
        <v>#REF!</v>
      </c>
      <c r="BU242" t="e">
        <f>AND('GA55 Only Print'!#REF!,"AAAAABn77kg=")</f>
        <v>#REF!</v>
      </c>
      <c r="BV242" t="e">
        <f>AND('GA55 Only Print'!#REF!,"AAAAABn77kk=")</f>
        <v>#REF!</v>
      </c>
      <c r="BW242" t="e">
        <f>AND('GA55 Only Print'!#REF!,"AAAAABn77ko=")</f>
        <v>#REF!</v>
      </c>
      <c r="BX242" t="e">
        <f>AND('GA55 Only Print'!#REF!,"AAAAABn77ks=")</f>
        <v>#REF!</v>
      </c>
      <c r="BY242" t="e">
        <f>AND('GA55 Only Print'!#REF!,"AAAAABn77kw=")</f>
        <v>#REF!</v>
      </c>
      <c r="BZ242" t="e">
        <f>AND('GA55 Only Print'!#REF!,"AAAAABn77k0=")</f>
        <v>#REF!</v>
      </c>
      <c r="CA242" t="e">
        <f>AND('GA55 Only Print'!#REF!,"AAAAABn77k4=")</f>
        <v>#REF!</v>
      </c>
      <c r="CB242" t="e">
        <f>AND('GA55 Only Print'!#REF!,"AAAAABn77k8=")</f>
        <v>#REF!</v>
      </c>
      <c r="CC242" t="e">
        <f>AND('GA55 Only Print'!#REF!,"AAAAABn77lA=")</f>
        <v>#REF!</v>
      </c>
      <c r="CD242" t="e">
        <f>AND('GA55 Only Print'!#REF!,"AAAAABn77lE=")</f>
        <v>#REF!</v>
      </c>
      <c r="CE242" t="e">
        <f>AND('GA55 Only Print'!#REF!,"AAAAABn77lI=")</f>
        <v>#REF!</v>
      </c>
      <c r="CF242" t="e">
        <f>AND('GA55 Only Print'!#REF!,"AAAAABn77lM=")</f>
        <v>#REF!</v>
      </c>
      <c r="CG242" t="e">
        <f>AND('GA55 Only Print'!#REF!,"AAAAABn77lQ=")</f>
        <v>#REF!</v>
      </c>
      <c r="CH242" t="e">
        <f>AND('GA55 Only Print'!#REF!,"AAAAABn77lU=")</f>
        <v>#REF!</v>
      </c>
      <c r="CI242" t="e">
        <f>AND('GA55 Only Print'!#REF!,"AAAAABn77lY=")</f>
        <v>#REF!</v>
      </c>
      <c r="CJ242" t="e">
        <f>AND('GA55 Only Print'!#REF!,"AAAAABn77lc=")</f>
        <v>#REF!</v>
      </c>
      <c r="CK242" t="e">
        <f>IF('GA55 Only Print'!#REF!,"AAAAABn77lg=",0)</f>
        <v>#REF!</v>
      </c>
      <c r="CL242" t="e">
        <f>AND('GA55 Only Print'!#REF!,"AAAAABn77lk=")</f>
        <v>#REF!</v>
      </c>
      <c r="CM242" t="e">
        <f>AND('GA55 Only Print'!#REF!,"AAAAABn77lo=")</f>
        <v>#REF!</v>
      </c>
      <c r="CN242" t="e">
        <f>AND('GA55 Only Print'!#REF!,"AAAAABn77ls=")</f>
        <v>#REF!</v>
      </c>
      <c r="CO242" t="e">
        <f>AND('GA55 Only Print'!#REF!,"AAAAABn77lw=")</f>
        <v>#REF!</v>
      </c>
      <c r="CP242" t="e">
        <f>AND('GA55 Only Print'!#REF!,"AAAAABn77l0=")</f>
        <v>#REF!</v>
      </c>
      <c r="CQ242" t="e">
        <f>AND('GA55 Only Print'!#REF!,"AAAAABn77l4=")</f>
        <v>#REF!</v>
      </c>
      <c r="CR242" t="e">
        <f>AND('GA55 Only Print'!#REF!,"AAAAABn77l8=")</f>
        <v>#REF!</v>
      </c>
      <c r="CS242" t="e">
        <f>AND('GA55 Only Print'!#REF!,"AAAAABn77mA=")</f>
        <v>#REF!</v>
      </c>
      <c r="CT242" t="e">
        <f>AND('GA55 Only Print'!#REF!,"AAAAABn77mE=")</f>
        <v>#REF!</v>
      </c>
      <c r="CU242" t="e">
        <f>AND('GA55 Only Print'!#REF!,"AAAAABn77mI=")</f>
        <v>#REF!</v>
      </c>
      <c r="CV242" t="e">
        <f>AND('GA55 Only Print'!#REF!,"AAAAABn77mM=")</f>
        <v>#REF!</v>
      </c>
      <c r="CW242" t="e">
        <f>AND('GA55 Only Print'!#REF!,"AAAAABn77mQ=")</f>
        <v>#REF!</v>
      </c>
      <c r="CX242" t="e">
        <f>AND('GA55 Only Print'!#REF!,"AAAAABn77mU=")</f>
        <v>#REF!</v>
      </c>
      <c r="CY242" t="e">
        <f>AND('GA55 Only Print'!#REF!,"AAAAABn77mY=")</f>
        <v>#REF!</v>
      </c>
      <c r="CZ242" t="e">
        <f>AND('GA55 Only Print'!#REF!,"AAAAABn77mc=")</f>
        <v>#REF!</v>
      </c>
      <c r="DA242" t="e">
        <f>AND('GA55 Only Print'!#REF!,"AAAAABn77mg=")</f>
        <v>#REF!</v>
      </c>
      <c r="DB242" t="e">
        <f>AND('GA55 Only Print'!#REF!,"AAAAABn77mk=")</f>
        <v>#REF!</v>
      </c>
      <c r="DC242" t="e">
        <f>AND('GA55 Only Print'!#REF!,"AAAAABn77mo=")</f>
        <v>#REF!</v>
      </c>
      <c r="DD242" t="e">
        <f>AND('GA55 Only Print'!#REF!,"AAAAABn77ms=")</f>
        <v>#REF!</v>
      </c>
      <c r="DE242" t="e">
        <f>AND('GA55 Only Print'!#REF!,"AAAAABn77mw=")</f>
        <v>#REF!</v>
      </c>
      <c r="DF242" t="e">
        <f>AND('GA55 Only Print'!#REF!,"AAAAABn77m0=")</f>
        <v>#REF!</v>
      </c>
      <c r="DG242" t="e">
        <f>AND('GA55 Only Print'!#REF!,"AAAAABn77m4=")</f>
        <v>#REF!</v>
      </c>
      <c r="DH242" t="e">
        <f>AND('GA55 Only Print'!#REF!,"AAAAABn77m8=")</f>
        <v>#REF!</v>
      </c>
      <c r="DI242" t="e">
        <f>AND('GA55 Only Print'!#REF!,"AAAAABn77nA=")</f>
        <v>#REF!</v>
      </c>
      <c r="DJ242" t="e">
        <f>AND('GA55 Only Print'!#REF!,"AAAAABn77nE=")</f>
        <v>#REF!</v>
      </c>
      <c r="DK242" t="e">
        <f>AND('GA55 Only Print'!#REF!,"AAAAABn77nI=")</f>
        <v>#REF!</v>
      </c>
      <c r="DL242" t="e">
        <f>AND('GA55 Only Print'!#REF!,"AAAAABn77nM=")</f>
        <v>#REF!</v>
      </c>
      <c r="DM242" t="e">
        <f>AND('GA55 Only Print'!#REF!,"AAAAABn77nQ=")</f>
        <v>#REF!</v>
      </c>
      <c r="DN242" t="e">
        <f>AND('GA55 Only Print'!#REF!,"AAAAABn77nU=")</f>
        <v>#REF!</v>
      </c>
      <c r="DO242" t="e">
        <f>AND('GA55 Only Print'!#REF!,"AAAAABn77nY=")</f>
        <v>#REF!</v>
      </c>
      <c r="DP242" t="e">
        <f>AND('GA55 Only Print'!#REF!,"AAAAABn77nc=")</f>
        <v>#REF!</v>
      </c>
      <c r="DQ242" t="e">
        <f>AND('GA55 Only Print'!#REF!,"AAAAABn77ng=")</f>
        <v>#REF!</v>
      </c>
      <c r="DR242" t="e">
        <f>AND('GA55 Only Print'!#REF!,"AAAAABn77nk=")</f>
        <v>#REF!</v>
      </c>
      <c r="DS242" t="e">
        <f>AND('GA55 Only Print'!#REF!,"AAAAABn77no=")</f>
        <v>#REF!</v>
      </c>
      <c r="DT242" t="e">
        <f>AND('GA55 Only Print'!#REF!,"AAAAABn77ns=")</f>
        <v>#REF!</v>
      </c>
      <c r="DU242" t="e">
        <f>AND('GA55 Only Print'!#REF!,"AAAAABn77nw=")</f>
        <v>#REF!</v>
      </c>
      <c r="DV242" t="e">
        <f>AND('GA55 Only Print'!#REF!,"AAAAABn77n0=")</f>
        <v>#REF!</v>
      </c>
      <c r="DW242" t="e">
        <f>AND('GA55 Only Print'!#REF!,"AAAAABn77n4=")</f>
        <v>#REF!</v>
      </c>
      <c r="DX242" t="e">
        <f>AND('GA55 Only Print'!#REF!,"AAAAABn77n8=")</f>
        <v>#REF!</v>
      </c>
      <c r="DY242" t="e">
        <f>AND('GA55 Only Print'!#REF!,"AAAAABn77oA=")</f>
        <v>#REF!</v>
      </c>
      <c r="DZ242" t="e">
        <f>AND('GA55 Only Print'!#REF!,"AAAAABn77oE=")</f>
        <v>#REF!</v>
      </c>
      <c r="EA242" t="e">
        <f>AND('GA55 Only Print'!#REF!,"AAAAABn77oI=")</f>
        <v>#REF!</v>
      </c>
      <c r="EB242" t="e">
        <f>AND('GA55 Only Print'!#REF!,"AAAAABn77oM=")</f>
        <v>#REF!</v>
      </c>
      <c r="EC242" t="e">
        <f>AND('GA55 Only Print'!#REF!,"AAAAABn77oQ=")</f>
        <v>#REF!</v>
      </c>
      <c r="ED242" t="e">
        <f>AND('GA55 Only Print'!#REF!,"AAAAABn77oU=")</f>
        <v>#REF!</v>
      </c>
      <c r="EE242" t="e">
        <f>AND('GA55 Only Print'!#REF!,"AAAAABn77oY=")</f>
        <v>#REF!</v>
      </c>
      <c r="EF242" t="e">
        <f>AND('GA55 Only Print'!#REF!,"AAAAABn77oc=")</f>
        <v>#REF!</v>
      </c>
      <c r="EG242" t="e">
        <f>AND('GA55 Only Print'!#REF!,"AAAAABn77og=")</f>
        <v>#REF!</v>
      </c>
      <c r="EH242" t="e">
        <f>AND('GA55 Only Print'!#REF!,"AAAAABn77ok=")</f>
        <v>#REF!</v>
      </c>
      <c r="EI242" t="e">
        <f>AND('GA55 Only Print'!#REF!,"AAAAABn77oo=")</f>
        <v>#REF!</v>
      </c>
      <c r="EJ242" t="e">
        <f>AND('GA55 Only Print'!#REF!,"AAAAABn77os=")</f>
        <v>#REF!</v>
      </c>
      <c r="EK242" t="e">
        <f>AND('GA55 Only Print'!#REF!,"AAAAABn77ow=")</f>
        <v>#REF!</v>
      </c>
      <c r="EL242" t="e">
        <f>AND('GA55 Only Print'!#REF!,"AAAAABn77o0=")</f>
        <v>#REF!</v>
      </c>
      <c r="EM242" t="e">
        <f>AND('GA55 Only Print'!#REF!,"AAAAABn77o4=")</f>
        <v>#REF!</v>
      </c>
      <c r="EN242" t="e">
        <f>AND('GA55 Only Print'!#REF!,"AAAAABn77o8=")</f>
        <v>#REF!</v>
      </c>
      <c r="EO242" t="e">
        <f>AND('GA55 Only Print'!#REF!,"AAAAABn77pA=")</f>
        <v>#REF!</v>
      </c>
      <c r="EP242" t="e">
        <f>AND('GA55 Only Print'!#REF!,"AAAAABn77pE=")</f>
        <v>#REF!</v>
      </c>
      <c r="EQ242" t="e">
        <f>AND('GA55 Only Print'!#REF!,"AAAAABn77pI=")</f>
        <v>#REF!</v>
      </c>
      <c r="ER242" t="e">
        <f>AND('GA55 Only Print'!#REF!,"AAAAABn77pM=")</f>
        <v>#REF!</v>
      </c>
      <c r="ES242" t="e">
        <f>AND('GA55 Only Print'!#REF!,"AAAAABn77pQ=")</f>
        <v>#REF!</v>
      </c>
      <c r="ET242" t="e">
        <f>AND('GA55 Only Print'!#REF!,"AAAAABn77pU=")</f>
        <v>#REF!</v>
      </c>
      <c r="EU242" t="e">
        <f>AND('GA55 Only Print'!#REF!,"AAAAABn77pY=")</f>
        <v>#REF!</v>
      </c>
      <c r="EV242" t="e">
        <f>AND('GA55 Only Print'!#REF!,"AAAAABn77pc=")</f>
        <v>#REF!</v>
      </c>
      <c r="EW242" t="e">
        <f>AND('GA55 Only Print'!#REF!,"AAAAABn77pg=")</f>
        <v>#REF!</v>
      </c>
      <c r="EX242" t="e">
        <f>AND('GA55 Only Print'!#REF!,"AAAAABn77pk=")</f>
        <v>#REF!</v>
      </c>
      <c r="EY242" t="e">
        <f>AND('GA55 Only Print'!#REF!,"AAAAABn77po=")</f>
        <v>#REF!</v>
      </c>
      <c r="EZ242" t="e">
        <f>AND('GA55 Only Print'!#REF!,"AAAAABn77ps=")</f>
        <v>#REF!</v>
      </c>
      <c r="FA242" t="e">
        <f>AND('GA55 Only Print'!#REF!,"AAAAABn77pw=")</f>
        <v>#REF!</v>
      </c>
      <c r="FB242" t="e">
        <f>AND('GA55 Only Print'!#REF!,"AAAAABn77p0=")</f>
        <v>#REF!</v>
      </c>
      <c r="FC242" t="e">
        <f>AND('GA55 Only Print'!#REF!,"AAAAABn77p4=")</f>
        <v>#REF!</v>
      </c>
      <c r="FD242" t="e">
        <f>AND('GA55 Only Print'!#REF!,"AAAAABn77p8=")</f>
        <v>#REF!</v>
      </c>
      <c r="FE242" t="e">
        <f>AND('GA55 Only Print'!#REF!,"AAAAABn77qA=")</f>
        <v>#REF!</v>
      </c>
      <c r="FF242" t="e">
        <f>AND('GA55 Only Print'!#REF!,"AAAAABn77qE=")</f>
        <v>#REF!</v>
      </c>
      <c r="FG242" t="e">
        <f>AND('GA55 Only Print'!#REF!,"AAAAABn77qI=")</f>
        <v>#REF!</v>
      </c>
      <c r="FH242" t="e">
        <f>IF('GA55 Only Print'!#REF!,"AAAAABn77qM=",0)</f>
        <v>#REF!</v>
      </c>
      <c r="FI242" t="e">
        <f>AND('GA55 Only Print'!#REF!,"AAAAABn77qQ=")</f>
        <v>#REF!</v>
      </c>
      <c r="FJ242" t="e">
        <f>AND('GA55 Only Print'!#REF!,"AAAAABn77qU=")</f>
        <v>#REF!</v>
      </c>
      <c r="FK242" t="e">
        <f>AND('GA55 Only Print'!#REF!,"AAAAABn77qY=")</f>
        <v>#REF!</v>
      </c>
      <c r="FL242" t="e">
        <f>AND('GA55 Only Print'!#REF!,"AAAAABn77qc=")</f>
        <v>#REF!</v>
      </c>
      <c r="FM242" t="e">
        <f>AND('GA55 Only Print'!#REF!,"AAAAABn77qg=")</f>
        <v>#REF!</v>
      </c>
      <c r="FN242" t="e">
        <f>AND('GA55 Only Print'!#REF!,"AAAAABn77qk=")</f>
        <v>#REF!</v>
      </c>
      <c r="FO242" t="e">
        <f>AND('GA55 Only Print'!#REF!,"AAAAABn77qo=")</f>
        <v>#REF!</v>
      </c>
      <c r="FP242" t="e">
        <f>AND('GA55 Only Print'!#REF!,"AAAAABn77qs=")</f>
        <v>#REF!</v>
      </c>
      <c r="FQ242" t="e">
        <f>AND('GA55 Only Print'!#REF!,"AAAAABn77qw=")</f>
        <v>#REF!</v>
      </c>
      <c r="FR242" t="e">
        <f>AND('GA55 Only Print'!#REF!,"AAAAABn77q0=")</f>
        <v>#REF!</v>
      </c>
      <c r="FS242" t="e">
        <f>AND('GA55 Only Print'!#REF!,"AAAAABn77q4=")</f>
        <v>#REF!</v>
      </c>
      <c r="FT242" t="e">
        <f>AND('GA55 Only Print'!#REF!,"AAAAABn77q8=")</f>
        <v>#REF!</v>
      </c>
      <c r="FU242" t="e">
        <f>AND('GA55 Only Print'!#REF!,"AAAAABn77rA=")</f>
        <v>#REF!</v>
      </c>
      <c r="FV242" t="e">
        <f>AND('GA55 Only Print'!#REF!,"AAAAABn77rE=")</f>
        <v>#REF!</v>
      </c>
      <c r="FW242" t="e">
        <f>AND('GA55 Only Print'!#REF!,"AAAAABn77rI=")</f>
        <v>#REF!</v>
      </c>
      <c r="FX242" t="e">
        <f>AND('GA55 Only Print'!#REF!,"AAAAABn77rM=")</f>
        <v>#REF!</v>
      </c>
      <c r="FY242" t="e">
        <f>AND('GA55 Only Print'!#REF!,"AAAAABn77rQ=")</f>
        <v>#REF!</v>
      </c>
      <c r="FZ242" t="e">
        <f>AND('GA55 Only Print'!#REF!,"AAAAABn77rU=")</f>
        <v>#REF!</v>
      </c>
      <c r="GA242" t="e">
        <f>AND('GA55 Only Print'!#REF!,"AAAAABn77rY=")</f>
        <v>#REF!</v>
      </c>
      <c r="GB242" t="e">
        <f>AND('GA55 Only Print'!#REF!,"AAAAABn77rc=")</f>
        <v>#REF!</v>
      </c>
      <c r="GC242" t="e">
        <f>AND('GA55 Only Print'!#REF!,"AAAAABn77rg=")</f>
        <v>#REF!</v>
      </c>
      <c r="GD242" t="e">
        <f>AND('GA55 Only Print'!#REF!,"AAAAABn77rk=")</f>
        <v>#REF!</v>
      </c>
      <c r="GE242" t="e">
        <f>AND('GA55 Only Print'!#REF!,"AAAAABn77ro=")</f>
        <v>#REF!</v>
      </c>
      <c r="GF242" t="e">
        <f>AND('GA55 Only Print'!#REF!,"AAAAABn77rs=")</f>
        <v>#REF!</v>
      </c>
      <c r="GG242" t="e">
        <f>AND('GA55 Only Print'!#REF!,"AAAAABn77rw=")</f>
        <v>#REF!</v>
      </c>
      <c r="GH242" t="e">
        <f>AND('GA55 Only Print'!#REF!,"AAAAABn77r0=")</f>
        <v>#REF!</v>
      </c>
      <c r="GI242" t="e">
        <f>AND('GA55 Only Print'!#REF!,"AAAAABn77r4=")</f>
        <v>#REF!</v>
      </c>
      <c r="GJ242" t="e">
        <f>AND('GA55 Only Print'!#REF!,"AAAAABn77r8=")</f>
        <v>#REF!</v>
      </c>
      <c r="GK242" t="e">
        <f>AND('GA55 Only Print'!#REF!,"AAAAABn77sA=")</f>
        <v>#REF!</v>
      </c>
      <c r="GL242" t="e">
        <f>AND('GA55 Only Print'!#REF!,"AAAAABn77sE=")</f>
        <v>#REF!</v>
      </c>
      <c r="GM242" t="e">
        <f>AND('GA55 Only Print'!#REF!,"AAAAABn77sI=")</f>
        <v>#REF!</v>
      </c>
      <c r="GN242" t="e">
        <f>AND('GA55 Only Print'!#REF!,"AAAAABn77sM=")</f>
        <v>#REF!</v>
      </c>
      <c r="GO242" t="e">
        <f>AND('GA55 Only Print'!#REF!,"AAAAABn77sQ=")</f>
        <v>#REF!</v>
      </c>
      <c r="GP242" t="e">
        <f>AND('GA55 Only Print'!#REF!,"AAAAABn77sU=")</f>
        <v>#REF!</v>
      </c>
      <c r="GQ242" t="e">
        <f>AND('GA55 Only Print'!#REF!,"AAAAABn77sY=")</f>
        <v>#REF!</v>
      </c>
      <c r="GR242" t="e">
        <f>AND('GA55 Only Print'!#REF!,"AAAAABn77sc=")</f>
        <v>#REF!</v>
      </c>
      <c r="GS242" t="e">
        <f>AND('GA55 Only Print'!#REF!,"AAAAABn77sg=")</f>
        <v>#REF!</v>
      </c>
      <c r="GT242" t="e">
        <f>AND('GA55 Only Print'!#REF!,"AAAAABn77sk=")</f>
        <v>#REF!</v>
      </c>
      <c r="GU242" t="e">
        <f>AND('GA55 Only Print'!#REF!,"AAAAABn77so=")</f>
        <v>#REF!</v>
      </c>
      <c r="GV242" t="e">
        <f>AND('GA55 Only Print'!#REF!,"AAAAABn77ss=")</f>
        <v>#REF!</v>
      </c>
      <c r="GW242" t="e">
        <f>AND('GA55 Only Print'!#REF!,"AAAAABn77sw=")</f>
        <v>#REF!</v>
      </c>
      <c r="GX242" t="e">
        <f>AND('GA55 Only Print'!#REF!,"AAAAABn77s0=")</f>
        <v>#REF!</v>
      </c>
      <c r="GY242" t="e">
        <f>AND('GA55 Only Print'!#REF!,"AAAAABn77s4=")</f>
        <v>#REF!</v>
      </c>
      <c r="GZ242" t="e">
        <f>AND('GA55 Only Print'!#REF!,"AAAAABn77s8=")</f>
        <v>#REF!</v>
      </c>
      <c r="HA242" t="e">
        <f>AND('GA55 Only Print'!#REF!,"AAAAABn77tA=")</f>
        <v>#REF!</v>
      </c>
      <c r="HB242" t="e">
        <f>AND('GA55 Only Print'!#REF!,"AAAAABn77tE=")</f>
        <v>#REF!</v>
      </c>
      <c r="HC242" t="e">
        <f>AND('GA55 Only Print'!#REF!,"AAAAABn77tI=")</f>
        <v>#REF!</v>
      </c>
      <c r="HD242" t="e">
        <f>AND('GA55 Only Print'!#REF!,"AAAAABn77tM=")</f>
        <v>#REF!</v>
      </c>
      <c r="HE242" t="e">
        <f>AND('GA55 Only Print'!#REF!,"AAAAABn77tQ=")</f>
        <v>#REF!</v>
      </c>
      <c r="HF242" t="e">
        <f>AND('GA55 Only Print'!#REF!,"AAAAABn77tU=")</f>
        <v>#REF!</v>
      </c>
      <c r="HG242" t="e">
        <f>AND('GA55 Only Print'!#REF!,"AAAAABn77tY=")</f>
        <v>#REF!</v>
      </c>
      <c r="HH242" t="e">
        <f>AND('GA55 Only Print'!#REF!,"AAAAABn77tc=")</f>
        <v>#REF!</v>
      </c>
      <c r="HI242" t="e">
        <f>AND('GA55 Only Print'!#REF!,"AAAAABn77tg=")</f>
        <v>#REF!</v>
      </c>
      <c r="HJ242" t="e">
        <f>AND('GA55 Only Print'!#REF!,"AAAAABn77tk=")</f>
        <v>#REF!</v>
      </c>
      <c r="HK242" t="e">
        <f>AND('GA55 Only Print'!#REF!,"AAAAABn77to=")</f>
        <v>#REF!</v>
      </c>
      <c r="HL242" t="e">
        <f>AND('GA55 Only Print'!#REF!,"AAAAABn77ts=")</f>
        <v>#REF!</v>
      </c>
      <c r="HM242" t="e">
        <f>AND('GA55 Only Print'!#REF!,"AAAAABn77tw=")</f>
        <v>#REF!</v>
      </c>
      <c r="HN242" t="e">
        <f>AND('GA55 Only Print'!#REF!,"AAAAABn77t0=")</f>
        <v>#REF!</v>
      </c>
      <c r="HO242" t="e">
        <f>AND('GA55 Only Print'!#REF!,"AAAAABn77t4=")</f>
        <v>#REF!</v>
      </c>
      <c r="HP242" t="e">
        <f>AND('GA55 Only Print'!#REF!,"AAAAABn77t8=")</f>
        <v>#REF!</v>
      </c>
      <c r="HQ242" t="e">
        <f>AND('GA55 Only Print'!#REF!,"AAAAABn77uA=")</f>
        <v>#REF!</v>
      </c>
      <c r="HR242" t="e">
        <f>AND('GA55 Only Print'!#REF!,"AAAAABn77uE=")</f>
        <v>#REF!</v>
      </c>
      <c r="HS242" t="e">
        <f>AND('GA55 Only Print'!#REF!,"AAAAABn77uI=")</f>
        <v>#REF!</v>
      </c>
      <c r="HT242" t="e">
        <f>AND('GA55 Only Print'!#REF!,"AAAAABn77uM=")</f>
        <v>#REF!</v>
      </c>
      <c r="HU242" t="e">
        <f>AND('GA55 Only Print'!#REF!,"AAAAABn77uQ=")</f>
        <v>#REF!</v>
      </c>
      <c r="HV242" t="e">
        <f>AND('GA55 Only Print'!#REF!,"AAAAABn77uU=")</f>
        <v>#REF!</v>
      </c>
      <c r="HW242" t="e">
        <f>AND('GA55 Only Print'!#REF!,"AAAAABn77uY=")</f>
        <v>#REF!</v>
      </c>
      <c r="HX242" t="e">
        <f>AND('GA55 Only Print'!#REF!,"AAAAABn77uc=")</f>
        <v>#REF!</v>
      </c>
      <c r="HY242" t="e">
        <f>AND('GA55 Only Print'!#REF!,"AAAAABn77ug=")</f>
        <v>#REF!</v>
      </c>
      <c r="HZ242" t="e">
        <f>AND('GA55 Only Print'!#REF!,"AAAAABn77uk=")</f>
        <v>#REF!</v>
      </c>
      <c r="IA242" t="e">
        <f>AND('GA55 Only Print'!#REF!,"AAAAABn77uo=")</f>
        <v>#REF!</v>
      </c>
      <c r="IB242" t="e">
        <f>AND('GA55 Only Print'!#REF!,"AAAAABn77us=")</f>
        <v>#REF!</v>
      </c>
      <c r="IC242" t="e">
        <f>AND('GA55 Only Print'!#REF!,"AAAAABn77uw=")</f>
        <v>#REF!</v>
      </c>
      <c r="ID242" t="e">
        <f>AND('GA55 Only Print'!#REF!,"AAAAABn77u0=")</f>
        <v>#REF!</v>
      </c>
      <c r="IE242" t="e">
        <f>IF('GA55 Only Print'!#REF!,"AAAAABn77u4=",0)</f>
        <v>#REF!</v>
      </c>
      <c r="IF242" t="e">
        <f>AND('GA55 Only Print'!#REF!,"AAAAABn77u8=")</f>
        <v>#REF!</v>
      </c>
      <c r="IG242" t="e">
        <f>AND('GA55 Only Print'!#REF!,"AAAAABn77vA=")</f>
        <v>#REF!</v>
      </c>
      <c r="IH242" t="e">
        <f>AND('GA55 Only Print'!#REF!,"AAAAABn77vE=")</f>
        <v>#REF!</v>
      </c>
      <c r="II242" t="e">
        <f>AND('GA55 Only Print'!#REF!,"AAAAABn77vI=")</f>
        <v>#REF!</v>
      </c>
      <c r="IJ242" t="e">
        <f>AND('GA55 Only Print'!#REF!,"AAAAABn77vM=")</f>
        <v>#REF!</v>
      </c>
      <c r="IK242" t="e">
        <f>AND('GA55 Only Print'!#REF!,"AAAAABn77vQ=")</f>
        <v>#REF!</v>
      </c>
      <c r="IL242" t="e">
        <f>AND('GA55 Only Print'!#REF!,"AAAAABn77vU=")</f>
        <v>#REF!</v>
      </c>
      <c r="IM242" t="e">
        <f>AND('GA55 Only Print'!#REF!,"AAAAABn77vY=")</f>
        <v>#REF!</v>
      </c>
      <c r="IN242" t="e">
        <f>AND('GA55 Only Print'!#REF!,"AAAAABn77vc=")</f>
        <v>#REF!</v>
      </c>
      <c r="IO242" t="e">
        <f>AND('GA55 Only Print'!#REF!,"AAAAABn77vg=")</f>
        <v>#REF!</v>
      </c>
      <c r="IP242" t="e">
        <f>AND('GA55 Only Print'!#REF!,"AAAAABn77vk=")</f>
        <v>#REF!</v>
      </c>
      <c r="IQ242" t="e">
        <f>AND('GA55 Only Print'!#REF!,"AAAAABn77vo=")</f>
        <v>#REF!</v>
      </c>
      <c r="IR242" t="e">
        <f>AND('GA55 Only Print'!#REF!,"AAAAABn77vs=")</f>
        <v>#REF!</v>
      </c>
      <c r="IS242" t="e">
        <f>AND('GA55 Only Print'!#REF!,"AAAAABn77vw=")</f>
        <v>#REF!</v>
      </c>
      <c r="IT242" t="e">
        <f>AND('GA55 Only Print'!#REF!,"AAAAABn77v0=")</f>
        <v>#REF!</v>
      </c>
      <c r="IU242" t="e">
        <f>AND('GA55 Only Print'!#REF!,"AAAAABn77v4=")</f>
        <v>#REF!</v>
      </c>
      <c r="IV242" t="e">
        <f>AND('GA55 Only Print'!#REF!,"AAAAABn77v8=")</f>
        <v>#REF!</v>
      </c>
    </row>
    <row r="243" spans="1:256">
      <c r="A243" t="e">
        <f>AND('GA55 Only Print'!#REF!,"AAAAAH7rrgA=")</f>
        <v>#REF!</v>
      </c>
      <c r="B243" t="e">
        <f>AND('GA55 Only Print'!#REF!,"AAAAAH7rrgE=")</f>
        <v>#REF!</v>
      </c>
      <c r="C243" t="e">
        <f>AND('GA55 Only Print'!#REF!,"AAAAAH7rrgI=")</f>
        <v>#REF!</v>
      </c>
      <c r="D243" t="e">
        <f>AND('GA55 Only Print'!#REF!,"AAAAAH7rrgM=")</f>
        <v>#REF!</v>
      </c>
      <c r="E243" t="e">
        <f>AND('GA55 Only Print'!#REF!,"AAAAAH7rrgQ=")</f>
        <v>#REF!</v>
      </c>
      <c r="F243" t="e">
        <f>AND('GA55 Only Print'!#REF!,"AAAAAH7rrgU=")</f>
        <v>#REF!</v>
      </c>
      <c r="G243" t="e">
        <f>AND('GA55 Only Print'!#REF!,"AAAAAH7rrgY=")</f>
        <v>#REF!</v>
      </c>
      <c r="H243" t="e">
        <f>AND('GA55 Only Print'!#REF!,"AAAAAH7rrgc=")</f>
        <v>#REF!</v>
      </c>
      <c r="I243" t="e">
        <f>AND('GA55 Only Print'!#REF!,"AAAAAH7rrgg=")</f>
        <v>#REF!</v>
      </c>
      <c r="J243" t="e">
        <f>AND('GA55 Only Print'!#REF!,"AAAAAH7rrgk=")</f>
        <v>#REF!</v>
      </c>
      <c r="K243" t="e">
        <f>AND('GA55 Only Print'!#REF!,"AAAAAH7rrgo=")</f>
        <v>#REF!</v>
      </c>
      <c r="L243" t="e">
        <f>AND('GA55 Only Print'!#REF!,"AAAAAH7rrgs=")</f>
        <v>#REF!</v>
      </c>
      <c r="M243" t="e">
        <f>AND('GA55 Only Print'!#REF!,"AAAAAH7rrgw=")</f>
        <v>#REF!</v>
      </c>
      <c r="N243" t="e">
        <f>AND('GA55 Only Print'!#REF!,"AAAAAH7rrg0=")</f>
        <v>#REF!</v>
      </c>
      <c r="O243" t="e">
        <f>AND('GA55 Only Print'!#REF!,"AAAAAH7rrg4=")</f>
        <v>#REF!</v>
      </c>
      <c r="P243" t="e">
        <f>AND('GA55 Only Print'!#REF!,"AAAAAH7rrg8=")</f>
        <v>#REF!</v>
      </c>
      <c r="Q243" t="e">
        <f>AND('GA55 Only Print'!#REF!,"AAAAAH7rrhA=")</f>
        <v>#REF!</v>
      </c>
      <c r="R243" t="e">
        <f>AND('GA55 Only Print'!#REF!,"AAAAAH7rrhE=")</f>
        <v>#REF!</v>
      </c>
      <c r="S243" t="e">
        <f>AND('GA55 Only Print'!#REF!,"AAAAAH7rrhI=")</f>
        <v>#REF!</v>
      </c>
      <c r="T243" t="e">
        <f>AND('GA55 Only Print'!#REF!,"AAAAAH7rrhM=")</f>
        <v>#REF!</v>
      </c>
      <c r="U243" t="e">
        <f>AND('GA55 Only Print'!#REF!,"AAAAAH7rrhQ=")</f>
        <v>#REF!</v>
      </c>
      <c r="V243" t="e">
        <f>AND('GA55 Only Print'!#REF!,"AAAAAH7rrhU=")</f>
        <v>#REF!</v>
      </c>
      <c r="W243" t="e">
        <f>AND('GA55 Only Print'!#REF!,"AAAAAH7rrhY=")</f>
        <v>#REF!</v>
      </c>
      <c r="X243" t="e">
        <f>AND('GA55 Only Print'!#REF!,"AAAAAH7rrhc=")</f>
        <v>#REF!</v>
      </c>
      <c r="Y243" t="e">
        <f>AND('GA55 Only Print'!#REF!,"AAAAAH7rrhg=")</f>
        <v>#REF!</v>
      </c>
      <c r="Z243" t="e">
        <f>AND('GA55 Only Print'!#REF!,"AAAAAH7rrhk=")</f>
        <v>#REF!</v>
      </c>
      <c r="AA243" t="e">
        <f>AND('GA55 Only Print'!#REF!,"AAAAAH7rrho=")</f>
        <v>#REF!</v>
      </c>
      <c r="AB243" t="e">
        <f>AND('GA55 Only Print'!#REF!,"AAAAAH7rrhs=")</f>
        <v>#REF!</v>
      </c>
      <c r="AC243" t="e">
        <f>AND('GA55 Only Print'!#REF!,"AAAAAH7rrhw=")</f>
        <v>#REF!</v>
      </c>
      <c r="AD243" t="e">
        <f>AND('GA55 Only Print'!#REF!,"AAAAAH7rrh0=")</f>
        <v>#REF!</v>
      </c>
      <c r="AE243" t="e">
        <f>AND('GA55 Only Print'!#REF!,"AAAAAH7rrh4=")</f>
        <v>#REF!</v>
      </c>
      <c r="AF243" t="e">
        <f>AND('GA55 Only Print'!#REF!,"AAAAAH7rrh8=")</f>
        <v>#REF!</v>
      </c>
      <c r="AG243" t="e">
        <f>AND('GA55 Only Print'!#REF!,"AAAAAH7rriA=")</f>
        <v>#REF!</v>
      </c>
      <c r="AH243" t="e">
        <f>AND('GA55 Only Print'!#REF!,"AAAAAH7rriE=")</f>
        <v>#REF!</v>
      </c>
      <c r="AI243" t="e">
        <f>AND('GA55 Only Print'!#REF!,"AAAAAH7rriI=")</f>
        <v>#REF!</v>
      </c>
      <c r="AJ243" t="e">
        <f>AND('GA55 Only Print'!#REF!,"AAAAAH7rriM=")</f>
        <v>#REF!</v>
      </c>
      <c r="AK243" t="e">
        <f>AND('GA55 Only Print'!#REF!,"AAAAAH7rriQ=")</f>
        <v>#REF!</v>
      </c>
      <c r="AL243" t="e">
        <f>AND('GA55 Only Print'!#REF!,"AAAAAH7rriU=")</f>
        <v>#REF!</v>
      </c>
      <c r="AM243" t="e">
        <f>AND('GA55 Only Print'!#REF!,"AAAAAH7rriY=")</f>
        <v>#REF!</v>
      </c>
      <c r="AN243" t="e">
        <f>AND('GA55 Only Print'!#REF!,"AAAAAH7rric=")</f>
        <v>#REF!</v>
      </c>
      <c r="AO243" t="e">
        <f>AND('GA55 Only Print'!#REF!,"AAAAAH7rrig=")</f>
        <v>#REF!</v>
      </c>
      <c r="AP243" t="e">
        <f>AND('GA55 Only Print'!#REF!,"AAAAAH7rrik=")</f>
        <v>#REF!</v>
      </c>
      <c r="AQ243" t="e">
        <f>AND('GA55 Only Print'!#REF!,"AAAAAH7rrio=")</f>
        <v>#REF!</v>
      </c>
      <c r="AR243" t="e">
        <f>AND('GA55 Only Print'!#REF!,"AAAAAH7rris=")</f>
        <v>#REF!</v>
      </c>
      <c r="AS243" t="e">
        <f>AND('GA55 Only Print'!#REF!,"AAAAAH7rriw=")</f>
        <v>#REF!</v>
      </c>
      <c r="AT243" t="e">
        <f>AND('GA55 Only Print'!#REF!,"AAAAAH7rri0=")</f>
        <v>#REF!</v>
      </c>
      <c r="AU243" t="e">
        <f>AND('GA55 Only Print'!#REF!,"AAAAAH7rri4=")</f>
        <v>#REF!</v>
      </c>
      <c r="AV243" t="e">
        <f>AND('GA55 Only Print'!#REF!,"AAAAAH7rri8=")</f>
        <v>#REF!</v>
      </c>
      <c r="AW243" t="e">
        <f>AND('GA55 Only Print'!#REF!,"AAAAAH7rrjA=")</f>
        <v>#REF!</v>
      </c>
      <c r="AX243" t="e">
        <f>AND('GA55 Only Print'!#REF!,"AAAAAH7rrjE=")</f>
        <v>#REF!</v>
      </c>
      <c r="AY243" t="e">
        <f>AND('GA55 Only Print'!#REF!,"AAAAAH7rrjI=")</f>
        <v>#REF!</v>
      </c>
      <c r="AZ243" t="e">
        <f>AND('GA55 Only Print'!#REF!,"AAAAAH7rrjM=")</f>
        <v>#REF!</v>
      </c>
      <c r="BA243" t="e">
        <f>AND('GA55 Only Print'!#REF!,"AAAAAH7rrjQ=")</f>
        <v>#REF!</v>
      </c>
      <c r="BB243" t="e">
        <f>AND('GA55 Only Print'!#REF!,"AAAAAH7rrjU=")</f>
        <v>#REF!</v>
      </c>
      <c r="BC243" t="e">
        <f>AND('GA55 Only Print'!#REF!,"AAAAAH7rrjY=")</f>
        <v>#REF!</v>
      </c>
      <c r="BD243" t="e">
        <f>AND('GA55 Only Print'!#REF!,"AAAAAH7rrjc=")</f>
        <v>#REF!</v>
      </c>
      <c r="BE243" t="e">
        <f>AND('GA55 Only Print'!#REF!,"AAAAAH7rrjg=")</f>
        <v>#REF!</v>
      </c>
      <c r="BF243" t="e">
        <f>IF('GA55 Only Print'!#REF!,"AAAAAH7rrjk=",0)</f>
        <v>#REF!</v>
      </c>
      <c r="BG243" t="e">
        <f>AND('GA55 Only Print'!#REF!,"AAAAAH7rrjo=")</f>
        <v>#REF!</v>
      </c>
      <c r="BH243" t="e">
        <f>AND('GA55 Only Print'!#REF!,"AAAAAH7rrjs=")</f>
        <v>#REF!</v>
      </c>
      <c r="BI243" t="e">
        <f>AND('GA55 Only Print'!#REF!,"AAAAAH7rrjw=")</f>
        <v>#REF!</v>
      </c>
      <c r="BJ243" t="e">
        <f>AND('GA55 Only Print'!#REF!,"AAAAAH7rrj0=")</f>
        <v>#REF!</v>
      </c>
      <c r="BK243" t="e">
        <f>AND('GA55 Only Print'!#REF!,"AAAAAH7rrj4=")</f>
        <v>#REF!</v>
      </c>
      <c r="BL243" t="e">
        <f>AND('GA55 Only Print'!#REF!,"AAAAAH7rrj8=")</f>
        <v>#REF!</v>
      </c>
      <c r="BM243" t="e">
        <f>AND('GA55 Only Print'!#REF!,"AAAAAH7rrkA=")</f>
        <v>#REF!</v>
      </c>
      <c r="BN243" t="e">
        <f>AND('GA55 Only Print'!#REF!,"AAAAAH7rrkE=")</f>
        <v>#REF!</v>
      </c>
      <c r="BO243" t="e">
        <f>AND('GA55 Only Print'!#REF!,"AAAAAH7rrkI=")</f>
        <v>#REF!</v>
      </c>
      <c r="BP243" t="e">
        <f>AND('GA55 Only Print'!#REF!,"AAAAAH7rrkM=")</f>
        <v>#REF!</v>
      </c>
      <c r="BQ243" t="e">
        <f>AND('GA55 Only Print'!#REF!,"AAAAAH7rrkQ=")</f>
        <v>#REF!</v>
      </c>
      <c r="BR243" t="e">
        <f>AND('GA55 Only Print'!#REF!,"AAAAAH7rrkU=")</f>
        <v>#REF!</v>
      </c>
      <c r="BS243" t="e">
        <f>AND('GA55 Only Print'!#REF!,"AAAAAH7rrkY=")</f>
        <v>#REF!</v>
      </c>
      <c r="BT243" t="e">
        <f>AND('GA55 Only Print'!#REF!,"AAAAAH7rrkc=")</f>
        <v>#REF!</v>
      </c>
      <c r="BU243" t="e">
        <f>AND('GA55 Only Print'!#REF!,"AAAAAH7rrkg=")</f>
        <v>#REF!</v>
      </c>
      <c r="BV243" t="e">
        <f>AND('GA55 Only Print'!#REF!,"AAAAAH7rrkk=")</f>
        <v>#REF!</v>
      </c>
      <c r="BW243" t="e">
        <f>AND('GA55 Only Print'!#REF!,"AAAAAH7rrko=")</f>
        <v>#REF!</v>
      </c>
      <c r="BX243" t="e">
        <f>AND('GA55 Only Print'!#REF!,"AAAAAH7rrks=")</f>
        <v>#REF!</v>
      </c>
      <c r="BY243" t="e">
        <f>AND('GA55 Only Print'!#REF!,"AAAAAH7rrkw=")</f>
        <v>#REF!</v>
      </c>
      <c r="BZ243" t="e">
        <f>AND('GA55 Only Print'!#REF!,"AAAAAH7rrk0=")</f>
        <v>#REF!</v>
      </c>
      <c r="CA243" t="e">
        <f>AND('GA55 Only Print'!#REF!,"AAAAAH7rrk4=")</f>
        <v>#REF!</v>
      </c>
      <c r="CB243" t="e">
        <f>AND('GA55 Only Print'!#REF!,"AAAAAH7rrk8=")</f>
        <v>#REF!</v>
      </c>
      <c r="CC243" t="e">
        <f>AND('GA55 Only Print'!#REF!,"AAAAAH7rrlA=")</f>
        <v>#REF!</v>
      </c>
      <c r="CD243" t="e">
        <f>AND('GA55 Only Print'!#REF!,"AAAAAH7rrlE=")</f>
        <v>#REF!</v>
      </c>
      <c r="CE243" t="e">
        <f>AND('GA55 Only Print'!#REF!,"AAAAAH7rrlI=")</f>
        <v>#REF!</v>
      </c>
      <c r="CF243" t="e">
        <f>AND('GA55 Only Print'!#REF!,"AAAAAH7rrlM=")</f>
        <v>#REF!</v>
      </c>
      <c r="CG243" t="e">
        <f>AND('GA55 Only Print'!#REF!,"AAAAAH7rrlQ=")</f>
        <v>#REF!</v>
      </c>
      <c r="CH243" t="e">
        <f>AND('GA55 Only Print'!#REF!,"AAAAAH7rrlU=")</f>
        <v>#REF!</v>
      </c>
      <c r="CI243" t="e">
        <f>AND('GA55 Only Print'!#REF!,"AAAAAH7rrlY=")</f>
        <v>#REF!</v>
      </c>
      <c r="CJ243" t="e">
        <f>AND('GA55 Only Print'!#REF!,"AAAAAH7rrlc=")</f>
        <v>#REF!</v>
      </c>
      <c r="CK243" t="e">
        <f>AND('GA55 Only Print'!#REF!,"AAAAAH7rrlg=")</f>
        <v>#REF!</v>
      </c>
      <c r="CL243" t="e">
        <f>AND('GA55 Only Print'!#REF!,"AAAAAH7rrlk=")</f>
        <v>#REF!</v>
      </c>
      <c r="CM243" t="e">
        <f>AND('GA55 Only Print'!#REF!,"AAAAAH7rrlo=")</f>
        <v>#REF!</v>
      </c>
      <c r="CN243" t="e">
        <f>AND('GA55 Only Print'!#REF!,"AAAAAH7rrls=")</f>
        <v>#REF!</v>
      </c>
      <c r="CO243" t="e">
        <f>AND('GA55 Only Print'!#REF!,"AAAAAH7rrlw=")</f>
        <v>#REF!</v>
      </c>
      <c r="CP243" t="e">
        <f>AND('GA55 Only Print'!#REF!,"AAAAAH7rrl0=")</f>
        <v>#REF!</v>
      </c>
      <c r="CQ243" t="e">
        <f>AND('GA55 Only Print'!#REF!,"AAAAAH7rrl4=")</f>
        <v>#REF!</v>
      </c>
      <c r="CR243" t="e">
        <f>AND('GA55 Only Print'!#REF!,"AAAAAH7rrl8=")</f>
        <v>#REF!</v>
      </c>
      <c r="CS243" t="e">
        <f>AND('GA55 Only Print'!#REF!,"AAAAAH7rrmA=")</f>
        <v>#REF!</v>
      </c>
      <c r="CT243" t="e">
        <f>AND('GA55 Only Print'!#REF!,"AAAAAH7rrmE=")</f>
        <v>#REF!</v>
      </c>
      <c r="CU243" t="e">
        <f>AND('GA55 Only Print'!#REF!,"AAAAAH7rrmI=")</f>
        <v>#REF!</v>
      </c>
      <c r="CV243" t="e">
        <f>AND('GA55 Only Print'!#REF!,"AAAAAH7rrmM=")</f>
        <v>#REF!</v>
      </c>
      <c r="CW243" t="e">
        <f>AND('GA55 Only Print'!#REF!,"AAAAAH7rrmQ=")</f>
        <v>#REF!</v>
      </c>
      <c r="CX243" t="e">
        <f>AND('GA55 Only Print'!#REF!,"AAAAAH7rrmU=")</f>
        <v>#REF!</v>
      </c>
      <c r="CY243" t="e">
        <f>AND('GA55 Only Print'!#REF!,"AAAAAH7rrmY=")</f>
        <v>#REF!</v>
      </c>
      <c r="CZ243" t="e">
        <f>AND('GA55 Only Print'!#REF!,"AAAAAH7rrmc=")</f>
        <v>#REF!</v>
      </c>
      <c r="DA243" t="e">
        <f>AND('GA55 Only Print'!#REF!,"AAAAAH7rrmg=")</f>
        <v>#REF!</v>
      </c>
      <c r="DB243" t="e">
        <f>AND('GA55 Only Print'!#REF!,"AAAAAH7rrmk=")</f>
        <v>#REF!</v>
      </c>
      <c r="DC243" t="e">
        <f>AND('GA55 Only Print'!#REF!,"AAAAAH7rrmo=")</f>
        <v>#REF!</v>
      </c>
      <c r="DD243" t="e">
        <f>AND('GA55 Only Print'!#REF!,"AAAAAH7rrms=")</f>
        <v>#REF!</v>
      </c>
      <c r="DE243" t="e">
        <f>AND('GA55 Only Print'!#REF!,"AAAAAH7rrmw=")</f>
        <v>#REF!</v>
      </c>
      <c r="DF243" t="e">
        <f>AND('GA55 Only Print'!#REF!,"AAAAAH7rrm0=")</f>
        <v>#REF!</v>
      </c>
      <c r="DG243" t="e">
        <f>AND('GA55 Only Print'!#REF!,"AAAAAH7rrm4=")</f>
        <v>#REF!</v>
      </c>
      <c r="DH243" t="e">
        <f>AND('GA55 Only Print'!#REF!,"AAAAAH7rrm8=")</f>
        <v>#REF!</v>
      </c>
      <c r="DI243" t="e">
        <f>AND('GA55 Only Print'!#REF!,"AAAAAH7rrnA=")</f>
        <v>#REF!</v>
      </c>
      <c r="DJ243" t="e">
        <f>AND('GA55 Only Print'!#REF!,"AAAAAH7rrnE=")</f>
        <v>#REF!</v>
      </c>
      <c r="DK243" t="e">
        <f>AND('GA55 Only Print'!#REF!,"AAAAAH7rrnI=")</f>
        <v>#REF!</v>
      </c>
      <c r="DL243" t="e">
        <f>AND('GA55 Only Print'!#REF!,"AAAAAH7rrnM=")</f>
        <v>#REF!</v>
      </c>
      <c r="DM243" t="e">
        <f>AND('GA55 Only Print'!#REF!,"AAAAAH7rrnQ=")</f>
        <v>#REF!</v>
      </c>
      <c r="DN243" t="e">
        <f>AND('GA55 Only Print'!#REF!,"AAAAAH7rrnU=")</f>
        <v>#REF!</v>
      </c>
      <c r="DO243" t="e">
        <f>AND('GA55 Only Print'!#REF!,"AAAAAH7rrnY=")</f>
        <v>#REF!</v>
      </c>
      <c r="DP243" t="e">
        <f>AND('GA55 Only Print'!#REF!,"AAAAAH7rrnc=")</f>
        <v>#REF!</v>
      </c>
      <c r="DQ243" t="e">
        <f>AND('GA55 Only Print'!#REF!,"AAAAAH7rrng=")</f>
        <v>#REF!</v>
      </c>
      <c r="DR243" t="e">
        <f>AND('GA55 Only Print'!#REF!,"AAAAAH7rrnk=")</f>
        <v>#REF!</v>
      </c>
      <c r="DS243" t="e">
        <f>AND('GA55 Only Print'!#REF!,"AAAAAH7rrno=")</f>
        <v>#REF!</v>
      </c>
      <c r="DT243" t="e">
        <f>AND('GA55 Only Print'!#REF!,"AAAAAH7rrns=")</f>
        <v>#REF!</v>
      </c>
      <c r="DU243" t="e">
        <f>AND('GA55 Only Print'!#REF!,"AAAAAH7rrnw=")</f>
        <v>#REF!</v>
      </c>
      <c r="DV243" t="e">
        <f>AND('GA55 Only Print'!#REF!,"AAAAAH7rrn0=")</f>
        <v>#REF!</v>
      </c>
      <c r="DW243" t="e">
        <f>AND('GA55 Only Print'!#REF!,"AAAAAH7rrn4=")</f>
        <v>#REF!</v>
      </c>
      <c r="DX243" t="e">
        <f>AND('GA55 Only Print'!#REF!,"AAAAAH7rrn8=")</f>
        <v>#REF!</v>
      </c>
      <c r="DY243" t="e">
        <f>AND('GA55 Only Print'!#REF!,"AAAAAH7rroA=")</f>
        <v>#REF!</v>
      </c>
      <c r="DZ243" t="e">
        <f>AND('GA55 Only Print'!#REF!,"AAAAAH7rroE=")</f>
        <v>#REF!</v>
      </c>
      <c r="EA243" t="e">
        <f>AND('GA55 Only Print'!#REF!,"AAAAAH7rroI=")</f>
        <v>#REF!</v>
      </c>
      <c r="EB243" t="e">
        <f>AND('GA55 Only Print'!#REF!,"AAAAAH7rroM=")</f>
        <v>#REF!</v>
      </c>
      <c r="EC243" t="e">
        <f>IF('GA55 Only Print'!#REF!,"AAAAAH7rroQ=",0)</f>
        <v>#REF!</v>
      </c>
      <c r="ED243" t="e">
        <f>AND('GA55 Only Print'!#REF!,"AAAAAH7rroU=")</f>
        <v>#REF!</v>
      </c>
      <c r="EE243" t="e">
        <f>AND('GA55 Only Print'!#REF!,"AAAAAH7rroY=")</f>
        <v>#REF!</v>
      </c>
      <c r="EF243" t="e">
        <f>AND('GA55 Only Print'!#REF!,"AAAAAH7rroc=")</f>
        <v>#REF!</v>
      </c>
      <c r="EG243" t="e">
        <f>AND('GA55 Only Print'!#REF!,"AAAAAH7rrog=")</f>
        <v>#REF!</v>
      </c>
      <c r="EH243" t="e">
        <f>AND('GA55 Only Print'!#REF!,"AAAAAH7rrok=")</f>
        <v>#REF!</v>
      </c>
      <c r="EI243" t="e">
        <f>AND('GA55 Only Print'!#REF!,"AAAAAH7rroo=")</f>
        <v>#REF!</v>
      </c>
      <c r="EJ243" t="e">
        <f>AND('GA55 Only Print'!#REF!,"AAAAAH7rros=")</f>
        <v>#REF!</v>
      </c>
      <c r="EK243" t="e">
        <f>AND('GA55 Only Print'!#REF!,"AAAAAH7rrow=")</f>
        <v>#REF!</v>
      </c>
      <c r="EL243" t="e">
        <f>AND('GA55 Only Print'!#REF!,"AAAAAH7rro0=")</f>
        <v>#REF!</v>
      </c>
      <c r="EM243" t="e">
        <f>AND('GA55 Only Print'!#REF!,"AAAAAH7rro4=")</f>
        <v>#REF!</v>
      </c>
      <c r="EN243" t="e">
        <f>AND('GA55 Only Print'!#REF!,"AAAAAH7rro8=")</f>
        <v>#REF!</v>
      </c>
      <c r="EO243" t="e">
        <f>AND('GA55 Only Print'!#REF!,"AAAAAH7rrpA=")</f>
        <v>#REF!</v>
      </c>
      <c r="EP243" t="e">
        <f>AND('GA55 Only Print'!#REF!,"AAAAAH7rrpE=")</f>
        <v>#REF!</v>
      </c>
      <c r="EQ243" t="e">
        <f>AND('GA55 Only Print'!#REF!,"AAAAAH7rrpI=")</f>
        <v>#REF!</v>
      </c>
      <c r="ER243" t="e">
        <f>AND('GA55 Only Print'!#REF!,"AAAAAH7rrpM=")</f>
        <v>#REF!</v>
      </c>
      <c r="ES243" t="e">
        <f>AND('GA55 Only Print'!#REF!,"AAAAAH7rrpQ=")</f>
        <v>#REF!</v>
      </c>
      <c r="ET243" t="e">
        <f>AND('GA55 Only Print'!#REF!,"AAAAAH7rrpU=")</f>
        <v>#REF!</v>
      </c>
      <c r="EU243" t="e">
        <f>AND('GA55 Only Print'!#REF!,"AAAAAH7rrpY=")</f>
        <v>#REF!</v>
      </c>
      <c r="EV243" t="e">
        <f>AND('GA55 Only Print'!#REF!,"AAAAAH7rrpc=")</f>
        <v>#REF!</v>
      </c>
      <c r="EW243" t="e">
        <f>AND('GA55 Only Print'!#REF!,"AAAAAH7rrpg=")</f>
        <v>#REF!</v>
      </c>
      <c r="EX243" t="e">
        <f>AND('GA55 Only Print'!#REF!,"AAAAAH7rrpk=")</f>
        <v>#REF!</v>
      </c>
      <c r="EY243" t="e">
        <f>AND('GA55 Only Print'!#REF!,"AAAAAH7rrpo=")</f>
        <v>#REF!</v>
      </c>
      <c r="EZ243" t="e">
        <f>AND('GA55 Only Print'!#REF!,"AAAAAH7rrps=")</f>
        <v>#REF!</v>
      </c>
      <c r="FA243" t="e">
        <f>AND('GA55 Only Print'!#REF!,"AAAAAH7rrpw=")</f>
        <v>#REF!</v>
      </c>
      <c r="FB243" t="e">
        <f>AND('GA55 Only Print'!#REF!,"AAAAAH7rrp0=")</f>
        <v>#REF!</v>
      </c>
      <c r="FC243" t="e">
        <f>AND('GA55 Only Print'!#REF!,"AAAAAH7rrp4=")</f>
        <v>#REF!</v>
      </c>
      <c r="FD243" t="e">
        <f>AND('GA55 Only Print'!#REF!,"AAAAAH7rrp8=")</f>
        <v>#REF!</v>
      </c>
      <c r="FE243" t="e">
        <f>AND('GA55 Only Print'!#REF!,"AAAAAH7rrqA=")</f>
        <v>#REF!</v>
      </c>
      <c r="FF243" t="e">
        <f>AND('GA55 Only Print'!#REF!,"AAAAAH7rrqE=")</f>
        <v>#REF!</v>
      </c>
      <c r="FG243" t="e">
        <f>AND('GA55 Only Print'!#REF!,"AAAAAH7rrqI=")</f>
        <v>#REF!</v>
      </c>
      <c r="FH243" t="e">
        <f>AND('GA55 Only Print'!#REF!,"AAAAAH7rrqM=")</f>
        <v>#REF!</v>
      </c>
      <c r="FI243" t="e">
        <f>AND('GA55 Only Print'!#REF!,"AAAAAH7rrqQ=")</f>
        <v>#REF!</v>
      </c>
      <c r="FJ243" t="e">
        <f>AND('GA55 Only Print'!#REF!,"AAAAAH7rrqU=")</f>
        <v>#REF!</v>
      </c>
      <c r="FK243" t="e">
        <f>AND('GA55 Only Print'!#REF!,"AAAAAH7rrqY=")</f>
        <v>#REF!</v>
      </c>
      <c r="FL243" t="e">
        <f>AND('GA55 Only Print'!#REF!,"AAAAAH7rrqc=")</f>
        <v>#REF!</v>
      </c>
      <c r="FM243" t="e">
        <f>AND('GA55 Only Print'!#REF!,"AAAAAH7rrqg=")</f>
        <v>#REF!</v>
      </c>
      <c r="FN243" t="e">
        <f>AND('GA55 Only Print'!#REF!,"AAAAAH7rrqk=")</f>
        <v>#REF!</v>
      </c>
      <c r="FO243" t="e">
        <f>AND('GA55 Only Print'!#REF!,"AAAAAH7rrqo=")</f>
        <v>#REF!</v>
      </c>
      <c r="FP243" t="e">
        <f>AND('GA55 Only Print'!#REF!,"AAAAAH7rrqs=")</f>
        <v>#REF!</v>
      </c>
      <c r="FQ243" t="e">
        <f>AND('GA55 Only Print'!#REF!,"AAAAAH7rrqw=")</f>
        <v>#REF!</v>
      </c>
      <c r="FR243" t="e">
        <f>AND('GA55 Only Print'!#REF!,"AAAAAH7rrq0=")</f>
        <v>#REF!</v>
      </c>
      <c r="FS243" t="e">
        <f>AND('GA55 Only Print'!#REF!,"AAAAAH7rrq4=")</f>
        <v>#REF!</v>
      </c>
      <c r="FT243" t="e">
        <f>AND('GA55 Only Print'!#REF!,"AAAAAH7rrq8=")</f>
        <v>#REF!</v>
      </c>
      <c r="FU243" t="e">
        <f>AND('GA55 Only Print'!#REF!,"AAAAAH7rrrA=")</f>
        <v>#REF!</v>
      </c>
      <c r="FV243" t="e">
        <f>AND('GA55 Only Print'!#REF!,"AAAAAH7rrrE=")</f>
        <v>#REF!</v>
      </c>
      <c r="FW243" t="e">
        <f>AND('GA55 Only Print'!#REF!,"AAAAAH7rrrI=")</f>
        <v>#REF!</v>
      </c>
      <c r="FX243" t="e">
        <f>AND('GA55 Only Print'!#REF!,"AAAAAH7rrrM=")</f>
        <v>#REF!</v>
      </c>
      <c r="FY243" t="e">
        <f>AND('GA55 Only Print'!#REF!,"AAAAAH7rrrQ=")</f>
        <v>#REF!</v>
      </c>
      <c r="FZ243" t="e">
        <f>AND('GA55 Only Print'!#REF!,"AAAAAH7rrrU=")</f>
        <v>#REF!</v>
      </c>
      <c r="GA243" t="e">
        <f>AND('GA55 Only Print'!#REF!,"AAAAAH7rrrY=")</f>
        <v>#REF!</v>
      </c>
      <c r="GB243" t="e">
        <f>AND('GA55 Only Print'!#REF!,"AAAAAH7rrrc=")</f>
        <v>#REF!</v>
      </c>
      <c r="GC243" t="e">
        <f>AND('GA55 Only Print'!#REF!,"AAAAAH7rrrg=")</f>
        <v>#REF!</v>
      </c>
      <c r="GD243" t="e">
        <f>AND('GA55 Only Print'!#REF!,"AAAAAH7rrrk=")</f>
        <v>#REF!</v>
      </c>
      <c r="GE243" t="e">
        <f>AND('GA55 Only Print'!#REF!,"AAAAAH7rrro=")</f>
        <v>#REF!</v>
      </c>
      <c r="GF243" t="e">
        <f>AND('GA55 Only Print'!#REF!,"AAAAAH7rrrs=")</f>
        <v>#REF!</v>
      </c>
      <c r="GG243" t="e">
        <f>AND('GA55 Only Print'!#REF!,"AAAAAH7rrrw=")</f>
        <v>#REF!</v>
      </c>
      <c r="GH243" t="e">
        <f>AND('GA55 Only Print'!#REF!,"AAAAAH7rrr0=")</f>
        <v>#REF!</v>
      </c>
      <c r="GI243" t="e">
        <f>AND('GA55 Only Print'!#REF!,"AAAAAH7rrr4=")</f>
        <v>#REF!</v>
      </c>
      <c r="GJ243" t="e">
        <f>AND('GA55 Only Print'!#REF!,"AAAAAH7rrr8=")</f>
        <v>#REF!</v>
      </c>
      <c r="GK243" t="e">
        <f>AND('GA55 Only Print'!#REF!,"AAAAAH7rrsA=")</f>
        <v>#REF!</v>
      </c>
      <c r="GL243" t="e">
        <f>AND('GA55 Only Print'!#REF!,"AAAAAH7rrsE=")</f>
        <v>#REF!</v>
      </c>
      <c r="GM243" t="e">
        <f>AND('GA55 Only Print'!#REF!,"AAAAAH7rrsI=")</f>
        <v>#REF!</v>
      </c>
      <c r="GN243" t="e">
        <f>AND('GA55 Only Print'!#REF!,"AAAAAH7rrsM=")</f>
        <v>#REF!</v>
      </c>
      <c r="GO243" t="e">
        <f>AND('GA55 Only Print'!#REF!,"AAAAAH7rrsQ=")</f>
        <v>#REF!</v>
      </c>
      <c r="GP243" t="e">
        <f>AND('GA55 Only Print'!#REF!,"AAAAAH7rrsU=")</f>
        <v>#REF!</v>
      </c>
      <c r="GQ243" t="e">
        <f>AND('GA55 Only Print'!#REF!,"AAAAAH7rrsY=")</f>
        <v>#REF!</v>
      </c>
      <c r="GR243" t="e">
        <f>AND('GA55 Only Print'!#REF!,"AAAAAH7rrsc=")</f>
        <v>#REF!</v>
      </c>
      <c r="GS243" t="e">
        <f>AND('GA55 Only Print'!#REF!,"AAAAAH7rrsg=")</f>
        <v>#REF!</v>
      </c>
      <c r="GT243" t="e">
        <f>AND('GA55 Only Print'!#REF!,"AAAAAH7rrsk=")</f>
        <v>#REF!</v>
      </c>
      <c r="GU243" t="e">
        <f>AND('GA55 Only Print'!#REF!,"AAAAAH7rrso=")</f>
        <v>#REF!</v>
      </c>
      <c r="GV243" t="e">
        <f>AND('GA55 Only Print'!#REF!,"AAAAAH7rrss=")</f>
        <v>#REF!</v>
      </c>
      <c r="GW243" t="e">
        <f>AND('GA55 Only Print'!#REF!,"AAAAAH7rrsw=")</f>
        <v>#REF!</v>
      </c>
      <c r="GX243" t="e">
        <f>AND('GA55 Only Print'!#REF!,"AAAAAH7rrs0=")</f>
        <v>#REF!</v>
      </c>
      <c r="GY243" t="e">
        <f>AND('GA55 Only Print'!#REF!,"AAAAAH7rrs4=")</f>
        <v>#REF!</v>
      </c>
      <c r="GZ243" t="e">
        <f>IF('GA55 Only Print'!#REF!,"AAAAAH7rrs8=",0)</f>
        <v>#REF!</v>
      </c>
      <c r="HA243" t="e">
        <f>AND('GA55 Only Print'!#REF!,"AAAAAH7rrtA=")</f>
        <v>#REF!</v>
      </c>
      <c r="HB243" t="e">
        <f>AND('GA55 Only Print'!#REF!,"AAAAAH7rrtE=")</f>
        <v>#REF!</v>
      </c>
      <c r="HC243" t="e">
        <f>AND('GA55 Only Print'!#REF!,"AAAAAH7rrtI=")</f>
        <v>#REF!</v>
      </c>
      <c r="HD243" t="e">
        <f>AND('GA55 Only Print'!#REF!,"AAAAAH7rrtM=")</f>
        <v>#REF!</v>
      </c>
      <c r="HE243" t="e">
        <f>AND('GA55 Only Print'!#REF!,"AAAAAH7rrtQ=")</f>
        <v>#REF!</v>
      </c>
      <c r="HF243" t="e">
        <f>AND('GA55 Only Print'!#REF!,"AAAAAH7rrtU=")</f>
        <v>#REF!</v>
      </c>
      <c r="HG243" t="e">
        <f>AND('GA55 Only Print'!#REF!,"AAAAAH7rrtY=")</f>
        <v>#REF!</v>
      </c>
      <c r="HH243" t="e">
        <f>AND('GA55 Only Print'!#REF!,"AAAAAH7rrtc=")</f>
        <v>#REF!</v>
      </c>
      <c r="HI243" t="e">
        <f>AND('GA55 Only Print'!#REF!,"AAAAAH7rrtg=")</f>
        <v>#REF!</v>
      </c>
      <c r="HJ243" t="e">
        <f>AND('GA55 Only Print'!#REF!,"AAAAAH7rrtk=")</f>
        <v>#REF!</v>
      </c>
      <c r="HK243" t="e">
        <f>AND('GA55 Only Print'!#REF!,"AAAAAH7rrto=")</f>
        <v>#REF!</v>
      </c>
      <c r="HL243" t="e">
        <f>AND('GA55 Only Print'!#REF!,"AAAAAH7rrts=")</f>
        <v>#REF!</v>
      </c>
      <c r="HM243" t="e">
        <f>AND('GA55 Only Print'!#REF!,"AAAAAH7rrtw=")</f>
        <v>#REF!</v>
      </c>
      <c r="HN243" t="e">
        <f>AND('GA55 Only Print'!#REF!,"AAAAAH7rrt0=")</f>
        <v>#REF!</v>
      </c>
      <c r="HO243" t="e">
        <f>AND('GA55 Only Print'!#REF!,"AAAAAH7rrt4=")</f>
        <v>#REF!</v>
      </c>
      <c r="HP243" t="e">
        <f>AND('GA55 Only Print'!#REF!,"AAAAAH7rrt8=")</f>
        <v>#REF!</v>
      </c>
      <c r="HQ243" t="e">
        <f>AND('GA55 Only Print'!#REF!,"AAAAAH7rruA=")</f>
        <v>#REF!</v>
      </c>
      <c r="HR243" t="e">
        <f>AND('GA55 Only Print'!#REF!,"AAAAAH7rruE=")</f>
        <v>#REF!</v>
      </c>
      <c r="HS243" t="e">
        <f>AND('GA55 Only Print'!#REF!,"AAAAAH7rruI=")</f>
        <v>#REF!</v>
      </c>
      <c r="HT243" t="e">
        <f>AND('GA55 Only Print'!#REF!,"AAAAAH7rruM=")</f>
        <v>#REF!</v>
      </c>
      <c r="HU243" t="e">
        <f>AND('GA55 Only Print'!#REF!,"AAAAAH7rruQ=")</f>
        <v>#REF!</v>
      </c>
      <c r="HV243" t="e">
        <f>AND('GA55 Only Print'!#REF!,"AAAAAH7rruU=")</f>
        <v>#REF!</v>
      </c>
      <c r="HW243" t="e">
        <f>AND('GA55 Only Print'!#REF!,"AAAAAH7rruY=")</f>
        <v>#REF!</v>
      </c>
      <c r="HX243" t="e">
        <f>AND('GA55 Only Print'!#REF!,"AAAAAH7rruc=")</f>
        <v>#REF!</v>
      </c>
      <c r="HY243" t="e">
        <f>AND('GA55 Only Print'!#REF!,"AAAAAH7rrug=")</f>
        <v>#REF!</v>
      </c>
      <c r="HZ243" t="e">
        <f>AND('GA55 Only Print'!#REF!,"AAAAAH7rruk=")</f>
        <v>#REF!</v>
      </c>
      <c r="IA243" t="e">
        <f>AND('GA55 Only Print'!#REF!,"AAAAAH7rruo=")</f>
        <v>#REF!</v>
      </c>
      <c r="IB243" t="e">
        <f>AND('GA55 Only Print'!#REF!,"AAAAAH7rrus=")</f>
        <v>#REF!</v>
      </c>
      <c r="IC243" t="e">
        <f>AND('GA55 Only Print'!#REF!,"AAAAAH7rruw=")</f>
        <v>#REF!</v>
      </c>
      <c r="ID243" t="e">
        <f>AND('GA55 Only Print'!#REF!,"AAAAAH7rru0=")</f>
        <v>#REF!</v>
      </c>
      <c r="IE243" t="e">
        <f>AND('GA55 Only Print'!#REF!,"AAAAAH7rru4=")</f>
        <v>#REF!</v>
      </c>
      <c r="IF243" t="e">
        <f>AND('GA55 Only Print'!#REF!,"AAAAAH7rru8=")</f>
        <v>#REF!</v>
      </c>
      <c r="IG243" t="e">
        <f>AND('GA55 Only Print'!#REF!,"AAAAAH7rrvA=")</f>
        <v>#REF!</v>
      </c>
      <c r="IH243" t="e">
        <f>AND('GA55 Only Print'!#REF!,"AAAAAH7rrvE=")</f>
        <v>#REF!</v>
      </c>
      <c r="II243" t="e">
        <f>AND('GA55 Only Print'!#REF!,"AAAAAH7rrvI=")</f>
        <v>#REF!</v>
      </c>
      <c r="IJ243" t="e">
        <f>AND('GA55 Only Print'!#REF!,"AAAAAH7rrvM=")</f>
        <v>#REF!</v>
      </c>
      <c r="IK243" t="e">
        <f>AND('GA55 Only Print'!#REF!,"AAAAAH7rrvQ=")</f>
        <v>#REF!</v>
      </c>
      <c r="IL243" t="e">
        <f>AND('GA55 Only Print'!#REF!,"AAAAAH7rrvU=")</f>
        <v>#REF!</v>
      </c>
      <c r="IM243" t="e">
        <f>AND('GA55 Only Print'!#REF!,"AAAAAH7rrvY=")</f>
        <v>#REF!</v>
      </c>
      <c r="IN243" t="e">
        <f>AND('GA55 Only Print'!#REF!,"AAAAAH7rrvc=")</f>
        <v>#REF!</v>
      </c>
      <c r="IO243" t="e">
        <f>AND('GA55 Only Print'!#REF!,"AAAAAH7rrvg=")</f>
        <v>#REF!</v>
      </c>
      <c r="IP243" t="e">
        <f>AND('GA55 Only Print'!#REF!,"AAAAAH7rrvk=")</f>
        <v>#REF!</v>
      </c>
      <c r="IQ243" t="e">
        <f>AND('GA55 Only Print'!#REF!,"AAAAAH7rrvo=")</f>
        <v>#REF!</v>
      </c>
      <c r="IR243" t="e">
        <f>AND('GA55 Only Print'!#REF!,"AAAAAH7rrvs=")</f>
        <v>#REF!</v>
      </c>
      <c r="IS243" t="e">
        <f>AND('GA55 Only Print'!#REF!,"AAAAAH7rrvw=")</f>
        <v>#REF!</v>
      </c>
      <c r="IT243" t="e">
        <f>AND('GA55 Only Print'!#REF!,"AAAAAH7rrv0=")</f>
        <v>#REF!</v>
      </c>
      <c r="IU243" t="e">
        <f>AND('GA55 Only Print'!#REF!,"AAAAAH7rrv4=")</f>
        <v>#REF!</v>
      </c>
      <c r="IV243" t="e">
        <f>AND('GA55 Only Print'!#REF!,"AAAAAH7rrv8=")</f>
        <v>#REF!</v>
      </c>
    </row>
    <row r="244" spans="1:256">
      <c r="A244" t="e">
        <f>AND('GA55 Only Print'!#REF!,"AAAAAGn75QA=")</f>
        <v>#REF!</v>
      </c>
      <c r="B244" t="e">
        <f>AND('GA55 Only Print'!#REF!,"AAAAAGn75QE=")</f>
        <v>#REF!</v>
      </c>
      <c r="C244" t="e">
        <f>AND('GA55 Only Print'!#REF!,"AAAAAGn75QI=")</f>
        <v>#REF!</v>
      </c>
      <c r="D244" t="e">
        <f>AND('GA55 Only Print'!#REF!,"AAAAAGn75QM=")</f>
        <v>#REF!</v>
      </c>
      <c r="E244" t="e">
        <f>AND('GA55 Only Print'!#REF!,"AAAAAGn75QQ=")</f>
        <v>#REF!</v>
      </c>
      <c r="F244" t="e">
        <f>AND('GA55 Only Print'!#REF!,"AAAAAGn75QU=")</f>
        <v>#REF!</v>
      </c>
      <c r="G244" t="e">
        <f>AND('GA55 Only Print'!#REF!,"AAAAAGn75QY=")</f>
        <v>#REF!</v>
      </c>
      <c r="H244" t="e">
        <f>AND('GA55 Only Print'!#REF!,"AAAAAGn75Qc=")</f>
        <v>#REF!</v>
      </c>
      <c r="I244" t="e">
        <f>AND('GA55 Only Print'!#REF!,"AAAAAGn75Qg=")</f>
        <v>#REF!</v>
      </c>
      <c r="J244" t="e">
        <f>AND('GA55 Only Print'!#REF!,"AAAAAGn75Qk=")</f>
        <v>#REF!</v>
      </c>
      <c r="K244" t="e">
        <f>AND('GA55 Only Print'!#REF!,"AAAAAGn75Qo=")</f>
        <v>#REF!</v>
      </c>
      <c r="L244" t="e">
        <f>AND('GA55 Only Print'!#REF!,"AAAAAGn75Qs=")</f>
        <v>#REF!</v>
      </c>
      <c r="M244" t="e">
        <f>AND('GA55 Only Print'!#REF!,"AAAAAGn75Qw=")</f>
        <v>#REF!</v>
      </c>
      <c r="N244" t="e">
        <f>AND('GA55 Only Print'!#REF!,"AAAAAGn75Q0=")</f>
        <v>#REF!</v>
      </c>
      <c r="O244" t="e">
        <f>AND('GA55 Only Print'!#REF!,"AAAAAGn75Q4=")</f>
        <v>#REF!</v>
      </c>
      <c r="P244" t="e">
        <f>AND('GA55 Only Print'!#REF!,"AAAAAGn75Q8=")</f>
        <v>#REF!</v>
      </c>
      <c r="Q244" t="e">
        <f>AND('GA55 Only Print'!#REF!,"AAAAAGn75RA=")</f>
        <v>#REF!</v>
      </c>
      <c r="R244" t="e">
        <f>AND('GA55 Only Print'!#REF!,"AAAAAGn75RE=")</f>
        <v>#REF!</v>
      </c>
      <c r="S244" t="e">
        <f>AND('GA55 Only Print'!#REF!,"AAAAAGn75RI=")</f>
        <v>#REF!</v>
      </c>
      <c r="T244" t="e">
        <f>AND('GA55 Only Print'!#REF!,"AAAAAGn75RM=")</f>
        <v>#REF!</v>
      </c>
      <c r="U244" t="e">
        <f>AND('GA55 Only Print'!#REF!,"AAAAAGn75RQ=")</f>
        <v>#REF!</v>
      </c>
      <c r="V244" t="e">
        <f>AND('GA55 Only Print'!#REF!,"AAAAAGn75RU=")</f>
        <v>#REF!</v>
      </c>
      <c r="W244" t="e">
        <f>AND('GA55 Only Print'!#REF!,"AAAAAGn75RY=")</f>
        <v>#REF!</v>
      </c>
      <c r="X244" t="e">
        <f>AND('GA55 Only Print'!#REF!,"AAAAAGn75Rc=")</f>
        <v>#REF!</v>
      </c>
      <c r="Y244" t="e">
        <f>AND('GA55 Only Print'!#REF!,"AAAAAGn75Rg=")</f>
        <v>#REF!</v>
      </c>
      <c r="Z244" t="e">
        <f>AND('GA55 Only Print'!#REF!,"AAAAAGn75Rk=")</f>
        <v>#REF!</v>
      </c>
      <c r="AA244" t="e">
        <f>IF('GA55 Only Print'!#REF!,"AAAAAGn75Ro=",0)</f>
        <v>#REF!</v>
      </c>
      <c r="AB244" t="e">
        <f>AND('GA55 Only Print'!#REF!,"AAAAAGn75Rs=")</f>
        <v>#REF!</v>
      </c>
      <c r="AC244" t="e">
        <f>AND('GA55 Only Print'!#REF!,"AAAAAGn75Rw=")</f>
        <v>#REF!</v>
      </c>
      <c r="AD244" t="e">
        <f>AND('GA55 Only Print'!#REF!,"AAAAAGn75R0=")</f>
        <v>#REF!</v>
      </c>
      <c r="AE244" t="e">
        <f>AND('GA55 Only Print'!#REF!,"AAAAAGn75R4=")</f>
        <v>#REF!</v>
      </c>
      <c r="AF244" t="e">
        <f>AND('GA55 Only Print'!#REF!,"AAAAAGn75R8=")</f>
        <v>#REF!</v>
      </c>
      <c r="AG244" t="e">
        <f>AND('GA55 Only Print'!#REF!,"AAAAAGn75SA=")</f>
        <v>#REF!</v>
      </c>
      <c r="AH244" t="e">
        <f>AND('GA55 Only Print'!#REF!,"AAAAAGn75SE=")</f>
        <v>#REF!</v>
      </c>
      <c r="AI244" t="e">
        <f>AND('GA55 Only Print'!#REF!,"AAAAAGn75SI=")</f>
        <v>#REF!</v>
      </c>
      <c r="AJ244" t="e">
        <f>AND('GA55 Only Print'!#REF!,"AAAAAGn75SM=")</f>
        <v>#REF!</v>
      </c>
      <c r="AK244" t="e">
        <f>AND('GA55 Only Print'!#REF!,"AAAAAGn75SQ=")</f>
        <v>#REF!</v>
      </c>
      <c r="AL244" t="e">
        <f>AND('GA55 Only Print'!#REF!,"AAAAAGn75SU=")</f>
        <v>#REF!</v>
      </c>
      <c r="AM244" t="e">
        <f>AND('GA55 Only Print'!#REF!,"AAAAAGn75SY=")</f>
        <v>#REF!</v>
      </c>
      <c r="AN244" t="e">
        <f>AND('GA55 Only Print'!#REF!,"AAAAAGn75Sc=")</f>
        <v>#REF!</v>
      </c>
      <c r="AO244" t="e">
        <f>AND('GA55 Only Print'!#REF!,"AAAAAGn75Sg=")</f>
        <v>#REF!</v>
      </c>
      <c r="AP244" t="e">
        <f>AND('GA55 Only Print'!#REF!,"AAAAAGn75Sk=")</f>
        <v>#REF!</v>
      </c>
      <c r="AQ244" t="e">
        <f>AND('GA55 Only Print'!#REF!,"AAAAAGn75So=")</f>
        <v>#REF!</v>
      </c>
      <c r="AR244" t="e">
        <f>AND('GA55 Only Print'!#REF!,"AAAAAGn75Ss=")</f>
        <v>#REF!</v>
      </c>
      <c r="AS244" t="e">
        <f>AND('GA55 Only Print'!#REF!,"AAAAAGn75Sw=")</f>
        <v>#REF!</v>
      </c>
      <c r="AT244" t="e">
        <f>AND('GA55 Only Print'!#REF!,"AAAAAGn75S0=")</f>
        <v>#REF!</v>
      </c>
      <c r="AU244" t="e">
        <f>AND('GA55 Only Print'!#REF!,"AAAAAGn75S4=")</f>
        <v>#REF!</v>
      </c>
      <c r="AV244" t="e">
        <f>AND('GA55 Only Print'!#REF!,"AAAAAGn75S8=")</f>
        <v>#REF!</v>
      </c>
      <c r="AW244" t="e">
        <f>AND('GA55 Only Print'!#REF!,"AAAAAGn75TA=")</f>
        <v>#REF!</v>
      </c>
      <c r="AX244" t="e">
        <f>AND('GA55 Only Print'!#REF!,"AAAAAGn75TE=")</f>
        <v>#REF!</v>
      </c>
      <c r="AY244" t="e">
        <f>AND('GA55 Only Print'!#REF!,"AAAAAGn75TI=")</f>
        <v>#REF!</v>
      </c>
      <c r="AZ244" t="e">
        <f>AND('GA55 Only Print'!#REF!,"AAAAAGn75TM=")</f>
        <v>#REF!</v>
      </c>
      <c r="BA244" t="e">
        <f>AND('GA55 Only Print'!#REF!,"AAAAAGn75TQ=")</f>
        <v>#REF!</v>
      </c>
      <c r="BB244" t="e">
        <f>AND('GA55 Only Print'!#REF!,"AAAAAGn75TU=")</f>
        <v>#REF!</v>
      </c>
      <c r="BC244" t="e">
        <f>AND('GA55 Only Print'!#REF!,"AAAAAGn75TY=")</f>
        <v>#REF!</v>
      </c>
      <c r="BD244" t="e">
        <f>AND('GA55 Only Print'!#REF!,"AAAAAGn75Tc=")</f>
        <v>#REF!</v>
      </c>
      <c r="BE244" t="e">
        <f>AND('GA55 Only Print'!#REF!,"AAAAAGn75Tg=")</f>
        <v>#REF!</v>
      </c>
      <c r="BF244" t="e">
        <f>AND('GA55 Only Print'!#REF!,"AAAAAGn75Tk=")</f>
        <v>#REF!</v>
      </c>
      <c r="BG244" t="e">
        <f>AND('GA55 Only Print'!#REF!,"AAAAAGn75To=")</f>
        <v>#REF!</v>
      </c>
      <c r="BH244" t="e">
        <f>AND('GA55 Only Print'!#REF!,"AAAAAGn75Ts=")</f>
        <v>#REF!</v>
      </c>
      <c r="BI244" t="e">
        <f>AND('GA55 Only Print'!#REF!,"AAAAAGn75Tw=")</f>
        <v>#REF!</v>
      </c>
      <c r="BJ244" t="e">
        <f>AND('GA55 Only Print'!#REF!,"AAAAAGn75T0=")</f>
        <v>#REF!</v>
      </c>
      <c r="BK244" t="e">
        <f>AND('GA55 Only Print'!#REF!,"AAAAAGn75T4=")</f>
        <v>#REF!</v>
      </c>
      <c r="BL244" t="e">
        <f>AND('GA55 Only Print'!#REF!,"AAAAAGn75T8=")</f>
        <v>#REF!</v>
      </c>
      <c r="BM244" t="e">
        <f>AND('GA55 Only Print'!#REF!,"AAAAAGn75UA=")</f>
        <v>#REF!</v>
      </c>
      <c r="BN244" t="e">
        <f>AND('GA55 Only Print'!#REF!,"AAAAAGn75UE=")</f>
        <v>#REF!</v>
      </c>
      <c r="BO244" t="e">
        <f>AND('GA55 Only Print'!#REF!,"AAAAAGn75UI=")</f>
        <v>#REF!</v>
      </c>
      <c r="BP244" t="e">
        <f>AND('GA55 Only Print'!#REF!,"AAAAAGn75UM=")</f>
        <v>#REF!</v>
      </c>
      <c r="BQ244" t="e">
        <f>AND('GA55 Only Print'!#REF!,"AAAAAGn75UQ=")</f>
        <v>#REF!</v>
      </c>
      <c r="BR244" t="e">
        <f>AND('GA55 Only Print'!#REF!,"AAAAAGn75UU=")</f>
        <v>#REF!</v>
      </c>
      <c r="BS244" t="e">
        <f>AND('GA55 Only Print'!#REF!,"AAAAAGn75UY=")</f>
        <v>#REF!</v>
      </c>
      <c r="BT244" t="e">
        <f>AND('GA55 Only Print'!#REF!,"AAAAAGn75Uc=")</f>
        <v>#REF!</v>
      </c>
      <c r="BU244" t="e">
        <f>AND('GA55 Only Print'!#REF!,"AAAAAGn75Ug=")</f>
        <v>#REF!</v>
      </c>
      <c r="BV244" t="e">
        <f>AND('GA55 Only Print'!#REF!,"AAAAAGn75Uk=")</f>
        <v>#REF!</v>
      </c>
      <c r="BW244" t="e">
        <f>AND('GA55 Only Print'!#REF!,"AAAAAGn75Uo=")</f>
        <v>#REF!</v>
      </c>
      <c r="BX244" t="e">
        <f>AND('GA55 Only Print'!#REF!,"AAAAAGn75Us=")</f>
        <v>#REF!</v>
      </c>
      <c r="BY244" t="e">
        <f>AND('GA55 Only Print'!#REF!,"AAAAAGn75Uw=")</f>
        <v>#REF!</v>
      </c>
      <c r="BZ244" t="e">
        <f>AND('GA55 Only Print'!#REF!,"AAAAAGn75U0=")</f>
        <v>#REF!</v>
      </c>
      <c r="CA244" t="e">
        <f>AND('GA55 Only Print'!#REF!,"AAAAAGn75U4=")</f>
        <v>#REF!</v>
      </c>
      <c r="CB244" t="e">
        <f>AND('GA55 Only Print'!#REF!,"AAAAAGn75U8=")</f>
        <v>#REF!</v>
      </c>
      <c r="CC244" t="e">
        <f>AND('GA55 Only Print'!#REF!,"AAAAAGn75VA=")</f>
        <v>#REF!</v>
      </c>
      <c r="CD244" t="e">
        <f>AND('GA55 Only Print'!#REF!,"AAAAAGn75VE=")</f>
        <v>#REF!</v>
      </c>
      <c r="CE244" t="e">
        <f>AND('GA55 Only Print'!#REF!,"AAAAAGn75VI=")</f>
        <v>#REF!</v>
      </c>
      <c r="CF244" t="e">
        <f>AND('GA55 Only Print'!#REF!,"AAAAAGn75VM=")</f>
        <v>#REF!</v>
      </c>
      <c r="CG244" t="e">
        <f>AND('GA55 Only Print'!#REF!,"AAAAAGn75VQ=")</f>
        <v>#REF!</v>
      </c>
      <c r="CH244" t="e">
        <f>AND('GA55 Only Print'!#REF!,"AAAAAGn75VU=")</f>
        <v>#REF!</v>
      </c>
      <c r="CI244" t="e">
        <f>AND('GA55 Only Print'!#REF!,"AAAAAGn75VY=")</f>
        <v>#REF!</v>
      </c>
      <c r="CJ244" t="e">
        <f>AND('GA55 Only Print'!#REF!,"AAAAAGn75Vc=")</f>
        <v>#REF!</v>
      </c>
      <c r="CK244" t="e">
        <f>AND('GA55 Only Print'!#REF!,"AAAAAGn75Vg=")</f>
        <v>#REF!</v>
      </c>
      <c r="CL244" t="e">
        <f>AND('GA55 Only Print'!#REF!,"AAAAAGn75Vk=")</f>
        <v>#REF!</v>
      </c>
      <c r="CM244" t="e">
        <f>AND('GA55 Only Print'!#REF!,"AAAAAGn75Vo=")</f>
        <v>#REF!</v>
      </c>
      <c r="CN244" t="e">
        <f>AND('GA55 Only Print'!#REF!,"AAAAAGn75Vs=")</f>
        <v>#REF!</v>
      </c>
      <c r="CO244" t="e">
        <f>AND('GA55 Only Print'!#REF!,"AAAAAGn75Vw=")</f>
        <v>#REF!</v>
      </c>
      <c r="CP244" t="e">
        <f>AND('GA55 Only Print'!#REF!,"AAAAAGn75V0=")</f>
        <v>#REF!</v>
      </c>
      <c r="CQ244" t="e">
        <f>AND('GA55 Only Print'!#REF!,"AAAAAGn75V4=")</f>
        <v>#REF!</v>
      </c>
      <c r="CR244" t="e">
        <f>AND('GA55 Only Print'!#REF!,"AAAAAGn75V8=")</f>
        <v>#REF!</v>
      </c>
      <c r="CS244" t="e">
        <f>AND('GA55 Only Print'!#REF!,"AAAAAGn75WA=")</f>
        <v>#REF!</v>
      </c>
      <c r="CT244" t="e">
        <f>AND('GA55 Only Print'!#REF!,"AAAAAGn75WE=")</f>
        <v>#REF!</v>
      </c>
      <c r="CU244" t="e">
        <f>AND('GA55 Only Print'!#REF!,"AAAAAGn75WI=")</f>
        <v>#REF!</v>
      </c>
      <c r="CV244" t="e">
        <f>AND('GA55 Only Print'!#REF!,"AAAAAGn75WM=")</f>
        <v>#REF!</v>
      </c>
      <c r="CW244" t="e">
        <f>AND('GA55 Only Print'!#REF!,"AAAAAGn75WQ=")</f>
        <v>#REF!</v>
      </c>
      <c r="CX244" t="e">
        <f>IF('GA55 Only Print'!#REF!,"AAAAAGn75WU=",0)</f>
        <v>#REF!</v>
      </c>
      <c r="CY244" t="e">
        <f>AND('GA55 Only Print'!#REF!,"AAAAAGn75WY=")</f>
        <v>#REF!</v>
      </c>
      <c r="CZ244" t="e">
        <f>AND('GA55 Only Print'!#REF!,"AAAAAGn75Wc=")</f>
        <v>#REF!</v>
      </c>
      <c r="DA244" t="e">
        <f>AND('GA55 Only Print'!#REF!,"AAAAAGn75Wg=")</f>
        <v>#REF!</v>
      </c>
      <c r="DB244" t="e">
        <f>AND('GA55 Only Print'!#REF!,"AAAAAGn75Wk=")</f>
        <v>#REF!</v>
      </c>
      <c r="DC244" t="e">
        <f>AND('GA55 Only Print'!#REF!,"AAAAAGn75Wo=")</f>
        <v>#REF!</v>
      </c>
      <c r="DD244" t="e">
        <f>AND('GA55 Only Print'!#REF!,"AAAAAGn75Ws=")</f>
        <v>#REF!</v>
      </c>
      <c r="DE244" t="e">
        <f>AND('GA55 Only Print'!#REF!,"AAAAAGn75Ww=")</f>
        <v>#REF!</v>
      </c>
      <c r="DF244" t="e">
        <f>AND('GA55 Only Print'!#REF!,"AAAAAGn75W0=")</f>
        <v>#REF!</v>
      </c>
      <c r="DG244" t="e">
        <f>AND('GA55 Only Print'!#REF!,"AAAAAGn75W4=")</f>
        <v>#REF!</v>
      </c>
      <c r="DH244" t="e">
        <f>AND('GA55 Only Print'!#REF!,"AAAAAGn75W8=")</f>
        <v>#REF!</v>
      </c>
      <c r="DI244" t="e">
        <f>AND('GA55 Only Print'!#REF!,"AAAAAGn75XA=")</f>
        <v>#REF!</v>
      </c>
      <c r="DJ244" t="e">
        <f>AND('GA55 Only Print'!#REF!,"AAAAAGn75XE=")</f>
        <v>#REF!</v>
      </c>
      <c r="DK244" t="e">
        <f>AND('GA55 Only Print'!#REF!,"AAAAAGn75XI=")</f>
        <v>#REF!</v>
      </c>
      <c r="DL244" t="e">
        <f>AND('GA55 Only Print'!#REF!,"AAAAAGn75XM=")</f>
        <v>#REF!</v>
      </c>
      <c r="DM244" t="e">
        <f>AND('GA55 Only Print'!#REF!,"AAAAAGn75XQ=")</f>
        <v>#REF!</v>
      </c>
      <c r="DN244" t="e">
        <f>AND('GA55 Only Print'!#REF!,"AAAAAGn75XU=")</f>
        <v>#REF!</v>
      </c>
      <c r="DO244" t="e">
        <f>AND('GA55 Only Print'!#REF!,"AAAAAGn75XY=")</f>
        <v>#REF!</v>
      </c>
      <c r="DP244" t="e">
        <f>AND('GA55 Only Print'!#REF!,"AAAAAGn75Xc=")</f>
        <v>#REF!</v>
      </c>
      <c r="DQ244" t="e">
        <f>AND('GA55 Only Print'!#REF!,"AAAAAGn75Xg=")</f>
        <v>#REF!</v>
      </c>
      <c r="DR244" t="e">
        <f>AND('GA55 Only Print'!#REF!,"AAAAAGn75Xk=")</f>
        <v>#REF!</v>
      </c>
      <c r="DS244" t="e">
        <f>AND('GA55 Only Print'!#REF!,"AAAAAGn75Xo=")</f>
        <v>#REF!</v>
      </c>
      <c r="DT244" t="e">
        <f>AND('GA55 Only Print'!#REF!,"AAAAAGn75Xs=")</f>
        <v>#REF!</v>
      </c>
      <c r="DU244" t="e">
        <f>AND('GA55 Only Print'!#REF!,"AAAAAGn75Xw=")</f>
        <v>#REF!</v>
      </c>
      <c r="DV244" t="e">
        <f>AND('GA55 Only Print'!#REF!,"AAAAAGn75X0=")</f>
        <v>#REF!</v>
      </c>
      <c r="DW244" t="e">
        <f>AND('GA55 Only Print'!#REF!,"AAAAAGn75X4=")</f>
        <v>#REF!</v>
      </c>
      <c r="DX244" t="e">
        <f>AND('GA55 Only Print'!#REF!,"AAAAAGn75X8=")</f>
        <v>#REF!</v>
      </c>
      <c r="DY244" t="e">
        <f>AND('GA55 Only Print'!#REF!,"AAAAAGn75YA=")</f>
        <v>#REF!</v>
      </c>
      <c r="DZ244" t="e">
        <f>AND('GA55 Only Print'!#REF!,"AAAAAGn75YE=")</f>
        <v>#REF!</v>
      </c>
      <c r="EA244" t="e">
        <f>AND('GA55 Only Print'!#REF!,"AAAAAGn75YI=")</f>
        <v>#REF!</v>
      </c>
      <c r="EB244" t="e">
        <f>AND('GA55 Only Print'!#REF!,"AAAAAGn75YM=")</f>
        <v>#REF!</v>
      </c>
      <c r="EC244" t="e">
        <f>AND('GA55 Only Print'!#REF!,"AAAAAGn75YQ=")</f>
        <v>#REF!</v>
      </c>
      <c r="ED244" t="e">
        <f>AND('GA55 Only Print'!#REF!,"AAAAAGn75YU=")</f>
        <v>#REF!</v>
      </c>
      <c r="EE244" t="e">
        <f>AND('GA55 Only Print'!#REF!,"AAAAAGn75YY=")</f>
        <v>#REF!</v>
      </c>
      <c r="EF244" t="e">
        <f>AND('GA55 Only Print'!#REF!,"AAAAAGn75Yc=")</f>
        <v>#REF!</v>
      </c>
      <c r="EG244" t="e">
        <f>AND('GA55 Only Print'!#REF!,"AAAAAGn75Yg=")</f>
        <v>#REF!</v>
      </c>
      <c r="EH244" t="e">
        <f>AND('GA55 Only Print'!#REF!,"AAAAAGn75Yk=")</f>
        <v>#REF!</v>
      </c>
      <c r="EI244" t="e">
        <f>AND('GA55 Only Print'!#REF!,"AAAAAGn75Yo=")</f>
        <v>#REF!</v>
      </c>
      <c r="EJ244" t="e">
        <f>AND('GA55 Only Print'!#REF!,"AAAAAGn75Ys=")</f>
        <v>#REF!</v>
      </c>
      <c r="EK244" t="e">
        <f>AND('GA55 Only Print'!#REF!,"AAAAAGn75Yw=")</f>
        <v>#REF!</v>
      </c>
      <c r="EL244" t="e">
        <f>AND('GA55 Only Print'!#REF!,"AAAAAGn75Y0=")</f>
        <v>#REF!</v>
      </c>
      <c r="EM244" t="e">
        <f>AND('GA55 Only Print'!#REF!,"AAAAAGn75Y4=")</f>
        <v>#REF!</v>
      </c>
      <c r="EN244" t="e">
        <f>AND('GA55 Only Print'!#REF!,"AAAAAGn75Y8=")</f>
        <v>#REF!</v>
      </c>
      <c r="EO244" t="e">
        <f>AND('GA55 Only Print'!#REF!,"AAAAAGn75ZA=")</f>
        <v>#REF!</v>
      </c>
      <c r="EP244" t="e">
        <f>AND('GA55 Only Print'!#REF!,"AAAAAGn75ZE=")</f>
        <v>#REF!</v>
      </c>
      <c r="EQ244" t="e">
        <f>AND('GA55 Only Print'!#REF!,"AAAAAGn75ZI=")</f>
        <v>#REF!</v>
      </c>
      <c r="ER244" t="e">
        <f>AND('GA55 Only Print'!#REF!,"AAAAAGn75ZM=")</f>
        <v>#REF!</v>
      </c>
      <c r="ES244" t="e">
        <f>AND('GA55 Only Print'!#REF!,"AAAAAGn75ZQ=")</f>
        <v>#REF!</v>
      </c>
      <c r="ET244" t="e">
        <f>AND('GA55 Only Print'!#REF!,"AAAAAGn75ZU=")</f>
        <v>#REF!</v>
      </c>
      <c r="EU244" t="e">
        <f>AND('GA55 Only Print'!#REF!,"AAAAAGn75ZY=")</f>
        <v>#REF!</v>
      </c>
      <c r="EV244" t="e">
        <f>AND('GA55 Only Print'!#REF!,"AAAAAGn75Zc=")</f>
        <v>#REF!</v>
      </c>
      <c r="EW244" t="e">
        <f>AND('GA55 Only Print'!#REF!,"AAAAAGn75Zg=")</f>
        <v>#REF!</v>
      </c>
      <c r="EX244" t="e">
        <f>AND('GA55 Only Print'!#REF!,"AAAAAGn75Zk=")</f>
        <v>#REF!</v>
      </c>
      <c r="EY244" t="e">
        <f>AND('GA55 Only Print'!#REF!,"AAAAAGn75Zo=")</f>
        <v>#REF!</v>
      </c>
      <c r="EZ244" t="e">
        <f>AND('GA55 Only Print'!#REF!,"AAAAAGn75Zs=")</f>
        <v>#REF!</v>
      </c>
      <c r="FA244" t="e">
        <f>AND('GA55 Only Print'!#REF!,"AAAAAGn75Zw=")</f>
        <v>#REF!</v>
      </c>
      <c r="FB244" t="e">
        <f>AND('GA55 Only Print'!#REF!,"AAAAAGn75Z0=")</f>
        <v>#REF!</v>
      </c>
      <c r="FC244" t="e">
        <f>AND('GA55 Only Print'!#REF!,"AAAAAGn75Z4=")</f>
        <v>#REF!</v>
      </c>
      <c r="FD244" t="e">
        <f>AND('GA55 Only Print'!#REF!,"AAAAAGn75Z8=")</f>
        <v>#REF!</v>
      </c>
      <c r="FE244" t="e">
        <f>AND('GA55 Only Print'!#REF!,"AAAAAGn75aA=")</f>
        <v>#REF!</v>
      </c>
      <c r="FF244" t="e">
        <f>AND('GA55 Only Print'!#REF!,"AAAAAGn75aE=")</f>
        <v>#REF!</v>
      </c>
      <c r="FG244" t="e">
        <f>AND('GA55 Only Print'!#REF!,"AAAAAGn75aI=")</f>
        <v>#REF!</v>
      </c>
      <c r="FH244" t="e">
        <f>AND('GA55 Only Print'!#REF!,"AAAAAGn75aM=")</f>
        <v>#REF!</v>
      </c>
      <c r="FI244" t="e">
        <f>AND('GA55 Only Print'!#REF!,"AAAAAGn75aQ=")</f>
        <v>#REF!</v>
      </c>
      <c r="FJ244" t="e">
        <f>AND('GA55 Only Print'!#REF!,"AAAAAGn75aU=")</f>
        <v>#REF!</v>
      </c>
      <c r="FK244" t="e">
        <f>AND('GA55 Only Print'!#REF!,"AAAAAGn75aY=")</f>
        <v>#REF!</v>
      </c>
      <c r="FL244" t="e">
        <f>AND('GA55 Only Print'!#REF!,"AAAAAGn75ac=")</f>
        <v>#REF!</v>
      </c>
      <c r="FM244" t="e">
        <f>AND('GA55 Only Print'!#REF!,"AAAAAGn75ag=")</f>
        <v>#REF!</v>
      </c>
      <c r="FN244" t="e">
        <f>AND('GA55 Only Print'!#REF!,"AAAAAGn75ak=")</f>
        <v>#REF!</v>
      </c>
      <c r="FO244" t="e">
        <f>AND('GA55 Only Print'!#REF!,"AAAAAGn75ao=")</f>
        <v>#REF!</v>
      </c>
      <c r="FP244" t="e">
        <f>AND('GA55 Only Print'!#REF!,"AAAAAGn75as=")</f>
        <v>#REF!</v>
      </c>
      <c r="FQ244" t="e">
        <f>AND('GA55 Only Print'!#REF!,"AAAAAGn75aw=")</f>
        <v>#REF!</v>
      </c>
      <c r="FR244" t="e">
        <f>AND('GA55 Only Print'!#REF!,"AAAAAGn75a0=")</f>
        <v>#REF!</v>
      </c>
      <c r="FS244" t="e">
        <f>AND('GA55 Only Print'!#REF!,"AAAAAGn75a4=")</f>
        <v>#REF!</v>
      </c>
      <c r="FT244" t="e">
        <f>AND('GA55 Only Print'!#REF!,"AAAAAGn75a8=")</f>
        <v>#REF!</v>
      </c>
      <c r="FU244" t="e">
        <f>IF('GA55 Only Print'!#REF!,"AAAAAGn75bA=",0)</f>
        <v>#REF!</v>
      </c>
      <c r="FV244" t="e">
        <f>AND('GA55 Only Print'!#REF!,"AAAAAGn75bE=")</f>
        <v>#REF!</v>
      </c>
      <c r="FW244" t="e">
        <f>AND('GA55 Only Print'!#REF!,"AAAAAGn75bI=")</f>
        <v>#REF!</v>
      </c>
      <c r="FX244" t="e">
        <f>AND('GA55 Only Print'!#REF!,"AAAAAGn75bM=")</f>
        <v>#REF!</v>
      </c>
      <c r="FY244" t="e">
        <f>AND('GA55 Only Print'!#REF!,"AAAAAGn75bQ=")</f>
        <v>#REF!</v>
      </c>
      <c r="FZ244" t="e">
        <f>AND('GA55 Only Print'!#REF!,"AAAAAGn75bU=")</f>
        <v>#REF!</v>
      </c>
      <c r="GA244" t="e">
        <f>AND('GA55 Only Print'!#REF!,"AAAAAGn75bY=")</f>
        <v>#REF!</v>
      </c>
      <c r="GB244" t="e">
        <f>AND('GA55 Only Print'!#REF!,"AAAAAGn75bc=")</f>
        <v>#REF!</v>
      </c>
      <c r="GC244" t="e">
        <f>AND('GA55 Only Print'!#REF!,"AAAAAGn75bg=")</f>
        <v>#REF!</v>
      </c>
      <c r="GD244" t="e">
        <f>AND('GA55 Only Print'!#REF!,"AAAAAGn75bk=")</f>
        <v>#REF!</v>
      </c>
      <c r="GE244" t="e">
        <f>AND('GA55 Only Print'!#REF!,"AAAAAGn75bo=")</f>
        <v>#REF!</v>
      </c>
      <c r="GF244" t="e">
        <f>AND('GA55 Only Print'!#REF!,"AAAAAGn75bs=")</f>
        <v>#REF!</v>
      </c>
      <c r="GG244" t="e">
        <f>AND('GA55 Only Print'!#REF!,"AAAAAGn75bw=")</f>
        <v>#REF!</v>
      </c>
      <c r="GH244" t="e">
        <f>AND('GA55 Only Print'!#REF!,"AAAAAGn75b0=")</f>
        <v>#REF!</v>
      </c>
      <c r="GI244" t="e">
        <f>AND('GA55 Only Print'!#REF!,"AAAAAGn75b4=")</f>
        <v>#REF!</v>
      </c>
      <c r="GJ244" t="e">
        <f>AND('GA55 Only Print'!#REF!,"AAAAAGn75b8=")</f>
        <v>#REF!</v>
      </c>
      <c r="GK244" t="e">
        <f>AND('GA55 Only Print'!#REF!,"AAAAAGn75cA=")</f>
        <v>#REF!</v>
      </c>
      <c r="GL244" t="e">
        <f>AND('GA55 Only Print'!#REF!,"AAAAAGn75cE=")</f>
        <v>#REF!</v>
      </c>
      <c r="GM244" t="e">
        <f>AND('GA55 Only Print'!#REF!,"AAAAAGn75cI=")</f>
        <v>#REF!</v>
      </c>
      <c r="GN244" t="e">
        <f>AND('GA55 Only Print'!#REF!,"AAAAAGn75cM=")</f>
        <v>#REF!</v>
      </c>
      <c r="GO244" t="e">
        <f>AND('GA55 Only Print'!#REF!,"AAAAAGn75cQ=")</f>
        <v>#REF!</v>
      </c>
      <c r="GP244" t="e">
        <f>AND('GA55 Only Print'!#REF!,"AAAAAGn75cU=")</f>
        <v>#REF!</v>
      </c>
      <c r="GQ244" t="e">
        <f>AND('GA55 Only Print'!#REF!,"AAAAAGn75cY=")</f>
        <v>#REF!</v>
      </c>
      <c r="GR244" t="e">
        <f>AND('GA55 Only Print'!#REF!,"AAAAAGn75cc=")</f>
        <v>#REF!</v>
      </c>
      <c r="GS244" t="e">
        <f>AND('GA55 Only Print'!#REF!,"AAAAAGn75cg=")</f>
        <v>#REF!</v>
      </c>
      <c r="GT244" t="e">
        <f>AND('GA55 Only Print'!#REF!,"AAAAAGn75ck=")</f>
        <v>#REF!</v>
      </c>
      <c r="GU244" t="e">
        <f>AND('GA55 Only Print'!#REF!,"AAAAAGn75co=")</f>
        <v>#REF!</v>
      </c>
      <c r="GV244" t="e">
        <f>AND('GA55 Only Print'!#REF!,"AAAAAGn75cs=")</f>
        <v>#REF!</v>
      </c>
      <c r="GW244" t="e">
        <f>AND('GA55 Only Print'!#REF!,"AAAAAGn75cw=")</f>
        <v>#REF!</v>
      </c>
      <c r="GX244" t="e">
        <f>AND('GA55 Only Print'!#REF!,"AAAAAGn75c0=")</f>
        <v>#REF!</v>
      </c>
      <c r="GY244" t="e">
        <f>AND('GA55 Only Print'!#REF!,"AAAAAGn75c4=")</f>
        <v>#REF!</v>
      </c>
      <c r="GZ244" t="e">
        <f>AND('GA55 Only Print'!#REF!,"AAAAAGn75c8=")</f>
        <v>#REF!</v>
      </c>
      <c r="HA244" t="e">
        <f>AND('GA55 Only Print'!#REF!,"AAAAAGn75dA=")</f>
        <v>#REF!</v>
      </c>
      <c r="HB244" t="e">
        <f>AND('GA55 Only Print'!#REF!,"AAAAAGn75dE=")</f>
        <v>#REF!</v>
      </c>
      <c r="HC244" t="e">
        <f>AND('GA55 Only Print'!#REF!,"AAAAAGn75dI=")</f>
        <v>#REF!</v>
      </c>
      <c r="HD244" t="e">
        <f>AND('GA55 Only Print'!#REF!,"AAAAAGn75dM=")</f>
        <v>#REF!</v>
      </c>
      <c r="HE244" t="e">
        <f>AND('GA55 Only Print'!#REF!,"AAAAAGn75dQ=")</f>
        <v>#REF!</v>
      </c>
      <c r="HF244" t="e">
        <f>AND('GA55 Only Print'!#REF!,"AAAAAGn75dU=")</f>
        <v>#REF!</v>
      </c>
      <c r="HG244" t="e">
        <f>AND('GA55 Only Print'!#REF!,"AAAAAGn75dY=")</f>
        <v>#REF!</v>
      </c>
      <c r="HH244" t="e">
        <f>AND('GA55 Only Print'!#REF!,"AAAAAGn75dc=")</f>
        <v>#REF!</v>
      </c>
      <c r="HI244" t="e">
        <f>AND('GA55 Only Print'!#REF!,"AAAAAGn75dg=")</f>
        <v>#REF!</v>
      </c>
      <c r="HJ244" t="e">
        <f>AND('GA55 Only Print'!#REF!,"AAAAAGn75dk=")</f>
        <v>#REF!</v>
      </c>
      <c r="HK244" t="e">
        <f>AND('GA55 Only Print'!#REF!,"AAAAAGn75do=")</f>
        <v>#REF!</v>
      </c>
      <c r="HL244" t="e">
        <f>AND('GA55 Only Print'!#REF!,"AAAAAGn75ds=")</f>
        <v>#REF!</v>
      </c>
      <c r="HM244" t="e">
        <f>AND('GA55 Only Print'!#REF!,"AAAAAGn75dw=")</f>
        <v>#REF!</v>
      </c>
      <c r="HN244" t="e">
        <f>AND('GA55 Only Print'!#REF!,"AAAAAGn75d0=")</f>
        <v>#REF!</v>
      </c>
      <c r="HO244" t="e">
        <f>AND('GA55 Only Print'!#REF!,"AAAAAGn75d4=")</f>
        <v>#REF!</v>
      </c>
      <c r="HP244" t="e">
        <f>AND('GA55 Only Print'!#REF!,"AAAAAGn75d8=")</f>
        <v>#REF!</v>
      </c>
      <c r="HQ244" t="e">
        <f>AND('GA55 Only Print'!#REF!,"AAAAAGn75eA=")</f>
        <v>#REF!</v>
      </c>
      <c r="HR244" t="e">
        <f>AND('GA55 Only Print'!#REF!,"AAAAAGn75eE=")</f>
        <v>#REF!</v>
      </c>
      <c r="HS244" t="e">
        <f>AND('GA55 Only Print'!#REF!,"AAAAAGn75eI=")</f>
        <v>#REF!</v>
      </c>
      <c r="HT244" t="e">
        <f>AND('GA55 Only Print'!#REF!,"AAAAAGn75eM=")</f>
        <v>#REF!</v>
      </c>
      <c r="HU244" t="e">
        <f>AND('GA55 Only Print'!#REF!,"AAAAAGn75eQ=")</f>
        <v>#REF!</v>
      </c>
      <c r="HV244" t="e">
        <f>AND('GA55 Only Print'!#REF!,"AAAAAGn75eU=")</f>
        <v>#REF!</v>
      </c>
      <c r="HW244" t="e">
        <f>AND('GA55 Only Print'!#REF!,"AAAAAGn75eY=")</f>
        <v>#REF!</v>
      </c>
      <c r="HX244" t="e">
        <f>AND('GA55 Only Print'!#REF!,"AAAAAGn75ec=")</f>
        <v>#REF!</v>
      </c>
      <c r="HY244" t="e">
        <f>AND('GA55 Only Print'!#REF!,"AAAAAGn75eg=")</f>
        <v>#REF!</v>
      </c>
      <c r="HZ244" t="e">
        <f>AND('GA55 Only Print'!#REF!,"AAAAAGn75ek=")</f>
        <v>#REF!</v>
      </c>
      <c r="IA244" t="e">
        <f>AND('GA55 Only Print'!#REF!,"AAAAAGn75eo=")</f>
        <v>#REF!</v>
      </c>
      <c r="IB244" t="e">
        <f>AND('GA55 Only Print'!#REF!,"AAAAAGn75es=")</f>
        <v>#REF!</v>
      </c>
      <c r="IC244" t="e">
        <f>AND('GA55 Only Print'!#REF!,"AAAAAGn75ew=")</f>
        <v>#REF!</v>
      </c>
      <c r="ID244" t="e">
        <f>AND('GA55 Only Print'!#REF!,"AAAAAGn75e0=")</f>
        <v>#REF!</v>
      </c>
      <c r="IE244" t="e">
        <f>AND('GA55 Only Print'!#REF!,"AAAAAGn75e4=")</f>
        <v>#REF!</v>
      </c>
      <c r="IF244" t="e">
        <f>AND('GA55 Only Print'!#REF!,"AAAAAGn75e8=")</f>
        <v>#REF!</v>
      </c>
      <c r="IG244" t="e">
        <f>AND('GA55 Only Print'!#REF!,"AAAAAGn75fA=")</f>
        <v>#REF!</v>
      </c>
      <c r="IH244" t="e">
        <f>AND('GA55 Only Print'!#REF!,"AAAAAGn75fE=")</f>
        <v>#REF!</v>
      </c>
      <c r="II244" t="e">
        <f>AND('GA55 Only Print'!#REF!,"AAAAAGn75fI=")</f>
        <v>#REF!</v>
      </c>
      <c r="IJ244" t="e">
        <f>AND('GA55 Only Print'!#REF!,"AAAAAGn75fM=")</f>
        <v>#REF!</v>
      </c>
      <c r="IK244" t="e">
        <f>AND('GA55 Only Print'!#REF!,"AAAAAGn75fQ=")</f>
        <v>#REF!</v>
      </c>
      <c r="IL244" t="e">
        <f>AND('GA55 Only Print'!#REF!,"AAAAAGn75fU=")</f>
        <v>#REF!</v>
      </c>
      <c r="IM244" t="e">
        <f>AND('GA55 Only Print'!#REF!,"AAAAAGn75fY=")</f>
        <v>#REF!</v>
      </c>
      <c r="IN244" t="e">
        <f>AND('GA55 Only Print'!#REF!,"AAAAAGn75fc=")</f>
        <v>#REF!</v>
      </c>
      <c r="IO244" t="e">
        <f>AND('GA55 Only Print'!#REF!,"AAAAAGn75fg=")</f>
        <v>#REF!</v>
      </c>
      <c r="IP244" t="e">
        <f>AND('GA55 Only Print'!#REF!,"AAAAAGn75fk=")</f>
        <v>#REF!</v>
      </c>
      <c r="IQ244" t="e">
        <f>AND('GA55 Only Print'!#REF!,"AAAAAGn75fo=")</f>
        <v>#REF!</v>
      </c>
      <c r="IR244" t="e">
        <f>IF('GA55 Only Print'!#REF!,"AAAAAGn75fs=",0)</f>
        <v>#REF!</v>
      </c>
      <c r="IS244" t="e">
        <f>AND('GA55 Only Print'!#REF!,"AAAAAGn75fw=")</f>
        <v>#REF!</v>
      </c>
      <c r="IT244" t="e">
        <f>AND('GA55 Only Print'!#REF!,"AAAAAGn75f0=")</f>
        <v>#REF!</v>
      </c>
      <c r="IU244" t="e">
        <f>AND('GA55 Only Print'!#REF!,"AAAAAGn75f4=")</f>
        <v>#REF!</v>
      </c>
      <c r="IV244" t="e">
        <f>AND('GA55 Only Print'!#REF!,"AAAAAGn75f8=")</f>
        <v>#REF!</v>
      </c>
    </row>
    <row r="245" spans="1:256">
      <c r="A245" t="e">
        <f>AND('GA55 Only Print'!#REF!,"AAAAAA/f6wA=")</f>
        <v>#REF!</v>
      </c>
      <c r="B245" t="e">
        <f>AND('GA55 Only Print'!#REF!,"AAAAAA/f6wE=")</f>
        <v>#REF!</v>
      </c>
      <c r="C245" t="e">
        <f>AND('GA55 Only Print'!#REF!,"AAAAAA/f6wI=")</f>
        <v>#REF!</v>
      </c>
      <c r="D245" t="e">
        <f>AND('GA55 Only Print'!#REF!,"AAAAAA/f6wM=")</f>
        <v>#REF!</v>
      </c>
      <c r="E245" t="e">
        <f>AND('GA55 Only Print'!#REF!,"AAAAAA/f6wQ=")</f>
        <v>#REF!</v>
      </c>
      <c r="F245" t="e">
        <f>AND('GA55 Only Print'!#REF!,"AAAAAA/f6wU=")</f>
        <v>#REF!</v>
      </c>
      <c r="G245" t="e">
        <f>AND('GA55 Only Print'!#REF!,"AAAAAA/f6wY=")</f>
        <v>#REF!</v>
      </c>
      <c r="H245" t="e">
        <f>AND('GA55 Only Print'!#REF!,"AAAAAA/f6wc=")</f>
        <v>#REF!</v>
      </c>
      <c r="I245" t="e">
        <f>AND('GA55 Only Print'!#REF!,"AAAAAA/f6wg=")</f>
        <v>#REF!</v>
      </c>
      <c r="J245" t="e">
        <f>AND('GA55 Only Print'!#REF!,"AAAAAA/f6wk=")</f>
        <v>#REF!</v>
      </c>
      <c r="K245" t="e">
        <f>AND('GA55 Only Print'!#REF!,"AAAAAA/f6wo=")</f>
        <v>#REF!</v>
      </c>
      <c r="L245" t="e">
        <f>AND('GA55 Only Print'!#REF!,"AAAAAA/f6ws=")</f>
        <v>#REF!</v>
      </c>
      <c r="M245" t="e">
        <f>AND('GA55 Only Print'!#REF!,"AAAAAA/f6ww=")</f>
        <v>#REF!</v>
      </c>
      <c r="N245" t="e">
        <f>AND('GA55 Only Print'!#REF!,"AAAAAA/f6w0=")</f>
        <v>#REF!</v>
      </c>
      <c r="O245" t="e">
        <f>AND('GA55 Only Print'!#REF!,"AAAAAA/f6w4=")</f>
        <v>#REF!</v>
      </c>
      <c r="P245" t="e">
        <f>AND('GA55 Only Print'!#REF!,"AAAAAA/f6w8=")</f>
        <v>#REF!</v>
      </c>
      <c r="Q245" t="e">
        <f>AND('GA55 Only Print'!#REF!,"AAAAAA/f6xA=")</f>
        <v>#REF!</v>
      </c>
      <c r="R245" t="e">
        <f>AND('GA55 Only Print'!#REF!,"AAAAAA/f6xE=")</f>
        <v>#REF!</v>
      </c>
      <c r="S245" t="e">
        <f>AND('GA55 Only Print'!#REF!,"AAAAAA/f6xI=")</f>
        <v>#REF!</v>
      </c>
      <c r="T245" t="e">
        <f>AND('GA55 Only Print'!#REF!,"AAAAAA/f6xM=")</f>
        <v>#REF!</v>
      </c>
      <c r="U245" t="e">
        <f>AND('GA55 Only Print'!#REF!,"AAAAAA/f6xQ=")</f>
        <v>#REF!</v>
      </c>
      <c r="V245" t="e">
        <f>AND('GA55 Only Print'!#REF!,"AAAAAA/f6xU=")</f>
        <v>#REF!</v>
      </c>
      <c r="W245" t="e">
        <f>AND('GA55 Only Print'!#REF!,"AAAAAA/f6xY=")</f>
        <v>#REF!</v>
      </c>
      <c r="X245" t="e">
        <f>AND('GA55 Only Print'!#REF!,"AAAAAA/f6xc=")</f>
        <v>#REF!</v>
      </c>
      <c r="Y245" t="e">
        <f>AND('GA55 Only Print'!#REF!,"AAAAAA/f6xg=")</f>
        <v>#REF!</v>
      </c>
      <c r="Z245" t="e">
        <f>AND('GA55 Only Print'!#REF!,"AAAAAA/f6xk=")</f>
        <v>#REF!</v>
      </c>
      <c r="AA245" t="e">
        <f>AND('GA55 Only Print'!#REF!,"AAAAAA/f6xo=")</f>
        <v>#REF!</v>
      </c>
      <c r="AB245" t="e">
        <f>AND('GA55 Only Print'!#REF!,"AAAAAA/f6xs=")</f>
        <v>#REF!</v>
      </c>
      <c r="AC245" t="e">
        <f>AND('GA55 Only Print'!#REF!,"AAAAAA/f6xw=")</f>
        <v>#REF!</v>
      </c>
      <c r="AD245" t="e">
        <f>AND('GA55 Only Print'!#REF!,"AAAAAA/f6x0=")</f>
        <v>#REF!</v>
      </c>
      <c r="AE245" t="e">
        <f>AND('GA55 Only Print'!#REF!,"AAAAAA/f6x4=")</f>
        <v>#REF!</v>
      </c>
      <c r="AF245" t="e">
        <f>AND('GA55 Only Print'!#REF!,"AAAAAA/f6x8=")</f>
        <v>#REF!</v>
      </c>
      <c r="AG245" t="e">
        <f>AND('GA55 Only Print'!#REF!,"AAAAAA/f6yA=")</f>
        <v>#REF!</v>
      </c>
      <c r="AH245" t="e">
        <f>AND('GA55 Only Print'!#REF!,"AAAAAA/f6yE=")</f>
        <v>#REF!</v>
      </c>
      <c r="AI245" t="e">
        <f>AND('GA55 Only Print'!#REF!,"AAAAAA/f6yI=")</f>
        <v>#REF!</v>
      </c>
      <c r="AJ245" t="e">
        <f>AND('GA55 Only Print'!#REF!,"AAAAAA/f6yM=")</f>
        <v>#REF!</v>
      </c>
      <c r="AK245" t="e">
        <f>AND('GA55 Only Print'!#REF!,"AAAAAA/f6yQ=")</f>
        <v>#REF!</v>
      </c>
      <c r="AL245" t="e">
        <f>AND('GA55 Only Print'!#REF!,"AAAAAA/f6yU=")</f>
        <v>#REF!</v>
      </c>
      <c r="AM245" t="e">
        <f>AND('GA55 Only Print'!#REF!,"AAAAAA/f6yY=")</f>
        <v>#REF!</v>
      </c>
      <c r="AN245" t="e">
        <f>AND('GA55 Only Print'!#REF!,"AAAAAA/f6yc=")</f>
        <v>#REF!</v>
      </c>
      <c r="AO245" t="e">
        <f>AND('GA55 Only Print'!#REF!,"AAAAAA/f6yg=")</f>
        <v>#REF!</v>
      </c>
      <c r="AP245" t="e">
        <f>AND('GA55 Only Print'!#REF!,"AAAAAA/f6yk=")</f>
        <v>#REF!</v>
      </c>
      <c r="AQ245" t="e">
        <f>AND('GA55 Only Print'!#REF!,"AAAAAA/f6yo=")</f>
        <v>#REF!</v>
      </c>
      <c r="AR245" t="e">
        <f>AND('GA55 Only Print'!#REF!,"AAAAAA/f6ys=")</f>
        <v>#REF!</v>
      </c>
      <c r="AS245" t="e">
        <f>AND('GA55 Only Print'!#REF!,"AAAAAA/f6yw=")</f>
        <v>#REF!</v>
      </c>
      <c r="AT245" t="e">
        <f>AND('GA55 Only Print'!#REF!,"AAAAAA/f6y0=")</f>
        <v>#REF!</v>
      </c>
      <c r="AU245" t="e">
        <f>AND('GA55 Only Print'!#REF!,"AAAAAA/f6y4=")</f>
        <v>#REF!</v>
      </c>
      <c r="AV245" t="e">
        <f>AND('GA55 Only Print'!#REF!,"AAAAAA/f6y8=")</f>
        <v>#REF!</v>
      </c>
      <c r="AW245" t="e">
        <f>AND('GA55 Only Print'!#REF!,"AAAAAA/f6zA=")</f>
        <v>#REF!</v>
      </c>
      <c r="AX245" t="e">
        <f>AND('GA55 Only Print'!#REF!,"AAAAAA/f6zE=")</f>
        <v>#REF!</v>
      </c>
      <c r="AY245" t="e">
        <f>AND('GA55 Only Print'!#REF!,"AAAAAA/f6zI=")</f>
        <v>#REF!</v>
      </c>
      <c r="AZ245" t="e">
        <f>AND('GA55 Only Print'!#REF!,"AAAAAA/f6zM=")</f>
        <v>#REF!</v>
      </c>
      <c r="BA245" t="e">
        <f>AND('GA55 Only Print'!#REF!,"AAAAAA/f6zQ=")</f>
        <v>#REF!</v>
      </c>
      <c r="BB245" t="e">
        <f>AND('GA55 Only Print'!#REF!,"AAAAAA/f6zU=")</f>
        <v>#REF!</v>
      </c>
      <c r="BC245" t="e">
        <f>AND('GA55 Only Print'!#REF!,"AAAAAA/f6zY=")</f>
        <v>#REF!</v>
      </c>
      <c r="BD245" t="e">
        <f>AND('GA55 Only Print'!#REF!,"AAAAAA/f6zc=")</f>
        <v>#REF!</v>
      </c>
      <c r="BE245" t="e">
        <f>AND('GA55 Only Print'!#REF!,"AAAAAA/f6zg=")</f>
        <v>#REF!</v>
      </c>
      <c r="BF245" t="e">
        <f>AND('GA55 Only Print'!#REF!,"AAAAAA/f6zk=")</f>
        <v>#REF!</v>
      </c>
      <c r="BG245" t="e">
        <f>AND('GA55 Only Print'!#REF!,"AAAAAA/f6zo=")</f>
        <v>#REF!</v>
      </c>
      <c r="BH245" t="e">
        <f>AND('GA55 Only Print'!#REF!,"AAAAAA/f6zs=")</f>
        <v>#REF!</v>
      </c>
      <c r="BI245" t="e">
        <f>AND('GA55 Only Print'!#REF!,"AAAAAA/f6zw=")</f>
        <v>#REF!</v>
      </c>
      <c r="BJ245" t="e">
        <f>AND('GA55 Only Print'!#REF!,"AAAAAA/f6z0=")</f>
        <v>#REF!</v>
      </c>
      <c r="BK245" t="e">
        <f>AND('GA55 Only Print'!#REF!,"AAAAAA/f6z4=")</f>
        <v>#REF!</v>
      </c>
      <c r="BL245" t="e">
        <f>AND('GA55 Only Print'!#REF!,"AAAAAA/f6z8=")</f>
        <v>#REF!</v>
      </c>
      <c r="BM245" t="e">
        <f>AND('GA55 Only Print'!#REF!,"AAAAAA/f60A=")</f>
        <v>#REF!</v>
      </c>
      <c r="BN245" t="e">
        <f>AND('GA55 Only Print'!#REF!,"AAAAAA/f60E=")</f>
        <v>#REF!</v>
      </c>
      <c r="BO245" t="e">
        <f>AND('GA55 Only Print'!#REF!,"AAAAAA/f60I=")</f>
        <v>#REF!</v>
      </c>
      <c r="BP245" t="e">
        <f>AND('GA55 Only Print'!#REF!,"AAAAAA/f60M=")</f>
        <v>#REF!</v>
      </c>
      <c r="BQ245" t="e">
        <f>AND('GA55 Only Print'!#REF!,"AAAAAA/f60Q=")</f>
        <v>#REF!</v>
      </c>
      <c r="BR245" t="e">
        <f>AND('GA55 Only Print'!#REF!,"AAAAAA/f60U=")</f>
        <v>#REF!</v>
      </c>
      <c r="BS245" t="e">
        <f>IF('GA55 Only Print'!#REF!,"AAAAAA/f60Y=",0)</f>
        <v>#REF!</v>
      </c>
      <c r="BT245" t="e">
        <f>AND('GA55 Only Print'!#REF!,"AAAAAA/f60c=")</f>
        <v>#REF!</v>
      </c>
      <c r="BU245" t="e">
        <f>AND('GA55 Only Print'!#REF!,"AAAAAA/f60g=")</f>
        <v>#REF!</v>
      </c>
      <c r="BV245" t="e">
        <f>AND('GA55 Only Print'!#REF!,"AAAAAA/f60k=")</f>
        <v>#REF!</v>
      </c>
      <c r="BW245" t="e">
        <f>AND('GA55 Only Print'!#REF!,"AAAAAA/f60o=")</f>
        <v>#REF!</v>
      </c>
      <c r="BX245" t="e">
        <f>AND('GA55 Only Print'!#REF!,"AAAAAA/f60s=")</f>
        <v>#REF!</v>
      </c>
      <c r="BY245" t="e">
        <f>AND('GA55 Only Print'!#REF!,"AAAAAA/f60w=")</f>
        <v>#REF!</v>
      </c>
      <c r="BZ245" t="e">
        <f>AND('GA55 Only Print'!#REF!,"AAAAAA/f600=")</f>
        <v>#REF!</v>
      </c>
      <c r="CA245" t="e">
        <f>AND('GA55 Only Print'!#REF!,"AAAAAA/f604=")</f>
        <v>#REF!</v>
      </c>
      <c r="CB245" t="e">
        <f>AND('GA55 Only Print'!#REF!,"AAAAAA/f608=")</f>
        <v>#REF!</v>
      </c>
      <c r="CC245" t="e">
        <f>AND('GA55 Only Print'!#REF!,"AAAAAA/f61A=")</f>
        <v>#REF!</v>
      </c>
      <c r="CD245" t="e">
        <f>AND('GA55 Only Print'!#REF!,"AAAAAA/f61E=")</f>
        <v>#REF!</v>
      </c>
      <c r="CE245" t="e">
        <f>AND('GA55 Only Print'!#REF!,"AAAAAA/f61I=")</f>
        <v>#REF!</v>
      </c>
      <c r="CF245" t="e">
        <f>AND('GA55 Only Print'!#REF!,"AAAAAA/f61M=")</f>
        <v>#REF!</v>
      </c>
      <c r="CG245" t="e">
        <f>AND('GA55 Only Print'!#REF!,"AAAAAA/f61Q=")</f>
        <v>#REF!</v>
      </c>
      <c r="CH245" t="e">
        <f>AND('GA55 Only Print'!#REF!,"AAAAAA/f61U=")</f>
        <v>#REF!</v>
      </c>
      <c r="CI245" t="e">
        <f>AND('GA55 Only Print'!#REF!,"AAAAAA/f61Y=")</f>
        <v>#REF!</v>
      </c>
      <c r="CJ245" t="e">
        <f>AND('GA55 Only Print'!#REF!,"AAAAAA/f61c=")</f>
        <v>#REF!</v>
      </c>
      <c r="CK245" t="e">
        <f>AND('GA55 Only Print'!#REF!,"AAAAAA/f61g=")</f>
        <v>#REF!</v>
      </c>
      <c r="CL245" t="e">
        <f>AND('GA55 Only Print'!#REF!,"AAAAAA/f61k=")</f>
        <v>#REF!</v>
      </c>
      <c r="CM245" t="e">
        <f>AND('GA55 Only Print'!#REF!,"AAAAAA/f61o=")</f>
        <v>#REF!</v>
      </c>
      <c r="CN245" t="e">
        <f>AND('GA55 Only Print'!#REF!,"AAAAAA/f61s=")</f>
        <v>#REF!</v>
      </c>
      <c r="CO245" t="e">
        <f>AND('GA55 Only Print'!#REF!,"AAAAAA/f61w=")</f>
        <v>#REF!</v>
      </c>
      <c r="CP245" t="e">
        <f>AND('GA55 Only Print'!#REF!,"AAAAAA/f610=")</f>
        <v>#REF!</v>
      </c>
      <c r="CQ245" t="e">
        <f>AND('GA55 Only Print'!#REF!,"AAAAAA/f614=")</f>
        <v>#REF!</v>
      </c>
      <c r="CR245" t="e">
        <f>AND('GA55 Only Print'!#REF!,"AAAAAA/f618=")</f>
        <v>#REF!</v>
      </c>
      <c r="CS245" t="e">
        <f>AND('GA55 Only Print'!#REF!,"AAAAAA/f62A=")</f>
        <v>#REF!</v>
      </c>
      <c r="CT245" t="e">
        <f>AND('GA55 Only Print'!#REF!,"AAAAAA/f62E=")</f>
        <v>#REF!</v>
      </c>
      <c r="CU245" t="e">
        <f>AND('GA55 Only Print'!#REF!,"AAAAAA/f62I=")</f>
        <v>#REF!</v>
      </c>
      <c r="CV245" t="e">
        <f>AND('GA55 Only Print'!#REF!,"AAAAAA/f62M=")</f>
        <v>#REF!</v>
      </c>
      <c r="CW245" t="e">
        <f>AND('GA55 Only Print'!#REF!,"AAAAAA/f62Q=")</f>
        <v>#REF!</v>
      </c>
      <c r="CX245" t="e">
        <f>AND('GA55 Only Print'!#REF!,"AAAAAA/f62U=")</f>
        <v>#REF!</v>
      </c>
      <c r="CY245" t="e">
        <f>AND('GA55 Only Print'!#REF!,"AAAAAA/f62Y=")</f>
        <v>#REF!</v>
      </c>
      <c r="CZ245" t="e">
        <f>AND('GA55 Only Print'!#REF!,"AAAAAA/f62c=")</f>
        <v>#REF!</v>
      </c>
      <c r="DA245" t="e">
        <f>AND('GA55 Only Print'!#REF!,"AAAAAA/f62g=")</f>
        <v>#REF!</v>
      </c>
      <c r="DB245" t="e">
        <f>AND('GA55 Only Print'!#REF!,"AAAAAA/f62k=")</f>
        <v>#REF!</v>
      </c>
      <c r="DC245" t="e">
        <f>AND('GA55 Only Print'!#REF!,"AAAAAA/f62o=")</f>
        <v>#REF!</v>
      </c>
      <c r="DD245" t="e">
        <f>AND('GA55 Only Print'!#REF!,"AAAAAA/f62s=")</f>
        <v>#REF!</v>
      </c>
      <c r="DE245" t="e">
        <f>AND('GA55 Only Print'!#REF!,"AAAAAA/f62w=")</f>
        <v>#REF!</v>
      </c>
      <c r="DF245" t="e">
        <f>AND('GA55 Only Print'!#REF!,"AAAAAA/f620=")</f>
        <v>#REF!</v>
      </c>
      <c r="DG245" t="e">
        <f>AND('GA55 Only Print'!#REF!,"AAAAAA/f624=")</f>
        <v>#REF!</v>
      </c>
      <c r="DH245" t="e">
        <f>AND('GA55 Only Print'!#REF!,"AAAAAA/f628=")</f>
        <v>#REF!</v>
      </c>
      <c r="DI245" t="e">
        <f>AND('GA55 Only Print'!#REF!,"AAAAAA/f63A=")</f>
        <v>#REF!</v>
      </c>
      <c r="DJ245" t="e">
        <f>AND('GA55 Only Print'!#REF!,"AAAAAA/f63E=")</f>
        <v>#REF!</v>
      </c>
      <c r="DK245" t="e">
        <f>AND('GA55 Only Print'!#REF!,"AAAAAA/f63I=")</f>
        <v>#REF!</v>
      </c>
      <c r="DL245" t="e">
        <f>AND('GA55 Only Print'!#REF!,"AAAAAA/f63M=")</f>
        <v>#REF!</v>
      </c>
      <c r="DM245" t="e">
        <f>AND('GA55 Only Print'!#REF!,"AAAAAA/f63Q=")</f>
        <v>#REF!</v>
      </c>
      <c r="DN245" t="e">
        <f>AND('GA55 Only Print'!#REF!,"AAAAAA/f63U=")</f>
        <v>#REF!</v>
      </c>
      <c r="DO245" t="e">
        <f>AND('GA55 Only Print'!#REF!,"AAAAAA/f63Y=")</f>
        <v>#REF!</v>
      </c>
      <c r="DP245" t="e">
        <f>AND('GA55 Only Print'!#REF!,"AAAAAA/f63c=")</f>
        <v>#REF!</v>
      </c>
      <c r="DQ245" t="e">
        <f>AND('GA55 Only Print'!#REF!,"AAAAAA/f63g=")</f>
        <v>#REF!</v>
      </c>
      <c r="DR245" t="e">
        <f>AND('GA55 Only Print'!#REF!,"AAAAAA/f63k=")</f>
        <v>#REF!</v>
      </c>
      <c r="DS245" t="e">
        <f>AND('GA55 Only Print'!#REF!,"AAAAAA/f63o=")</f>
        <v>#REF!</v>
      </c>
      <c r="DT245" t="e">
        <f>AND('GA55 Only Print'!#REF!,"AAAAAA/f63s=")</f>
        <v>#REF!</v>
      </c>
      <c r="DU245" t="e">
        <f>AND('GA55 Only Print'!#REF!,"AAAAAA/f63w=")</f>
        <v>#REF!</v>
      </c>
      <c r="DV245" t="e">
        <f>AND('GA55 Only Print'!#REF!,"AAAAAA/f630=")</f>
        <v>#REF!</v>
      </c>
      <c r="DW245" t="e">
        <f>AND('GA55 Only Print'!#REF!,"AAAAAA/f634=")</f>
        <v>#REF!</v>
      </c>
      <c r="DX245" t="e">
        <f>AND('GA55 Only Print'!#REF!,"AAAAAA/f638=")</f>
        <v>#REF!</v>
      </c>
      <c r="DY245" t="e">
        <f>AND('GA55 Only Print'!#REF!,"AAAAAA/f64A=")</f>
        <v>#REF!</v>
      </c>
      <c r="DZ245" t="e">
        <f>AND('GA55 Only Print'!#REF!,"AAAAAA/f64E=")</f>
        <v>#REF!</v>
      </c>
      <c r="EA245" t="e">
        <f>AND('GA55 Only Print'!#REF!,"AAAAAA/f64I=")</f>
        <v>#REF!</v>
      </c>
      <c r="EB245" t="e">
        <f>AND('GA55 Only Print'!#REF!,"AAAAAA/f64M=")</f>
        <v>#REF!</v>
      </c>
      <c r="EC245" t="e">
        <f>AND('GA55 Only Print'!#REF!,"AAAAAA/f64Q=")</f>
        <v>#REF!</v>
      </c>
      <c r="ED245" t="e">
        <f>AND('GA55 Only Print'!#REF!,"AAAAAA/f64U=")</f>
        <v>#REF!</v>
      </c>
      <c r="EE245" t="e">
        <f>AND('GA55 Only Print'!#REF!,"AAAAAA/f64Y=")</f>
        <v>#REF!</v>
      </c>
      <c r="EF245" t="e">
        <f>AND('GA55 Only Print'!#REF!,"AAAAAA/f64c=")</f>
        <v>#REF!</v>
      </c>
      <c r="EG245" t="e">
        <f>AND('GA55 Only Print'!#REF!,"AAAAAA/f64g=")</f>
        <v>#REF!</v>
      </c>
      <c r="EH245" t="e">
        <f>AND('GA55 Only Print'!#REF!,"AAAAAA/f64k=")</f>
        <v>#REF!</v>
      </c>
      <c r="EI245" t="e">
        <f>AND('GA55 Only Print'!#REF!,"AAAAAA/f64o=")</f>
        <v>#REF!</v>
      </c>
      <c r="EJ245" t="e">
        <f>AND('GA55 Only Print'!#REF!,"AAAAAA/f64s=")</f>
        <v>#REF!</v>
      </c>
      <c r="EK245" t="e">
        <f>AND('GA55 Only Print'!#REF!,"AAAAAA/f64w=")</f>
        <v>#REF!</v>
      </c>
      <c r="EL245" t="e">
        <f>AND('GA55 Only Print'!#REF!,"AAAAAA/f640=")</f>
        <v>#REF!</v>
      </c>
      <c r="EM245" t="e">
        <f>AND('GA55 Only Print'!#REF!,"AAAAAA/f644=")</f>
        <v>#REF!</v>
      </c>
      <c r="EN245" t="e">
        <f>AND('GA55 Only Print'!#REF!,"AAAAAA/f648=")</f>
        <v>#REF!</v>
      </c>
      <c r="EO245" t="e">
        <f>AND('GA55 Only Print'!#REF!,"AAAAAA/f65A=")</f>
        <v>#REF!</v>
      </c>
      <c r="EP245" t="e">
        <f>IF('GA55 Only Print'!#REF!,"AAAAAA/f65E=",0)</f>
        <v>#REF!</v>
      </c>
      <c r="EQ245" t="e">
        <f>AND('GA55 Only Print'!#REF!,"AAAAAA/f65I=")</f>
        <v>#REF!</v>
      </c>
      <c r="ER245" t="e">
        <f>AND('GA55 Only Print'!#REF!,"AAAAAA/f65M=")</f>
        <v>#REF!</v>
      </c>
      <c r="ES245" t="e">
        <f>AND('GA55 Only Print'!#REF!,"AAAAAA/f65Q=")</f>
        <v>#REF!</v>
      </c>
      <c r="ET245" t="e">
        <f>AND('GA55 Only Print'!#REF!,"AAAAAA/f65U=")</f>
        <v>#REF!</v>
      </c>
      <c r="EU245" t="e">
        <f>AND('GA55 Only Print'!#REF!,"AAAAAA/f65Y=")</f>
        <v>#REF!</v>
      </c>
      <c r="EV245" t="e">
        <f>AND('GA55 Only Print'!#REF!,"AAAAAA/f65c=")</f>
        <v>#REF!</v>
      </c>
      <c r="EW245" t="e">
        <f>AND('GA55 Only Print'!#REF!,"AAAAAA/f65g=")</f>
        <v>#REF!</v>
      </c>
      <c r="EX245" t="e">
        <f>AND('GA55 Only Print'!#REF!,"AAAAAA/f65k=")</f>
        <v>#REF!</v>
      </c>
      <c r="EY245" t="e">
        <f>AND('GA55 Only Print'!#REF!,"AAAAAA/f65o=")</f>
        <v>#REF!</v>
      </c>
      <c r="EZ245" t="e">
        <f>AND('GA55 Only Print'!#REF!,"AAAAAA/f65s=")</f>
        <v>#REF!</v>
      </c>
      <c r="FA245" t="e">
        <f>AND('GA55 Only Print'!#REF!,"AAAAAA/f65w=")</f>
        <v>#REF!</v>
      </c>
      <c r="FB245" t="e">
        <f>AND('GA55 Only Print'!#REF!,"AAAAAA/f650=")</f>
        <v>#REF!</v>
      </c>
      <c r="FC245" t="e">
        <f>AND('GA55 Only Print'!#REF!,"AAAAAA/f654=")</f>
        <v>#REF!</v>
      </c>
      <c r="FD245" t="e">
        <f>AND('GA55 Only Print'!#REF!,"AAAAAA/f658=")</f>
        <v>#REF!</v>
      </c>
      <c r="FE245" t="e">
        <f>AND('GA55 Only Print'!#REF!,"AAAAAA/f66A=")</f>
        <v>#REF!</v>
      </c>
      <c r="FF245" t="e">
        <f>AND('GA55 Only Print'!#REF!,"AAAAAA/f66E=")</f>
        <v>#REF!</v>
      </c>
      <c r="FG245" t="e">
        <f>AND('GA55 Only Print'!#REF!,"AAAAAA/f66I=")</f>
        <v>#REF!</v>
      </c>
      <c r="FH245" t="e">
        <f>AND('GA55 Only Print'!#REF!,"AAAAAA/f66M=")</f>
        <v>#REF!</v>
      </c>
      <c r="FI245" t="e">
        <f>AND('GA55 Only Print'!#REF!,"AAAAAA/f66Q=")</f>
        <v>#REF!</v>
      </c>
      <c r="FJ245" t="e">
        <f>AND('GA55 Only Print'!#REF!,"AAAAAA/f66U=")</f>
        <v>#REF!</v>
      </c>
      <c r="FK245" t="e">
        <f>AND('GA55 Only Print'!#REF!,"AAAAAA/f66Y=")</f>
        <v>#REF!</v>
      </c>
      <c r="FL245" t="e">
        <f>AND('GA55 Only Print'!#REF!,"AAAAAA/f66c=")</f>
        <v>#REF!</v>
      </c>
      <c r="FM245" t="e">
        <f>AND('GA55 Only Print'!#REF!,"AAAAAA/f66g=")</f>
        <v>#REF!</v>
      </c>
      <c r="FN245" t="e">
        <f>AND('GA55 Only Print'!#REF!,"AAAAAA/f66k=")</f>
        <v>#REF!</v>
      </c>
      <c r="FO245" t="e">
        <f>AND('GA55 Only Print'!#REF!,"AAAAAA/f66o=")</f>
        <v>#REF!</v>
      </c>
      <c r="FP245" t="e">
        <f>AND('GA55 Only Print'!#REF!,"AAAAAA/f66s=")</f>
        <v>#REF!</v>
      </c>
      <c r="FQ245" t="e">
        <f>AND('GA55 Only Print'!#REF!,"AAAAAA/f66w=")</f>
        <v>#REF!</v>
      </c>
      <c r="FR245" t="e">
        <f>AND('GA55 Only Print'!#REF!,"AAAAAA/f660=")</f>
        <v>#REF!</v>
      </c>
      <c r="FS245" t="e">
        <f>AND('GA55 Only Print'!#REF!,"AAAAAA/f664=")</f>
        <v>#REF!</v>
      </c>
      <c r="FT245" t="e">
        <f>AND('GA55 Only Print'!#REF!,"AAAAAA/f668=")</f>
        <v>#REF!</v>
      </c>
      <c r="FU245" t="e">
        <f>AND('GA55 Only Print'!#REF!,"AAAAAA/f67A=")</f>
        <v>#REF!</v>
      </c>
      <c r="FV245" t="e">
        <f>AND('GA55 Only Print'!#REF!,"AAAAAA/f67E=")</f>
        <v>#REF!</v>
      </c>
      <c r="FW245" t="e">
        <f>AND('GA55 Only Print'!#REF!,"AAAAAA/f67I=")</f>
        <v>#REF!</v>
      </c>
      <c r="FX245" t="e">
        <f>AND('GA55 Only Print'!#REF!,"AAAAAA/f67M=")</f>
        <v>#REF!</v>
      </c>
      <c r="FY245" t="e">
        <f>AND('GA55 Only Print'!#REF!,"AAAAAA/f67Q=")</f>
        <v>#REF!</v>
      </c>
      <c r="FZ245" t="e">
        <f>AND('GA55 Only Print'!#REF!,"AAAAAA/f67U=")</f>
        <v>#REF!</v>
      </c>
      <c r="GA245" t="e">
        <f>AND('GA55 Only Print'!#REF!,"AAAAAA/f67Y=")</f>
        <v>#REF!</v>
      </c>
      <c r="GB245" t="e">
        <f>AND('GA55 Only Print'!#REF!,"AAAAAA/f67c=")</f>
        <v>#REF!</v>
      </c>
      <c r="GC245" t="e">
        <f>AND('GA55 Only Print'!#REF!,"AAAAAA/f67g=")</f>
        <v>#REF!</v>
      </c>
      <c r="GD245" t="e">
        <f>AND('GA55 Only Print'!#REF!,"AAAAAA/f67k=")</f>
        <v>#REF!</v>
      </c>
      <c r="GE245" t="e">
        <f>AND('GA55 Only Print'!#REF!,"AAAAAA/f67o=")</f>
        <v>#REF!</v>
      </c>
      <c r="GF245" t="e">
        <f>AND('GA55 Only Print'!#REF!,"AAAAAA/f67s=")</f>
        <v>#REF!</v>
      </c>
      <c r="GG245" t="e">
        <f>AND('GA55 Only Print'!#REF!,"AAAAAA/f67w=")</f>
        <v>#REF!</v>
      </c>
      <c r="GH245" t="e">
        <f>AND('GA55 Only Print'!#REF!,"AAAAAA/f670=")</f>
        <v>#REF!</v>
      </c>
      <c r="GI245" t="e">
        <f>AND('GA55 Only Print'!#REF!,"AAAAAA/f674=")</f>
        <v>#REF!</v>
      </c>
      <c r="GJ245" t="e">
        <f>AND('GA55 Only Print'!#REF!,"AAAAAA/f678=")</f>
        <v>#REF!</v>
      </c>
      <c r="GK245" t="e">
        <f>AND('GA55 Only Print'!#REF!,"AAAAAA/f68A=")</f>
        <v>#REF!</v>
      </c>
      <c r="GL245" t="e">
        <f>AND('GA55 Only Print'!#REF!,"AAAAAA/f68E=")</f>
        <v>#REF!</v>
      </c>
      <c r="GM245" t="e">
        <f>AND('GA55 Only Print'!#REF!,"AAAAAA/f68I=")</f>
        <v>#REF!</v>
      </c>
      <c r="GN245" t="e">
        <f>AND('GA55 Only Print'!#REF!,"AAAAAA/f68M=")</f>
        <v>#REF!</v>
      </c>
      <c r="GO245" t="e">
        <f>AND('GA55 Only Print'!#REF!,"AAAAAA/f68Q=")</f>
        <v>#REF!</v>
      </c>
      <c r="GP245" t="e">
        <f>AND('GA55 Only Print'!#REF!,"AAAAAA/f68U=")</f>
        <v>#REF!</v>
      </c>
      <c r="GQ245" t="e">
        <f>AND('GA55 Only Print'!#REF!,"AAAAAA/f68Y=")</f>
        <v>#REF!</v>
      </c>
      <c r="GR245" t="e">
        <f>AND('GA55 Only Print'!#REF!,"AAAAAA/f68c=")</f>
        <v>#REF!</v>
      </c>
      <c r="GS245" t="e">
        <f>AND('GA55 Only Print'!#REF!,"AAAAAA/f68g=")</f>
        <v>#REF!</v>
      </c>
      <c r="GT245" t="e">
        <f>AND('GA55 Only Print'!#REF!,"AAAAAA/f68k=")</f>
        <v>#REF!</v>
      </c>
      <c r="GU245" t="e">
        <f>AND('GA55 Only Print'!#REF!,"AAAAAA/f68o=")</f>
        <v>#REF!</v>
      </c>
      <c r="GV245" t="e">
        <f>AND('GA55 Only Print'!#REF!,"AAAAAA/f68s=")</f>
        <v>#REF!</v>
      </c>
      <c r="GW245" t="e">
        <f>AND('GA55 Only Print'!#REF!,"AAAAAA/f68w=")</f>
        <v>#REF!</v>
      </c>
      <c r="GX245" t="e">
        <f>AND('GA55 Only Print'!#REF!,"AAAAAA/f680=")</f>
        <v>#REF!</v>
      </c>
      <c r="GY245" t="e">
        <f>AND('GA55 Only Print'!#REF!,"AAAAAA/f684=")</f>
        <v>#REF!</v>
      </c>
      <c r="GZ245" t="e">
        <f>AND('GA55 Only Print'!#REF!,"AAAAAA/f688=")</f>
        <v>#REF!</v>
      </c>
      <c r="HA245" t="e">
        <f>AND('GA55 Only Print'!#REF!,"AAAAAA/f69A=")</f>
        <v>#REF!</v>
      </c>
      <c r="HB245" t="e">
        <f>AND('GA55 Only Print'!#REF!,"AAAAAA/f69E=")</f>
        <v>#REF!</v>
      </c>
      <c r="HC245" t="e">
        <f>AND('GA55 Only Print'!#REF!,"AAAAAA/f69I=")</f>
        <v>#REF!</v>
      </c>
      <c r="HD245" t="e">
        <f>AND('GA55 Only Print'!#REF!,"AAAAAA/f69M=")</f>
        <v>#REF!</v>
      </c>
      <c r="HE245" t="e">
        <f>AND('GA55 Only Print'!#REF!,"AAAAAA/f69Q=")</f>
        <v>#REF!</v>
      </c>
      <c r="HF245" t="e">
        <f>AND('GA55 Only Print'!#REF!,"AAAAAA/f69U=")</f>
        <v>#REF!</v>
      </c>
      <c r="HG245" t="e">
        <f>AND('GA55 Only Print'!#REF!,"AAAAAA/f69Y=")</f>
        <v>#REF!</v>
      </c>
      <c r="HH245" t="e">
        <f>AND('GA55 Only Print'!#REF!,"AAAAAA/f69c=")</f>
        <v>#REF!</v>
      </c>
      <c r="HI245" t="e">
        <f>AND('GA55 Only Print'!#REF!,"AAAAAA/f69g=")</f>
        <v>#REF!</v>
      </c>
      <c r="HJ245" t="e">
        <f>AND('GA55 Only Print'!#REF!,"AAAAAA/f69k=")</f>
        <v>#REF!</v>
      </c>
      <c r="HK245" t="e">
        <f>AND('GA55 Only Print'!#REF!,"AAAAAA/f69o=")</f>
        <v>#REF!</v>
      </c>
      <c r="HL245" t="e">
        <f>AND('GA55 Only Print'!#REF!,"AAAAAA/f69s=")</f>
        <v>#REF!</v>
      </c>
      <c r="HM245" t="e">
        <f>IF('GA55 Only Print'!#REF!,"AAAAAA/f69w=",0)</f>
        <v>#REF!</v>
      </c>
      <c r="HN245" t="e">
        <f>AND('GA55 Only Print'!#REF!,"AAAAAA/f690=")</f>
        <v>#REF!</v>
      </c>
      <c r="HO245" t="e">
        <f>AND('GA55 Only Print'!#REF!,"AAAAAA/f694=")</f>
        <v>#REF!</v>
      </c>
      <c r="HP245" t="e">
        <f>AND('GA55 Only Print'!#REF!,"AAAAAA/f698=")</f>
        <v>#REF!</v>
      </c>
      <c r="HQ245" t="e">
        <f>AND('GA55 Only Print'!#REF!,"AAAAAA/f6+A=")</f>
        <v>#REF!</v>
      </c>
      <c r="HR245" t="e">
        <f>AND('GA55 Only Print'!#REF!,"AAAAAA/f6+E=")</f>
        <v>#REF!</v>
      </c>
      <c r="HS245" t="e">
        <f>AND('GA55 Only Print'!#REF!,"AAAAAA/f6+I=")</f>
        <v>#REF!</v>
      </c>
      <c r="HT245" t="e">
        <f>AND('GA55 Only Print'!#REF!,"AAAAAA/f6+M=")</f>
        <v>#REF!</v>
      </c>
      <c r="HU245" t="e">
        <f>AND('GA55 Only Print'!#REF!,"AAAAAA/f6+Q=")</f>
        <v>#REF!</v>
      </c>
      <c r="HV245" t="e">
        <f>AND('GA55 Only Print'!#REF!,"AAAAAA/f6+U=")</f>
        <v>#REF!</v>
      </c>
      <c r="HW245" t="e">
        <f>AND('GA55 Only Print'!#REF!,"AAAAAA/f6+Y=")</f>
        <v>#REF!</v>
      </c>
      <c r="HX245" t="e">
        <f>AND('GA55 Only Print'!#REF!,"AAAAAA/f6+c=")</f>
        <v>#REF!</v>
      </c>
      <c r="HY245" t="e">
        <f>AND('GA55 Only Print'!#REF!,"AAAAAA/f6+g=")</f>
        <v>#REF!</v>
      </c>
      <c r="HZ245" t="e">
        <f>AND('GA55 Only Print'!#REF!,"AAAAAA/f6+k=")</f>
        <v>#REF!</v>
      </c>
      <c r="IA245" t="e">
        <f>AND('GA55 Only Print'!#REF!,"AAAAAA/f6+o=")</f>
        <v>#REF!</v>
      </c>
      <c r="IB245" t="e">
        <f>AND('GA55 Only Print'!#REF!,"AAAAAA/f6+s=")</f>
        <v>#REF!</v>
      </c>
      <c r="IC245" t="e">
        <f>AND('GA55 Only Print'!#REF!,"AAAAAA/f6+w=")</f>
        <v>#REF!</v>
      </c>
      <c r="ID245" t="e">
        <f>AND('GA55 Only Print'!#REF!,"AAAAAA/f6+0=")</f>
        <v>#REF!</v>
      </c>
      <c r="IE245" t="e">
        <f>AND('GA55 Only Print'!#REF!,"AAAAAA/f6+4=")</f>
        <v>#REF!</v>
      </c>
      <c r="IF245" t="e">
        <f>AND('GA55 Only Print'!#REF!,"AAAAAA/f6+8=")</f>
        <v>#REF!</v>
      </c>
      <c r="IG245" t="e">
        <f>AND('GA55 Only Print'!#REF!,"AAAAAA/f6/A=")</f>
        <v>#REF!</v>
      </c>
      <c r="IH245" t="e">
        <f>AND('GA55 Only Print'!#REF!,"AAAAAA/f6/E=")</f>
        <v>#REF!</v>
      </c>
      <c r="II245" t="e">
        <f>AND('GA55 Only Print'!#REF!,"AAAAAA/f6/I=")</f>
        <v>#REF!</v>
      </c>
      <c r="IJ245" t="e">
        <f>AND('GA55 Only Print'!#REF!,"AAAAAA/f6/M=")</f>
        <v>#REF!</v>
      </c>
      <c r="IK245" t="e">
        <f>AND('GA55 Only Print'!#REF!,"AAAAAA/f6/Q=")</f>
        <v>#REF!</v>
      </c>
      <c r="IL245" t="e">
        <f>AND('GA55 Only Print'!#REF!,"AAAAAA/f6/U=")</f>
        <v>#REF!</v>
      </c>
      <c r="IM245" t="e">
        <f>AND('GA55 Only Print'!#REF!,"AAAAAA/f6/Y=")</f>
        <v>#REF!</v>
      </c>
      <c r="IN245" t="e">
        <f>AND('GA55 Only Print'!#REF!,"AAAAAA/f6/c=")</f>
        <v>#REF!</v>
      </c>
      <c r="IO245" t="e">
        <f>AND('GA55 Only Print'!#REF!,"AAAAAA/f6/g=")</f>
        <v>#REF!</v>
      </c>
      <c r="IP245" t="e">
        <f>AND('GA55 Only Print'!#REF!,"AAAAAA/f6/k=")</f>
        <v>#REF!</v>
      </c>
      <c r="IQ245" t="e">
        <f>AND('GA55 Only Print'!#REF!,"AAAAAA/f6/o=")</f>
        <v>#REF!</v>
      </c>
      <c r="IR245" t="e">
        <f>AND('GA55 Only Print'!#REF!,"AAAAAA/f6/s=")</f>
        <v>#REF!</v>
      </c>
      <c r="IS245" t="e">
        <f>AND('GA55 Only Print'!#REF!,"AAAAAA/f6/w=")</f>
        <v>#REF!</v>
      </c>
      <c r="IT245" t="e">
        <f>AND('GA55 Only Print'!#REF!,"AAAAAA/f6/0=")</f>
        <v>#REF!</v>
      </c>
      <c r="IU245" t="e">
        <f>AND('GA55 Only Print'!#REF!,"AAAAAA/f6/4=")</f>
        <v>#REF!</v>
      </c>
      <c r="IV245" t="e">
        <f>AND('GA55 Only Print'!#REF!,"AAAAAA/f6/8=")</f>
        <v>#REF!</v>
      </c>
    </row>
    <row r="246" spans="1:256">
      <c r="A246" t="e">
        <f>AND('GA55 Only Print'!#REF!,"AAAAABXG8gA=")</f>
        <v>#REF!</v>
      </c>
      <c r="B246" t="e">
        <f>AND('GA55 Only Print'!#REF!,"AAAAABXG8gE=")</f>
        <v>#REF!</v>
      </c>
      <c r="C246" t="e">
        <f>AND('GA55 Only Print'!#REF!,"AAAAABXG8gI=")</f>
        <v>#REF!</v>
      </c>
      <c r="D246" t="e">
        <f>AND('GA55 Only Print'!#REF!,"AAAAABXG8gM=")</f>
        <v>#REF!</v>
      </c>
      <c r="E246" t="e">
        <f>AND('GA55 Only Print'!#REF!,"AAAAABXG8gQ=")</f>
        <v>#REF!</v>
      </c>
      <c r="F246" t="e">
        <f>AND('GA55 Only Print'!#REF!,"AAAAABXG8gU=")</f>
        <v>#REF!</v>
      </c>
      <c r="G246" t="e">
        <f>AND('GA55 Only Print'!#REF!,"AAAAABXG8gY=")</f>
        <v>#REF!</v>
      </c>
      <c r="H246" t="e">
        <f>AND('GA55 Only Print'!#REF!,"AAAAABXG8gc=")</f>
        <v>#REF!</v>
      </c>
      <c r="I246" t="e">
        <f>AND('GA55 Only Print'!#REF!,"AAAAABXG8gg=")</f>
        <v>#REF!</v>
      </c>
      <c r="J246" t="e">
        <f>AND('GA55 Only Print'!#REF!,"AAAAABXG8gk=")</f>
        <v>#REF!</v>
      </c>
      <c r="K246" t="e">
        <f>AND('GA55 Only Print'!#REF!,"AAAAABXG8go=")</f>
        <v>#REF!</v>
      </c>
      <c r="L246" t="e">
        <f>AND('GA55 Only Print'!#REF!,"AAAAABXG8gs=")</f>
        <v>#REF!</v>
      </c>
      <c r="M246" t="e">
        <f>AND('GA55 Only Print'!#REF!,"AAAAABXG8gw=")</f>
        <v>#REF!</v>
      </c>
      <c r="N246" t="e">
        <f>AND('GA55 Only Print'!#REF!,"AAAAABXG8g0=")</f>
        <v>#REF!</v>
      </c>
      <c r="O246" t="e">
        <f>AND('GA55 Only Print'!#REF!,"AAAAABXG8g4=")</f>
        <v>#REF!</v>
      </c>
      <c r="P246" t="e">
        <f>AND('GA55 Only Print'!#REF!,"AAAAABXG8g8=")</f>
        <v>#REF!</v>
      </c>
      <c r="Q246" t="e">
        <f>AND('GA55 Only Print'!#REF!,"AAAAABXG8hA=")</f>
        <v>#REF!</v>
      </c>
      <c r="R246" t="e">
        <f>AND('GA55 Only Print'!#REF!,"AAAAABXG8hE=")</f>
        <v>#REF!</v>
      </c>
      <c r="S246" t="e">
        <f>AND('GA55 Only Print'!#REF!,"AAAAABXG8hI=")</f>
        <v>#REF!</v>
      </c>
      <c r="T246" t="e">
        <f>AND('GA55 Only Print'!#REF!,"AAAAABXG8hM=")</f>
        <v>#REF!</v>
      </c>
      <c r="U246" t="e">
        <f>AND('GA55 Only Print'!#REF!,"AAAAABXG8hQ=")</f>
        <v>#REF!</v>
      </c>
      <c r="V246" t="e">
        <f>AND('GA55 Only Print'!#REF!,"AAAAABXG8hU=")</f>
        <v>#REF!</v>
      </c>
      <c r="W246" t="e">
        <f>AND('GA55 Only Print'!#REF!,"AAAAABXG8hY=")</f>
        <v>#REF!</v>
      </c>
      <c r="X246" t="e">
        <f>AND('GA55 Only Print'!#REF!,"AAAAABXG8hc=")</f>
        <v>#REF!</v>
      </c>
      <c r="Y246" t="e">
        <f>AND('GA55 Only Print'!#REF!,"AAAAABXG8hg=")</f>
        <v>#REF!</v>
      </c>
      <c r="Z246" t="e">
        <f>AND('GA55 Only Print'!#REF!,"AAAAABXG8hk=")</f>
        <v>#REF!</v>
      </c>
      <c r="AA246" t="e">
        <f>AND('GA55 Only Print'!#REF!,"AAAAABXG8ho=")</f>
        <v>#REF!</v>
      </c>
      <c r="AB246" t="e">
        <f>AND('GA55 Only Print'!#REF!,"AAAAABXG8hs=")</f>
        <v>#REF!</v>
      </c>
      <c r="AC246" t="e">
        <f>AND('GA55 Only Print'!#REF!,"AAAAABXG8hw=")</f>
        <v>#REF!</v>
      </c>
      <c r="AD246" t="e">
        <f>AND('GA55 Only Print'!#REF!,"AAAAABXG8h0=")</f>
        <v>#REF!</v>
      </c>
      <c r="AE246" t="e">
        <f>AND('GA55 Only Print'!#REF!,"AAAAABXG8h4=")</f>
        <v>#REF!</v>
      </c>
      <c r="AF246" t="e">
        <f>AND('GA55 Only Print'!#REF!,"AAAAABXG8h8=")</f>
        <v>#REF!</v>
      </c>
      <c r="AG246" t="e">
        <f>AND('GA55 Only Print'!#REF!,"AAAAABXG8iA=")</f>
        <v>#REF!</v>
      </c>
      <c r="AH246" t="e">
        <f>AND('GA55 Only Print'!#REF!,"AAAAABXG8iE=")</f>
        <v>#REF!</v>
      </c>
      <c r="AI246" t="e">
        <f>AND('GA55 Only Print'!#REF!,"AAAAABXG8iI=")</f>
        <v>#REF!</v>
      </c>
      <c r="AJ246" t="e">
        <f>AND('GA55 Only Print'!#REF!,"AAAAABXG8iM=")</f>
        <v>#REF!</v>
      </c>
      <c r="AK246" t="e">
        <f>AND('GA55 Only Print'!#REF!,"AAAAABXG8iQ=")</f>
        <v>#REF!</v>
      </c>
      <c r="AL246" t="e">
        <f>AND('GA55 Only Print'!#REF!,"AAAAABXG8iU=")</f>
        <v>#REF!</v>
      </c>
      <c r="AM246" t="e">
        <f>AND('GA55 Only Print'!#REF!,"AAAAABXG8iY=")</f>
        <v>#REF!</v>
      </c>
      <c r="AN246" t="e">
        <f>IF('GA55 Only Print'!#REF!,"AAAAABXG8ic=",0)</f>
        <v>#REF!</v>
      </c>
      <c r="AO246" t="e">
        <f>AND('GA55 Only Print'!#REF!,"AAAAABXG8ig=")</f>
        <v>#REF!</v>
      </c>
      <c r="AP246" t="e">
        <f>AND('GA55 Only Print'!#REF!,"AAAAABXG8ik=")</f>
        <v>#REF!</v>
      </c>
      <c r="AQ246" t="e">
        <f>AND('GA55 Only Print'!#REF!,"AAAAABXG8io=")</f>
        <v>#REF!</v>
      </c>
      <c r="AR246" t="e">
        <f>AND('GA55 Only Print'!#REF!,"AAAAABXG8is=")</f>
        <v>#REF!</v>
      </c>
      <c r="AS246" t="e">
        <f>AND('GA55 Only Print'!#REF!,"AAAAABXG8iw=")</f>
        <v>#REF!</v>
      </c>
      <c r="AT246" t="e">
        <f>AND('GA55 Only Print'!#REF!,"AAAAABXG8i0=")</f>
        <v>#REF!</v>
      </c>
      <c r="AU246" t="e">
        <f>AND('GA55 Only Print'!#REF!,"AAAAABXG8i4=")</f>
        <v>#REF!</v>
      </c>
      <c r="AV246" t="e">
        <f>AND('GA55 Only Print'!#REF!,"AAAAABXG8i8=")</f>
        <v>#REF!</v>
      </c>
      <c r="AW246" t="e">
        <f>AND('GA55 Only Print'!#REF!,"AAAAABXG8jA=")</f>
        <v>#REF!</v>
      </c>
      <c r="AX246" t="e">
        <f>AND('GA55 Only Print'!#REF!,"AAAAABXG8jE=")</f>
        <v>#REF!</v>
      </c>
      <c r="AY246" t="e">
        <f>AND('GA55 Only Print'!#REF!,"AAAAABXG8jI=")</f>
        <v>#REF!</v>
      </c>
      <c r="AZ246" t="e">
        <f>AND('GA55 Only Print'!#REF!,"AAAAABXG8jM=")</f>
        <v>#REF!</v>
      </c>
      <c r="BA246" t="e">
        <f>AND('GA55 Only Print'!#REF!,"AAAAABXG8jQ=")</f>
        <v>#REF!</v>
      </c>
      <c r="BB246" t="e">
        <f>AND('GA55 Only Print'!#REF!,"AAAAABXG8jU=")</f>
        <v>#REF!</v>
      </c>
      <c r="BC246" t="e">
        <f>AND('GA55 Only Print'!#REF!,"AAAAABXG8jY=")</f>
        <v>#REF!</v>
      </c>
      <c r="BD246" t="e">
        <f>AND('GA55 Only Print'!#REF!,"AAAAABXG8jc=")</f>
        <v>#REF!</v>
      </c>
      <c r="BE246" t="e">
        <f>AND('GA55 Only Print'!#REF!,"AAAAABXG8jg=")</f>
        <v>#REF!</v>
      </c>
      <c r="BF246" t="e">
        <f>AND('GA55 Only Print'!#REF!,"AAAAABXG8jk=")</f>
        <v>#REF!</v>
      </c>
      <c r="BG246" t="e">
        <f>AND('GA55 Only Print'!#REF!,"AAAAABXG8jo=")</f>
        <v>#REF!</v>
      </c>
      <c r="BH246" t="e">
        <f>AND('GA55 Only Print'!#REF!,"AAAAABXG8js=")</f>
        <v>#REF!</v>
      </c>
      <c r="BI246" t="e">
        <f>AND('GA55 Only Print'!#REF!,"AAAAABXG8jw=")</f>
        <v>#REF!</v>
      </c>
      <c r="BJ246" t="e">
        <f>AND('GA55 Only Print'!#REF!,"AAAAABXG8j0=")</f>
        <v>#REF!</v>
      </c>
      <c r="BK246" t="e">
        <f>AND('GA55 Only Print'!#REF!,"AAAAABXG8j4=")</f>
        <v>#REF!</v>
      </c>
      <c r="BL246" t="e">
        <f>AND('GA55 Only Print'!#REF!,"AAAAABXG8j8=")</f>
        <v>#REF!</v>
      </c>
      <c r="BM246" t="e">
        <f>AND('GA55 Only Print'!#REF!,"AAAAABXG8kA=")</f>
        <v>#REF!</v>
      </c>
      <c r="BN246" t="e">
        <f>AND('GA55 Only Print'!#REF!,"AAAAABXG8kE=")</f>
        <v>#REF!</v>
      </c>
      <c r="BO246" t="e">
        <f>AND('GA55 Only Print'!#REF!,"AAAAABXG8kI=")</f>
        <v>#REF!</v>
      </c>
      <c r="BP246" t="e">
        <f>AND('GA55 Only Print'!#REF!,"AAAAABXG8kM=")</f>
        <v>#REF!</v>
      </c>
      <c r="BQ246" t="e">
        <f>AND('GA55 Only Print'!#REF!,"AAAAABXG8kQ=")</f>
        <v>#REF!</v>
      </c>
      <c r="BR246" t="e">
        <f>AND('GA55 Only Print'!#REF!,"AAAAABXG8kU=")</f>
        <v>#REF!</v>
      </c>
      <c r="BS246" t="e">
        <f>AND('GA55 Only Print'!#REF!,"AAAAABXG8kY=")</f>
        <v>#REF!</v>
      </c>
      <c r="BT246" t="e">
        <f>AND('GA55 Only Print'!#REF!,"AAAAABXG8kc=")</f>
        <v>#REF!</v>
      </c>
      <c r="BU246" t="e">
        <f>AND('GA55 Only Print'!#REF!,"AAAAABXG8kg=")</f>
        <v>#REF!</v>
      </c>
      <c r="BV246" t="e">
        <f>AND('GA55 Only Print'!#REF!,"AAAAABXG8kk=")</f>
        <v>#REF!</v>
      </c>
      <c r="BW246" t="e">
        <f>AND('GA55 Only Print'!#REF!,"AAAAABXG8ko=")</f>
        <v>#REF!</v>
      </c>
      <c r="BX246" t="e">
        <f>AND('GA55 Only Print'!#REF!,"AAAAABXG8ks=")</f>
        <v>#REF!</v>
      </c>
      <c r="BY246" t="e">
        <f>AND('GA55 Only Print'!#REF!,"AAAAABXG8kw=")</f>
        <v>#REF!</v>
      </c>
      <c r="BZ246" t="e">
        <f>AND('GA55 Only Print'!#REF!,"AAAAABXG8k0=")</f>
        <v>#REF!</v>
      </c>
      <c r="CA246" t="e">
        <f>AND('GA55 Only Print'!#REF!,"AAAAABXG8k4=")</f>
        <v>#REF!</v>
      </c>
      <c r="CB246" t="e">
        <f>AND('GA55 Only Print'!#REF!,"AAAAABXG8k8=")</f>
        <v>#REF!</v>
      </c>
      <c r="CC246" t="e">
        <f>AND('GA55 Only Print'!#REF!,"AAAAABXG8lA=")</f>
        <v>#REF!</v>
      </c>
      <c r="CD246" t="e">
        <f>AND('GA55 Only Print'!#REF!,"AAAAABXG8lE=")</f>
        <v>#REF!</v>
      </c>
      <c r="CE246" t="e">
        <f>AND('GA55 Only Print'!#REF!,"AAAAABXG8lI=")</f>
        <v>#REF!</v>
      </c>
      <c r="CF246" t="e">
        <f>AND('GA55 Only Print'!#REF!,"AAAAABXG8lM=")</f>
        <v>#REF!</v>
      </c>
      <c r="CG246" t="e">
        <f>AND('GA55 Only Print'!#REF!,"AAAAABXG8lQ=")</f>
        <v>#REF!</v>
      </c>
      <c r="CH246" t="e">
        <f>AND('GA55 Only Print'!#REF!,"AAAAABXG8lU=")</f>
        <v>#REF!</v>
      </c>
      <c r="CI246" t="e">
        <f>AND('GA55 Only Print'!#REF!,"AAAAABXG8lY=")</f>
        <v>#REF!</v>
      </c>
      <c r="CJ246" t="e">
        <f>AND('GA55 Only Print'!#REF!,"AAAAABXG8lc=")</f>
        <v>#REF!</v>
      </c>
      <c r="CK246" t="e">
        <f>AND('GA55 Only Print'!#REF!,"AAAAABXG8lg=")</f>
        <v>#REF!</v>
      </c>
      <c r="CL246" t="e">
        <f>AND('GA55 Only Print'!#REF!,"AAAAABXG8lk=")</f>
        <v>#REF!</v>
      </c>
      <c r="CM246" t="e">
        <f>AND('GA55 Only Print'!#REF!,"AAAAABXG8lo=")</f>
        <v>#REF!</v>
      </c>
      <c r="CN246" t="e">
        <f>AND('GA55 Only Print'!#REF!,"AAAAABXG8ls=")</f>
        <v>#REF!</v>
      </c>
      <c r="CO246" t="e">
        <f>AND('GA55 Only Print'!#REF!,"AAAAABXG8lw=")</f>
        <v>#REF!</v>
      </c>
      <c r="CP246" t="e">
        <f>AND('GA55 Only Print'!#REF!,"AAAAABXG8l0=")</f>
        <v>#REF!</v>
      </c>
      <c r="CQ246" t="e">
        <f>AND('GA55 Only Print'!#REF!,"AAAAABXG8l4=")</f>
        <v>#REF!</v>
      </c>
      <c r="CR246" t="e">
        <f>AND('GA55 Only Print'!#REF!,"AAAAABXG8l8=")</f>
        <v>#REF!</v>
      </c>
      <c r="CS246" t="e">
        <f>AND('GA55 Only Print'!#REF!,"AAAAABXG8mA=")</f>
        <v>#REF!</v>
      </c>
      <c r="CT246" t="e">
        <f>AND('GA55 Only Print'!#REF!,"AAAAABXG8mE=")</f>
        <v>#REF!</v>
      </c>
      <c r="CU246" t="e">
        <f>AND('GA55 Only Print'!#REF!,"AAAAABXG8mI=")</f>
        <v>#REF!</v>
      </c>
      <c r="CV246" t="e">
        <f>AND('GA55 Only Print'!#REF!,"AAAAABXG8mM=")</f>
        <v>#REF!</v>
      </c>
      <c r="CW246" t="e">
        <f>AND('GA55 Only Print'!#REF!,"AAAAABXG8mQ=")</f>
        <v>#REF!</v>
      </c>
      <c r="CX246" t="e">
        <f>AND('GA55 Only Print'!#REF!,"AAAAABXG8mU=")</f>
        <v>#REF!</v>
      </c>
      <c r="CY246" t="e">
        <f>AND('GA55 Only Print'!#REF!,"AAAAABXG8mY=")</f>
        <v>#REF!</v>
      </c>
      <c r="CZ246" t="e">
        <f>AND('GA55 Only Print'!#REF!,"AAAAABXG8mc=")</f>
        <v>#REF!</v>
      </c>
      <c r="DA246" t="e">
        <f>AND('GA55 Only Print'!#REF!,"AAAAABXG8mg=")</f>
        <v>#REF!</v>
      </c>
      <c r="DB246" t="e">
        <f>AND('GA55 Only Print'!#REF!,"AAAAABXG8mk=")</f>
        <v>#REF!</v>
      </c>
      <c r="DC246" t="e">
        <f>AND('GA55 Only Print'!#REF!,"AAAAABXG8mo=")</f>
        <v>#REF!</v>
      </c>
      <c r="DD246" t="e">
        <f>AND('GA55 Only Print'!#REF!,"AAAAABXG8ms=")</f>
        <v>#REF!</v>
      </c>
      <c r="DE246" t="e">
        <f>AND('GA55 Only Print'!#REF!,"AAAAABXG8mw=")</f>
        <v>#REF!</v>
      </c>
      <c r="DF246" t="e">
        <f>AND('GA55 Only Print'!#REF!,"AAAAABXG8m0=")</f>
        <v>#REF!</v>
      </c>
      <c r="DG246" t="e">
        <f>AND('GA55 Only Print'!#REF!,"AAAAABXG8m4=")</f>
        <v>#REF!</v>
      </c>
      <c r="DH246" t="e">
        <f>AND('GA55 Only Print'!#REF!,"AAAAABXG8m8=")</f>
        <v>#REF!</v>
      </c>
      <c r="DI246" t="e">
        <f>AND('GA55 Only Print'!#REF!,"AAAAABXG8nA=")</f>
        <v>#REF!</v>
      </c>
      <c r="DJ246" t="e">
        <f>AND('GA55 Only Print'!#REF!,"AAAAABXG8nE=")</f>
        <v>#REF!</v>
      </c>
      <c r="DK246" t="e">
        <f>IF('GA55 Only Print'!#REF!,"AAAAABXG8nI=",0)</f>
        <v>#REF!</v>
      </c>
      <c r="DL246" t="e">
        <f>AND('GA55 Only Print'!#REF!,"AAAAABXG8nM=")</f>
        <v>#REF!</v>
      </c>
      <c r="DM246" t="e">
        <f>AND('GA55 Only Print'!#REF!,"AAAAABXG8nQ=")</f>
        <v>#REF!</v>
      </c>
      <c r="DN246" t="e">
        <f>AND('GA55 Only Print'!#REF!,"AAAAABXG8nU=")</f>
        <v>#REF!</v>
      </c>
      <c r="DO246" t="e">
        <f>AND('GA55 Only Print'!#REF!,"AAAAABXG8nY=")</f>
        <v>#REF!</v>
      </c>
      <c r="DP246" t="e">
        <f>AND('GA55 Only Print'!#REF!,"AAAAABXG8nc=")</f>
        <v>#REF!</v>
      </c>
      <c r="DQ246" t="e">
        <f>AND('GA55 Only Print'!#REF!,"AAAAABXG8ng=")</f>
        <v>#REF!</v>
      </c>
      <c r="DR246" t="e">
        <f>AND('GA55 Only Print'!#REF!,"AAAAABXG8nk=")</f>
        <v>#REF!</v>
      </c>
      <c r="DS246" t="e">
        <f>AND('GA55 Only Print'!#REF!,"AAAAABXG8no=")</f>
        <v>#REF!</v>
      </c>
      <c r="DT246" t="e">
        <f>AND('GA55 Only Print'!#REF!,"AAAAABXG8ns=")</f>
        <v>#REF!</v>
      </c>
      <c r="DU246" t="e">
        <f>AND('GA55 Only Print'!#REF!,"AAAAABXG8nw=")</f>
        <v>#REF!</v>
      </c>
      <c r="DV246" t="e">
        <f>AND('GA55 Only Print'!#REF!,"AAAAABXG8n0=")</f>
        <v>#REF!</v>
      </c>
      <c r="DW246" t="e">
        <f>AND('GA55 Only Print'!#REF!,"AAAAABXG8n4=")</f>
        <v>#REF!</v>
      </c>
      <c r="DX246" t="e">
        <f>AND('GA55 Only Print'!#REF!,"AAAAABXG8n8=")</f>
        <v>#REF!</v>
      </c>
      <c r="DY246" t="e">
        <f>AND('GA55 Only Print'!#REF!,"AAAAABXG8oA=")</f>
        <v>#REF!</v>
      </c>
      <c r="DZ246" t="e">
        <f>AND('GA55 Only Print'!#REF!,"AAAAABXG8oE=")</f>
        <v>#REF!</v>
      </c>
      <c r="EA246" t="e">
        <f>AND('GA55 Only Print'!#REF!,"AAAAABXG8oI=")</f>
        <v>#REF!</v>
      </c>
      <c r="EB246" t="e">
        <f>AND('GA55 Only Print'!#REF!,"AAAAABXG8oM=")</f>
        <v>#REF!</v>
      </c>
      <c r="EC246" t="e">
        <f>AND('GA55 Only Print'!#REF!,"AAAAABXG8oQ=")</f>
        <v>#REF!</v>
      </c>
      <c r="ED246" t="e">
        <f>AND('GA55 Only Print'!#REF!,"AAAAABXG8oU=")</f>
        <v>#REF!</v>
      </c>
      <c r="EE246" t="e">
        <f>AND('GA55 Only Print'!#REF!,"AAAAABXG8oY=")</f>
        <v>#REF!</v>
      </c>
      <c r="EF246" t="e">
        <f>AND('GA55 Only Print'!#REF!,"AAAAABXG8oc=")</f>
        <v>#REF!</v>
      </c>
      <c r="EG246" t="e">
        <f>AND('GA55 Only Print'!#REF!,"AAAAABXG8og=")</f>
        <v>#REF!</v>
      </c>
      <c r="EH246" t="e">
        <f>AND('GA55 Only Print'!#REF!,"AAAAABXG8ok=")</f>
        <v>#REF!</v>
      </c>
      <c r="EI246" t="e">
        <f>AND('GA55 Only Print'!#REF!,"AAAAABXG8oo=")</f>
        <v>#REF!</v>
      </c>
      <c r="EJ246" t="e">
        <f>AND('GA55 Only Print'!#REF!,"AAAAABXG8os=")</f>
        <v>#REF!</v>
      </c>
      <c r="EK246" t="e">
        <f>AND('GA55 Only Print'!#REF!,"AAAAABXG8ow=")</f>
        <v>#REF!</v>
      </c>
      <c r="EL246" t="e">
        <f>AND('GA55 Only Print'!#REF!,"AAAAABXG8o0=")</f>
        <v>#REF!</v>
      </c>
      <c r="EM246" t="e">
        <f>AND('GA55 Only Print'!#REF!,"AAAAABXG8o4=")</f>
        <v>#REF!</v>
      </c>
      <c r="EN246" t="e">
        <f>AND('GA55 Only Print'!#REF!,"AAAAABXG8o8=")</f>
        <v>#REF!</v>
      </c>
      <c r="EO246" t="e">
        <f>AND('GA55 Only Print'!#REF!,"AAAAABXG8pA=")</f>
        <v>#REF!</v>
      </c>
      <c r="EP246" t="e">
        <f>AND('GA55 Only Print'!#REF!,"AAAAABXG8pE=")</f>
        <v>#REF!</v>
      </c>
      <c r="EQ246" t="e">
        <f>AND('GA55 Only Print'!#REF!,"AAAAABXG8pI=")</f>
        <v>#REF!</v>
      </c>
      <c r="ER246" t="e">
        <f>AND('GA55 Only Print'!#REF!,"AAAAABXG8pM=")</f>
        <v>#REF!</v>
      </c>
      <c r="ES246" t="e">
        <f>AND('GA55 Only Print'!#REF!,"AAAAABXG8pQ=")</f>
        <v>#REF!</v>
      </c>
      <c r="ET246" t="e">
        <f>AND('GA55 Only Print'!#REF!,"AAAAABXG8pU=")</f>
        <v>#REF!</v>
      </c>
      <c r="EU246" t="e">
        <f>AND('GA55 Only Print'!#REF!,"AAAAABXG8pY=")</f>
        <v>#REF!</v>
      </c>
      <c r="EV246" t="e">
        <f>AND('GA55 Only Print'!#REF!,"AAAAABXG8pc=")</f>
        <v>#REF!</v>
      </c>
      <c r="EW246" t="e">
        <f>AND('GA55 Only Print'!#REF!,"AAAAABXG8pg=")</f>
        <v>#REF!</v>
      </c>
      <c r="EX246" t="e">
        <f>AND('GA55 Only Print'!#REF!,"AAAAABXG8pk=")</f>
        <v>#REF!</v>
      </c>
      <c r="EY246" t="e">
        <f>AND('GA55 Only Print'!#REF!,"AAAAABXG8po=")</f>
        <v>#REF!</v>
      </c>
      <c r="EZ246" t="e">
        <f>AND('GA55 Only Print'!#REF!,"AAAAABXG8ps=")</f>
        <v>#REF!</v>
      </c>
      <c r="FA246" t="e">
        <f>AND('GA55 Only Print'!#REF!,"AAAAABXG8pw=")</f>
        <v>#REF!</v>
      </c>
      <c r="FB246" t="e">
        <f>AND('GA55 Only Print'!#REF!,"AAAAABXG8p0=")</f>
        <v>#REF!</v>
      </c>
      <c r="FC246" t="e">
        <f>AND('GA55 Only Print'!#REF!,"AAAAABXG8p4=")</f>
        <v>#REF!</v>
      </c>
      <c r="FD246" t="e">
        <f>AND('GA55 Only Print'!#REF!,"AAAAABXG8p8=")</f>
        <v>#REF!</v>
      </c>
      <c r="FE246" t="e">
        <f>AND('GA55 Only Print'!#REF!,"AAAAABXG8qA=")</f>
        <v>#REF!</v>
      </c>
      <c r="FF246" t="e">
        <f>AND('GA55 Only Print'!#REF!,"AAAAABXG8qE=")</f>
        <v>#REF!</v>
      </c>
      <c r="FG246" t="e">
        <f>AND('GA55 Only Print'!#REF!,"AAAAABXG8qI=")</f>
        <v>#REF!</v>
      </c>
      <c r="FH246" t="e">
        <f>AND('GA55 Only Print'!#REF!,"AAAAABXG8qM=")</f>
        <v>#REF!</v>
      </c>
      <c r="FI246" t="e">
        <f>AND('GA55 Only Print'!#REF!,"AAAAABXG8qQ=")</f>
        <v>#REF!</v>
      </c>
      <c r="FJ246" t="e">
        <f>AND('GA55 Only Print'!#REF!,"AAAAABXG8qU=")</f>
        <v>#REF!</v>
      </c>
      <c r="FK246" t="e">
        <f>AND('GA55 Only Print'!#REF!,"AAAAABXG8qY=")</f>
        <v>#REF!</v>
      </c>
      <c r="FL246" t="e">
        <f>AND('GA55 Only Print'!#REF!,"AAAAABXG8qc=")</f>
        <v>#REF!</v>
      </c>
      <c r="FM246" t="e">
        <f>AND('GA55 Only Print'!#REF!,"AAAAABXG8qg=")</f>
        <v>#REF!</v>
      </c>
      <c r="FN246" t="e">
        <f>AND('GA55 Only Print'!#REF!,"AAAAABXG8qk=")</f>
        <v>#REF!</v>
      </c>
      <c r="FO246" t="e">
        <f>AND('GA55 Only Print'!#REF!,"AAAAABXG8qo=")</f>
        <v>#REF!</v>
      </c>
      <c r="FP246" t="e">
        <f>AND('GA55 Only Print'!#REF!,"AAAAABXG8qs=")</f>
        <v>#REF!</v>
      </c>
      <c r="FQ246" t="e">
        <f>AND('GA55 Only Print'!#REF!,"AAAAABXG8qw=")</f>
        <v>#REF!</v>
      </c>
      <c r="FR246" t="e">
        <f>AND('GA55 Only Print'!#REF!,"AAAAABXG8q0=")</f>
        <v>#REF!</v>
      </c>
      <c r="FS246" t="e">
        <f>AND('GA55 Only Print'!#REF!,"AAAAABXG8q4=")</f>
        <v>#REF!</v>
      </c>
      <c r="FT246" t="e">
        <f>AND('GA55 Only Print'!#REF!,"AAAAABXG8q8=")</f>
        <v>#REF!</v>
      </c>
      <c r="FU246" t="e">
        <f>AND('GA55 Only Print'!#REF!,"AAAAABXG8rA=")</f>
        <v>#REF!</v>
      </c>
      <c r="FV246" t="e">
        <f>AND('GA55 Only Print'!#REF!,"AAAAABXG8rE=")</f>
        <v>#REF!</v>
      </c>
      <c r="FW246" t="e">
        <f>AND('GA55 Only Print'!#REF!,"AAAAABXG8rI=")</f>
        <v>#REF!</v>
      </c>
      <c r="FX246" t="e">
        <f>AND('GA55 Only Print'!#REF!,"AAAAABXG8rM=")</f>
        <v>#REF!</v>
      </c>
      <c r="FY246" t="e">
        <f>AND('GA55 Only Print'!#REF!,"AAAAABXG8rQ=")</f>
        <v>#REF!</v>
      </c>
      <c r="FZ246" t="e">
        <f>AND('GA55 Only Print'!#REF!,"AAAAABXG8rU=")</f>
        <v>#REF!</v>
      </c>
      <c r="GA246" t="e">
        <f>AND('GA55 Only Print'!#REF!,"AAAAABXG8rY=")</f>
        <v>#REF!</v>
      </c>
      <c r="GB246" t="e">
        <f>AND('GA55 Only Print'!#REF!,"AAAAABXG8rc=")</f>
        <v>#REF!</v>
      </c>
      <c r="GC246" t="e">
        <f>AND('GA55 Only Print'!#REF!,"AAAAABXG8rg=")</f>
        <v>#REF!</v>
      </c>
      <c r="GD246" t="e">
        <f>AND('GA55 Only Print'!#REF!,"AAAAABXG8rk=")</f>
        <v>#REF!</v>
      </c>
      <c r="GE246" t="e">
        <f>AND('GA55 Only Print'!#REF!,"AAAAABXG8ro=")</f>
        <v>#REF!</v>
      </c>
      <c r="GF246" t="e">
        <f>AND('GA55 Only Print'!#REF!,"AAAAABXG8rs=")</f>
        <v>#REF!</v>
      </c>
      <c r="GG246" t="e">
        <f>AND('GA55 Only Print'!#REF!,"AAAAABXG8rw=")</f>
        <v>#REF!</v>
      </c>
      <c r="GH246" t="e">
        <f>IF('GA55 Only Print'!#REF!,"AAAAABXG8r0=",0)</f>
        <v>#REF!</v>
      </c>
      <c r="GI246" t="e">
        <f>AND('GA55 Only Print'!#REF!,"AAAAABXG8r4=")</f>
        <v>#REF!</v>
      </c>
      <c r="GJ246" t="e">
        <f>AND('GA55 Only Print'!#REF!,"AAAAABXG8r8=")</f>
        <v>#REF!</v>
      </c>
      <c r="GK246" t="e">
        <f>AND('GA55 Only Print'!#REF!,"AAAAABXG8sA=")</f>
        <v>#REF!</v>
      </c>
      <c r="GL246" t="e">
        <f>AND('GA55 Only Print'!#REF!,"AAAAABXG8sE=")</f>
        <v>#REF!</v>
      </c>
      <c r="GM246" t="e">
        <f>AND('GA55 Only Print'!#REF!,"AAAAABXG8sI=")</f>
        <v>#REF!</v>
      </c>
      <c r="GN246" t="e">
        <f>AND('GA55 Only Print'!#REF!,"AAAAABXG8sM=")</f>
        <v>#REF!</v>
      </c>
      <c r="GO246" t="e">
        <f>AND('GA55 Only Print'!#REF!,"AAAAABXG8sQ=")</f>
        <v>#REF!</v>
      </c>
      <c r="GP246" t="e">
        <f>AND('GA55 Only Print'!#REF!,"AAAAABXG8sU=")</f>
        <v>#REF!</v>
      </c>
      <c r="GQ246" t="e">
        <f>AND('GA55 Only Print'!#REF!,"AAAAABXG8sY=")</f>
        <v>#REF!</v>
      </c>
      <c r="GR246" t="e">
        <f>AND('GA55 Only Print'!#REF!,"AAAAABXG8sc=")</f>
        <v>#REF!</v>
      </c>
      <c r="GS246" t="e">
        <f>AND('GA55 Only Print'!#REF!,"AAAAABXG8sg=")</f>
        <v>#REF!</v>
      </c>
      <c r="GT246" t="e">
        <f>AND('GA55 Only Print'!#REF!,"AAAAABXG8sk=")</f>
        <v>#REF!</v>
      </c>
      <c r="GU246" t="e">
        <f>AND('GA55 Only Print'!#REF!,"AAAAABXG8so=")</f>
        <v>#REF!</v>
      </c>
      <c r="GV246" t="e">
        <f>AND('GA55 Only Print'!#REF!,"AAAAABXG8ss=")</f>
        <v>#REF!</v>
      </c>
      <c r="GW246" t="e">
        <f>AND('GA55 Only Print'!#REF!,"AAAAABXG8sw=")</f>
        <v>#REF!</v>
      </c>
      <c r="GX246" t="e">
        <f>AND('GA55 Only Print'!#REF!,"AAAAABXG8s0=")</f>
        <v>#REF!</v>
      </c>
      <c r="GY246" t="e">
        <f>AND('GA55 Only Print'!#REF!,"AAAAABXG8s4=")</f>
        <v>#REF!</v>
      </c>
      <c r="GZ246" t="e">
        <f>AND('GA55 Only Print'!#REF!,"AAAAABXG8s8=")</f>
        <v>#REF!</v>
      </c>
      <c r="HA246" t="e">
        <f>AND('GA55 Only Print'!#REF!,"AAAAABXG8tA=")</f>
        <v>#REF!</v>
      </c>
      <c r="HB246" t="e">
        <f>AND('GA55 Only Print'!#REF!,"AAAAABXG8tE=")</f>
        <v>#REF!</v>
      </c>
      <c r="HC246" t="e">
        <f>AND('GA55 Only Print'!#REF!,"AAAAABXG8tI=")</f>
        <v>#REF!</v>
      </c>
      <c r="HD246" t="e">
        <f>AND('GA55 Only Print'!#REF!,"AAAAABXG8tM=")</f>
        <v>#REF!</v>
      </c>
      <c r="HE246" t="e">
        <f>AND('GA55 Only Print'!#REF!,"AAAAABXG8tQ=")</f>
        <v>#REF!</v>
      </c>
      <c r="HF246" t="e">
        <f>AND('GA55 Only Print'!#REF!,"AAAAABXG8tU=")</f>
        <v>#REF!</v>
      </c>
      <c r="HG246" t="e">
        <f>AND('GA55 Only Print'!#REF!,"AAAAABXG8tY=")</f>
        <v>#REF!</v>
      </c>
      <c r="HH246" t="e">
        <f>AND('GA55 Only Print'!#REF!,"AAAAABXG8tc=")</f>
        <v>#REF!</v>
      </c>
      <c r="HI246" t="e">
        <f>AND('GA55 Only Print'!#REF!,"AAAAABXG8tg=")</f>
        <v>#REF!</v>
      </c>
      <c r="HJ246" t="e">
        <f>AND('GA55 Only Print'!#REF!,"AAAAABXG8tk=")</f>
        <v>#REF!</v>
      </c>
      <c r="HK246" t="e">
        <f>AND('GA55 Only Print'!#REF!,"AAAAABXG8to=")</f>
        <v>#REF!</v>
      </c>
      <c r="HL246" t="e">
        <f>AND('GA55 Only Print'!#REF!,"AAAAABXG8ts=")</f>
        <v>#REF!</v>
      </c>
      <c r="HM246" t="e">
        <f>AND('GA55 Only Print'!#REF!,"AAAAABXG8tw=")</f>
        <v>#REF!</v>
      </c>
      <c r="HN246" t="e">
        <f>AND('GA55 Only Print'!#REF!,"AAAAABXG8t0=")</f>
        <v>#REF!</v>
      </c>
      <c r="HO246" t="e">
        <f>AND('GA55 Only Print'!#REF!,"AAAAABXG8t4=")</f>
        <v>#REF!</v>
      </c>
      <c r="HP246" t="e">
        <f>AND('GA55 Only Print'!#REF!,"AAAAABXG8t8=")</f>
        <v>#REF!</v>
      </c>
      <c r="HQ246" t="e">
        <f>AND('GA55 Only Print'!#REF!,"AAAAABXG8uA=")</f>
        <v>#REF!</v>
      </c>
      <c r="HR246" t="e">
        <f>AND('GA55 Only Print'!#REF!,"AAAAABXG8uE=")</f>
        <v>#REF!</v>
      </c>
      <c r="HS246" t="e">
        <f>AND('GA55 Only Print'!#REF!,"AAAAABXG8uI=")</f>
        <v>#REF!</v>
      </c>
      <c r="HT246" t="e">
        <f>AND('GA55 Only Print'!#REF!,"AAAAABXG8uM=")</f>
        <v>#REF!</v>
      </c>
      <c r="HU246" t="e">
        <f>AND('GA55 Only Print'!#REF!,"AAAAABXG8uQ=")</f>
        <v>#REF!</v>
      </c>
      <c r="HV246" t="e">
        <f>AND('GA55 Only Print'!#REF!,"AAAAABXG8uU=")</f>
        <v>#REF!</v>
      </c>
      <c r="HW246" t="e">
        <f>AND('GA55 Only Print'!#REF!,"AAAAABXG8uY=")</f>
        <v>#REF!</v>
      </c>
      <c r="HX246" t="e">
        <f>AND('GA55 Only Print'!#REF!,"AAAAABXG8uc=")</f>
        <v>#REF!</v>
      </c>
      <c r="HY246" t="e">
        <f>AND('GA55 Only Print'!#REF!,"AAAAABXG8ug=")</f>
        <v>#REF!</v>
      </c>
      <c r="HZ246" t="e">
        <f>AND('GA55 Only Print'!#REF!,"AAAAABXG8uk=")</f>
        <v>#REF!</v>
      </c>
      <c r="IA246" t="e">
        <f>AND('GA55 Only Print'!#REF!,"AAAAABXG8uo=")</f>
        <v>#REF!</v>
      </c>
      <c r="IB246" t="e">
        <f>AND('GA55 Only Print'!#REF!,"AAAAABXG8us=")</f>
        <v>#REF!</v>
      </c>
      <c r="IC246" t="e">
        <f>AND('GA55 Only Print'!#REF!,"AAAAABXG8uw=")</f>
        <v>#REF!</v>
      </c>
      <c r="ID246" t="e">
        <f>AND('GA55 Only Print'!#REF!,"AAAAABXG8u0=")</f>
        <v>#REF!</v>
      </c>
      <c r="IE246" t="e">
        <f>AND('GA55 Only Print'!#REF!,"AAAAABXG8u4=")</f>
        <v>#REF!</v>
      </c>
      <c r="IF246" t="e">
        <f>AND('GA55 Only Print'!#REF!,"AAAAABXG8u8=")</f>
        <v>#REF!</v>
      </c>
      <c r="IG246" t="e">
        <f>AND('GA55 Only Print'!#REF!,"AAAAABXG8vA=")</f>
        <v>#REF!</v>
      </c>
      <c r="IH246" t="e">
        <f>AND('GA55 Only Print'!#REF!,"AAAAABXG8vE=")</f>
        <v>#REF!</v>
      </c>
      <c r="II246" t="e">
        <f>AND('GA55 Only Print'!#REF!,"AAAAABXG8vI=")</f>
        <v>#REF!</v>
      </c>
      <c r="IJ246" t="e">
        <f>AND('GA55 Only Print'!#REF!,"AAAAABXG8vM=")</f>
        <v>#REF!</v>
      </c>
      <c r="IK246" t="e">
        <f>AND('GA55 Only Print'!#REF!,"AAAAABXG8vQ=")</f>
        <v>#REF!</v>
      </c>
      <c r="IL246" t="e">
        <f>AND('GA55 Only Print'!#REF!,"AAAAABXG8vU=")</f>
        <v>#REF!</v>
      </c>
      <c r="IM246" t="e">
        <f>AND('GA55 Only Print'!#REF!,"AAAAABXG8vY=")</f>
        <v>#REF!</v>
      </c>
      <c r="IN246" t="e">
        <f>AND('GA55 Only Print'!#REF!,"AAAAABXG8vc=")</f>
        <v>#REF!</v>
      </c>
      <c r="IO246" t="e">
        <f>AND('GA55 Only Print'!#REF!,"AAAAABXG8vg=")</f>
        <v>#REF!</v>
      </c>
      <c r="IP246" t="e">
        <f>AND('GA55 Only Print'!#REF!,"AAAAABXG8vk=")</f>
        <v>#REF!</v>
      </c>
      <c r="IQ246" t="e">
        <f>AND('GA55 Only Print'!#REF!,"AAAAABXG8vo=")</f>
        <v>#REF!</v>
      </c>
      <c r="IR246" t="e">
        <f>AND('GA55 Only Print'!#REF!,"AAAAABXG8vs=")</f>
        <v>#REF!</v>
      </c>
      <c r="IS246" t="e">
        <f>AND('GA55 Only Print'!#REF!,"AAAAABXG8vw=")</f>
        <v>#REF!</v>
      </c>
      <c r="IT246" t="e">
        <f>AND('GA55 Only Print'!#REF!,"AAAAABXG8v0=")</f>
        <v>#REF!</v>
      </c>
      <c r="IU246" t="e">
        <f>AND('GA55 Only Print'!#REF!,"AAAAABXG8v4=")</f>
        <v>#REF!</v>
      </c>
      <c r="IV246" t="e">
        <f>AND('GA55 Only Print'!#REF!,"AAAAABXG8v8=")</f>
        <v>#REF!</v>
      </c>
    </row>
    <row r="247" spans="1:256">
      <c r="A247" t="e">
        <f>AND('GA55 Only Print'!#REF!,"AAAAAG83/gA=")</f>
        <v>#REF!</v>
      </c>
      <c r="B247" t="e">
        <f>AND('GA55 Only Print'!#REF!,"AAAAAG83/gE=")</f>
        <v>#REF!</v>
      </c>
      <c r="C247" t="e">
        <f>AND('GA55 Only Print'!#REF!,"AAAAAG83/gI=")</f>
        <v>#REF!</v>
      </c>
      <c r="D247" t="e">
        <f>AND('GA55 Only Print'!#REF!,"AAAAAG83/gM=")</f>
        <v>#REF!</v>
      </c>
      <c r="E247" t="e">
        <f>AND('GA55 Only Print'!#REF!,"AAAAAG83/gQ=")</f>
        <v>#REF!</v>
      </c>
      <c r="F247" t="e">
        <f>AND('GA55 Only Print'!#REF!,"AAAAAG83/gU=")</f>
        <v>#REF!</v>
      </c>
      <c r="G247" t="e">
        <f>AND('GA55 Only Print'!#REF!,"AAAAAG83/gY=")</f>
        <v>#REF!</v>
      </c>
      <c r="H247" t="e">
        <f>AND('GA55 Only Print'!#REF!,"AAAAAG83/gc=")</f>
        <v>#REF!</v>
      </c>
      <c r="I247" t="e">
        <f>IF('GA55 Only Print'!#REF!,"AAAAAG83/gg=",0)</f>
        <v>#REF!</v>
      </c>
      <c r="J247" t="e">
        <f>AND('GA55 Only Print'!#REF!,"AAAAAG83/gk=")</f>
        <v>#REF!</v>
      </c>
      <c r="K247" t="e">
        <f>AND('GA55 Only Print'!#REF!,"AAAAAG83/go=")</f>
        <v>#REF!</v>
      </c>
      <c r="L247" t="e">
        <f>AND('GA55 Only Print'!#REF!,"AAAAAG83/gs=")</f>
        <v>#REF!</v>
      </c>
      <c r="M247" t="e">
        <f>AND('GA55 Only Print'!#REF!,"AAAAAG83/gw=")</f>
        <v>#REF!</v>
      </c>
      <c r="N247" t="e">
        <f>AND('GA55 Only Print'!#REF!,"AAAAAG83/g0=")</f>
        <v>#REF!</v>
      </c>
      <c r="O247" t="e">
        <f>AND('GA55 Only Print'!#REF!,"AAAAAG83/g4=")</f>
        <v>#REF!</v>
      </c>
      <c r="P247" t="e">
        <f>AND('GA55 Only Print'!#REF!,"AAAAAG83/g8=")</f>
        <v>#REF!</v>
      </c>
      <c r="Q247" t="e">
        <f>AND('GA55 Only Print'!#REF!,"AAAAAG83/hA=")</f>
        <v>#REF!</v>
      </c>
      <c r="R247" t="e">
        <f>AND('GA55 Only Print'!#REF!,"AAAAAG83/hE=")</f>
        <v>#REF!</v>
      </c>
      <c r="S247" t="e">
        <f>AND('GA55 Only Print'!#REF!,"AAAAAG83/hI=")</f>
        <v>#REF!</v>
      </c>
      <c r="T247" t="e">
        <f>AND('GA55 Only Print'!#REF!,"AAAAAG83/hM=")</f>
        <v>#REF!</v>
      </c>
      <c r="U247" t="e">
        <f>AND('GA55 Only Print'!#REF!,"AAAAAG83/hQ=")</f>
        <v>#REF!</v>
      </c>
      <c r="V247" t="e">
        <f>AND('GA55 Only Print'!#REF!,"AAAAAG83/hU=")</f>
        <v>#REF!</v>
      </c>
      <c r="W247" t="e">
        <f>AND('GA55 Only Print'!#REF!,"AAAAAG83/hY=")</f>
        <v>#REF!</v>
      </c>
      <c r="X247" t="e">
        <f>AND('GA55 Only Print'!#REF!,"AAAAAG83/hc=")</f>
        <v>#REF!</v>
      </c>
      <c r="Y247" t="e">
        <f>AND('GA55 Only Print'!#REF!,"AAAAAG83/hg=")</f>
        <v>#REF!</v>
      </c>
      <c r="Z247" t="e">
        <f>AND('GA55 Only Print'!#REF!,"AAAAAG83/hk=")</f>
        <v>#REF!</v>
      </c>
      <c r="AA247" t="e">
        <f>AND('GA55 Only Print'!#REF!,"AAAAAG83/ho=")</f>
        <v>#REF!</v>
      </c>
      <c r="AB247" t="e">
        <f>AND('GA55 Only Print'!#REF!,"AAAAAG83/hs=")</f>
        <v>#REF!</v>
      </c>
      <c r="AC247" t="e">
        <f>AND('GA55 Only Print'!#REF!,"AAAAAG83/hw=")</f>
        <v>#REF!</v>
      </c>
      <c r="AD247" t="e">
        <f>AND('GA55 Only Print'!#REF!,"AAAAAG83/h0=")</f>
        <v>#REF!</v>
      </c>
      <c r="AE247" t="e">
        <f>AND('GA55 Only Print'!#REF!,"AAAAAG83/h4=")</f>
        <v>#REF!</v>
      </c>
      <c r="AF247" t="e">
        <f>AND('GA55 Only Print'!#REF!,"AAAAAG83/h8=")</f>
        <v>#REF!</v>
      </c>
      <c r="AG247" t="e">
        <f>AND('GA55 Only Print'!#REF!,"AAAAAG83/iA=")</f>
        <v>#REF!</v>
      </c>
      <c r="AH247" t="e">
        <f>AND('GA55 Only Print'!#REF!,"AAAAAG83/iE=")</f>
        <v>#REF!</v>
      </c>
      <c r="AI247" t="e">
        <f>AND('GA55 Only Print'!#REF!,"AAAAAG83/iI=")</f>
        <v>#REF!</v>
      </c>
      <c r="AJ247" t="e">
        <f>AND('GA55 Only Print'!#REF!,"AAAAAG83/iM=")</f>
        <v>#REF!</v>
      </c>
      <c r="AK247" t="e">
        <f>AND('GA55 Only Print'!#REF!,"AAAAAG83/iQ=")</f>
        <v>#REF!</v>
      </c>
      <c r="AL247" t="e">
        <f>AND('GA55 Only Print'!#REF!,"AAAAAG83/iU=")</f>
        <v>#REF!</v>
      </c>
      <c r="AM247" t="e">
        <f>AND('GA55 Only Print'!#REF!,"AAAAAG83/iY=")</f>
        <v>#REF!</v>
      </c>
      <c r="AN247" t="e">
        <f>AND('GA55 Only Print'!#REF!,"AAAAAG83/ic=")</f>
        <v>#REF!</v>
      </c>
      <c r="AO247" t="e">
        <f>AND('GA55 Only Print'!#REF!,"AAAAAG83/ig=")</f>
        <v>#REF!</v>
      </c>
      <c r="AP247" t="e">
        <f>AND('GA55 Only Print'!#REF!,"AAAAAG83/ik=")</f>
        <v>#REF!</v>
      </c>
      <c r="AQ247" t="e">
        <f>AND('GA55 Only Print'!#REF!,"AAAAAG83/io=")</f>
        <v>#REF!</v>
      </c>
      <c r="AR247" t="e">
        <f>AND('GA55 Only Print'!#REF!,"AAAAAG83/is=")</f>
        <v>#REF!</v>
      </c>
      <c r="AS247" t="e">
        <f>AND('GA55 Only Print'!#REF!,"AAAAAG83/iw=")</f>
        <v>#REF!</v>
      </c>
      <c r="AT247" t="e">
        <f>AND('GA55 Only Print'!#REF!,"AAAAAG83/i0=")</f>
        <v>#REF!</v>
      </c>
      <c r="AU247" t="e">
        <f>AND('GA55 Only Print'!#REF!,"AAAAAG83/i4=")</f>
        <v>#REF!</v>
      </c>
      <c r="AV247" t="e">
        <f>AND('GA55 Only Print'!#REF!,"AAAAAG83/i8=")</f>
        <v>#REF!</v>
      </c>
      <c r="AW247" t="e">
        <f>AND('GA55 Only Print'!#REF!,"AAAAAG83/jA=")</f>
        <v>#REF!</v>
      </c>
      <c r="AX247" t="e">
        <f>AND('GA55 Only Print'!#REF!,"AAAAAG83/jE=")</f>
        <v>#REF!</v>
      </c>
      <c r="AY247" t="e">
        <f>AND('GA55 Only Print'!#REF!,"AAAAAG83/jI=")</f>
        <v>#REF!</v>
      </c>
      <c r="AZ247" t="e">
        <f>AND('GA55 Only Print'!#REF!,"AAAAAG83/jM=")</f>
        <v>#REF!</v>
      </c>
      <c r="BA247" t="e">
        <f>AND('GA55 Only Print'!#REF!,"AAAAAG83/jQ=")</f>
        <v>#REF!</v>
      </c>
      <c r="BB247" t="e">
        <f>AND('GA55 Only Print'!#REF!,"AAAAAG83/jU=")</f>
        <v>#REF!</v>
      </c>
      <c r="BC247" t="e">
        <f>AND('GA55 Only Print'!#REF!,"AAAAAG83/jY=")</f>
        <v>#REF!</v>
      </c>
      <c r="BD247" t="e">
        <f>AND('GA55 Only Print'!#REF!,"AAAAAG83/jc=")</f>
        <v>#REF!</v>
      </c>
      <c r="BE247" t="e">
        <f>AND('GA55 Only Print'!#REF!,"AAAAAG83/jg=")</f>
        <v>#REF!</v>
      </c>
      <c r="BF247" t="e">
        <f>AND('GA55 Only Print'!#REF!,"AAAAAG83/jk=")</f>
        <v>#REF!</v>
      </c>
      <c r="BG247" t="e">
        <f>AND('GA55 Only Print'!#REF!,"AAAAAG83/jo=")</f>
        <v>#REF!</v>
      </c>
      <c r="BH247" t="e">
        <f>AND('GA55 Only Print'!#REF!,"AAAAAG83/js=")</f>
        <v>#REF!</v>
      </c>
      <c r="BI247" t="e">
        <f>AND('GA55 Only Print'!#REF!,"AAAAAG83/jw=")</f>
        <v>#REF!</v>
      </c>
      <c r="BJ247" t="e">
        <f>AND('GA55 Only Print'!#REF!,"AAAAAG83/j0=")</f>
        <v>#REF!</v>
      </c>
      <c r="BK247" t="e">
        <f>AND('GA55 Only Print'!#REF!,"AAAAAG83/j4=")</f>
        <v>#REF!</v>
      </c>
      <c r="BL247" t="e">
        <f>AND('GA55 Only Print'!#REF!,"AAAAAG83/j8=")</f>
        <v>#REF!</v>
      </c>
      <c r="BM247" t="e">
        <f>AND('GA55 Only Print'!#REF!,"AAAAAG83/kA=")</f>
        <v>#REF!</v>
      </c>
      <c r="BN247" t="e">
        <f>AND('GA55 Only Print'!#REF!,"AAAAAG83/kE=")</f>
        <v>#REF!</v>
      </c>
      <c r="BO247" t="e">
        <f>AND('GA55 Only Print'!#REF!,"AAAAAG83/kI=")</f>
        <v>#REF!</v>
      </c>
      <c r="BP247" t="e">
        <f>AND('GA55 Only Print'!#REF!,"AAAAAG83/kM=")</f>
        <v>#REF!</v>
      </c>
      <c r="BQ247" t="e">
        <f>AND('GA55 Only Print'!#REF!,"AAAAAG83/kQ=")</f>
        <v>#REF!</v>
      </c>
      <c r="BR247" t="e">
        <f>AND('GA55 Only Print'!#REF!,"AAAAAG83/kU=")</f>
        <v>#REF!</v>
      </c>
      <c r="BS247" t="e">
        <f>AND('GA55 Only Print'!#REF!,"AAAAAG83/kY=")</f>
        <v>#REF!</v>
      </c>
      <c r="BT247" t="e">
        <f>AND('GA55 Only Print'!#REF!,"AAAAAG83/kc=")</f>
        <v>#REF!</v>
      </c>
      <c r="BU247" t="e">
        <f>AND('GA55 Only Print'!#REF!,"AAAAAG83/kg=")</f>
        <v>#REF!</v>
      </c>
      <c r="BV247" t="e">
        <f>AND('GA55 Only Print'!#REF!,"AAAAAG83/kk=")</f>
        <v>#REF!</v>
      </c>
      <c r="BW247" t="e">
        <f>AND('GA55 Only Print'!#REF!,"AAAAAG83/ko=")</f>
        <v>#REF!</v>
      </c>
      <c r="BX247" t="e">
        <f>AND('GA55 Only Print'!#REF!,"AAAAAG83/ks=")</f>
        <v>#REF!</v>
      </c>
      <c r="BY247" t="e">
        <f>AND('GA55 Only Print'!#REF!,"AAAAAG83/kw=")</f>
        <v>#REF!</v>
      </c>
      <c r="BZ247" t="e">
        <f>AND('GA55 Only Print'!#REF!,"AAAAAG83/k0=")</f>
        <v>#REF!</v>
      </c>
      <c r="CA247" t="e">
        <f>AND('GA55 Only Print'!#REF!,"AAAAAG83/k4=")</f>
        <v>#REF!</v>
      </c>
      <c r="CB247" t="e">
        <f>AND('GA55 Only Print'!#REF!,"AAAAAG83/k8=")</f>
        <v>#REF!</v>
      </c>
      <c r="CC247" t="e">
        <f>AND('GA55 Only Print'!#REF!,"AAAAAG83/lA=")</f>
        <v>#REF!</v>
      </c>
      <c r="CD247" t="e">
        <f>AND('GA55 Only Print'!#REF!,"AAAAAG83/lE=")</f>
        <v>#REF!</v>
      </c>
      <c r="CE247" t="e">
        <f>AND('GA55 Only Print'!#REF!,"AAAAAG83/lI=")</f>
        <v>#REF!</v>
      </c>
      <c r="CF247" t="e">
        <f>IF('GA55 Only Print'!#REF!,"AAAAAG83/lM=",0)</f>
        <v>#REF!</v>
      </c>
      <c r="CG247" t="e">
        <f>AND('GA55 Only Print'!#REF!,"AAAAAG83/lQ=")</f>
        <v>#REF!</v>
      </c>
      <c r="CH247" t="e">
        <f>AND('GA55 Only Print'!#REF!,"AAAAAG83/lU=")</f>
        <v>#REF!</v>
      </c>
      <c r="CI247" t="e">
        <f>AND('GA55 Only Print'!#REF!,"AAAAAG83/lY=")</f>
        <v>#REF!</v>
      </c>
      <c r="CJ247" t="e">
        <f>AND('GA55 Only Print'!#REF!,"AAAAAG83/lc=")</f>
        <v>#REF!</v>
      </c>
      <c r="CK247" t="e">
        <f>AND('GA55 Only Print'!#REF!,"AAAAAG83/lg=")</f>
        <v>#REF!</v>
      </c>
      <c r="CL247" t="e">
        <f>AND('GA55 Only Print'!#REF!,"AAAAAG83/lk=")</f>
        <v>#REF!</v>
      </c>
      <c r="CM247" t="e">
        <f>AND('GA55 Only Print'!#REF!,"AAAAAG83/lo=")</f>
        <v>#REF!</v>
      </c>
      <c r="CN247" t="e">
        <f>AND('GA55 Only Print'!#REF!,"AAAAAG83/ls=")</f>
        <v>#REF!</v>
      </c>
      <c r="CO247" t="e">
        <f>AND('GA55 Only Print'!#REF!,"AAAAAG83/lw=")</f>
        <v>#REF!</v>
      </c>
      <c r="CP247" t="e">
        <f>AND('GA55 Only Print'!#REF!,"AAAAAG83/l0=")</f>
        <v>#REF!</v>
      </c>
      <c r="CQ247" t="e">
        <f>AND('GA55 Only Print'!#REF!,"AAAAAG83/l4=")</f>
        <v>#REF!</v>
      </c>
      <c r="CR247" t="e">
        <f>AND('GA55 Only Print'!#REF!,"AAAAAG83/l8=")</f>
        <v>#REF!</v>
      </c>
      <c r="CS247" t="e">
        <f>AND('GA55 Only Print'!#REF!,"AAAAAG83/mA=")</f>
        <v>#REF!</v>
      </c>
      <c r="CT247" t="e">
        <f>AND('GA55 Only Print'!#REF!,"AAAAAG83/mE=")</f>
        <v>#REF!</v>
      </c>
      <c r="CU247" t="e">
        <f>AND('GA55 Only Print'!#REF!,"AAAAAG83/mI=")</f>
        <v>#REF!</v>
      </c>
      <c r="CV247" t="e">
        <f>AND('GA55 Only Print'!#REF!,"AAAAAG83/mM=")</f>
        <v>#REF!</v>
      </c>
      <c r="CW247" t="e">
        <f>AND('GA55 Only Print'!#REF!,"AAAAAG83/mQ=")</f>
        <v>#REF!</v>
      </c>
      <c r="CX247" t="e">
        <f>AND('GA55 Only Print'!#REF!,"AAAAAG83/mU=")</f>
        <v>#REF!</v>
      </c>
      <c r="CY247" t="e">
        <f>AND('GA55 Only Print'!#REF!,"AAAAAG83/mY=")</f>
        <v>#REF!</v>
      </c>
      <c r="CZ247" t="e">
        <f>AND('GA55 Only Print'!#REF!,"AAAAAG83/mc=")</f>
        <v>#REF!</v>
      </c>
      <c r="DA247" t="e">
        <f>AND('GA55 Only Print'!#REF!,"AAAAAG83/mg=")</f>
        <v>#REF!</v>
      </c>
      <c r="DB247" t="e">
        <f>AND('GA55 Only Print'!#REF!,"AAAAAG83/mk=")</f>
        <v>#REF!</v>
      </c>
      <c r="DC247" t="e">
        <f>AND('GA55 Only Print'!#REF!,"AAAAAG83/mo=")</f>
        <v>#REF!</v>
      </c>
      <c r="DD247" t="e">
        <f>AND('GA55 Only Print'!#REF!,"AAAAAG83/ms=")</f>
        <v>#REF!</v>
      </c>
      <c r="DE247" t="e">
        <f>AND('GA55 Only Print'!#REF!,"AAAAAG83/mw=")</f>
        <v>#REF!</v>
      </c>
      <c r="DF247" t="e">
        <f>AND('GA55 Only Print'!#REF!,"AAAAAG83/m0=")</f>
        <v>#REF!</v>
      </c>
      <c r="DG247" t="e">
        <f>AND('GA55 Only Print'!#REF!,"AAAAAG83/m4=")</f>
        <v>#REF!</v>
      </c>
      <c r="DH247" t="e">
        <f>AND('GA55 Only Print'!#REF!,"AAAAAG83/m8=")</f>
        <v>#REF!</v>
      </c>
      <c r="DI247" t="e">
        <f>AND('GA55 Only Print'!#REF!,"AAAAAG83/nA=")</f>
        <v>#REF!</v>
      </c>
      <c r="DJ247" t="e">
        <f>AND('GA55 Only Print'!#REF!,"AAAAAG83/nE=")</f>
        <v>#REF!</v>
      </c>
      <c r="DK247" t="e">
        <f>AND('GA55 Only Print'!#REF!,"AAAAAG83/nI=")</f>
        <v>#REF!</v>
      </c>
      <c r="DL247" t="e">
        <f>AND('GA55 Only Print'!#REF!,"AAAAAG83/nM=")</f>
        <v>#REF!</v>
      </c>
      <c r="DM247" t="e">
        <f>AND('GA55 Only Print'!#REF!,"AAAAAG83/nQ=")</f>
        <v>#REF!</v>
      </c>
      <c r="DN247" t="e">
        <f>AND('GA55 Only Print'!#REF!,"AAAAAG83/nU=")</f>
        <v>#REF!</v>
      </c>
      <c r="DO247" t="e">
        <f>AND('GA55 Only Print'!#REF!,"AAAAAG83/nY=")</f>
        <v>#REF!</v>
      </c>
      <c r="DP247" t="e">
        <f>AND('GA55 Only Print'!#REF!,"AAAAAG83/nc=")</f>
        <v>#REF!</v>
      </c>
      <c r="DQ247" t="e">
        <f>AND('GA55 Only Print'!#REF!,"AAAAAG83/ng=")</f>
        <v>#REF!</v>
      </c>
      <c r="DR247" t="e">
        <f>AND('GA55 Only Print'!#REF!,"AAAAAG83/nk=")</f>
        <v>#REF!</v>
      </c>
      <c r="DS247" t="e">
        <f>AND('GA55 Only Print'!#REF!,"AAAAAG83/no=")</f>
        <v>#REF!</v>
      </c>
      <c r="DT247" t="e">
        <f>AND('GA55 Only Print'!#REF!,"AAAAAG83/ns=")</f>
        <v>#REF!</v>
      </c>
      <c r="DU247" t="e">
        <f>AND('GA55 Only Print'!#REF!,"AAAAAG83/nw=")</f>
        <v>#REF!</v>
      </c>
      <c r="DV247" t="e">
        <f>AND('GA55 Only Print'!#REF!,"AAAAAG83/n0=")</f>
        <v>#REF!</v>
      </c>
      <c r="DW247" t="e">
        <f>AND('GA55 Only Print'!#REF!,"AAAAAG83/n4=")</f>
        <v>#REF!</v>
      </c>
      <c r="DX247" t="e">
        <f>AND('GA55 Only Print'!#REF!,"AAAAAG83/n8=")</f>
        <v>#REF!</v>
      </c>
      <c r="DY247" t="e">
        <f>AND('GA55 Only Print'!#REF!,"AAAAAG83/oA=")</f>
        <v>#REF!</v>
      </c>
      <c r="DZ247" t="e">
        <f>AND('GA55 Only Print'!#REF!,"AAAAAG83/oE=")</f>
        <v>#REF!</v>
      </c>
      <c r="EA247" t="e">
        <f>AND('GA55 Only Print'!#REF!,"AAAAAG83/oI=")</f>
        <v>#REF!</v>
      </c>
      <c r="EB247" t="e">
        <f>AND('GA55 Only Print'!#REF!,"AAAAAG83/oM=")</f>
        <v>#REF!</v>
      </c>
      <c r="EC247" t="e">
        <f>AND('GA55 Only Print'!#REF!,"AAAAAG83/oQ=")</f>
        <v>#REF!</v>
      </c>
      <c r="ED247" t="e">
        <f>AND('GA55 Only Print'!#REF!,"AAAAAG83/oU=")</f>
        <v>#REF!</v>
      </c>
      <c r="EE247" t="e">
        <f>AND('GA55 Only Print'!#REF!,"AAAAAG83/oY=")</f>
        <v>#REF!</v>
      </c>
      <c r="EF247" t="e">
        <f>AND('GA55 Only Print'!#REF!,"AAAAAG83/oc=")</f>
        <v>#REF!</v>
      </c>
      <c r="EG247" t="e">
        <f>AND('GA55 Only Print'!#REF!,"AAAAAG83/og=")</f>
        <v>#REF!</v>
      </c>
      <c r="EH247" t="e">
        <f>AND('GA55 Only Print'!#REF!,"AAAAAG83/ok=")</f>
        <v>#REF!</v>
      </c>
      <c r="EI247" t="e">
        <f>AND('GA55 Only Print'!#REF!,"AAAAAG83/oo=")</f>
        <v>#REF!</v>
      </c>
      <c r="EJ247" t="e">
        <f>AND('GA55 Only Print'!#REF!,"AAAAAG83/os=")</f>
        <v>#REF!</v>
      </c>
      <c r="EK247" t="e">
        <f>AND('GA55 Only Print'!#REF!,"AAAAAG83/ow=")</f>
        <v>#REF!</v>
      </c>
      <c r="EL247" t="e">
        <f>AND('GA55 Only Print'!#REF!,"AAAAAG83/o0=")</f>
        <v>#REF!</v>
      </c>
      <c r="EM247" t="e">
        <f>AND('GA55 Only Print'!#REF!,"AAAAAG83/o4=")</f>
        <v>#REF!</v>
      </c>
      <c r="EN247" t="e">
        <f>AND('GA55 Only Print'!#REF!,"AAAAAG83/o8=")</f>
        <v>#REF!</v>
      </c>
      <c r="EO247" t="e">
        <f>AND('GA55 Only Print'!#REF!,"AAAAAG83/pA=")</f>
        <v>#REF!</v>
      </c>
      <c r="EP247" t="e">
        <f>AND('GA55 Only Print'!#REF!,"AAAAAG83/pE=")</f>
        <v>#REF!</v>
      </c>
      <c r="EQ247" t="e">
        <f>AND('GA55 Only Print'!#REF!,"AAAAAG83/pI=")</f>
        <v>#REF!</v>
      </c>
      <c r="ER247" t="e">
        <f>AND('GA55 Only Print'!#REF!,"AAAAAG83/pM=")</f>
        <v>#REF!</v>
      </c>
      <c r="ES247" t="e">
        <f>AND('GA55 Only Print'!#REF!,"AAAAAG83/pQ=")</f>
        <v>#REF!</v>
      </c>
      <c r="ET247" t="e">
        <f>AND('GA55 Only Print'!#REF!,"AAAAAG83/pU=")</f>
        <v>#REF!</v>
      </c>
      <c r="EU247" t="e">
        <f>AND('GA55 Only Print'!#REF!,"AAAAAG83/pY=")</f>
        <v>#REF!</v>
      </c>
      <c r="EV247" t="e">
        <f>AND('GA55 Only Print'!#REF!,"AAAAAG83/pc=")</f>
        <v>#REF!</v>
      </c>
      <c r="EW247" t="e">
        <f>AND('GA55 Only Print'!#REF!,"AAAAAG83/pg=")</f>
        <v>#REF!</v>
      </c>
      <c r="EX247" t="e">
        <f>AND('GA55 Only Print'!#REF!,"AAAAAG83/pk=")</f>
        <v>#REF!</v>
      </c>
      <c r="EY247" t="e">
        <f>AND('GA55 Only Print'!#REF!,"AAAAAG83/po=")</f>
        <v>#REF!</v>
      </c>
      <c r="EZ247" t="e">
        <f>AND('GA55 Only Print'!#REF!,"AAAAAG83/ps=")</f>
        <v>#REF!</v>
      </c>
      <c r="FA247" t="e">
        <f>AND('GA55 Only Print'!#REF!,"AAAAAG83/pw=")</f>
        <v>#REF!</v>
      </c>
      <c r="FB247" t="e">
        <f>AND('GA55 Only Print'!#REF!,"AAAAAG83/p0=")</f>
        <v>#REF!</v>
      </c>
      <c r="FC247" t="e">
        <f>IF('GA55 Only Print'!#REF!,"AAAAAG83/p4=",0)</f>
        <v>#REF!</v>
      </c>
      <c r="FD247" t="e">
        <f>AND('GA55 Only Print'!#REF!,"AAAAAG83/p8=")</f>
        <v>#REF!</v>
      </c>
      <c r="FE247" t="e">
        <f>AND('GA55 Only Print'!#REF!,"AAAAAG83/qA=")</f>
        <v>#REF!</v>
      </c>
      <c r="FF247" t="e">
        <f>AND('GA55 Only Print'!#REF!,"AAAAAG83/qE=")</f>
        <v>#REF!</v>
      </c>
      <c r="FG247" t="e">
        <f>AND('GA55 Only Print'!#REF!,"AAAAAG83/qI=")</f>
        <v>#REF!</v>
      </c>
      <c r="FH247" t="e">
        <f>AND('GA55 Only Print'!#REF!,"AAAAAG83/qM=")</f>
        <v>#REF!</v>
      </c>
      <c r="FI247" t="e">
        <f>AND('GA55 Only Print'!#REF!,"AAAAAG83/qQ=")</f>
        <v>#REF!</v>
      </c>
      <c r="FJ247" t="e">
        <f>AND('GA55 Only Print'!#REF!,"AAAAAG83/qU=")</f>
        <v>#REF!</v>
      </c>
      <c r="FK247" t="e">
        <f>AND('GA55 Only Print'!#REF!,"AAAAAG83/qY=")</f>
        <v>#REF!</v>
      </c>
      <c r="FL247" t="e">
        <f>AND('GA55 Only Print'!#REF!,"AAAAAG83/qc=")</f>
        <v>#REF!</v>
      </c>
      <c r="FM247" t="e">
        <f>AND('GA55 Only Print'!#REF!,"AAAAAG83/qg=")</f>
        <v>#REF!</v>
      </c>
      <c r="FN247" t="e">
        <f>AND('GA55 Only Print'!#REF!,"AAAAAG83/qk=")</f>
        <v>#REF!</v>
      </c>
      <c r="FO247" t="e">
        <f>AND('GA55 Only Print'!#REF!,"AAAAAG83/qo=")</f>
        <v>#REF!</v>
      </c>
      <c r="FP247" t="e">
        <f>AND('GA55 Only Print'!#REF!,"AAAAAG83/qs=")</f>
        <v>#REF!</v>
      </c>
      <c r="FQ247" t="e">
        <f>AND('GA55 Only Print'!#REF!,"AAAAAG83/qw=")</f>
        <v>#REF!</v>
      </c>
      <c r="FR247" t="e">
        <f>AND('GA55 Only Print'!#REF!,"AAAAAG83/q0=")</f>
        <v>#REF!</v>
      </c>
      <c r="FS247" t="e">
        <f>AND('GA55 Only Print'!#REF!,"AAAAAG83/q4=")</f>
        <v>#REF!</v>
      </c>
      <c r="FT247" t="e">
        <f>AND('GA55 Only Print'!#REF!,"AAAAAG83/q8=")</f>
        <v>#REF!</v>
      </c>
      <c r="FU247" t="e">
        <f>AND('GA55 Only Print'!#REF!,"AAAAAG83/rA=")</f>
        <v>#REF!</v>
      </c>
      <c r="FV247" t="e">
        <f>AND('GA55 Only Print'!#REF!,"AAAAAG83/rE=")</f>
        <v>#REF!</v>
      </c>
      <c r="FW247" t="e">
        <f>AND('GA55 Only Print'!#REF!,"AAAAAG83/rI=")</f>
        <v>#REF!</v>
      </c>
      <c r="FX247" t="e">
        <f>AND('GA55 Only Print'!#REF!,"AAAAAG83/rM=")</f>
        <v>#REF!</v>
      </c>
      <c r="FY247" t="e">
        <f>AND('GA55 Only Print'!#REF!,"AAAAAG83/rQ=")</f>
        <v>#REF!</v>
      </c>
      <c r="FZ247" t="e">
        <f>AND('GA55 Only Print'!#REF!,"AAAAAG83/rU=")</f>
        <v>#REF!</v>
      </c>
      <c r="GA247" t="e">
        <f>AND('GA55 Only Print'!#REF!,"AAAAAG83/rY=")</f>
        <v>#REF!</v>
      </c>
      <c r="GB247" t="e">
        <f>AND('GA55 Only Print'!#REF!,"AAAAAG83/rc=")</f>
        <v>#REF!</v>
      </c>
      <c r="GC247" t="e">
        <f>AND('GA55 Only Print'!#REF!,"AAAAAG83/rg=")</f>
        <v>#REF!</v>
      </c>
      <c r="GD247" t="e">
        <f>AND('GA55 Only Print'!#REF!,"AAAAAG83/rk=")</f>
        <v>#REF!</v>
      </c>
      <c r="GE247" t="e">
        <f>AND('GA55 Only Print'!#REF!,"AAAAAG83/ro=")</f>
        <v>#REF!</v>
      </c>
      <c r="GF247" t="e">
        <f>AND('GA55 Only Print'!#REF!,"AAAAAG83/rs=")</f>
        <v>#REF!</v>
      </c>
      <c r="GG247" t="e">
        <f>AND('GA55 Only Print'!#REF!,"AAAAAG83/rw=")</f>
        <v>#REF!</v>
      </c>
      <c r="GH247" t="e">
        <f>AND('GA55 Only Print'!#REF!,"AAAAAG83/r0=")</f>
        <v>#REF!</v>
      </c>
      <c r="GI247" t="e">
        <f>AND('GA55 Only Print'!#REF!,"AAAAAG83/r4=")</f>
        <v>#REF!</v>
      </c>
      <c r="GJ247" t="e">
        <f>AND('GA55 Only Print'!#REF!,"AAAAAG83/r8=")</f>
        <v>#REF!</v>
      </c>
      <c r="GK247" t="e">
        <f>AND('GA55 Only Print'!#REF!,"AAAAAG83/sA=")</f>
        <v>#REF!</v>
      </c>
      <c r="GL247" t="e">
        <f>AND('GA55 Only Print'!#REF!,"AAAAAG83/sE=")</f>
        <v>#REF!</v>
      </c>
      <c r="GM247" t="e">
        <f>AND('GA55 Only Print'!#REF!,"AAAAAG83/sI=")</f>
        <v>#REF!</v>
      </c>
      <c r="GN247" t="e">
        <f>AND('GA55 Only Print'!#REF!,"AAAAAG83/sM=")</f>
        <v>#REF!</v>
      </c>
      <c r="GO247" t="e">
        <f>AND('GA55 Only Print'!#REF!,"AAAAAG83/sQ=")</f>
        <v>#REF!</v>
      </c>
      <c r="GP247" t="e">
        <f>AND('GA55 Only Print'!#REF!,"AAAAAG83/sU=")</f>
        <v>#REF!</v>
      </c>
      <c r="GQ247" t="e">
        <f>AND('GA55 Only Print'!#REF!,"AAAAAG83/sY=")</f>
        <v>#REF!</v>
      </c>
      <c r="GR247" t="e">
        <f>AND('GA55 Only Print'!#REF!,"AAAAAG83/sc=")</f>
        <v>#REF!</v>
      </c>
      <c r="GS247" t="e">
        <f>AND('GA55 Only Print'!#REF!,"AAAAAG83/sg=")</f>
        <v>#REF!</v>
      </c>
      <c r="GT247" t="e">
        <f>AND('GA55 Only Print'!#REF!,"AAAAAG83/sk=")</f>
        <v>#REF!</v>
      </c>
      <c r="GU247" t="e">
        <f>AND('GA55 Only Print'!#REF!,"AAAAAG83/so=")</f>
        <v>#REF!</v>
      </c>
      <c r="GV247" t="e">
        <f>AND('GA55 Only Print'!#REF!,"AAAAAG83/ss=")</f>
        <v>#REF!</v>
      </c>
      <c r="GW247" t="e">
        <f>AND('GA55 Only Print'!#REF!,"AAAAAG83/sw=")</f>
        <v>#REF!</v>
      </c>
      <c r="GX247" t="e">
        <f>AND('GA55 Only Print'!#REF!,"AAAAAG83/s0=")</f>
        <v>#REF!</v>
      </c>
      <c r="GY247" t="e">
        <f>AND('GA55 Only Print'!#REF!,"AAAAAG83/s4=")</f>
        <v>#REF!</v>
      </c>
      <c r="GZ247" t="e">
        <f>AND('GA55 Only Print'!#REF!,"AAAAAG83/s8=")</f>
        <v>#REF!</v>
      </c>
      <c r="HA247" t="e">
        <f>AND('GA55 Only Print'!#REF!,"AAAAAG83/tA=")</f>
        <v>#REF!</v>
      </c>
      <c r="HB247" t="e">
        <f>AND('GA55 Only Print'!#REF!,"AAAAAG83/tE=")</f>
        <v>#REF!</v>
      </c>
      <c r="HC247" t="e">
        <f>AND('GA55 Only Print'!#REF!,"AAAAAG83/tI=")</f>
        <v>#REF!</v>
      </c>
      <c r="HD247" t="e">
        <f>AND('GA55 Only Print'!#REF!,"AAAAAG83/tM=")</f>
        <v>#REF!</v>
      </c>
      <c r="HE247" t="e">
        <f>AND('GA55 Only Print'!#REF!,"AAAAAG83/tQ=")</f>
        <v>#REF!</v>
      </c>
      <c r="HF247" t="e">
        <f>AND('GA55 Only Print'!#REF!,"AAAAAG83/tU=")</f>
        <v>#REF!</v>
      </c>
      <c r="HG247" t="e">
        <f>AND('GA55 Only Print'!#REF!,"AAAAAG83/tY=")</f>
        <v>#REF!</v>
      </c>
      <c r="HH247" t="e">
        <f>AND('GA55 Only Print'!#REF!,"AAAAAG83/tc=")</f>
        <v>#REF!</v>
      </c>
      <c r="HI247" t="e">
        <f>AND('GA55 Only Print'!#REF!,"AAAAAG83/tg=")</f>
        <v>#REF!</v>
      </c>
      <c r="HJ247" t="e">
        <f>AND('GA55 Only Print'!#REF!,"AAAAAG83/tk=")</f>
        <v>#REF!</v>
      </c>
      <c r="HK247" t="e">
        <f>AND('GA55 Only Print'!#REF!,"AAAAAG83/to=")</f>
        <v>#REF!</v>
      </c>
      <c r="HL247" t="e">
        <f>AND('GA55 Only Print'!#REF!,"AAAAAG83/ts=")</f>
        <v>#REF!</v>
      </c>
      <c r="HM247" t="e">
        <f>AND('GA55 Only Print'!#REF!,"AAAAAG83/tw=")</f>
        <v>#REF!</v>
      </c>
      <c r="HN247" t="e">
        <f>AND('GA55 Only Print'!#REF!,"AAAAAG83/t0=")</f>
        <v>#REF!</v>
      </c>
      <c r="HO247" t="e">
        <f>AND('GA55 Only Print'!#REF!,"AAAAAG83/t4=")</f>
        <v>#REF!</v>
      </c>
      <c r="HP247" t="e">
        <f>AND('GA55 Only Print'!#REF!,"AAAAAG83/t8=")</f>
        <v>#REF!</v>
      </c>
      <c r="HQ247" t="e">
        <f>AND('GA55 Only Print'!#REF!,"AAAAAG83/uA=")</f>
        <v>#REF!</v>
      </c>
      <c r="HR247" t="e">
        <f>AND('GA55 Only Print'!#REF!,"AAAAAG83/uE=")</f>
        <v>#REF!</v>
      </c>
      <c r="HS247" t="e">
        <f>AND('GA55 Only Print'!#REF!,"AAAAAG83/uI=")</f>
        <v>#REF!</v>
      </c>
      <c r="HT247" t="e">
        <f>AND('GA55 Only Print'!#REF!,"AAAAAG83/uM=")</f>
        <v>#REF!</v>
      </c>
      <c r="HU247" t="e">
        <f>AND('GA55 Only Print'!#REF!,"AAAAAG83/uQ=")</f>
        <v>#REF!</v>
      </c>
      <c r="HV247" t="e">
        <f>AND('GA55 Only Print'!#REF!,"AAAAAG83/uU=")</f>
        <v>#REF!</v>
      </c>
      <c r="HW247" t="e">
        <f>AND('GA55 Only Print'!#REF!,"AAAAAG83/uY=")</f>
        <v>#REF!</v>
      </c>
      <c r="HX247" t="e">
        <f>AND('GA55 Only Print'!#REF!,"AAAAAG83/uc=")</f>
        <v>#REF!</v>
      </c>
      <c r="HY247" t="e">
        <f>AND('GA55 Only Print'!#REF!,"AAAAAG83/ug=")</f>
        <v>#REF!</v>
      </c>
      <c r="HZ247" t="e">
        <f>IF('GA55 Only Print'!#REF!,"AAAAAG83/uk=",0)</f>
        <v>#REF!</v>
      </c>
      <c r="IA247" t="e">
        <f>AND('GA55 Only Print'!#REF!,"AAAAAG83/uo=")</f>
        <v>#REF!</v>
      </c>
      <c r="IB247" t="e">
        <f>AND('GA55 Only Print'!#REF!,"AAAAAG83/us=")</f>
        <v>#REF!</v>
      </c>
      <c r="IC247" t="e">
        <f>AND('GA55 Only Print'!#REF!,"AAAAAG83/uw=")</f>
        <v>#REF!</v>
      </c>
      <c r="ID247" t="e">
        <f>AND('GA55 Only Print'!#REF!,"AAAAAG83/u0=")</f>
        <v>#REF!</v>
      </c>
      <c r="IE247" t="e">
        <f>AND('GA55 Only Print'!#REF!,"AAAAAG83/u4=")</f>
        <v>#REF!</v>
      </c>
      <c r="IF247" t="e">
        <f>AND('GA55 Only Print'!#REF!,"AAAAAG83/u8=")</f>
        <v>#REF!</v>
      </c>
      <c r="IG247" t="e">
        <f>AND('GA55 Only Print'!#REF!,"AAAAAG83/vA=")</f>
        <v>#REF!</v>
      </c>
      <c r="IH247" t="e">
        <f>AND('GA55 Only Print'!#REF!,"AAAAAG83/vE=")</f>
        <v>#REF!</v>
      </c>
      <c r="II247" t="e">
        <f>AND('GA55 Only Print'!#REF!,"AAAAAG83/vI=")</f>
        <v>#REF!</v>
      </c>
      <c r="IJ247" t="e">
        <f>AND('GA55 Only Print'!#REF!,"AAAAAG83/vM=")</f>
        <v>#REF!</v>
      </c>
      <c r="IK247" t="e">
        <f>AND('GA55 Only Print'!#REF!,"AAAAAG83/vQ=")</f>
        <v>#REF!</v>
      </c>
      <c r="IL247" t="e">
        <f>AND('GA55 Only Print'!#REF!,"AAAAAG83/vU=")</f>
        <v>#REF!</v>
      </c>
      <c r="IM247" t="e">
        <f>AND('GA55 Only Print'!#REF!,"AAAAAG83/vY=")</f>
        <v>#REF!</v>
      </c>
      <c r="IN247" t="e">
        <f>AND('GA55 Only Print'!#REF!,"AAAAAG83/vc=")</f>
        <v>#REF!</v>
      </c>
      <c r="IO247" t="e">
        <f>AND('GA55 Only Print'!#REF!,"AAAAAG83/vg=")</f>
        <v>#REF!</v>
      </c>
      <c r="IP247" t="e">
        <f>AND('GA55 Only Print'!#REF!,"AAAAAG83/vk=")</f>
        <v>#REF!</v>
      </c>
      <c r="IQ247" t="e">
        <f>AND('GA55 Only Print'!#REF!,"AAAAAG83/vo=")</f>
        <v>#REF!</v>
      </c>
      <c r="IR247" t="e">
        <f>AND('GA55 Only Print'!#REF!,"AAAAAG83/vs=")</f>
        <v>#REF!</v>
      </c>
      <c r="IS247" t="e">
        <f>AND('GA55 Only Print'!#REF!,"AAAAAG83/vw=")</f>
        <v>#REF!</v>
      </c>
      <c r="IT247" t="e">
        <f>AND('GA55 Only Print'!#REF!,"AAAAAG83/v0=")</f>
        <v>#REF!</v>
      </c>
      <c r="IU247" t="e">
        <f>AND('GA55 Only Print'!#REF!,"AAAAAG83/v4=")</f>
        <v>#REF!</v>
      </c>
      <c r="IV247" t="e">
        <f>AND('GA55 Only Print'!#REF!,"AAAAAG83/v8=")</f>
        <v>#REF!</v>
      </c>
    </row>
    <row r="248" spans="1:256">
      <c r="A248" t="e">
        <f>AND('GA55 Only Print'!#REF!,"AAAAAFv/bwA=")</f>
        <v>#REF!</v>
      </c>
      <c r="B248" t="e">
        <f>AND('GA55 Only Print'!#REF!,"AAAAAFv/bwE=")</f>
        <v>#REF!</v>
      </c>
      <c r="C248" t="e">
        <f>AND('GA55 Only Print'!#REF!,"AAAAAFv/bwI=")</f>
        <v>#REF!</v>
      </c>
      <c r="D248" t="e">
        <f>AND('GA55 Only Print'!#REF!,"AAAAAFv/bwM=")</f>
        <v>#REF!</v>
      </c>
      <c r="E248" t="e">
        <f>AND('GA55 Only Print'!#REF!,"AAAAAFv/bwQ=")</f>
        <v>#REF!</v>
      </c>
      <c r="F248" t="e">
        <f>AND('GA55 Only Print'!#REF!,"AAAAAFv/bwU=")</f>
        <v>#REF!</v>
      </c>
      <c r="G248" t="e">
        <f>AND('GA55 Only Print'!#REF!,"AAAAAFv/bwY=")</f>
        <v>#REF!</v>
      </c>
      <c r="H248" t="e">
        <f>AND('GA55 Only Print'!#REF!,"AAAAAFv/bwc=")</f>
        <v>#REF!</v>
      </c>
      <c r="I248" t="e">
        <f>AND('GA55 Only Print'!#REF!,"AAAAAFv/bwg=")</f>
        <v>#REF!</v>
      </c>
      <c r="J248" t="e">
        <f>AND('GA55 Only Print'!#REF!,"AAAAAFv/bwk=")</f>
        <v>#REF!</v>
      </c>
      <c r="K248" t="e">
        <f>AND('GA55 Only Print'!#REF!,"AAAAAFv/bwo=")</f>
        <v>#REF!</v>
      </c>
      <c r="L248" t="e">
        <f>AND('GA55 Only Print'!#REF!,"AAAAAFv/bws=")</f>
        <v>#REF!</v>
      </c>
      <c r="M248" t="e">
        <f>AND('GA55 Only Print'!#REF!,"AAAAAFv/bww=")</f>
        <v>#REF!</v>
      </c>
      <c r="N248" t="e">
        <f>AND('GA55 Only Print'!#REF!,"AAAAAFv/bw0=")</f>
        <v>#REF!</v>
      </c>
      <c r="O248" t="e">
        <f>AND('GA55 Only Print'!#REF!,"AAAAAFv/bw4=")</f>
        <v>#REF!</v>
      </c>
      <c r="P248" t="e">
        <f>AND('GA55 Only Print'!#REF!,"AAAAAFv/bw8=")</f>
        <v>#REF!</v>
      </c>
      <c r="Q248" t="e">
        <f>AND('GA55 Only Print'!#REF!,"AAAAAFv/bxA=")</f>
        <v>#REF!</v>
      </c>
      <c r="R248" t="e">
        <f>AND('GA55 Only Print'!#REF!,"AAAAAFv/bxE=")</f>
        <v>#REF!</v>
      </c>
      <c r="S248" t="e">
        <f>AND('GA55 Only Print'!#REF!,"AAAAAFv/bxI=")</f>
        <v>#REF!</v>
      </c>
      <c r="T248" t="e">
        <f>AND('GA55 Only Print'!#REF!,"AAAAAFv/bxM=")</f>
        <v>#REF!</v>
      </c>
      <c r="U248" t="e">
        <f>AND('GA55 Only Print'!#REF!,"AAAAAFv/bxQ=")</f>
        <v>#REF!</v>
      </c>
      <c r="V248" t="e">
        <f>AND('GA55 Only Print'!#REF!,"AAAAAFv/bxU=")</f>
        <v>#REF!</v>
      </c>
      <c r="W248" t="e">
        <f>AND('GA55 Only Print'!#REF!,"AAAAAFv/bxY=")</f>
        <v>#REF!</v>
      </c>
      <c r="X248" t="e">
        <f>AND('GA55 Only Print'!#REF!,"AAAAAFv/bxc=")</f>
        <v>#REF!</v>
      </c>
      <c r="Y248" t="e">
        <f>AND('GA55 Only Print'!#REF!,"AAAAAFv/bxg=")</f>
        <v>#REF!</v>
      </c>
      <c r="Z248" t="e">
        <f>AND('GA55 Only Print'!#REF!,"AAAAAFv/bxk=")</f>
        <v>#REF!</v>
      </c>
      <c r="AA248" t="e">
        <f>AND('GA55 Only Print'!#REF!,"AAAAAFv/bxo=")</f>
        <v>#REF!</v>
      </c>
      <c r="AB248" t="e">
        <f>AND('GA55 Only Print'!#REF!,"AAAAAFv/bxs=")</f>
        <v>#REF!</v>
      </c>
      <c r="AC248" t="e">
        <f>AND('GA55 Only Print'!#REF!,"AAAAAFv/bxw=")</f>
        <v>#REF!</v>
      </c>
      <c r="AD248" t="e">
        <f>AND('GA55 Only Print'!#REF!,"AAAAAFv/bx0=")</f>
        <v>#REF!</v>
      </c>
      <c r="AE248" t="e">
        <f>AND('GA55 Only Print'!#REF!,"AAAAAFv/bx4=")</f>
        <v>#REF!</v>
      </c>
      <c r="AF248" t="e">
        <f>AND('GA55 Only Print'!#REF!,"AAAAAFv/bx8=")</f>
        <v>#REF!</v>
      </c>
      <c r="AG248" t="e">
        <f>AND('GA55 Only Print'!#REF!,"AAAAAFv/byA=")</f>
        <v>#REF!</v>
      </c>
      <c r="AH248" t="e">
        <f>AND('GA55 Only Print'!#REF!,"AAAAAFv/byE=")</f>
        <v>#REF!</v>
      </c>
      <c r="AI248" t="e">
        <f>AND('GA55 Only Print'!#REF!,"AAAAAFv/byI=")</f>
        <v>#REF!</v>
      </c>
      <c r="AJ248" t="e">
        <f>AND('GA55 Only Print'!#REF!,"AAAAAFv/byM=")</f>
        <v>#REF!</v>
      </c>
      <c r="AK248" t="e">
        <f>AND('GA55 Only Print'!#REF!,"AAAAAFv/byQ=")</f>
        <v>#REF!</v>
      </c>
      <c r="AL248" t="e">
        <f>AND('GA55 Only Print'!#REF!,"AAAAAFv/byU=")</f>
        <v>#REF!</v>
      </c>
      <c r="AM248" t="e">
        <f>AND('GA55 Only Print'!#REF!,"AAAAAFv/byY=")</f>
        <v>#REF!</v>
      </c>
      <c r="AN248" t="e">
        <f>AND('GA55 Only Print'!#REF!,"AAAAAFv/byc=")</f>
        <v>#REF!</v>
      </c>
      <c r="AO248" t="e">
        <f>AND('GA55 Only Print'!#REF!,"AAAAAFv/byg=")</f>
        <v>#REF!</v>
      </c>
      <c r="AP248" t="e">
        <f>AND('GA55 Only Print'!#REF!,"AAAAAFv/byk=")</f>
        <v>#REF!</v>
      </c>
      <c r="AQ248" t="e">
        <f>AND('GA55 Only Print'!#REF!,"AAAAAFv/byo=")</f>
        <v>#REF!</v>
      </c>
      <c r="AR248" t="e">
        <f>AND('GA55 Only Print'!#REF!,"AAAAAFv/bys=")</f>
        <v>#REF!</v>
      </c>
      <c r="AS248" t="e">
        <f>AND('GA55 Only Print'!#REF!,"AAAAAFv/byw=")</f>
        <v>#REF!</v>
      </c>
      <c r="AT248" t="e">
        <f>AND('GA55 Only Print'!#REF!,"AAAAAFv/by0=")</f>
        <v>#REF!</v>
      </c>
      <c r="AU248" t="e">
        <f>AND('GA55 Only Print'!#REF!,"AAAAAFv/by4=")</f>
        <v>#REF!</v>
      </c>
      <c r="AV248" t="e">
        <f>AND('GA55 Only Print'!#REF!,"AAAAAFv/by8=")</f>
        <v>#REF!</v>
      </c>
      <c r="AW248" t="e">
        <f>AND('GA55 Only Print'!#REF!,"AAAAAFv/bzA=")</f>
        <v>#REF!</v>
      </c>
      <c r="AX248" t="e">
        <f>AND('GA55 Only Print'!#REF!,"AAAAAFv/bzE=")</f>
        <v>#REF!</v>
      </c>
      <c r="AY248" t="e">
        <f>AND('GA55 Only Print'!#REF!,"AAAAAFv/bzI=")</f>
        <v>#REF!</v>
      </c>
      <c r="AZ248" t="e">
        <f>AND('GA55 Only Print'!#REF!,"AAAAAFv/bzM=")</f>
        <v>#REF!</v>
      </c>
      <c r="BA248" t="e">
        <f>IF('GA55 Only Print'!#REF!,"AAAAAFv/bzQ=",0)</f>
        <v>#REF!</v>
      </c>
      <c r="BB248" t="e">
        <f>AND('GA55 Only Print'!#REF!,"AAAAAFv/bzU=")</f>
        <v>#REF!</v>
      </c>
      <c r="BC248" t="e">
        <f>AND('GA55 Only Print'!#REF!,"AAAAAFv/bzY=")</f>
        <v>#REF!</v>
      </c>
      <c r="BD248" t="e">
        <f>AND('GA55 Only Print'!#REF!,"AAAAAFv/bzc=")</f>
        <v>#REF!</v>
      </c>
      <c r="BE248" t="e">
        <f>AND('GA55 Only Print'!#REF!,"AAAAAFv/bzg=")</f>
        <v>#REF!</v>
      </c>
      <c r="BF248" t="e">
        <f>AND('GA55 Only Print'!#REF!,"AAAAAFv/bzk=")</f>
        <v>#REF!</v>
      </c>
      <c r="BG248" t="e">
        <f>AND('GA55 Only Print'!#REF!,"AAAAAFv/bzo=")</f>
        <v>#REF!</v>
      </c>
      <c r="BH248" t="e">
        <f>AND('GA55 Only Print'!#REF!,"AAAAAFv/bzs=")</f>
        <v>#REF!</v>
      </c>
      <c r="BI248" t="e">
        <f>AND('GA55 Only Print'!#REF!,"AAAAAFv/bzw=")</f>
        <v>#REF!</v>
      </c>
      <c r="BJ248" t="e">
        <f>AND('GA55 Only Print'!#REF!,"AAAAAFv/bz0=")</f>
        <v>#REF!</v>
      </c>
      <c r="BK248" t="e">
        <f>AND('GA55 Only Print'!#REF!,"AAAAAFv/bz4=")</f>
        <v>#REF!</v>
      </c>
      <c r="BL248" t="e">
        <f>AND('GA55 Only Print'!#REF!,"AAAAAFv/bz8=")</f>
        <v>#REF!</v>
      </c>
      <c r="BM248" t="e">
        <f>AND('GA55 Only Print'!#REF!,"AAAAAFv/b0A=")</f>
        <v>#REF!</v>
      </c>
      <c r="BN248" t="e">
        <f>AND('GA55 Only Print'!#REF!,"AAAAAFv/b0E=")</f>
        <v>#REF!</v>
      </c>
      <c r="BO248" t="e">
        <f>AND('GA55 Only Print'!#REF!,"AAAAAFv/b0I=")</f>
        <v>#REF!</v>
      </c>
      <c r="BP248" t="e">
        <f>AND('GA55 Only Print'!#REF!,"AAAAAFv/b0M=")</f>
        <v>#REF!</v>
      </c>
      <c r="BQ248" t="e">
        <f>AND('GA55 Only Print'!#REF!,"AAAAAFv/b0Q=")</f>
        <v>#REF!</v>
      </c>
      <c r="BR248" t="e">
        <f>AND('GA55 Only Print'!#REF!,"AAAAAFv/b0U=")</f>
        <v>#REF!</v>
      </c>
      <c r="BS248" t="e">
        <f>AND('GA55 Only Print'!#REF!,"AAAAAFv/b0Y=")</f>
        <v>#REF!</v>
      </c>
      <c r="BT248" t="e">
        <f>AND('GA55 Only Print'!#REF!,"AAAAAFv/b0c=")</f>
        <v>#REF!</v>
      </c>
      <c r="BU248" t="e">
        <f>AND('GA55 Only Print'!#REF!,"AAAAAFv/b0g=")</f>
        <v>#REF!</v>
      </c>
      <c r="BV248" t="e">
        <f>AND('GA55 Only Print'!#REF!,"AAAAAFv/b0k=")</f>
        <v>#REF!</v>
      </c>
      <c r="BW248" t="e">
        <f>AND('GA55 Only Print'!#REF!,"AAAAAFv/b0o=")</f>
        <v>#REF!</v>
      </c>
      <c r="BX248" t="e">
        <f>AND('GA55 Only Print'!#REF!,"AAAAAFv/b0s=")</f>
        <v>#REF!</v>
      </c>
      <c r="BY248" t="e">
        <f>AND('GA55 Only Print'!#REF!,"AAAAAFv/b0w=")</f>
        <v>#REF!</v>
      </c>
      <c r="BZ248" t="e">
        <f>AND('GA55 Only Print'!#REF!,"AAAAAFv/b00=")</f>
        <v>#REF!</v>
      </c>
      <c r="CA248" t="e">
        <f>AND('GA55 Only Print'!#REF!,"AAAAAFv/b04=")</f>
        <v>#REF!</v>
      </c>
      <c r="CB248" t="e">
        <f>AND('GA55 Only Print'!#REF!,"AAAAAFv/b08=")</f>
        <v>#REF!</v>
      </c>
      <c r="CC248" t="e">
        <f>AND('GA55 Only Print'!#REF!,"AAAAAFv/b1A=")</f>
        <v>#REF!</v>
      </c>
      <c r="CD248" t="e">
        <f>AND('GA55 Only Print'!#REF!,"AAAAAFv/b1E=")</f>
        <v>#REF!</v>
      </c>
      <c r="CE248" t="e">
        <f>AND('GA55 Only Print'!#REF!,"AAAAAFv/b1I=")</f>
        <v>#REF!</v>
      </c>
      <c r="CF248" t="e">
        <f>AND('GA55 Only Print'!#REF!,"AAAAAFv/b1M=")</f>
        <v>#REF!</v>
      </c>
      <c r="CG248" t="e">
        <f>AND('GA55 Only Print'!#REF!,"AAAAAFv/b1Q=")</f>
        <v>#REF!</v>
      </c>
      <c r="CH248" t="e">
        <f>AND('GA55 Only Print'!#REF!,"AAAAAFv/b1U=")</f>
        <v>#REF!</v>
      </c>
      <c r="CI248" t="e">
        <f>AND('GA55 Only Print'!#REF!,"AAAAAFv/b1Y=")</f>
        <v>#REF!</v>
      </c>
      <c r="CJ248" t="e">
        <f>AND('GA55 Only Print'!#REF!,"AAAAAFv/b1c=")</f>
        <v>#REF!</v>
      </c>
      <c r="CK248" t="e">
        <f>AND('GA55 Only Print'!#REF!,"AAAAAFv/b1g=")</f>
        <v>#REF!</v>
      </c>
      <c r="CL248" t="e">
        <f>AND('GA55 Only Print'!#REF!,"AAAAAFv/b1k=")</f>
        <v>#REF!</v>
      </c>
      <c r="CM248" t="e">
        <f>AND('GA55 Only Print'!#REF!,"AAAAAFv/b1o=")</f>
        <v>#REF!</v>
      </c>
      <c r="CN248" t="e">
        <f>AND('GA55 Only Print'!#REF!,"AAAAAFv/b1s=")</f>
        <v>#REF!</v>
      </c>
      <c r="CO248" t="e">
        <f>AND('GA55 Only Print'!#REF!,"AAAAAFv/b1w=")</f>
        <v>#REF!</v>
      </c>
      <c r="CP248" t="e">
        <f>AND('GA55 Only Print'!#REF!,"AAAAAFv/b10=")</f>
        <v>#REF!</v>
      </c>
      <c r="CQ248" t="e">
        <f>AND('GA55 Only Print'!#REF!,"AAAAAFv/b14=")</f>
        <v>#REF!</v>
      </c>
      <c r="CR248" t="e">
        <f>AND('GA55 Only Print'!#REF!,"AAAAAFv/b18=")</f>
        <v>#REF!</v>
      </c>
      <c r="CS248" t="e">
        <f>AND('GA55 Only Print'!#REF!,"AAAAAFv/b2A=")</f>
        <v>#REF!</v>
      </c>
      <c r="CT248" t="e">
        <f>AND('GA55 Only Print'!#REF!,"AAAAAFv/b2E=")</f>
        <v>#REF!</v>
      </c>
      <c r="CU248" t="e">
        <f>AND('GA55 Only Print'!#REF!,"AAAAAFv/b2I=")</f>
        <v>#REF!</v>
      </c>
      <c r="CV248" t="e">
        <f>AND('GA55 Only Print'!#REF!,"AAAAAFv/b2M=")</f>
        <v>#REF!</v>
      </c>
      <c r="CW248" t="e">
        <f>AND('GA55 Only Print'!#REF!,"AAAAAFv/b2Q=")</f>
        <v>#REF!</v>
      </c>
      <c r="CX248" t="e">
        <f>AND('GA55 Only Print'!#REF!,"AAAAAFv/b2U=")</f>
        <v>#REF!</v>
      </c>
      <c r="CY248" t="e">
        <f>AND('GA55 Only Print'!#REF!,"AAAAAFv/b2Y=")</f>
        <v>#REF!</v>
      </c>
      <c r="CZ248" t="e">
        <f>AND('GA55 Only Print'!#REF!,"AAAAAFv/b2c=")</f>
        <v>#REF!</v>
      </c>
      <c r="DA248" t="e">
        <f>AND('GA55 Only Print'!#REF!,"AAAAAFv/b2g=")</f>
        <v>#REF!</v>
      </c>
      <c r="DB248" t="e">
        <f>AND('GA55 Only Print'!#REF!,"AAAAAFv/b2k=")</f>
        <v>#REF!</v>
      </c>
      <c r="DC248" t="e">
        <f>AND('GA55 Only Print'!#REF!,"AAAAAFv/b2o=")</f>
        <v>#REF!</v>
      </c>
      <c r="DD248" t="e">
        <f>AND('GA55 Only Print'!#REF!,"AAAAAFv/b2s=")</f>
        <v>#REF!</v>
      </c>
      <c r="DE248" t="e">
        <f>AND('GA55 Only Print'!#REF!,"AAAAAFv/b2w=")</f>
        <v>#REF!</v>
      </c>
      <c r="DF248" t="e">
        <f>AND('GA55 Only Print'!#REF!,"AAAAAFv/b20=")</f>
        <v>#REF!</v>
      </c>
      <c r="DG248" t="e">
        <f>AND('GA55 Only Print'!#REF!,"AAAAAFv/b24=")</f>
        <v>#REF!</v>
      </c>
      <c r="DH248" t="e">
        <f>AND('GA55 Only Print'!#REF!,"AAAAAFv/b28=")</f>
        <v>#REF!</v>
      </c>
      <c r="DI248" t="e">
        <f>AND('GA55 Only Print'!#REF!,"AAAAAFv/b3A=")</f>
        <v>#REF!</v>
      </c>
      <c r="DJ248" t="e">
        <f>AND('GA55 Only Print'!#REF!,"AAAAAFv/b3E=")</f>
        <v>#REF!</v>
      </c>
      <c r="DK248" t="e">
        <f>AND('GA55 Only Print'!#REF!,"AAAAAFv/b3I=")</f>
        <v>#REF!</v>
      </c>
      <c r="DL248" t="e">
        <f>AND('GA55 Only Print'!#REF!,"AAAAAFv/b3M=")</f>
        <v>#REF!</v>
      </c>
      <c r="DM248" t="e">
        <f>AND('GA55 Only Print'!#REF!,"AAAAAFv/b3Q=")</f>
        <v>#REF!</v>
      </c>
      <c r="DN248" t="e">
        <f>AND('GA55 Only Print'!#REF!,"AAAAAFv/b3U=")</f>
        <v>#REF!</v>
      </c>
      <c r="DO248" t="e">
        <f>AND('GA55 Only Print'!#REF!,"AAAAAFv/b3Y=")</f>
        <v>#REF!</v>
      </c>
      <c r="DP248" t="e">
        <f>AND('GA55 Only Print'!#REF!,"AAAAAFv/b3c=")</f>
        <v>#REF!</v>
      </c>
      <c r="DQ248" t="e">
        <f>AND('GA55 Only Print'!#REF!,"AAAAAFv/b3g=")</f>
        <v>#REF!</v>
      </c>
      <c r="DR248" t="e">
        <f>AND('GA55 Only Print'!#REF!,"AAAAAFv/b3k=")</f>
        <v>#REF!</v>
      </c>
      <c r="DS248" t="e">
        <f>AND('GA55 Only Print'!#REF!,"AAAAAFv/b3o=")</f>
        <v>#REF!</v>
      </c>
      <c r="DT248" t="e">
        <f>AND('GA55 Only Print'!#REF!,"AAAAAFv/b3s=")</f>
        <v>#REF!</v>
      </c>
      <c r="DU248" t="e">
        <f>AND('GA55 Only Print'!#REF!,"AAAAAFv/b3w=")</f>
        <v>#REF!</v>
      </c>
      <c r="DV248" t="e">
        <f>AND('GA55 Only Print'!#REF!,"AAAAAFv/b30=")</f>
        <v>#REF!</v>
      </c>
      <c r="DW248" t="e">
        <f>AND('GA55 Only Print'!#REF!,"AAAAAFv/b34=")</f>
        <v>#REF!</v>
      </c>
      <c r="DX248" t="e">
        <f>IF('GA55 Only Print'!#REF!,"AAAAAFv/b38=",0)</f>
        <v>#REF!</v>
      </c>
      <c r="DY248" t="e">
        <f>AND('GA55 Only Print'!#REF!,"AAAAAFv/b4A=")</f>
        <v>#REF!</v>
      </c>
      <c r="DZ248" t="e">
        <f>AND('GA55 Only Print'!#REF!,"AAAAAFv/b4E=")</f>
        <v>#REF!</v>
      </c>
      <c r="EA248" t="e">
        <f>AND('GA55 Only Print'!#REF!,"AAAAAFv/b4I=")</f>
        <v>#REF!</v>
      </c>
      <c r="EB248" t="e">
        <f>AND('GA55 Only Print'!#REF!,"AAAAAFv/b4M=")</f>
        <v>#REF!</v>
      </c>
      <c r="EC248" t="e">
        <f>AND('GA55 Only Print'!#REF!,"AAAAAFv/b4Q=")</f>
        <v>#REF!</v>
      </c>
      <c r="ED248" t="e">
        <f>AND('GA55 Only Print'!#REF!,"AAAAAFv/b4U=")</f>
        <v>#REF!</v>
      </c>
      <c r="EE248" t="e">
        <f>AND('GA55 Only Print'!#REF!,"AAAAAFv/b4Y=")</f>
        <v>#REF!</v>
      </c>
      <c r="EF248" t="e">
        <f>AND('GA55 Only Print'!#REF!,"AAAAAFv/b4c=")</f>
        <v>#REF!</v>
      </c>
      <c r="EG248" t="e">
        <f>AND('GA55 Only Print'!#REF!,"AAAAAFv/b4g=")</f>
        <v>#REF!</v>
      </c>
      <c r="EH248" t="e">
        <f>AND('GA55 Only Print'!#REF!,"AAAAAFv/b4k=")</f>
        <v>#REF!</v>
      </c>
      <c r="EI248" t="e">
        <f>AND('GA55 Only Print'!#REF!,"AAAAAFv/b4o=")</f>
        <v>#REF!</v>
      </c>
      <c r="EJ248" t="e">
        <f>AND('GA55 Only Print'!#REF!,"AAAAAFv/b4s=")</f>
        <v>#REF!</v>
      </c>
      <c r="EK248" t="e">
        <f>AND('GA55 Only Print'!#REF!,"AAAAAFv/b4w=")</f>
        <v>#REF!</v>
      </c>
      <c r="EL248" t="e">
        <f>AND('GA55 Only Print'!#REF!,"AAAAAFv/b40=")</f>
        <v>#REF!</v>
      </c>
      <c r="EM248" t="e">
        <f>AND('GA55 Only Print'!#REF!,"AAAAAFv/b44=")</f>
        <v>#REF!</v>
      </c>
      <c r="EN248" t="e">
        <f>AND('GA55 Only Print'!#REF!,"AAAAAFv/b48=")</f>
        <v>#REF!</v>
      </c>
      <c r="EO248" t="e">
        <f>AND('GA55 Only Print'!#REF!,"AAAAAFv/b5A=")</f>
        <v>#REF!</v>
      </c>
      <c r="EP248" t="e">
        <f>AND('GA55 Only Print'!#REF!,"AAAAAFv/b5E=")</f>
        <v>#REF!</v>
      </c>
      <c r="EQ248" t="e">
        <f>AND('GA55 Only Print'!#REF!,"AAAAAFv/b5I=")</f>
        <v>#REF!</v>
      </c>
      <c r="ER248" t="e">
        <f>AND('GA55 Only Print'!#REF!,"AAAAAFv/b5M=")</f>
        <v>#REF!</v>
      </c>
      <c r="ES248" t="e">
        <f>AND('GA55 Only Print'!#REF!,"AAAAAFv/b5Q=")</f>
        <v>#REF!</v>
      </c>
      <c r="ET248" t="e">
        <f>AND('GA55 Only Print'!#REF!,"AAAAAFv/b5U=")</f>
        <v>#REF!</v>
      </c>
      <c r="EU248" t="e">
        <f>AND('GA55 Only Print'!#REF!,"AAAAAFv/b5Y=")</f>
        <v>#REF!</v>
      </c>
      <c r="EV248" t="e">
        <f>AND('GA55 Only Print'!#REF!,"AAAAAFv/b5c=")</f>
        <v>#REF!</v>
      </c>
      <c r="EW248" t="e">
        <f>AND('GA55 Only Print'!#REF!,"AAAAAFv/b5g=")</f>
        <v>#REF!</v>
      </c>
      <c r="EX248" t="e">
        <f>AND('GA55 Only Print'!#REF!,"AAAAAFv/b5k=")</f>
        <v>#REF!</v>
      </c>
      <c r="EY248" t="e">
        <f>AND('GA55 Only Print'!#REF!,"AAAAAFv/b5o=")</f>
        <v>#REF!</v>
      </c>
      <c r="EZ248" t="e">
        <f>AND('GA55 Only Print'!#REF!,"AAAAAFv/b5s=")</f>
        <v>#REF!</v>
      </c>
      <c r="FA248" t="e">
        <f>AND('GA55 Only Print'!#REF!,"AAAAAFv/b5w=")</f>
        <v>#REF!</v>
      </c>
      <c r="FB248" t="e">
        <f>AND('GA55 Only Print'!#REF!,"AAAAAFv/b50=")</f>
        <v>#REF!</v>
      </c>
      <c r="FC248" t="e">
        <f>AND('GA55 Only Print'!#REF!,"AAAAAFv/b54=")</f>
        <v>#REF!</v>
      </c>
      <c r="FD248" t="e">
        <f>AND('GA55 Only Print'!#REF!,"AAAAAFv/b58=")</f>
        <v>#REF!</v>
      </c>
      <c r="FE248" t="e">
        <f>AND('GA55 Only Print'!#REF!,"AAAAAFv/b6A=")</f>
        <v>#REF!</v>
      </c>
      <c r="FF248" t="e">
        <f>AND('GA55 Only Print'!#REF!,"AAAAAFv/b6E=")</f>
        <v>#REF!</v>
      </c>
      <c r="FG248" t="e">
        <f>AND('GA55 Only Print'!#REF!,"AAAAAFv/b6I=")</f>
        <v>#REF!</v>
      </c>
      <c r="FH248" t="e">
        <f>AND('GA55 Only Print'!#REF!,"AAAAAFv/b6M=")</f>
        <v>#REF!</v>
      </c>
      <c r="FI248" t="e">
        <f>AND('GA55 Only Print'!#REF!,"AAAAAFv/b6Q=")</f>
        <v>#REF!</v>
      </c>
      <c r="FJ248" t="e">
        <f>AND('GA55 Only Print'!#REF!,"AAAAAFv/b6U=")</f>
        <v>#REF!</v>
      </c>
      <c r="FK248" t="e">
        <f>AND('GA55 Only Print'!#REF!,"AAAAAFv/b6Y=")</f>
        <v>#REF!</v>
      </c>
      <c r="FL248" t="e">
        <f>AND('GA55 Only Print'!#REF!,"AAAAAFv/b6c=")</f>
        <v>#REF!</v>
      </c>
      <c r="FM248" t="e">
        <f>AND('GA55 Only Print'!#REF!,"AAAAAFv/b6g=")</f>
        <v>#REF!</v>
      </c>
      <c r="FN248" t="e">
        <f>AND('GA55 Only Print'!#REF!,"AAAAAFv/b6k=")</f>
        <v>#REF!</v>
      </c>
      <c r="FO248" t="e">
        <f>AND('GA55 Only Print'!#REF!,"AAAAAFv/b6o=")</f>
        <v>#REF!</v>
      </c>
      <c r="FP248" t="e">
        <f>AND('GA55 Only Print'!#REF!,"AAAAAFv/b6s=")</f>
        <v>#REF!</v>
      </c>
      <c r="FQ248" t="e">
        <f>AND('GA55 Only Print'!#REF!,"AAAAAFv/b6w=")</f>
        <v>#REF!</v>
      </c>
      <c r="FR248" t="e">
        <f>AND('GA55 Only Print'!#REF!,"AAAAAFv/b60=")</f>
        <v>#REF!</v>
      </c>
      <c r="FS248" t="e">
        <f>AND('GA55 Only Print'!#REF!,"AAAAAFv/b64=")</f>
        <v>#REF!</v>
      </c>
      <c r="FT248" t="e">
        <f>AND('GA55 Only Print'!#REF!,"AAAAAFv/b68=")</f>
        <v>#REF!</v>
      </c>
      <c r="FU248" t="e">
        <f>AND('GA55 Only Print'!#REF!,"AAAAAFv/b7A=")</f>
        <v>#REF!</v>
      </c>
      <c r="FV248" t="e">
        <f>AND('GA55 Only Print'!#REF!,"AAAAAFv/b7E=")</f>
        <v>#REF!</v>
      </c>
      <c r="FW248" t="e">
        <f>AND('GA55 Only Print'!#REF!,"AAAAAFv/b7I=")</f>
        <v>#REF!</v>
      </c>
      <c r="FX248" t="e">
        <f>AND('GA55 Only Print'!#REF!,"AAAAAFv/b7M=")</f>
        <v>#REF!</v>
      </c>
      <c r="FY248" t="e">
        <f>AND('GA55 Only Print'!#REF!,"AAAAAFv/b7Q=")</f>
        <v>#REF!</v>
      </c>
      <c r="FZ248" t="e">
        <f>AND('GA55 Only Print'!#REF!,"AAAAAFv/b7U=")</f>
        <v>#REF!</v>
      </c>
      <c r="GA248" t="e">
        <f>AND('GA55 Only Print'!#REF!,"AAAAAFv/b7Y=")</f>
        <v>#REF!</v>
      </c>
      <c r="GB248" t="e">
        <f>AND('GA55 Only Print'!#REF!,"AAAAAFv/b7c=")</f>
        <v>#REF!</v>
      </c>
      <c r="GC248" t="e">
        <f>AND('GA55 Only Print'!#REF!,"AAAAAFv/b7g=")</f>
        <v>#REF!</v>
      </c>
      <c r="GD248" t="e">
        <f>AND('GA55 Only Print'!#REF!,"AAAAAFv/b7k=")</f>
        <v>#REF!</v>
      </c>
      <c r="GE248" t="e">
        <f>AND('GA55 Only Print'!#REF!,"AAAAAFv/b7o=")</f>
        <v>#REF!</v>
      </c>
      <c r="GF248" t="e">
        <f>AND('GA55 Only Print'!#REF!,"AAAAAFv/b7s=")</f>
        <v>#REF!</v>
      </c>
      <c r="GG248" t="e">
        <f>AND('GA55 Only Print'!#REF!,"AAAAAFv/b7w=")</f>
        <v>#REF!</v>
      </c>
      <c r="GH248" t="e">
        <f>AND('GA55 Only Print'!#REF!,"AAAAAFv/b70=")</f>
        <v>#REF!</v>
      </c>
      <c r="GI248" t="e">
        <f>AND('GA55 Only Print'!#REF!,"AAAAAFv/b74=")</f>
        <v>#REF!</v>
      </c>
      <c r="GJ248" t="e">
        <f>AND('GA55 Only Print'!#REF!,"AAAAAFv/b78=")</f>
        <v>#REF!</v>
      </c>
      <c r="GK248" t="e">
        <f>AND('GA55 Only Print'!#REF!,"AAAAAFv/b8A=")</f>
        <v>#REF!</v>
      </c>
      <c r="GL248" t="e">
        <f>AND('GA55 Only Print'!#REF!,"AAAAAFv/b8E=")</f>
        <v>#REF!</v>
      </c>
      <c r="GM248" t="e">
        <f>AND('GA55 Only Print'!#REF!,"AAAAAFv/b8I=")</f>
        <v>#REF!</v>
      </c>
      <c r="GN248" t="e">
        <f>AND('GA55 Only Print'!#REF!,"AAAAAFv/b8M=")</f>
        <v>#REF!</v>
      </c>
      <c r="GO248" t="e">
        <f>AND('GA55 Only Print'!#REF!,"AAAAAFv/b8Q=")</f>
        <v>#REF!</v>
      </c>
      <c r="GP248" t="e">
        <f>AND('GA55 Only Print'!#REF!,"AAAAAFv/b8U=")</f>
        <v>#REF!</v>
      </c>
      <c r="GQ248" t="e">
        <f>AND('GA55 Only Print'!#REF!,"AAAAAFv/b8Y=")</f>
        <v>#REF!</v>
      </c>
      <c r="GR248" t="e">
        <f>AND('GA55 Only Print'!#REF!,"AAAAAFv/b8c=")</f>
        <v>#REF!</v>
      </c>
      <c r="GS248" t="e">
        <f>AND('GA55 Only Print'!#REF!,"AAAAAFv/b8g=")</f>
        <v>#REF!</v>
      </c>
      <c r="GT248" t="e">
        <f>AND('GA55 Only Print'!#REF!,"AAAAAFv/b8k=")</f>
        <v>#REF!</v>
      </c>
      <c r="GU248" t="e">
        <f>IF('GA55 Only Print'!#REF!,"AAAAAFv/b8o=",0)</f>
        <v>#REF!</v>
      </c>
      <c r="GV248" t="e">
        <f>AND('GA55 Only Print'!#REF!,"AAAAAFv/b8s=")</f>
        <v>#REF!</v>
      </c>
      <c r="GW248" t="e">
        <f>AND('GA55 Only Print'!#REF!,"AAAAAFv/b8w=")</f>
        <v>#REF!</v>
      </c>
      <c r="GX248" t="e">
        <f>AND('GA55 Only Print'!#REF!,"AAAAAFv/b80=")</f>
        <v>#REF!</v>
      </c>
      <c r="GY248" t="e">
        <f>AND('GA55 Only Print'!#REF!,"AAAAAFv/b84=")</f>
        <v>#REF!</v>
      </c>
      <c r="GZ248" t="e">
        <f>AND('GA55 Only Print'!#REF!,"AAAAAFv/b88=")</f>
        <v>#REF!</v>
      </c>
      <c r="HA248" t="e">
        <f>AND('GA55 Only Print'!#REF!,"AAAAAFv/b9A=")</f>
        <v>#REF!</v>
      </c>
      <c r="HB248" t="e">
        <f>AND('GA55 Only Print'!#REF!,"AAAAAFv/b9E=")</f>
        <v>#REF!</v>
      </c>
      <c r="HC248" t="e">
        <f>AND('GA55 Only Print'!#REF!,"AAAAAFv/b9I=")</f>
        <v>#REF!</v>
      </c>
      <c r="HD248" t="e">
        <f>AND('GA55 Only Print'!#REF!,"AAAAAFv/b9M=")</f>
        <v>#REF!</v>
      </c>
      <c r="HE248" t="e">
        <f>AND('GA55 Only Print'!#REF!,"AAAAAFv/b9Q=")</f>
        <v>#REF!</v>
      </c>
      <c r="HF248" t="e">
        <f>AND('GA55 Only Print'!#REF!,"AAAAAFv/b9U=")</f>
        <v>#REF!</v>
      </c>
      <c r="HG248" t="e">
        <f>AND('GA55 Only Print'!#REF!,"AAAAAFv/b9Y=")</f>
        <v>#REF!</v>
      </c>
      <c r="HH248" t="e">
        <f>AND('GA55 Only Print'!#REF!,"AAAAAFv/b9c=")</f>
        <v>#REF!</v>
      </c>
      <c r="HI248" t="e">
        <f>AND('GA55 Only Print'!#REF!,"AAAAAFv/b9g=")</f>
        <v>#REF!</v>
      </c>
      <c r="HJ248" t="e">
        <f>AND('GA55 Only Print'!#REF!,"AAAAAFv/b9k=")</f>
        <v>#REF!</v>
      </c>
      <c r="HK248" t="e">
        <f>AND('GA55 Only Print'!#REF!,"AAAAAFv/b9o=")</f>
        <v>#REF!</v>
      </c>
      <c r="HL248" t="e">
        <f>AND('GA55 Only Print'!#REF!,"AAAAAFv/b9s=")</f>
        <v>#REF!</v>
      </c>
      <c r="HM248" t="e">
        <f>AND('GA55 Only Print'!#REF!,"AAAAAFv/b9w=")</f>
        <v>#REF!</v>
      </c>
      <c r="HN248" t="e">
        <f>AND('GA55 Only Print'!#REF!,"AAAAAFv/b90=")</f>
        <v>#REF!</v>
      </c>
      <c r="HO248" t="e">
        <f>AND('GA55 Only Print'!#REF!,"AAAAAFv/b94=")</f>
        <v>#REF!</v>
      </c>
      <c r="HP248" t="e">
        <f>AND('GA55 Only Print'!#REF!,"AAAAAFv/b98=")</f>
        <v>#REF!</v>
      </c>
      <c r="HQ248" t="e">
        <f>AND('GA55 Only Print'!#REF!,"AAAAAFv/b+A=")</f>
        <v>#REF!</v>
      </c>
      <c r="HR248" t="e">
        <f>AND('GA55 Only Print'!#REF!,"AAAAAFv/b+E=")</f>
        <v>#REF!</v>
      </c>
      <c r="HS248" t="e">
        <f>AND('GA55 Only Print'!#REF!,"AAAAAFv/b+I=")</f>
        <v>#REF!</v>
      </c>
      <c r="HT248" t="e">
        <f>AND('GA55 Only Print'!#REF!,"AAAAAFv/b+M=")</f>
        <v>#REF!</v>
      </c>
      <c r="HU248" t="e">
        <f>AND('GA55 Only Print'!#REF!,"AAAAAFv/b+Q=")</f>
        <v>#REF!</v>
      </c>
      <c r="HV248" t="e">
        <f>AND('GA55 Only Print'!#REF!,"AAAAAFv/b+U=")</f>
        <v>#REF!</v>
      </c>
      <c r="HW248" t="e">
        <f>AND('GA55 Only Print'!#REF!,"AAAAAFv/b+Y=")</f>
        <v>#REF!</v>
      </c>
      <c r="HX248" t="e">
        <f>AND('GA55 Only Print'!#REF!,"AAAAAFv/b+c=")</f>
        <v>#REF!</v>
      </c>
      <c r="HY248" t="e">
        <f>AND('GA55 Only Print'!#REF!,"AAAAAFv/b+g=")</f>
        <v>#REF!</v>
      </c>
      <c r="HZ248" t="e">
        <f>AND('GA55 Only Print'!#REF!,"AAAAAFv/b+k=")</f>
        <v>#REF!</v>
      </c>
      <c r="IA248" t="e">
        <f>AND('GA55 Only Print'!#REF!,"AAAAAFv/b+o=")</f>
        <v>#REF!</v>
      </c>
      <c r="IB248" t="e">
        <f>AND('GA55 Only Print'!#REF!,"AAAAAFv/b+s=")</f>
        <v>#REF!</v>
      </c>
      <c r="IC248" t="e">
        <f>AND('GA55 Only Print'!#REF!,"AAAAAFv/b+w=")</f>
        <v>#REF!</v>
      </c>
      <c r="ID248" t="e">
        <f>AND('GA55 Only Print'!#REF!,"AAAAAFv/b+0=")</f>
        <v>#REF!</v>
      </c>
      <c r="IE248" t="e">
        <f>AND('GA55 Only Print'!#REF!,"AAAAAFv/b+4=")</f>
        <v>#REF!</v>
      </c>
      <c r="IF248" t="e">
        <f>AND('GA55 Only Print'!#REF!,"AAAAAFv/b+8=")</f>
        <v>#REF!</v>
      </c>
      <c r="IG248" t="e">
        <f>AND('GA55 Only Print'!#REF!,"AAAAAFv/b/A=")</f>
        <v>#REF!</v>
      </c>
      <c r="IH248" t="e">
        <f>AND('GA55 Only Print'!#REF!,"AAAAAFv/b/E=")</f>
        <v>#REF!</v>
      </c>
      <c r="II248" t="e">
        <f>AND('GA55 Only Print'!#REF!,"AAAAAFv/b/I=")</f>
        <v>#REF!</v>
      </c>
      <c r="IJ248" t="e">
        <f>AND('GA55 Only Print'!#REF!,"AAAAAFv/b/M=")</f>
        <v>#REF!</v>
      </c>
      <c r="IK248" t="e">
        <f>AND('GA55 Only Print'!#REF!,"AAAAAFv/b/Q=")</f>
        <v>#REF!</v>
      </c>
      <c r="IL248" t="e">
        <f>AND('GA55 Only Print'!#REF!,"AAAAAFv/b/U=")</f>
        <v>#REF!</v>
      </c>
      <c r="IM248" t="e">
        <f>AND('GA55 Only Print'!#REF!,"AAAAAFv/b/Y=")</f>
        <v>#REF!</v>
      </c>
      <c r="IN248" t="e">
        <f>AND('GA55 Only Print'!#REF!,"AAAAAFv/b/c=")</f>
        <v>#REF!</v>
      </c>
      <c r="IO248" t="e">
        <f>AND('GA55 Only Print'!#REF!,"AAAAAFv/b/g=")</f>
        <v>#REF!</v>
      </c>
      <c r="IP248" t="e">
        <f>AND('GA55 Only Print'!#REF!,"AAAAAFv/b/k=")</f>
        <v>#REF!</v>
      </c>
      <c r="IQ248" t="e">
        <f>AND('GA55 Only Print'!#REF!,"AAAAAFv/b/o=")</f>
        <v>#REF!</v>
      </c>
      <c r="IR248" t="e">
        <f>AND('GA55 Only Print'!#REF!,"AAAAAFv/b/s=")</f>
        <v>#REF!</v>
      </c>
      <c r="IS248" t="e">
        <f>AND('GA55 Only Print'!#REF!,"AAAAAFv/b/w=")</f>
        <v>#REF!</v>
      </c>
      <c r="IT248" t="e">
        <f>AND('GA55 Only Print'!#REF!,"AAAAAFv/b/0=")</f>
        <v>#REF!</v>
      </c>
      <c r="IU248" t="e">
        <f>AND('GA55 Only Print'!#REF!,"AAAAAFv/b/4=")</f>
        <v>#REF!</v>
      </c>
      <c r="IV248" t="e">
        <f>AND('GA55 Only Print'!#REF!,"AAAAAFv/b/8=")</f>
        <v>#REF!</v>
      </c>
    </row>
    <row r="249" spans="1:256">
      <c r="A249" t="e">
        <f>AND('GA55 Only Print'!#REF!,"AAAAAD/PfQA=")</f>
        <v>#REF!</v>
      </c>
      <c r="B249" t="e">
        <f>AND('GA55 Only Print'!#REF!,"AAAAAD/PfQE=")</f>
        <v>#REF!</v>
      </c>
      <c r="C249" t="e">
        <f>AND('GA55 Only Print'!#REF!,"AAAAAD/PfQI=")</f>
        <v>#REF!</v>
      </c>
      <c r="D249" t="e">
        <f>AND('GA55 Only Print'!#REF!,"AAAAAD/PfQM=")</f>
        <v>#REF!</v>
      </c>
      <c r="E249" t="e">
        <f>AND('GA55 Only Print'!#REF!,"AAAAAD/PfQQ=")</f>
        <v>#REF!</v>
      </c>
      <c r="F249" t="e">
        <f>AND('GA55 Only Print'!#REF!,"AAAAAD/PfQU=")</f>
        <v>#REF!</v>
      </c>
      <c r="G249" t="e">
        <f>AND('GA55 Only Print'!#REF!,"AAAAAD/PfQY=")</f>
        <v>#REF!</v>
      </c>
      <c r="H249" t="e">
        <f>AND('GA55 Only Print'!#REF!,"AAAAAD/PfQc=")</f>
        <v>#REF!</v>
      </c>
      <c r="I249" t="e">
        <f>AND('GA55 Only Print'!#REF!,"AAAAAD/PfQg=")</f>
        <v>#REF!</v>
      </c>
      <c r="J249" t="e">
        <f>AND('GA55 Only Print'!#REF!,"AAAAAD/PfQk=")</f>
        <v>#REF!</v>
      </c>
      <c r="K249" t="e">
        <f>AND('GA55 Only Print'!#REF!,"AAAAAD/PfQo=")</f>
        <v>#REF!</v>
      </c>
      <c r="L249" t="e">
        <f>AND('GA55 Only Print'!#REF!,"AAAAAD/PfQs=")</f>
        <v>#REF!</v>
      </c>
      <c r="M249" t="e">
        <f>AND('GA55 Only Print'!#REF!,"AAAAAD/PfQw=")</f>
        <v>#REF!</v>
      </c>
      <c r="N249" t="e">
        <f>AND('GA55 Only Print'!#REF!,"AAAAAD/PfQ0=")</f>
        <v>#REF!</v>
      </c>
      <c r="O249" t="e">
        <f>AND('GA55 Only Print'!#REF!,"AAAAAD/PfQ4=")</f>
        <v>#REF!</v>
      </c>
      <c r="P249" t="e">
        <f>AND('GA55 Only Print'!#REF!,"AAAAAD/PfQ8=")</f>
        <v>#REF!</v>
      </c>
      <c r="Q249" t="e">
        <f>AND('GA55 Only Print'!#REF!,"AAAAAD/PfRA=")</f>
        <v>#REF!</v>
      </c>
      <c r="R249" t="e">
        <f>AND('GA55 Only Print'!#REF!,"AAAAAD/PfRE=")</f>
        <v>#REF!</v>
      </c>
      <c r="S249" t="e">
        <f>AND('GA55 Only Print'!#REF!,"AAAAAD/PfRI=")</f>
        <v>#REF!</v>
      </c>
      <c r="T249" t="e">
        <f>AND('GA55 Only Print'!#REF!,"AAAAAD/PfRM=")</f>
        <v>#REF!</v>
      </c>
      <c r="U249" t="e">
        <f>AND('GA55 Only Print'!#REF!,"AAAAAD/PfRQ=")</f>
        <v>#REF!</v>
      </c>
      <c r="V249" t="e">
        <f>IF('GA55 Only Print'!#REF!,"AAAAAD/PfRU=",0)</f>
        <v>#REF!</v>
      </c>
      <c r="W249" t="e">
        <f>AND('GA55 Only Print'!#REF!,"AAAAAD/PfRY=")</f>
        <v>#REF!</v>
      </c>
      <c r="X249" t="e">
        <f>AND('GA55 Only Print'!#REF!,"AAAAAD/PfRc=")</f>
        <v>#REF!</v>
      </c>
      <c r="Y249" t="e">
        <f>AND('GA55 Only Print'!#REF!,"AAAAAD/PfRg=")</f>
        <v>#REF!</v>
      </c>
      <c r="Z249" t="e">
        <f>AND('GA55 Only Print'!#REF!,"AAAAAD/PfRk=")</f>
        <v>#REF!</v>
      </c>
      <c r="AA249" t="e">
        <f>AND('GA55 Only Print'!#REF!,"AAAAAD/PfRo=")</f>
        <v>#REF!</v>
      </c>
      <c r="AB249" t="e">
        <f>AND('GA55 Only Print'!#REF!,"AAAAAD/PfRs=")</f>
        <v>#REF!</v>
      </c>
      <c r="AC249" t="e">
        <f>AND('GA55 Only Print'!#REF!,"AAAAAD/PfRw=")</f>
        <v>#REF!</v>
      </c>
      <c r="AD249" t="e">
        <f>AND('GA55 Only Print'!#REF!,"AAAAAD/PfR0=")</f>
        <v>#REF!</v>
      </c>
      <c r="AE249" t="e">
        <f>AND('GA55 Only Print'!#REF!,"AAAAAD/PfR4=")</f>
        <v>#REF!</v>
      </c>
      <c r="AF249" t="e">
        <f>AND('GA55 Only Print'!#REF!,"AAAAAD/PfR8=")</f>
        <v>#REF!</v>
      </c>
      <c r="AG249" t="e">
        <f>AND('GA55 Only Print'!#REF!,"AAAAAD/PfSA=")</f>
        <v>#REF!</v>
      </c>
      <c r="AH249" t="e">
        <f>AND('GA55 Only Print'!#REF!,"AAAAAD/PfSE=")</f>
        <v>#REF!</v>
      </c>
      <c r="AI249" t="e">
        <f>AND('GA55 Only Print'!#REF!,"AAAAAD/PfSI=")</f>
        <v>#REF!</v>
      </c>
      <c r="AJ249" t="e">
        <f>AND('GA55 Only Print'!#REF!,"AAAAAD/PfSM=")</f>
        <v>#REF!</v>
      </c>
      <c r="AK249" t="e">
        <f>AND('GA55 Only Print'!#REF!,"AAAAAD/PfSQ=")</f>
        <v>#REF!</v>
      </c>
      <c r="AL249" t="e">
        <f>AND('GA55 Only Print'!#REF!,"AAAAAD/PfSU=")</f>
        <v>#REF!</v>
      </c>
      <c r="AM249" t="e">
        <f>AND('GA55 Only Print'!#REF!,"AAAAAD/PfSY=")</f>
        <v>#REF!</v>
      </c>
      <c r="AN249" t="e">
        <f>AND('GA55 Only Print'!#REF!,"AAAAAD/PfSc=")</f>
        <v>#REF!</v>
      </c>
      <c r="AO249" t="e">
        <f>AND('GA55 Only Print'!#REF!,"AAAAAD/PfSg=")</f>
        <v>#REF!</v>
      </c>
      <c r="AP249" t="e">
        <f>AND('GA55 Only Print'!#REF!,"AAAAAD/PfSk=")</f>
        <v>#REF!</v>
      </c>
      <c r="AQ249" t="e">
        <f>AND('GA55 Only Print'!#REF!,"AAAAAD/PfSo=")</f>
        <v>#REF!</v>
      </c>
      <c r="AR249" t="e">
        <f>AND('GA55 Only Print'!#REF!,"AAAAAD/PfSs=")</f>
        <v>#REF!</v>
      </c>
      <c r="AS249" t="e">
        <f>AND('GA55 Only Print'!#REF!,"AAAAAD/PfSw=")</f>
        <v>#REF!</v>
      </c>
      <c r="AT249" t="e">
        <f>AND('GA55 Only Print'!#REF!,"AAAAAD/PfS0=")</f>
        <v>#REF!</v>
      </c>
      <c r="AU249" t="e">
        <f>AND('GA55 Only Print'!#REF!,"AAAAAD/PfS4=")</f>
        <v>#REF!</v>
      </c>
      <c r="AV249" t="e">
        <f>AND('GA55 Only Print'!#REF!,"AAAAAD/PfS8=")</f>
        <v>#REF!</v>
      </c>
      <c r="AW249" t="e">
        <f>AND('GA55 Only Print'!#REF!,"AAAAAD/PfTA=")</f>
        <v>#REF!</v>
      </c>
      <c r="AX249" t="e">
        <f>AND('GA55 Only Print'!#REF!,"AAAAAD/PfTE=")</f>
        <v>#REF!</v>
      </c>
      <c r="AY249" t="e">
        <f>AND('GA55 Only Print'!#REF!,"AAAAAD/PfTI=")</f>
        <v>#REF!</v>
      </c>
      <c r="AZ249" t="e">
        <f>AND('GA55 Only Print'!#REF!,"AAAAAD/PfTM=")</f>
        <v>#REF!</v>
      </c>
      <c r="BA249" t="e">
        <f>AND('GA55 Only Print'!#REF!,"AAAAAD/PfTQ=")</f>
        <v>#REF!</v>
      </c>
      <c r="BB249" t="e">
        <f>AND('GA55 Only Print'!#REF!,"AAAAAD/PfTU=")</f>
        <v>#REF!</v>
      </c>
      <c r="BC249" t="e">
        <f>AND('GA55 Only Print'!#REF!,"AAAAAD/PfTY=")</f>
        <v>#REF!</v>
      </c>
      <c r="BD249" t="e">
        <f>AND('GA55 Only Print'!#REF!,"AAAAAD/PfTc=")</f>
        <v>#REF!</v>
      </c>
      <c r="BE249" t="e">
        <f>AND('GA55 Only Print'!#REF!,"AAAAAD/PfTg=")</f>
        <v>#REF!</v>
      </c>
      <c r="BF249" t="e">
        <f>AND('GA55 Only Print'!#REF!,"AAAAAD/PfTk=")</f>
        <v>#REF!</v>
      </c>
      <c r="BG249" t="e">
        <f>AND('GA55 Only Print'!#REF!,"AAAAAD/PfTo=")</f>
        <v>#REF!</v>
      </c>
      <c r="BH249" t="e">
        <f>AND('GA55 Only Print'!#REF!,"AAAAAD/PfTs=")</f>
        <v>#REF!</v>
      </c>
      <c r="BI249" t="e">
        <f>AND('GA55 Only Print'!#REF!,"AAAAAD/PfTw=")</f>
        <v>#REF!</v>
      </c>
      <c r="BJ249" t="e">
        <f>AND('GA55 Only Print'!#REF!,"AAAAAD/PfT0=")</f>
        <v>#REF!</v>
      </c>
      <c r="BK249" t="e">
        <f>AND('GA55 Only Print'!#REF!,"AAAAAD/PfT4=")</f>
        <v>#REF!</v>
      </c>
      <c r="BL249" t="e">
        <f>AND('GA55 Only Print'!#REF!,"AAAAAD/PfT8=")</f>
        <v>#REF!</v>
      </c>
      <c r="BM249" t="e">
        <f>AND('GA55 Only Print'!#REF!,"AAAAAD/PfUA=")</f>
        <v>#REF!</v>
      </c>
      <c r="BN249" t="e">
        <f>AND('GA55 Only Print'!#REF!,"AAAAAD/PfUE=")</f>
        <v>#REF!</v>
      </c>
      <c r="BO249" t="e">
        <f>AND('GA55 Only Print'!#REF!,"AAAAAD/PfUI=")</f>
        <v>#REF!</v>
      </c>
      <c r="BP249" t="e">
        <f>AND('GA55 Only Print'!#REF!,"AAAAAD/PfUM=")</f>
        <v>#REF!</v>
      </c>
      <c r="BQ249" t="e">
        <f>AND('GA55 Only Print'!#REF!,"AAAAAD/PfUQ=")</f>
        <v>#REF!</v>
      </c>
      <c r="BR249" t="e">
        <f>AND('GA55 Only Print'!#REF!,"AAAAAD/PfUU=")</f>
        <v>#REF!</v>
      </c>
      <c r="BS249" t="e">
        <f>AND('GA55 Only Print'!#REF!,"AAAAAD/PfUY=")</f>
        <v>#REF!</v>
      </c>
      <c r="BT249" t="e">
        <f>AND('GA55 Only Print'!#REF!,"AAAAAD/PfUc=")</f>
        <v>#REF!</v>
      </c>
      <c r="BU249" t="e">
        <f>AND('GA55 Only Print'!#REF!,"AAAAAD/PfUg=")</f>
        <v>#REF!</v>
      </c>
      <c r="BV249" t="e">
        <f>AND('GA55 Only Print'!#REF!,"AAAAAD/PfUk=")</f>
        <v>#REF!</v>
      </c>
      <c r="BW249" t="e">
        <f>AND('GA55 Only Print'!#REF!,"AAAAAD/PfUo=")</f>
        <v>#REF!</v>
      </c>
      <c r="BX249" t="e">
        <f>AND('GA55 Only Print'!#REF!,"AAAAAD/PfUs=")</f>
        <v>#REF!</v>
      </c>
      <c r="BY249" t="e">
        <f>AND('GA55 Only Print'!#REF!,"AAAAAD/PfUw=")</f>
        <v>#REF!</v>
      </c>
      <c r="BZ249" t="e">
        <f>AND('GA55 Only Print'!#REF!,"AAAAAD/PfU0=")</f>
        <v>#REF!</v>
      </c>
      <c r="CA249" t="e">
        <f>AND('GA55 Only Print'!#REF!,"AAAAAD/PfU4=")</f>
        <v>#REF!</v>
      </c>
      <c r="CB249" t="e">
        <f>AND('GA55 Only Print'!#REF!,"AAAAAD/PfU8=")</f>
        <v>#REF!</v>
      </c>
      <c r="CC249" t="e">
        <f>AND('GA55 Only Print'!#REF!,"AAAAAD/PfVA=")</f>
        <v>#REF!</v>
      </c>
      <c r="CD249" t="e">
        <f>AND('GA55 Only Print'!#REF!,"AAAAAD/PfVE=")</f>
        <v>#REF!</v>
      </c>
      <c r="CE249" t="e">
        <f>AND('GA55 Only Print'!#REF!,"AAAAAD/PfVI=")</f>
        <v>#REF!</v>
      </c>
      <c r="CF249" t="e">
        <f>AND('GA55 Only Print'!#REF!,"AAAAAD/PfVM=")</f>
        <v>#REF!</v>
      </c>
      <c r="CG249" t="e">
        <f>AND('GA55 Only Print'!#REF!,"AAAAAD/PfVQ=")</f>
        <v>#REF!</v>
      </c>
      <c r="CH249" t="e">
        <f>AND('GA55 Only Print'!#REF!,"AAAAAD/PfVU=")</f>
        <v>#REF!</v>
      </c>
      <c r="CI249" t="e">
        <f>AND('GA55 Only Print'!#REF!,"AAAAAD/PfVY=")</f>
        <v>#REF!</v>
      </c>
      <c r="CJ249" t="e">
        <f>AND('GA55 Only Print'!#REF!,"AAAAAD/PfVc=")</f>
        <v>#REF!</v>
      </c>
      <c r="CK249" t="e">
        <f>AND('GA55 Only Print'!#REF!,"AAAAAD/PfVg=")</f>
        <v>#REF!</v>
      </c>
      <c r="CL249" t="e">
        <f>AND('GA55 Only Print'!#REF!,"AAAAAD/PfVk=")</f>
        <v>#REF!</v>
      </c>
      <c r="CM249" t="e">
        <f>AND('GA55 Only Print'!#REF!,"AAAAAD/PfVo=")</f>
        <v>#REF!</v>
      </c>
      <c r="CN249" t="e">
        <f>AND('GA55 Only Print'!#REF!,"AAAAAD/PfVs=")</f>
        <v>#REF!</v>
      </c>
      <c r="CO249" t="e">
        <f>AND('GA55 Only Print'!#REF!,"AAAAAD/PfVw=")</f>
        <v>#REF!</v>
      </c>
      <c r="CP249" t="e">
        <f>AND('GA55 Only Print'!#REF!,"AAAAAD/PfV0=")</f>
        <v>#REF!</v>
      </c>
      <c r="CQ249" t="e">
        <f>AND('GA55 Only Print'!#REF!,"AAAAAD/PfV4=")</f>
        <v>#REF!</v>
      </c>
      <c r="CR249" t="e">
        <f>AND('GA55 Only Print'!#REF!,"AAAAAD/PfV8=")</f>
        <v>#REF!</v>
      </c>
      <c r="CS249" t="e">
        <f>IF('GA55 Only Print'!#REF!,"AAAAAD/PfWA=",0)</f>
        <v>#REF!</v>
      </c>
      <c r="CT249" t="e">
        <f>AND('GA55 Only Print'!#REF!,"AAAAAD/PfWE=")</f>
        <v>#REF!</v>
      </c>
      <c r="CU249" t="e">
        <f>AND('GA55 Only Print'!#REF!,"AAAAAD/PfWI=")</f>
        <v>#REF!</v>
      </c>
      <c r="CV249" t="e">
        <f>AND('GA55 Only Print'!#REF!,"AAAAAD/PfWM=")</f>
        <v>#REF!</v>
      </c>
      <c r="CW249" t="e">
        <f>AND('GA55 Only Print'!#REF!,"AAAAAD/PfWQ=")</f>
        <v>#REF!</v>
      </c>
      <c r="CX249" t="e">
        <f>AND('GA55 Only Print'!#REF!,"AAAAAD/PfWU=")</f>
        <v>#REF!</v>
      </c>
      <c r="CY249" t="e">
        <f>AND('GA55 Only Print'!#REF!,"AAAAAD/PfWY=")</f>
        <v>#REF!</v>
      </c>
      <c r="CZ249" t="e">
        <f>AND('GA55 Only Print'!#REF!,"AAAAAD/PfWc=")</f>
        <v>#REF!</v>
      </c>
      <c r="DA249" t="e">
        <f>AND('GA55 Only Print'!#REF!,"AAAAAD/PfWg=")</f>
        <v>#REF!</v>
      </c>
      <c r="DB249" t="e">
        <f>AND('GA55 Only Print'!#REF!,"AAAAAD/PfWk=")</f>
        <v>#REF!</v>
      </c>
      <c r="DC249" t="e">
        <f>AND('GA55 Only Print'!#REF!,"AAAAAD/PfWo=")</f>
        <v>#REF!</v>
      </c>
      <c r="DD249" t="e">
        <f>AND('GA55 Only Print'!#REF!,"AAAAAD/PfWs=")</f>
        <v>#REF!</v>
      </c>
      <c r="DE249" t="e">
        <f>AND('GA55 Only Print'!#REF!,"AAAAAD/PfWw=")</f>
        <v>#REF!</v>
      </c>
      <c r="DF249" t="e">
        <f>AND('GA55 Only Print'!#REF!,"AAAAAD/PfW0=")</f>
        <v>#REF!</v>
      </c>
      <c r="DG249" t="e">
        <f>AND('GA55 Only Print'!#REF!,"AAAAAD/PfW4=")</f>
        <v>#REF!</v>
      </c>
      <c r="DH249" t="e">
        <f>AND('GA55 Only Print'!#REF!,"AAAAAD/PfW8=")</f>
        <v>#REF!</v>
      </c>
      <c r="DI249" t="e">
        <f>AND('GA55 Only Print'!#REF!,"AAAAAD/PfXA=")</f>
        <v>#REF!</v>
      </c>
      <c r="DJ249" t="e">
        <f>AND('GA55 Only Print'!#REF!,"AAAAAD/PfXE=")</f>
        <v>#REF!</v>
      </c>
      <c r="DK249" t="e">
        <f>AND('GA55 Only Print'!#REF!,"AAAAAD/PfXI=")</f>
        <v>#REF!</v>
      </c>
      <c r="DL249" t="e">
        <f>AND('GA55 Only Print'!#REF!,"AAAAAD/PfXM=")</f>
        <v>#REF!</v>
      </c>
      <c r="DM249" t="e">
        <f>AND('GA55 Only Print'!#REF!,"AAAAAD/PfXQ=")</f>
        <v>#REF!</v>
      </c>
      <c r="DN249" t="e">
        <f>AND('GA55 Only Print'!#REF!,"AAAAAD/PfXU=")</f>
        <v>#REF!</v>
      </c>
      <c r="DO249" t="e">
        <f>AND('GA55 Only Print'!#REF!,"AAAAAD/PfXY=")</f>
        <v>#REF!</v>
      </c>
      <c r="DP249" t="e">
        <f>AND('GA55 Only Print'!#REF!,"AAAAAD/PfXc=")</f>
        <v>#REF!</v>
      </c>
      <c r="DQ249" t="e">
        <f>AND('GA55 Only Print'!#REF!,"AAAAAD/PfXg=")</f>
        <v>#REF!</v>
      </c>
      <c r="DR249" t="e">
        <f>AND('GA55 Only Print'!#REF!,"AAAAAD/PfXk=")</f>
        <v>#REF!</v>
      </c>
      <c r="DS249" t="e">
        <f>AND('GA55 Only Print'!#REF!,"AAAAAD/PfXo=")</f>
        <v>#REF!</v>
      </c>
      <c r="DT249" t="e">
        <f>AND('GA55 Only Print'!#REF!,"AAAAAD/PfXs=")</f>
        <v>#REF!</v>
      </c>
      <c r="DU249" t="e">
        <f>AND('GA55 Only Print'!#REF!,"AAAAAD/PfXw=")</f>
        <v>#REF!</v>
      </c>
      <c r="DV249" t="e">
        <f>AND('GA55 Only Print'!#REF!,"AAAAAD/PfX0=")</f>
        <v>#REF!</v>
      </c>
      <c r="DW249" t="e">
        <f>AND('GA55 Only Print'!#REF!,"AAAAAD/PfX4=")</f>
        <v>#REF!</v>
      </c>
      <c r="DX249" t="e">
        <f>AND('GA55 Only Print'!#REF!,"AAAAAD/PfX8=")</f>
        <v>#REF!</v>
      </c>
      <c r="DY249" t="e">
        <f>AND('GA55 Only Print'!#REF!,"AAAAAD/PfYA=")</f>
        <v>#REF!</v>
      </c>
      <c r="DZ249" t="e">
        <f>AND('GA55 Only Print'!#REF!,"AAAAAD/PfYE=")</f>
        <v>#REF!</v>
      </c>
      <c r="EA249" t="e">
        <f>AND('GA55 Only Print'!#REF!,"AAAAAD/PfYI=")</f>
        <v>#REF!</v>
      </c>
      <c r="EB249" t="e">
        <f>AND('GA55 Only Print'!#REF!,"AAAAAD/PfYM=")</f>
        <v>#REF!</v>
      </c>
      <c r="EC249" t="e">
        <f>AND('GA55 Only Print'!#REF!,"AAAAAD/PfYQ=")</f>
        <v>#REF!</v>
      </c>
      <c r="ED249" t="e">
        <f>AND('GA55 Only Print'!#REF!,"AAAAAD/PfYU=")</f>
        <v>#REF!</v>
      </c>
      <c r="EE249" t="e">
        <f>AND('GA55 Only Print'!#REF!,"AAAAAD/PfYY=")</f>
        <v>#REF!</v>
      </c>
      <c r="EF249" t="e">
        <f>AND('GA55 Only Print'!#REF!,"AAAAAD/PfYc=")</f>
        <v>#REF!</v>
      </c>
      <c r="EG249" t="e">
        <f>AND('GA55 Only Print'!#REF!,"AAAAAD/PfYg=")</f>
        <v>#REF!</v>
      </c>
      <c r="EH249" t="e">
        <f>AND('GA55 Only Print'!#REF!,"AAAAAD/PfYk=")</f>
        <v>#REF!</v>
      </c>
      <c r="EI249" t="e">
        <f>AND('GA55 Only Print'!#REF!,"AAAAAD/PfYo=")</f>
        <v>#REF!</v>
      </c>
      <c r="EJ249" t="e">
        <f>AND('GA55 Only Print'!#REF!,"AAAAAD/PfYs=")</f>
        <v>#REF!</v>
      </c>
      <c r="EK249" t="e">
        <f>AND('GA55 Only Print'!#REF!,"AAAAAD/PfYw=")</f>
        <v>#REF!</v>
      </c>
      <c r="EL249" t="e">
        <f>AND('GA55 Only Print'!#REF!,"AAAAAD/PfY0=")</f>
        <v>#REF!</v>
      </c>
      <c r="EM249" t="e">
        <f>AND('GA55 Only Print'!#REF!,"AAAAAD/PfY4=")</f>
        <v>#REF!</v>
      </c>
      <c r="EN249" t="e">
        <f>AND('GA55 Only Print'!#REF!,"AAAAAD/PfY8=")</f>
        <v>#REF!</v>
      </c>
      <c r="EO249" t="e">
        <f>AND('GA55 Only Print'!#REF!,"AAAAAD/PfZA=")</f>
        <v>#REF!</v>
      </c>
      <c r="EP249" t="e">
        <f>AND('GA55 Only Print'!#REF!,"AAAAAD/PfZE=")</f>
        <v>#REF!</v>
      </c>
      <c r="EQ249" t="e">
        <f>AND('GA55 Only Print'!#REF!,"AAAAAD/PfZI=")</f>
        <v>#REF!</v>
      </c>
      <c r="ER249" t="e">
        <f>AND('GA55 Only Print'!#REF!,"AAAAAD/PfZM=")</f>
        <v>#REF!</v>
      </c>
      <c r="ES249" t="e">
        <f>AND('GA55 Only Print'!#REF!,"AAAAAD/PfZQ=")</f>
        <v>#REF!</v>
      </c>
      <c r="ET249" t="e">
        <f>AND('GA55 Only Print'!#REF!,"AAAAAD/PfZU=")</f>
        <v>#REF!</v>
      </c>
      <c r="EU249" t="e">
        <f>AND('GA55 Only Print'!#REF!,"AAAAAD/PfZY=")</f>
        <v>#REF!</v>
      </c>
      <c r="EV249" t="e">
        <f>AND('GA55 Only Print'!#REF!,"AAAAAD/PfZc=")</f>
        <v>#REF!</v>
      </c>
      <c r="EW249" t="e">
        <f>AND('GA55 Only Print'!#REF!,"AAAAAD/PfZg=")</f>
        <v>#REF!</v>
      </c>
      <c r="EX249" t="e">
        <f>AND('GA55 Only Print'!#REF!,"AAAAAD/PfZk=")</f>
        <v>#REF!</v>
      </c>
      <c r="EY249" t="e">
        <f>AND('GA55 Only Print'!#REF!,"AAAAAD/PfZo=")</f>
        <v>#REF!</v>
      </c>
      <c r="EZ249" t="e">
        <f>AND('GA55 Only Print'!#REF!,"AAAAAD/PfZs=")</f>
        <v>#REF!</v>
      </c>
      <c r="FA249" t="e">
        <f>AND('GA55 Only Print'!#REF!,"AAAAAD/PfZw=")</f>
        <v>#REF!</v>
      </c>
      <c r="FB249" t="e">
        <f>AND('GA55 Only Print'!#REF!,"AAAAAD/PfZ0=")</f>
        <v>#REF!</v>
      </c>
      <c r="FC249" t="e">
        <f>AND('GA55 Only Print'!#REF!,"AAAAAD/PfZ4=")</f>
        <v>#REF!</v>
      </c>
      <c r="FD249" t="e">
        <f>AND('GA55 Only Print'!#REF!,"AAAAAD/PfZ8=")</f>
        <v>#REF!</v>
      </c>
      <c r="FE249" t="e">
        <f>AND('GA55 Only Print'!#REF!,"AAAAAD/PfaA=")</f>
        <v>#REF!</v>
      </c>
      <c r="FF249" t="e">
        <f>AND('GA55 Only Print'!#REF!,"AAAAAD/PfaE=")</f>
        <v>#REF!</v>
      </c>
      <c r="FG249" t="e">
        <f>AND('GA55 Only Print'!#REF!,"AAAAAD/PfaI=")</f>
        <v>#REF!</v>
      </c>
      <c r="FH249" t="e">
        <f>AND('GA55 Only Print'!#REF!,"AAAAAD/PfaM=")</f>
        <v>#REF!</v>
      </c>
      <c r="FI249" t="e">
        <f>AND('GA55 Only Print'!#REF!,"AAAAAD/PfaQ=")</f>
        <v>#REF!</v>
      </c>
      <c r="FJ249" t="e">
        <f>AND('GA55 Only Print'!#REF!,"AAAAAD/PfaU=")</f>
        <v>#REF!</v>
      </c>
      <c r="FK249" t="e">
        <f>AND('GA55 Only Print'!#REF!,"AAAAAD/PfaY=")</f>
        <v>#REF!</v>
      </c>
      <c r="FL249" t="e">
        <f>AND('GA55 Only Print'!#REF!,"AAAAAD/Pfac=")</f>
        <v>#REF!</v>
      </c>
      <c r="FM249" t="e">
        <f>AND('GA55 Only Print'!#REF!,"AAAAAD/Pfag=")</f>
        <v>#REF!</v>
      </c>
      <c r="FN249" t="e">
        <f>AND('GA55 Only Print'!#REF!,"AAAAAD/Pfak=")</f>
        <v>#REF!</v>
      </c>
      <c r="FO249" t="e">
        <f>AND('GA55 Only Print'!#REF!,"AAAAAD/Pfao=")</f>
        <v>#REF!</v>
      </c>
      <c r="FP249" t="e">
        <f>IF('GA55 Only Print'!#REF!,"AAAAAD/Pfas=",0)</f>
        <v>#REF!</v>
      </c>
      <c r="FQ249" t="e">
        <f>AND('GA55 Only Print'!#REF!,"AAAAAD/Pfaw=")</f>
        <v>#REF!</v>
      </c>
      <c r="FR249" t="e">
        <f>AND('GA55 Only Print'!#REF!,"AAAAAD/Pfa0=")</f>
        <v>#REF!</v>
      </c>
      <c r="FS249" t="e">
        <f>AND('GA55 Only Print'!#REF!,"AAAAAD/Pfa4=")</f>
        <v>#REF!</v>
      </c>
      <c r="FT249" t="e">
        <f>AND('GA55 Only Print'!#REF!,"AAAAAD/Pfa8=")</f>
        <v>#REF!</v>
      </c>
      <c r="FU249" t="e">
        <f>AND('GA55 Only Print'!#REF!,"AAAAAD/PfbA=")</f>
        <v>#REF!</v>
      </c>
      <c r="FV249" t="e">
        <f>AND('GA55 Only Print'!#REF!,"AAAAAD/PfbE=")</f>
        <v>#REF!</v>
      </c>
      <c r="FW249" t="e">
        <f>AND('GA55 Only Print'!#REF!,"AAAAAD/PfbI=")</f>
        <v>#REF!</v>
      </c>
      <c r="FX249" t="e">
        <f>AND('GA55 Only Print'!#REF!,"AAAAAD/PfbM=")</f>
        <v>#REF!</v>
      </c>
      <c r="FY249" t="e">
        <f>AND('GA55 Only Print'!#REF!,"AAAAAD/PfbQ=")</f>
        <v>#REF!</v>
      </c>
      <c r="FZ249" t="e">
        <f>AND('GA55 Only Print'!#REF!,"AAAAAD/PfbU=")</f>
        <v>#REF!</v>
      </c>
      <c r="GA249" t="e">
        <f>AND('GA55 Only Print'!#REF!,"AAAAAD/PfbY=")</f>
        <v>#REF!</v>
      </c>
      <c r="GB249" t="e">
        <f>AND('GA55 Only Print'!#REF!,"AAAAAD/Pfbc=")</f>
        <v>#REF!</v>
      </c>
      <c r="GC249" t="e">
        <f>AND('GA55 Only Print'!#REF!,"AAAAAD/Pfbg=")</f>
        <v>#REF!</v>
      </c>
      <c r="GD249" t="e">
        <f>AND('GA55 Only Print'!#REF!,"AAAAAD/Pfbk=")</f>
        <v>#REF!</v>
      </c>
      <c r="GE249" t="e">
        <f>AND('GA55 Only Print'!#REF!,"AAAAAD/Pfbo=")</f>
        <v>#REF!</v>
      </c>
      <c r="GF249" t="e">
        <f>AND('GA55 Only Print'!#REF!,"AAAAAD/Pfbs=")</f>
        <v>#REF!</v>
      </c>
      <c r="GG249" t="e">
        <f>AND('GA55 Only Print'!#REF!,"AAAAAD/Pfbw=")</f>
        <v>#REF!</v>
      </c>
      <c r="GH249" t="e">
        <f>AND('GA55 Only Print'!#REF!,"AAAAAD/Pfb0=")</f>
        <v>#REF!</v>
      </c>
      <c r="GI249" t="e">
        <f>AND('GA55 Only Print'!#REF!,"AAAAAD/Pfb4=")</f>
        <v>#REF!</v>
      </c>
      <c r="GJ249" t="e">
        <f>AND('GA55 Only Print'!#REF!,"AAAAAD/Pfb8=")</f>
        <v>#REF!</v>
      </c>
      <c r="GK249" t="e">
        <f>AND('GA55 Only Print'!#REF!,"AAAAAD/PfcA=")</f>
        <v>#REF!</v>
      </c>
      <c r="GL249" t="e">
        <f>AND('GA55 Only Print'!#REF!,"AAAAAD/PfcE=")</f>
        <v>#REF!</v>
      </c>
      <c r="GM249" t="e">
        <f>AND('GA55 Only Print'!#REF!,"AAAAAD/PfcI=")</f>
        <v>#REF!</v>
      </c>
      <c r="GN249" t="e">
        <f>AND('GA55 Only Print'!#REF!,"AAAAAD/PfcM=")</f>
        <v>#REF!</v>
      </c>
      <c r="GO249" t="e">
        <f>AND('GA55 Only Print'!#REF!,"AAAAAD/PfcQ=")</f>
        <v>#REF!</v>
      </c>
      <c r="GP249" t="e">
        <f>AND('GA55 Only Print'!#REF!,"AAAAAD/PfcU=")</f>
        <v>#REF!</v>
      </c>
      <c r="GQ249" t="e">
        <f>AND('GA55 Only Print'!#REF!,"AAAAAD/PfcY=")</f>
        <v>#REF!</v>
      </c>
      <c r="GR249" t="e">
        <f>AND('GA55 Only Print'!#REF!,"AAAAAD/Pfcc=")</f>
        <v>#REF!</v>
      </c>
      <c r="GS249" t="e">
        <f>AND('GA55 Only Print'!#REF!,"AAAAAD/Pfcg=")</f>
        <v>#REF!</v>
      </c>
      <c r="GT249" t="e">
        <f>AND('GA55 Only Print'!#REF!,"AAAAAD/Pfck=")</f>
        <v>#REF!</v>
      </c>
      <c r="GU249" t="e">
        <f>AND('GA55 Only Print'!#REF!,"AAAAAD/Pfco=")</f>
        <v>#REF!</v>
      </c>
      <c r="GV249" t="e">
        <f>AND('GA55 Only Print'!#REF!,"AAAAAD/Pfcs=")</f>
        <v>#REF!</v>
      </c>
      <c r="GW249" t="e">
        <f>AND('GA55 Only Print'!#REF!,"AAAAAD/Pfcw=")</f>
        <v>#REF!</v>
      </c>
      <c r="GX249" t="e">
        <f>AND('GA55 Only Print'!#REF!,"AAAAAD/Pfc0=")</f>
        <v>#REF!</v>
      </c>
      <c r="GY249" t="e">
        <f>AND('GA55 Only Print'!#REF!,"AAAAAD/Pfc4=")</f>
        <v>#REF!</v>
      </c>
      <c r="GZ249" t="e">
        <f>AND('GA55 Only Print'!#REF!,"AAAAAD/Pfc8=")</f>
        <v>#REF!</v>
      </c>
      <c r="HA249" t="e">
        <f>AND('GA55 Only Print'!#REF!,"AAAAAD/PfdA=")</f>
        <v>#REF!</v>
      </c>
      <c r="HB249" t="e">
        <f>AND('GA55 Only Print'!#REF!,"AAAAAD/PfdE=")</f>
        <v>#REF!</v>
      </c>
      <c r="HC249" t="e">
        <f>AND('GA55 Only Print'!#REF!,"AAAAAD/PfdI=")</f>
        <v>#REF!</v>
      </c>
      <c r="HD249" t="e">
        <f>AND('GA55 Only Print'!#REF!,"AAAAAD/PfdM=")</f>
        <v>#REF!</v>
      </c>
      <c r="HE249" t="e">
        <f>AND('GA55 Only Print'!#REF!,"AAAAAD/PfdQ=")</f>
        <v>#REF!</v>
      </c>
      <c r="HF249" t="e">
        <f>AND('GA55 Only Print'!#REF!,"AAAAAD/PfdU=")</f>
        <v>#REF!</v>
      </c>
      <c r="HG249" t="e">
        <f>AND('GA55 Only Print'!#REF!,"AAAAAD/PfdY=")</f>
        <v>#REF!</v>
      </c>
      <c r="HH249" t="e">
        <f>AND('GA55 Only Print'!#REF!,"AAAAAD/Pfdc=")</f>
        <v>#REF!</v>
      </c>
      <c r="HI249" t="e">
        <f>AND('GA55 Only Print'!#REF!,"AAAAAD/Pfdg=")</f>
        <v>#REF!</v>
      </c>
      <c r="HJ249" t="e">
        <f>AND('GA55 Only Print'!#REF!,"AAAAAD/Pfdk=")</f>
        <v>#REF!</v>
      </c>
      <c r="HK249" t="e">
        <f>AND('GA55 Only Print'!#REF!,"AAAAAD/Pfdo=")</f>
        <v>#REF!</v>
      </c>
      <c r="HL249" t="e">
        <f>AND('GA55 Only Print'!#REF!,"AAAAAD/Pfds=")</f>
        <v>#REF!</v>
      </c>
      <c r="HM249" t="e">
        <f>AND('GA55 Only Print'!#REF!,"AAAAAD/Pfdw=")</f>
        <v>#REF!</v>
      </c>
      <c r="HN249" t="e">
        <f>AND('GA55 Only Print'!#REF!,"AAAAAD/Pfd0=")</f>
        <v>#REF!</v>
      </c>
      <c r="HO249" t="e">
        <f>AND('GA55 Only Print'!#REF!,"AAAAAD/Pfd4=")</f>
        <v>#REF!</v>
      </c>
      <c r="HP249" t="e">
        <f>AND('GA55 Only Print'!#REF!,"AAAAAD/Pfd8=")</f>
        <v>#REF!</v>
      </c>
      <c r="HQ249" t="e">
        <f>AND('GA55 Only Print'!#REF!,"AAAAAD/PfeA=")</f>
        <v>#REF!</v>
      </c>
      <c r="HR249" t="e">
        <f>AND('GA55 Only Print'!#REF!,"AAAAAD/PfeE=")</f>
        <v>#REF!</v>
      </c>
      <c r="HS249" t="e">
        <f>AND('GA55 Only Print'!#REF!,"AAAAAD/PfeI=")</f>
        <v>#REF!</v>
      </c>
      <c r="HT249" t="e">
        <f>AND('GA55 Only Print'!#REF!,"AAAAAD/PfeM=")</f>
        <v>#REF!</v>
      </c>
      <c r="HU249" t="e">
        <f>AND('GA55 Only Print'!#REF!,"AAAAAD/PfeQ=")</f>
        <v>#REF!</v>
      </c>
      <c r="HV249" t="e">
        <f>AND('GA55 Only Print'!#REF!,"AAAAAD/PfeU=")</f>
        <v>#REF!</v>
      </c>
      <c r="HW249" t="e">
        <f>AND('GA55 Only Print'!#REF!,"AAAAAD/PfeY=")</f>
        <v>#REF!</v>
      </c>
      <c r="HX249" t="e">
        <f>AND('GA55 Only Print'!#REF!,"AAAAAD/Pfec=")</f>
        <v>#REF!</v>
      </c>
      <c r="HY249" t="e">
        <f>AND('GA55 Only Print'!#REF!,"AAAAAD/Pfeg=")</f>
        <v>#REF!</v>
      </c>
      <c r="HZ249" t="e">
        <f>AND('GA55 Only Print'!#REF!,"AAAAAD/Pfek=")</f>
        <v>#REF!</v>
      </c>
      <c r="IA249" t="e">
        <f>AND('GA55 Only Print'!#REF!,"AAAAAD/Pfeo=")</f>
        <v>#REF!</v>
      </c>
      <c r="IB249" t="e">
        <f>AND('GA55 Only Print'!#REF!,"AAAAAD/Pfes=")</f>
        <v>#REF!</v>
      </c>
      <c r="IC249" t="e">
        <f>AND('GA55 Only Print'!#REF!,"AAAAAD/Pfew=")</f>
        <v>#REF!</v>
      </c>
      <c r="ID249" t="e">
        <f>AND('GA55 Only Print'!#REF!,"AAAAAD/Pfe0=")</f>
        <v>#REF!</v>
      </c>
      <c r="IE249" t="e">
        <f>AND('GA55 Only Print'!#REF!,"AAAAAD/Pfe4=")</f>
        <v>#REF!</v>
      </c>
      <c r="IF249" t="e">
        <f>AND('GA55 Only Print'!#REF!,"AAAAAD/Pfe8=")</f>
        <v>#REF!</v>
      </c>
      <c r="IG249" t="e">
        <f>AND('GA55 Only Print'!#REF!,"AAAAAD/PffA=")</f>
        <v>#REF!</v>
      </c>
      <c r="IH249" t="e">
        <f>AND('GA55 Only Print'!#REF!,"AAAAAD/PffE=")</f>
        <v>#REF!</v>
      </c>
      <c r="II249" t="e">
        <f>AND('GA55 Only Print'!#REF!,"AAAAAD/PffI=")</f>
        <v>#REF!</v>
      </c>
      <c r="IJ249" t="e">
        <f>AND('GA55 Only Print'!#REF!,"AAAAAD/PffM=")</f>
        <v>#REF!</v>
      </c>
      <c r="IK249" t="e">
        <f>AND('GA55 Only Print'!#REF!,"AAAAAD/PffQ=")</f>
        <v>#REF!</v>
      </c>
      <c r="IL249" t="e">
        <f>AND('GA55 Only Print'!#REF!,"AAAAAD/PffU=")</f>
        <v>#REF!</v>
      </c>
      <c r="IM249" t="e">
        <f>IF('GA55 Only Print'!#REF!,"AAAAAD/PffY=",0)</f>
        <v>#REF!</v>
      </c>
      <c r="IN249" t="e">
        <f>AND('GA55 Only Print'!#REF!,"AAAAAD/Pffc=")</f>
        <v>#REF!</v>
      </c>
      <c r="IO249" t="e">
        <f>AND('GA55 Only Print'!#REF!,"AAAAAD/Pffg=")</f>
        <v>#REF!</v>
      </c>
      <c r="IP249" t="e">
        <f>AND('GA55 Only Print'!#REF!,"AAAAAD/Pffk=")</f>
        <v>#REF!</v>
      </c>
      <c r="IQ249" t="e">
        <f>AND('GA55 Only Print'!#REF!,"AAAAAD/Pffo=")</f>
        <v>#REF!</v>
      </c>
      <c r="IR249" t="e">
        <f>AND('GA55 Only Print'!#REF!,"AAAAAD/Pffs=")</f>
        <v>#REF!</v>
      </c>
      <c r="IS249" t="e">
        <f>AND('GA55 Only Print'!#REF!,"AAAAAD/Pffw=")</f>
        <v>#REF!</v>
      </c>
      <c r="IT249" t="e">
        <f>AND('GA55 Only Print'!#REF!,"AAAAAD/Pff0=")</f>
        <v>#REF!</v>
      </c>
      <c r="IU249" t="e">
        <f>AND('GA55 Only Print'!#REF!,"AAAAAD/Pff4=")</f>
        <v>#REF!</v>
      </c>
      <c r="IV249" t="e">
        <f>AND('GA55 Only Print'!#REF!,"AAAAAD/Pff8=")</f>
        <v>#REF!</v>
      </c>
    </row>
    <row r="250" spans="1:256">
      <c r="A250" t="e">
        <f>AND('GA55 Only Print'!#REF!,"AAAAAH//9gA=")</f>
        <v>#REF!</v>
      </c>
      <c r="B250" t="e">
        <f>AND('GA55 Only Print'!#REF!,"AAAAAH//9gE=")</f>
        <v>#REF!</v>
      </c>
      <c r="C250" t="e">
        <f>AND('GA55 Only Print'!#REF!,"AAAAAH//9gI=")</f>
        <v>#REF!</v>
      </c>
      <c r="D250" t="e">
        <f>AND('GA55 Only Print'!#REF!,"AAAAAH//9gM=")</f>
        <v>#REF!</v>
      </c>
      <c r="E250" t="e">
        <f>AND('GA55 Only Print'!#REF!,"AAAAAH//9gQ=")</f>
        <v>#REF!</v>
      </c>
      <c r="F250" t="e">
        <f>AND('GA55 Only Print'!#REF!,"AAAAAH//9gU=")</f>
        <v>#REF!</v>
      </c>
      <c r="G250" t="e">
        <f>AND('GA55 Only Print'!#REF!,"AAAAAH//9gY=")</f>
        <v>#REF!</v>
      </c>
      <c r="H250" t="e">
        <f>AND('GA55 Only Print'!#REF!,"AAAAAH//9gc=")</f>
        <v>#REF!</v>
      </c>
      <c r="I250" t="e">
        <f>AND('GA55 Only Print'!#REF!,"AAAAAH//9gg=")</f>
        <v>#REF!</v>
      </c>
      <c r="J250" t="e">
        <f>AND('GA55 Only Print'!#REF!,"AAAAAH//9gk=")</f>
        <v>#REF!</v>
      </c>
      <c r="K250" t="e">
        <f>AND('GA55 Only Print'!#REF!,"AAAAAH//9go=")</f>
        <v>#REF!</v>
      </c>
      <c r="L250" t="e">
        <f>AND('GA55 Only Print'!#REF!,"AAAAAH//9gs=")</f>
        <v>#REF!</v>
      </c>
      <c r="M250" t="e">
        <f>AND('GA55 Only Print'!#REF!,"AAAAAH//9gw=")</f>
        <v>#REF!</v>
      </c>
      <c r="N250" t="e">
        <f>AND('GA55 Only Print'!#REF!,"AAAAAH//9g0=")</f>
        <v>#REF!</v>
      </c>
      <c r="O250" t="e">
        <f>AND('GA55 Only Print'!#REF!,"AAAAAH//9g4=")</f>
        <v>#REF!</v>
      </c>
      <c r="P250" t="e">
        <f>AND('GA55 Only Print'!#REF!,"AAAAAH//9g8=")</f>
        <v>#REF!</v>
      </c>
      <c r="Q250" t="e">
        <f>AND('GA55 Only Print'!#REF!,"AAAAAH//9hA=")</f>
        <v>#REF!</v>
      </c>
      <c r="R250" t="e">
        <f>AND('GA55 Only Print'!#REF!,"AAAAAH//9hE=")</f>
        <v>#REF!</v>
      </c>
      <c r="S250" t="e">
        <f>AND('GA55 Only Print'!#REF!,"AAAAAH//9hI=")</f>
        <v>#REF!</v>
      </c>
      <c r="T250" t="e">
        <f>AND('GA55 Only Print'!#REF!,"AAAAAH//9hM=")</f>
        <v>#REF!</v>
      </c>
      <c r="U250" t="e">
        <f>AND('GA55 Only Print'!#REF!,"AAAAAH//9hQ=")</f>
        <v>#REF!</v>
      </c>
      <c r="V250" t="e">
        <f>AND('GA55 Only Print'!#REF!,"AAAAAH//9hU=")</f>
        <v>#REF!</v>
      </c>
      <c r="W250" t="e">
        <f>AND('GA55 Only Print'!#REF!,"AAAAAH//9hY=")</f>
        <v>#REF!</v>
      </c>
      <c r="X250" t="e">
        <f>AND('GA55 Only Print'!#REF!,"AAAAAH//9hc=")</f>
        <v>#REF!</v>
      </c>
      <c r="Y250" t="e">
        <f>AND('GA55 Only Print'!#REF!,"AAAAAH//9hg=")</f>
        <v>#REF!</v>
      </c>
      <c r="Z250" t="e">
        <f>AND('GA55 Only Print'!#REF!,"AAAAAH//9hk=")</f>
        <v>#REF!</v>
      </c>
      <c r="AA250" t="e">
        <f>AND('GA55 Only Print'!#REF!,"AAAAAH//9ho=")</f>
        <v>#REF!</v>
      </c>
      <c r="AB250" t="e">
        <f>AND('GA55 Only Print'!#REF!,"AAAAAH//9hs=")</f>
        <v>#REF!</v>
      </c>
      <c r="AC250" t="e">
        <f>AND('GA55 Only Print'!#REF!,"AAAAAH//9hw=")</f>
        <v>#REF!</v>
      </c>
      <c r="AD250" t="e">
        <f>AND('GA55 Only Print'!#REF!,"AAAAAH//9h0=")</f>
        <v>#REF!</v>
      </c>
      <c r="AE250" t="e">
        <f>AND('GA55 Only Print'!#REF!,"AAAAAH//9h4=")</f>
        <v>#REF!</v>
      </c>
      <c r="AF250" t="e">
        <f>AND('GA55 Only Print'!#REF!,"AAAAAH//9h8=")</f>
        <v>#REF!</v>
      </c>
      <c r="AG250" t="e">
        <f>AND('GA55 Only Print'!#REF!,"AAAAAH//9iA=")</f>
        <v>#REF!</v>
      </c>
      <c r="AH250" t="e">
        <f>AND('GA55 Only Print'!#REF!,"AAAAAH//9iE=")</f>
        <v>#REF!</v>
      </c>
      <c r="AI250" t="e">
        <f>AND('GA55 Only Print'!#REF!,"AAAAAH//9iI=")</f>
        <v>#REF!</v>
      </c>
      <c r="AJ250" t="e">
        <f>AND('GA55 Only Print'!#REF!,"AAAAAH//9iM=")</f>
        <v>#REF!</v>
      </c>
      <c r="AK250" t="e">
        <f>AND('GA55 Only Print'!#REF!,"AAAAAH//9iQ=")</f>
        <v>#REF!</v>
      </c>
      <c r="AL250" t="e">
        <f>AND('GA55 Only Print'!#REF!,"AAAAAH//9iU=")</f>
        <v>#REF!</v>
      </c>
      <c r="AM250" t="e">
        <f>AND('GA55 Only Print'!#REF!,"AAAAAH//9iY=")</f>
        <v>#REF!</v>
      </c>
      <c r="AN250" t="e">
        <f>AND('GA55 Only Print'!#REF!,"AAAAAH//9ic=")</f>
        <v>#REF!</v>
      </c>
      <c r="AO250" t="e">
        <f>AND('GA55 Only Print'!#REF!,"AAAAAH//9ig=")</f>
        <v>#REF!</v>
      </c>
      <c r="AP250" t="e">
        <f>AND('GA55 Only Print'!#REF!,"AAAAAH//9ik=")</f>
        <v>#REF!</v>
      </c>
      <c r="AQ250" t="e">
        <f>AND('GA55 Only Print'!#REF!,"AAAAAH//9io=")</f>
        <v>#REF!</v>
      </c>
      <c r="AR250" t="e">
        <f>AND('GA55 Only Print'!#REF!,"AAAAAH//9is=")</f>
        <v>#REF!</v>
      </c>
      <c r="AS250" t="e">
        <f>AND('GA55 Only Print'!#REF!,"AAAAAH//9iw=")</f>
        <v>#REF!</v>
      </c>
      <c r="AT250" t="e">
        <f>AND('GA55 Only Print'!#REF!,"AAAAAH//9i0=")</f>
        <v>#REF!</v>
      </c>
      <c r="AU250" t="e">
        <f>AND('GA55 Only Print'!#REF!,"AAAAAH//9i4=")</f>
        <v>#REF!</v>
      </c>
      <c r="AV250" t="e">
        <f>AND('GA55 Only Print'!#REF!,"AAAAAH//9i8=")</f>
        <v>#REF!</v>
      </c>
      <c r="AW250" t="e">
        <f>AND('GA55 Only Print'!#REF!,"AAAAAH//9jA=")</f>
        <v>#REF!</v>
      </c>
      <c r="AX250" t="e">
        <f>AND('GA55 Only Print'!#REF!,"AAAAAH//9jE=")</f>
        <v>#REF!</v>
      </c>
      <c r="AY250" t="e">
        <f>AND('GA55 Only Print'!#REF!,"AAAAAH//9jI=")</f>
        <v>#REF!</v>
      </c>
      <c r="AZ250" t="e">
        <f>AND('GA55 Only Print'!#REF!,"AAAAAH//9jM=")</f>
        <v>#REF!</v>
      </c>
      <c r="BA250" t="e">
        <f>AND('GA55 Only Print'!#REF!,"AAAAAH//9jQ=")</f>
        <v>#REF!</v>
      </c>
      <c r="BB250" t="e">
        <f>AND('GA55 Only Print'!#REF!,"AAAAAH//9jU=")</f>
        <v>#REF!</v>
      </c>
      <c r="BC250" t="e">
        <f>AND('GA55 Only Print'!#REF!,"AAAAAH//9jY=")</f>
        <v>#REF!</v>
      </c>
      <c r="BD250" t="e">
        <f>AND('GA55 Only Print'!#REF!,"AAAAAH//9jc=")</f>
        <v>#REF!</v>
      </c>
      <c r="BE250" t="e">
        <f>AND('GA55 Only Print'!#REF!,"AAAAAH//9jg=")</f>
        <v>#REF!</v>
      </c>
      <c r="BF250" t="e">
        <f>AND('GA55 Only Print'!#REF!,"AAAAAH//9jk=")</f>
        <v>#REF!</v>
      </c>
      <c r="BG250" t="e">
        <f>AND('GA55 Only Print'!#REF!,"AAAAAH//9jo=")</f>
        <v>#REF!</v>
      </c>
      <c r="BH250" t="e">
        <f>AND('GA55 Only Print'!#REF!,"AAAAAH//9js=")</f>
        <v>#REF!</v>
      </c>
      <c r="BI250" t="e">
        <f>AND('GA55 Only Print'!#REF!,"AAAAAH//9jw=")</f>
        <v>#REF!</v>
      </c>
      <c r="BJ250" t="e">
        <f>AND('GA55 Only Print'!#REF!,"AAAAAH//9j0=")</f>
        <v>#REF!</v>
      </c>
      <c r="BK250" t="e">
        <f>AND('GA55 Only Print'!#REF!,"AAAAAH//9j4=")</f>
        <v>#REF!</v>
      </c>
      <c r="BL250" t="e">
        <f>AND('GA55 Only Print'!#REF!,"AAAAAH//9j8=")</f>
        <v>#REF!</v>
      </c>
      <c r="BM250" t="e">
        <f>AND('GA55 Only Print'!#REF!,"AAAAAH//9kA=")</f>
        <v>#REF!</v>
      </c>
      <c r="BN250" t="e">
        <f>IF('GA55 Only Print'!#REF!,"AAAAAH//9kE=",0)</f>
        <v>#REF!</v>
      </c>
      <c r="BO250" t="e">
        <f>AND('GA55 Only Print'!#REF!,"AAAAAH//9kI=")</f>
        <v>#REF!</v>
      </c>
      <c r="BP250" t="e">
        <f>AND('GA55 Only Print'!#REF!,"AAAAAH//9kM=")</f>
        <v>#REF!</v>
      </c>
      <c r="BQ250" t="e">
        <f>AND('GA55 Only Print'!#REF!,"AAAAAH//9kQ=")</f>
        <v>#REF!</v>
      </c>
      <c r="BR250" t="e">
        <f>AND('GA55 Only Print'!#REF!,"AAAAAH//9kU=")</f>
        <v>#REF!</v>
      </c>
      <c r="BS250" t="e">
        <f>AND('GA55 Only Print'!#REF!,"AAAAAH//9kY=")</f>
        <v>#REF!</v>
      </c>
      <c r="BT250" t="e">
        <f>AND('GA55 Only Print'!#REF!,"AAAAAH//9kc=")</f>
        <v>#REF!</v>
      </c>
      <c r="BU250" t="e">
        <f>AND('GA55 Only Print'!#REF!,"AAAAAH//9kg=")</f>
        <v>#REF!</v>
      </c>
      <c r="BV250" t="e">
        <f>AND('GA55 Only Print'!#REF!,"AAAAAH//9kk=")</f>
        <v>#REF!</v>
      </c>
      <c r="BW250" t="e">
        <f>AND('GA55 Only Print'!#REF!,"AAAAAH//9ko=")</f>
        <v>#REF!</v>
      </c>
      <c r="BX250" t="e">
        <f>AND('GA55 Only Print'!#REF!,"AAAAAH//9ks=")</f>
        <v>#REF!</v>
      </c>
      <c r="BY250" t="e">
        <f>AND('GA55 Only Print'!#REF!,"AAAAAH//9kw=")</f>
        <v>#REF!</v>
      </c>
      <c r="BZ250" t="e">
        <f>AND('GA55 Only Print'!#REF!,"AAAAAH//9k0=")</f>
        <v>#REF!</v>
      </c>
      <c r="CA250" t="e">
        <f>AND('GA55 Only Print'!#REF!,"AAAAAH//9k4=")</f>
        <v>#REF!</v>
      </c>
      <c r="CB250" t="e">
        <f>AND('GA55 Only Print'!#REF!,"AAAAAH//9k8=")</f>
        <v>#REF!</v>
      </c>
      <c r="CC250" t="e">
        <f>AND('GA55 Only Print'!#REF!,"AAAAAH//9lA=")</f>
        <v>#REF!</v>
      </c>
      <c r="CD250" t="e">
        <f>AND('GA55 Only Print'!#REF!,"AAAAAH//9lE=")</f>
        <v>#REF!</v>
      </c>
      <c r="CE250" t="e">
        <f>AND('GA55 Only Print'!#REF!,"AAAAAH//9lI=")</f>
        <v>#REF!</v>
      </c>
      <c r="CF250" t="e">
        <f>AND('GA55 Only Print'!#REF!,"AAAAAH//9lM=")</f>
        <v>#REF!</v>
      </c>
      <c r="CG250" t="e">
        <f>AND('GA55 Only Print'!#REF!,"AAAAAH//9lQ=")</f>
        <v>#REF!</v>
      </c>
      <c r="CH250" t="e">
        <f>AND('GA55 Only Print'!#REF!,"AAAAAH//9lU=")</f>
        <v>#REF!</v>
      </c>
      <c r="CI250" t="e">
        <f>AND('GA55 Only Print'!#REF!,"AAAAAH//9lY=")</f>
        <v>#REF!</v>
      </c>
      <c r="CJ250" t="e">
        <f>AND('GA55 Only Print'!#REF!,"AAAAAH//9lc=")</f>
        <v>#REF!</v>
      </c>
      <c r="CK250" t="e">
        <f>AND('GA55 Only Print'!#REF!,"AAAAAH//9lg=")</f>
        <v>#REF!</v>
      </c>
      <c r="CL250" t="e">
        <f>AND('GA55 Only Print'!#REF!,"AAAAAH//9lk=")</f>
        <v>#REF!</v>
      </c>
      <c r="CM250" t="e">
        <f>AND('GA55 Only Print'!#REF!,"AAAAAH//9lo=")</f>
        <v>#REF!</v>
      </c>
      <c r="CN250" t="e">
        <f>AND('GA55 Only Print'!#REF!,"AAAAAH//9ls=")</f>
        <v>#REF!</v>
      </c>
      <c r="CO250" t="e">
        <f>AND('GA55 Only Print'!#REF!,"AAAAAH//9lw=")</f>
        <v>#REF!</v>
      </c>
      <c r="CP250" t="e">
        <f>AND('GA55 Only Print'!#REF!,"AAAAAH//9l0=")</f>
        <v>#REF!</v>
      </c>
      <c r="CQ250" t="e">
        <f>AND('GA55 Only Print'!#REF!,"AAAAAH//9l4=")</f>
        <v>#REF!</v>
      </c>
      <c r="CR250" t="e">
        <f>AND('GA55 Only Print'!#REF!,"AAAAAH//9l8=")</f>
        <v>#REF!</v>
      </c>
      <c r="CS250" t="e">
        <f>AND('GA55 Only Print'!#REF!,"AAAAAH//9mA=")</f>
        <v>#REF!</v>
      </c>
      <c r="CT250" t="e">
        <f>AND('GA55 Only Print'!#REF!,"AAAAAH//9mE=")</f>
        <v>#REF!</v>
      </c>
      <c r="CU250" t="e">
        <f>AND('GA55 Only Print'!#REF!,"AAAAAH//9mI=")</f>
        <v>#REF!</v>
      </c>
      <c r="CV250" t="e">
        <f>AND('GA55 Only Print'!#REF!,"AAAAAH//9mM=")</f>
        <v>#REF!</v>
      </c>
      <c r="CW250" t="e">
        <f>AND('GA55 Only Print'!#REF!,"AAAAAH//9mQ=")</f>
        <v>#REF!</v>
      </c>
      <c r="CX250" t="e">
        <f>AND('GA55 Only Print'!#REF!,"AAAAAH//9mU=")</f>
        <v>#REF!</v>
      </c>
      <c r="CY250" t="e">
        <f>AND('GA55 Only Print'!#REF!,"AAAAAH//9mY=")</f>
        <v>#REF!</v>
      </c>
      <c r="CZ250" t="e">
        <f>AND('GA55 Only Print'!#REF!,"AAAAAH//9mc=")</f>
        <v>#REF!</v>
      </c>
      <c r="DA250" t="e">
        <f>AND('GA55 Only Print'!#REF!,"AAAAAH//9mg=")</f>
        <v>#REF!</v>
      </c>
      <c r="DB250" t="e">
        <f>AND('GA55 Only Print'!#REF!,"AAAAAH//9mk=")</f>
        <v>#REF!</v>
      </c>
      <c r="DC250" t="e">
        <f>AND('GA55 Only Print'!#REF!,"AAAAAH//9mo=")</f>
        <v>#REF!</v>
      </c>
      <c r="DD250" t="e">
        <f>AND('GA55 Only Print'!#REF!,"AAAAAH//9ms=")</f>
        <v>#REF!</v>
      </c>
      <c r="DE250" t="e">
        <f>AND('GA55 Only Print'!#REF!,"AAAAAH//9mw=")</f>
        <v>#REF!</v>
      </c>
      <c r="DF250" t="e">
        <f>AND('GA55 Only Print'!#REF!,"AAAAAH//9m0=")</f>
        <v>#REF!</v>
      </c>
      <c r="DG250" t="e">
        <f>AND('GA55 Only Print'!#REF!,"AAAAAH//9m4=")</f>
        <v>#REF!</v>
      </c>
      <c r="DH250" t="e">
        <f>AND('GA55 Only Print'!#REF!,"AAAAAH//9m8=")</f>
        <v>#REF!</v>
      </c>
      <c r="DI250" t="e">
        <f>AND('GA55 Only Print'!#REF!,"AAAAAH//9nA=")</f>
        <v>#REF!</v>
      </c>
      <c r="DJ250" t="e">
        <f>AND('GA55 Only Print'!#REF!,"AAAAAH//9nE=")</f>
        <v>#REF!</v>
      </c>
      <c r="DK250" t="e">
        <f>AND('GA55 Only Print'!#REF!,"AAAAAH//9nI=")</f>
        <v>#REF!</v>
      </c>
      <c r="DL250" t="e">
        <f>AND('GA55 Only Print'!#REF!,"AAAAAH//9nM=")</f>
        <v>#REF!</v>
      </c>
      <c r="DM250" t="e">
        <f>AND('GA55 Only Print'!#REF!,"AAAAAH//9nQ=")</f>
        <v>#REF!</v>
      </c>
      <c r="DN250" t="e">
        <f>AND('GA55 Only Print'!#REF!,"AAAAAH//9nU=")</f>
        <v>#REF!</v>
      </c>
      <c r="DO250" t="e">
        <f>AND('GA55 Only Print'!#REF!,"AAAAAH//9nY=")</f>
        <v>#REF!</v>
      </c>
      <c r="DP250" t="e">
        <f>AND('GA55 Only Print'!#REF!,"AAAAAH//9nc=")</f>
        <v>#REF!</v>
      </c>
      <c r="DQ250" t="e">
        <f>AND('GA55 Only Print'!#REF!,"AAAAAH//9ng=")</f>
        <v>#REF!</v>
      </c>
      <c r="DR250" t="e">
        <f>AND('GA55 Only Print'!#REF!,"AAAAAH//9nk=")</f>
        <v>#REF!</v>
      </c>
      <c r="DS250" t="e">
        <f>AND('GA55 Only Print'!#REF!,"AAAAAH//9no=")</f>
        <v>#REF!</v>
      </c>
      <c r="DT250" t="e">
        <f>AND('GA55 Only Print'!#REF!,"AAAAAH//9ns=")</f>
        <v>#REF!</v>
      </c>
      <c r="DU250" t="e">
        <f>AND('GA55 Only Print'!#REF!,"AAAAAH//9nw=")</f>
        <v>#REF!</v>
      </c>
      <c r="DV250" t="e">
        <f>AND('GA55 Only Print'!#REF!,"AAAAAH//9n0=")</f>
        <v>#REF!</v>
      </c>
      <c r="DW250" t="e">
        <f>AND('GA55 Only Print'!#REF!,"AAAAAH//9n4=")</f>
        <v>#REF!</v>
      </c>
      <c r="DX250" t="e">
        <f>AND('GA55 Only Print'!#REF!,"AAAAAH//9n8=")</f>
        <v>#REF!</v>
      </c>
      <c r="DY250" t="e">
        <f>AND('GA55 Only Print'!#REF!,"AAAAAH//9oA=")</f>
        <v>#REF!</v>
      </c>
      <c r="DZ250" t="e">
        <f>AND('GA55 Only Print'!#REF!,"AAAAAH//9oE=")</f>
        <v>#REF!</v>
      </c>
      <c r="EA250" t="e">
        <f>AND('GA55 Only Print'!#REF!,"AAAAAH//9oI=")</f>
        <v>#REF!</v>
      </c>
      <c r="EB250" t="e">
        <f>AND('GA55 Only Print'!#REF!,"AAAAAH//9oM=")</f>
        <v>#REF!</v>
      </c>
      <c r="EC250" t="e">
        <f>AND('GA55 Only Print'!#REF!,"AAAAAH//9oQ=")</f>
        <v>#REF!</v>
      </c>
      <c r="ED250" t="e">
        <f>AND('GA55 Only Print'!#REF!,"AAAAAH//9oU=")</f>
        <v>#REF!</v>
      </c>
      <c r="EE250" t="e">
        <f>AND('GA55 Only Print'!#REF!,"AAAAAH//9oY=")</f>
        <v>#REF!</v>
      </c>
      <c r="EF250" t="e">
        <f>AND('GA55 Only Print'!#REF!,"AAAAAH//9oc=")</f>
        <v>#REF!</v>
      </c>
      <c r="EG250" t="e">
        <f>AND('GA55 Only Print'!#REF!,"AAAAAH//9og=")</f>
        <v>#REF!</v>
      </c>
      <c r="EH250" t="e">
        <f>AND('GA55 Only Print'!#REF!,"AAAAAH//9ok=")</f>
        <v>#REF!</v>
      </c>
      <c r="EI250" t="e">
        <f>AND('GA55 Only Print'!#REF!,"AAAAAH//9oo=")</f>
        <v>#REF!</v>
      </c>
      <c r="EJ250" t="e">
        <f>AND('GA55 Only Print'!#REF!,"AAAAAH//9os=")</f>
        <v>#REF!</v>
      </c>
      <c r="EK250" t="e">
        <f>IF('GA55 Only Print'!#REF!,"AAAAAH//9ow=",0)</f>
        <v>#REF!</v>
      </c>
      <c r="EL250" t="e">
        <f>AND('GA55 Only Print'!#REF!,"AAAAAH//9o0=")</f>
        <v>#REF!</v>
      </c>
      <c r="EM250" t="e">
        <f>AND('GA55 Only Print'!#REF!,"AAAAAH//9o4=")</f>
        <v>#REF!</v>
      </c>
      <c r="EN250" t="e">
        <f>AND('GA55 Only Print'!#REF!,"AAAAAH//9o8=")</f>
        <v>#REF!</v>
      </c>
      <c r="EO250" t="e">
        <f>AND('GA55 Only Print'!#REF!,"AAAAAH//9pA=")</f>
        <v>#REF!</v>
      </c>
      <c r="EP250" t="e">
        <f>AND('GA55 Only Print'!#REF!,"AAAAAH//9pE=")</f>
        <v>#REF!</v>
      </c>
      <c r="EQ250" t="e">
        <f>IF('GA55 Only Print'!#REF!,"AAAAAH//9pI=",0)</f>
        <v>#REF!</v>
      </c>
      <c r="ER250" t="e">
        <f>AND('GA55 Only Print'!#REF!,"AAAAAH//9pM=")</f>
        <v>#REF!</v>
      </c>
      <c r="ES250" t="e">
        <f>AND('GA55 Only Print'!#REF!,"AAAAAH//9pQ=")</f>
        <v>#REF!</v>
      </c>
      <c r="ET250" t="e">
        <f>AND('GA55 Only Print'!#REF!,"AAAAAH//9pU=")</f>
        <v>#REF!</v>
      </c>
      <c r="EU250" t="e">
        <f>AND('GA55 Only Print'!#REF!,"AAAAAH//9pY=")</f>
        <v>#REF!</v>
      </c>
      <c r="EV250" t="e">
        <f>AND('GA55 Only Print'!#REF!,"AAAAAH//9pc=")</f>
        <v>#REF!</v>
      </c>
      <c r="EW250" t="e">
        <f>IF('GA55 Only Print'!#REF!,"AAAAAH//9pg=",0)</f>
        <v>#REF!</v>
      </c>
      <c r="EX250" t="e">
        <f>AND('GA55 Only Print'!#REF!,"AAAAAH//9pk=")</f>
        <v>#REF!</v>
      </c>
      <c r="EY250" t="e">
        <f>AND('GA55 Only Print'!#REF!,"AAAAAH//9po=")</f>
        <v>#REF!</v>
      </c>
      <c r="EZ250" t="e">
        <f>AND('GA55 Only Print'!#REF!,"AAAAAH//9ps=")</f>
        <v>#REF!</v>
      </c>
      <c r="FA250" t="e">
        <f>AND('GA55 Only Print'!#REF!,"AAAAAH//9pw=")</f>
        <v>#REF!</v>
      </c>
      <c r="FB250" t="e">
        <f>AND('GA55 Only Print'!#REF!,"AAAAAH//9p0=")</f>
        <v>#REF!</v>
      </c>
      <c r="FC250" t="e">
        <f>IF('GA55 Only Print'!#REF!,"AAAAAH//9p4=",0)</f>
        <v>#REF!</v>
      </c>
      <c r="FD250" t="e">
        <f>AND('GA55 Only Print'!#REF!,"AAAAAH//9p8=")</f>
        <v>#REF!</v>
      </c>
      <c r="FE250" t="e">
        <f>AND('GA55 Only Print'!#REF!,"AAAAAH//9qA=")</f>
        <v>#REF!</v>
      </c>
      <c r="FF250" t="e">
        <f>AND('GA55 Only Print'!#REF!,"AAAAAH//9qE=")</f>
        <v>#REF!</v>
      </c>
      <c r="FG250" t="e">
        <f>AND('GA55 Only Print'!#REF!,"AAAAAH//9qI=")</f>
        <v>#REF!</v>
      </c>
      <c r="FH250" t="e">
        <f>AND('GA55 Only Print'!#REF!,"AAAAAH//9qM=")</f>
        <v>#REF!</v>
      </c>
      <c r="FI250" t="e">
        <f>IF('GA55 Only Print'!#REF!,"AAAAAH//9qQ=",0)</f>
        <v>#REF!</v>
      </c>
      <c r="FJ250" t="e">
        <f>AND('GA55 Only Print'!#REF!,"AAAAAH//9qU=")</f>
        <v>#REF!</v>
      </c>
      <c r="FK250" t="e">
        <f>AND('GA55 Only Print'!#REF!,"AAAAAH//9qY=")</f>
        <v>#REF!</v>
      </c>
      <c r="FL250" t="e">
        <f>AND('GA55 Only Print'!#REF!,"AAAAAH//9qc=")</f>
        <v>#REF!</v>
      </c>
      <c r="FM250" t="e">
        <f>AND('GA55 Only Print'!#REF!,"AAAAAH//9qg=")</f>
        <v>#REF!</v>
      </c>
      <c r="FN250" t="e">
        <f>AND('GA55 Only Print'!#REF!,"AAAAAH//9qk=")</f>
        <v>#REF!</v>
      </c>
      <c r="FO250" t="e">
        <f>IF('GA55 Only Print'!#REF!,"AAAAAH//9qo=",0)</f>
        <v>#REF!</v>
      </c>
      <c r="FP250" t="e">
        <f>AND('GA55 Only Print'!#REF!,"AAAAAH//9qs=")</f>
        <v>#REF!</v>
      </c>
      <c r="FQ250" t="e">
        <f>AND('GA55 Only Print'!#REF!,"AAAAAH//9qw=")</f>
        <v>#REF!</v>
      </c>
      <c r="FR250" t="e">
        <f>AND('GA55 Only Print'!#REF!,"AAAAAH//9q0=")</f>
        <v>#REF!</v>
      </c>
      <c r="FS250" t="e">
        <f>AND('GA55 Only Print'!#REF!,"AAAAAH//9q4=")</f>
        <v>#REF!</v>
      </c>
      <c r="FT250" t="e">
        <f>AND('GA55 Only Print'!#REF!,"AAAAAH//9q8=")</f>
        <v>#REF!</v>
      </c>
      <c r="FU250" t="e">
        <f>IF('GA55 Only Print'!#REF!,"AAAAAH//9rA=",0)</f>
        <v>#REF!</v>
      </c>
      <c r="FV250" t="e">
        <f>AND('GA55 Only Print'!#REF!,"AAAAAH//9rE=")</f>
        <v>#REF!</v>
      </c>
      <c r="FW250" t="e">
        <f>AND('GA55 Only Print'!#REF!,"AAAAAH//9rI=")</f>
        <v>#REF!</v>
      </c>
      <c r="FX250" t="e">
        <f>AND('GA55 Only Print'!#REF!,"AAAAAH//9rM=")</f>
        <v>#REF!</v>
      </c>
      <c r="FY250" t="e">
        <f>AND('GA55 Only Print'!#REF!,"AAAAAH//9rQ=")</f>
        <v>#REF!</v>
      </c>
      <c r="FZ250" t="e">
        <f>AND('GA55 Only Print'!#REF!,"AAAAAH//9rU=")</f>
        <v>#REF!</v>
      </c>
      <c r="GA250" t="e">
        <f>IF('GA55 Only Print'!#REF!,"AAAAAH//9rY=",0)</f>
        <v>#REF!</v>
      </c>
      <c r="GB250" t="e">
        <f>AND('GA55 Only Print'!#REF!,"AAAAAH//9rc=")</f>
        <v>#REF!</v>
      </c>
      <c r="GC250" t="e">
        <f>AND('GA55 Only Print'!#REF!,"AAAAAH//9rg=")</f>
        <v>#REF!</v>
      </c>
      <c r="GD250" t="e">
        <f>AND('GA55 Only Print'!#REF!,"AAAAAH//9rk=")</f>
        <v>#REF!</v>
      </c>
      <c r="GE250" t="e">
        <f>AND('GA55 Only Print'!#REF!,"AAAAAH//9ro=")</f>
        <v>#REF!</v>
      </c>
      <c r="GF250" t="e">
        <f>AND('GA55 Only Print'!#REF!,"AAAAAH//9rs=")</f>
        <v>#REF!</v>
      </c>
      <c r="GG250" t="e">
        <f>IF('GA55 Only Print'!#REF!,"AAAAAH//9rw=",0)</f>
        <v>#REF!</v>
      </c>
      <c r="GH250" t="e">
        <f>AND('GA55 Only Print'!#REF!,"AAAAAH//9r0=")</f>
        <v>#REF!</v>
      </c>
      <c r="GI250" t="e">
        <f>AND('GA55 Only Print'!#REF!,"AAAAAH//9r4=")</f>
        <v>#REF!</v>
      </c>
      <c r="GJ250" t="e">
        <f>AND('GA55 Only Print'!#REF!,"AAAAAH//9r8=")</f>
        <v>#REF!</v>
      </c>
      <c r="GK250" t="e">
        <f>AND('GA55 Only Print'!#REF!,"AAAAAH//9sA=")</f>
        <v>#REF!</v>
      </c>
      <c r="GL250" t="e">
        <f>AND('GA55 Only Print'!#REF!,"AAAAAH//9sE=")</f>
        <v>#REF!</v>
      </c>
      <c r="GM250" t="e">
        <f>IF('GA55 Only Print'!#REF!,"AAAAAH//9sI=",0)</f>
        <v>#REF!</v>
      </c>
      <c r="GN250" t="e">
        <f>AND('GA55 Only Print'!#REF!,"AAAAAH//9sM=")</f>
        <v>#REF!</v>
      </c>
      <c r="GO250" t="e">
        <f>AND('GA55 Only Print'!#REF!,"AAAAAH//9sQ=")</f>
        <v>#REF!</v>
      </c>
      <c r="GP250" t="e">
        <f>AND('GA55 Only Print'!#REF!,"AAAAAH//9sU=")</f>
        <v>#REF!</v>
      </c>
      <c r="GQ250" t="e">
        <f>AND('GA55 Only Print'!#REF!,"AAAAAH//9sY=")</f>
        <v>#REF!</v>
      </c>
      <c r="GR250" t="e">
        <f>AND('GA55 Only Print'!#REF!,"AAAAAH//9sc=")</f>
        <v>#REF!</v>
      </c>
      <c r="GS250" t="e">
        <f>IF('GA55 Only Print'!#REF!,"AAAAAH//9sg=",0)</f>
        <v>#REF!</v>
      </c>
      <c r="GT250" t="e">
        <f>AND('GA55 Only Print'!#REF!,"AAAAAH//9sk=")</f>
        <v>#REF!</v>
      </c>
      <c r="GU250" t="e">
        <f>AND('GA55 Only Print'!#REF!,"AAAAAH//9so=")</f>
        <v>#REF!</v>
      </c>
      <c r="GV250" t="e">
        <f>AND('GA55 Only Print'!#REF!,"AAAAAH//9ss=")</f>
        <v>#REF!</v>
      </c>
      <c r="GW250" t="e">
        <f>AND('GA55 Only Print'!#REF!,"AAAAAH//9sw=")</f>
        <v>#REF!</v>
      </c>
      <c r="GX250" t="e">
        <f>AND('GA55 Only Print'!#REF!,"AAAAAH//9s0=")</f>
        <v>#REF!</v>
      </c>
      <c r="GY250" t="e">
        <f>IF('GA55 Only Print'!#REF!,"AAAAAH//9s4=",0)</f>
        <v>#REF!</v>
      </c>
      <c r="GZ250" t="e">
        <f>AND('GA55 Only Print'!#REF!,"AAAAAH//9s8=")</f>
        <v>#REF!</v>
      </c>
      <c r="HA250" t="e">
        <f>AND('GA55 Only Print'!#REF!,"AAAAAH//9tA=")</f>
        <v>#REF!</v>
      </c>
      <c r="HB250" t="e">
        <f>AND('GA55 Only Print'!#REF!,"AAAAAH//9tE=")</f>
        <v>#REF!</v>
      </c>
      <c r="HC250" t="e">
        <f>AND('GA55 Only Print'!#REF!,"AAAAAH//9tI=")</f>
        <v>#REF!</v>
      </c>
      <c r="HD250" t="e">
        <f>AND('GA55 Only Print'!#REF!,"AAAAAH//9tM=")</f>
        <v>#REF!</v>
      </c>
      <c r="HE250" t="e">
        <f>IF('GA55 Only Print'!#REF!,"AAAAAH//9tQ=",0)</f>
        <v>#REF!</v>
      </c>
      <c r="HF250" t="e">
        <f>AND('GA55 Only Print'!#REF!,"AAAAAH//9tU=")</f>
        <v>#REF!</v>
      </c>
      <c r="HG250" t="e">
        <f>AND('GA55 Only Print'!#REF!,"AAAAAH//9tY=")</f>
        <v>#REF!</v>
      </c>
      <c r="HH250" t="e">
        <f>AND('GA55 Only Print'!#REF!,"AAAAAH//9tc=")</f>
        <v>#REF!</v>
      </c>
      <c r="HI250" t="e">
        <f>AND('GA55 Only Print'!#REF!,"AAAAAH//9tg=")</f>
        <v>#REF!</v>
      </c>
      <c r="HJ250" t="e">
        <f>AND('GA55 Only Print'!#REF!,"AAAAAH//9tk=")</f>
        <v>#REF!</v>
      </c>
      <c r="HK250" t="e">
        <f>IF('GA55 Only Print'!#REF!,"AAAAAH//9to=",0)</f>
        <v>#REF!</v>
      </c>
      <c r="HL250" t="e">
        <f>AND('GA55 Only Print'!#REF!,"AAAAAH//9ts=")</f>
        <v>#REF!</v>
      </c>
      <c r="HM250" t="e">
        <f>AND('GA55 Only Print'!#REF!,"AAAAAH//9tw=")</f>
        <v>#REF!</v>
      </c>
      <c r="HN250" t="e">
        <f>AND('GA55 Only Print'!#REF!,"AAAAAH//9t0=")</f>
        <v>#REF!</v>
      </c>
      <c r="HO250" t="e">
        <f>AND('GA55 Only Print'!#REF!,"AAAAAH//9t4=")</f>
        <v>#REF!</v>
      </c>
      <c r="HP250" t="e">
        <f>AND('GA55 Only Print'!#REF!,"AAAAAH//9t8=")</f>
        <v>#REF!</v>
      </c>
      <c r="HQ250" t="e">
        <f>IF('GA55 Only Print'!#REF!,"AAAAAH//9uA=",0)</f>
        <v>#REF!</v>
      </c>
      <c r="HR250" t="e">
        <f>AND('GA55 Only Print'!#REF!,"AAAAAH//9uE=")</f>
        <v>#REF!</v>
      </c>
      <c r="HS250" t="e">
        <f>AND('GA55 Only Print'!#REF!,"AAAAAH//9uI=")</f>
        <v>#REF!</v>
      </c>
      <c r="HT250" t="e">
        <f>AND('GA55 Only Print'!#REF!,"AAAAAH//9uM=")</f>
        <v>#REF!</v>
      </c>
      <c r="HU250" t="e">
        <f>AND('GA55 Only Print'!#REF!,"AAAAAH//9uQ=")</f>
        <v>#REF!</v>
      </c>
      <c r="HV250" t="e">
        <f>AND('GA55 Only Print'!#REF!,"AAAAAH//9uU=")</f>
        <v>#REF!</v>
      </c>
      <c r="HW250" t="e">
        <f>IF('GA55 Only Print'!#REF!,"AAAAAH//9uY=",0)</f>
        <v>#REF!</v>
      </c>
      <c r="HX250" t="e">
        <f>AND('GA55 Only Print'!#REF!,"AAAAAH//9uc=")</f>
        <v>#REF!</v>
      </c>
      <c r="HY250" t="e">
        <f>AND('GA55 Only Print'!#REF!,"AAAAAH//9ug=")</f>
        <v>#REF!</v>
      </c>
      <c r="HZ250" t="e">
        <f>AND('GA55 Only Print'!#REF!,"AAAAAH//9uk=")</f>
        <v>#REF!</v>
      </c>
      <c r="IA250" t="e">
        <f>AND('GA55 Only Print'!#REF!,"AAAAAH//9uo=")</f>
        <v>#REF!</v>
      </c>
      <c r="IB250" t="e">
        <f>AND('GA55 Only Print'!#REF!,"AAAAAH//9us=")</f>
        <v>#REF!</v>
      </c>
      <c r="IC250" t="e">
        <f>IF('GA55 Only Print'!#REF!,"AAAAAH//9uw=",0)</f>
        <v>#REF!</v>
      </c>
      <c r="ID250" t="e">
        <f>AND('GA55 Only Print'!#REF!,"AAAAAH//9u0=")</f>
        <v>#REF!</v>
      </c>
      <c r="IE250" t="e">
        <f>AND('GA55 Only Print'!#REF!,"AAAAAH//9u4=")</f>
        <v>#REF!</v>
      </c>
      <c r="IF250" t="e">
        <f>AND('GA55 Only Print'!#REF!,"AAAAAH//9u8=")</f>
        <v>#REF!</v>
      </c>
      <c r="IG250" t="e">
        <f>AND('GA55 Only Print'!#REF!,"AAAAAH//9vA=")</f>
        <v>#REF!</v>
      </c>
      <c r="IH250" t="e">
        <f>AND('GA55 Only Print'!#REF!,"AAAAAH//9vE=")</f>
        <v>#REF!</v>
      </c>
      <c r="II250" t="e">
        <f>IF('GA55 Only Print'!#REF!,"AAAAAH//9vI=",0)</f>
        <v>#REF!</v>
      </c>
      <c r="IJ250" t="e">
        <f>AND('GA55 Only Print'!#REF!,"AAAAAH//9vM=")</f>
        <v>#REF!</v>
      </c>
      <c r="IK250" t="e">
        <f>AND('GA55 Only Print'!#REF!,"AAAAAH//9vQ=")</f>
        <v>#REF!</v>
      </c>
      <c r="IL250" t="e">
        <f>AND('GA55 Only Print'!#REF!,"AAAAAH//9vU=")</f>
        <v>#REF!</v>
      </c>
      <c r="IM250" t="e">
        <f>AND('GA55 Only Print'!#REF!,"AAAAAH//9vY=")</f>
        <v>#REF!</v>
      </c>
      <c r="IN250" t="e">
        <f>AND('GA55 Only Print'!#REF!,"AAAAAH//9vc=")</f>
        <v>#REF!</v>
      </c>
      <c r="IO250" t="e">
        <f>IF('GA55 Only Print'!#REF!,"AAAAAH//9vg=",0)</f>
        <v>#REF!</v>
      </c>
      <c r="IP250" t="e">
        <f>AND('GA55 Only Print'!#REF!,"AAAAAH//9vk=")</f>
        <v>#REF!</v>
      </c>
      <c r="IQ250" t="e">
        <f>AND('GA55 Only Print'!#REF!,"AAAAAH//9vo=")</f>
        <v>#REF!</v>
      </c>
      <c r="IR250" t="e">
        <f>AND('GA55 Only Print'!#REF!,"AAAAAH//9vs=")</f>
        <v>#REF!</v>
      </c>
      <c r="IS250" t="e">
        <f>AND('GA55 Only Print'!#REF!,"AAAAAH//9vw=")</f>
        <v>#REF!</v>
      </c>
      <c r="IT250" t="e">
        <f>AND('GA55 Only Print'!#REF!,"AAAAAH//9v0=")</f>
        <v>#REF!</v>
      </c>
      <c r="IU250" t="e">
        <f>IF('GA55 Only Print'!#REF!,"AAAAAH//9v4=",0)</f>
        <v>#REF!</v>
      </c>
      <c r="IV250" t="e">
        <f>AND('GA55 Only Print'!#REF!,"AAAAAH//9v8=")</f>
        <v>#REF!</v>
      </c>
    </row>
    <row r="251" spans="1:256">
      <c r="A251" t="e">
        <f>AND('GA55 Only Print'!#REF!,"AAAAAFv+dwA=")</f>
        <v>#REF!</v>
      </c>
      <c r="B251" t="e">
        <f>AND('GA55 Only Print'!#REF!,"AAAAAFv+dwE=")</f>
        <v>#REF!</v>
      </c>
      <c r="C251" t="e">
        <f>AND('GA55 Only Print'!#REF!,"AAAAAFv+dwI=")</f>
        <v>#REF!</v>
      </c>
      <c r="D251" t="e">
        <f>AND('GA55 Only Print'!#REF!,"AAAAAFv+dwM=")</f>
        <v>#REF!</v>
      </c>
      <c r="E251" t="e">
        <f>IF('GA55 Only Print'!#REF!,"AAAAAFv+dwQ=",0)</f>
        <v>#REF!</v>
      </c>
      <c r="F251" t="e">
        <f>AND('GA55 Only Print'!#REF!,"AAAAAFv+dwU=")</f>
        <v>#REF!</v>
      </c>
      <c r="G251" t="e">
        <f>AND('GA55 Only Print'!#REF!,"AAAAAFv+dwY=")</f>
        <v>#REF!</v>
      </c>
      <c r="H251" t="e">
        <f>AND('GA55 Only Print'!#REF!,"AAAAAFv+dwc=")</f>
        <v>#REF!</v>
      </c>
      <c r="I251" t="e">
        <f>AND('GA55 Only Print'!#REF!,"AAAAAFv+dwg=")</f>
        <v>#REF!</v>
      </c>
      <c r="J251" t="e">
        <f>AND('GA55 Only Print'!#REF!,"AAAAAFv+dwk=")</f>
        <v>#REF!</v>
      </c>
      <c r="K251" t="e">
        <f>IF('GA55 Only Print'!#REF!,"AAAAAFv+dwo=",0)</f>
        <v>#REF!</v>
      </c>
      <c r="L251" t="e">
        <f>AND('GA55 Only Print'!#REF!,"AAAAAFv+dws=")</f>
        <v>#REF!</v>
      </c>
      <c r="M251" t="e">
        <f>AND('GA55 Only Print'!#REF!,"AAAAAFv+dww=")</f>
        <v>#REF!</v>
      </c>
      <c r="N251" t="e">
        <f>AND('GA55 Only Print'!#REF!,"AAAAAFv+dw0=")</f>
        <v>#REF!</v>
      </c>
      <c r="O251" t="e">
        <f>AND('GA55 Only Print'!#REF!,"AAAAAFv+dw4=")</f>
        <v>#REF!</v>
      </c>
      <c r="P251" t="e">
        <f>AND('GA55 Only Print'!#REF!,"AAAAAFv+dw8=")</f>
        <v>#REF!</v>
      </c>
      <c r="Q251" t="e">
        <f>IF('GA55 Only Print'!#REF!,"AAAAAFv+dxA=",0)</f>
        <v>#REF!</v>
      </c>
      <c r="R251" t="e">
        <f>AND('GA55 Only Print'!#REF!,"AAAAAFv+dxE=")</f>
        <v>#REF!</v>
      </c>
      <c r="S251" t="e">
        <f>AND('GA55 Only Print'!#REF!,"AAAAAFv+dxI=")</f>
        <v>#REF!</v>
      </c>
      <c r="T251" t="e">
        <f>AND('GA55 Only Print'!#REF!,"AAAAAFv+dxM=")</f>
        <v>#REF!</v>
      </c>
      <c r="U251" t="e">
        <f>AND('GA55 Only Print'!#REF!,"AAAAAFv+dxQ=")</f>
        <v>#REF!</v>
      </c>
      <c r="V251" t="e">
        <f>AND('GA55 Only Print'!#REF!,"AAAAAFv+dxU=")</f>
        <v>#REF!</v>
      </c>
      <c r="W251" t="e">
        <f>IF('GA55 Only Print'!#REF!,"AAAAAFv+dxY=",0)</f>
        <v>#REF!</v>
      </c>
      <c r="X251" t="e">
        <f>AND('GA55 Only Print'!#REF!,"AAAAAFv+dxc=")</f>
        <v>#REF!</v>
      </c>
      <c r="Y251" t="e">
        <f>AND('GA55 Only Print'!#REF!,"AAAAAFv+dxg=")</f>
        <v>#REF!</v>
      </c>
      <c r="Z251" t="e">
        <f>AND('GA55 Only Print'!#REF!,"AAAAAFv+dxk=")</f>
        <v>#REF!</v>
      </c>
      <c r="AA251" t="e">
        <f>AND('GA55 Only Print'!#REF!,"AAAAAFv+dxo=")</f>
        <v>#REF!</v>
      </c>
      <c r="AB251" t="e">
        <f>AND('GA55 Only Print'!#REF!,"AAAAAFv+dxs=")</f>
        <v>#REF!</v>
      </c>
      <c r="AC251">
        <f>IF('GA55 Only Print'!A:A,"AAAAAFv+dxw=",0)</f>
        <v>0</v>
      </c>
      <c r="AD251">
        <f>IF('GA55 Only Print'!B:B,"AAAAAFv+dx0=",0)</f>
        <v>0</v>
      </c>
      <c r="AE251">
        <f>IF('GA55 Only Print'!C:C,"AAAAAFv+dx4=",0)</f>
        <v>0</v>
      </c>
      <c r="AF251">
        <f>IF('GA55 Only Print'!D:D,"AAAAAFv+dx8=",0)</f>
        <v>0</v>
      </c>
      <c r="AG251">
        <f>IF('GA55 Only Print'!E:E,"AAAAAFv+dyA=",0)</f>
        <v>0</v>
      </c>
      <c r="AH251">
        <f>IF('GA55 Only Print'!F:F,"AAAAAFv+dyE=",0)</f>
        <v>0</v>
      </c>
      <c r="AI251">
        <f>IF('GA55 Only Print'!G:G,"AAAAAFv+dyI=",0)</f>
        <v>0</v>
      </c>
      <c r="AJ251">
        <f>IF('GA55 Only Print'!H:H,"AAAAAFv+dyM=",0)</f>
        <v>0</v>
      </c>
      <c r="AK251" t="e">
        <f>IF('GA55 Only Print'!#REF!,"AAAAAFv+dyQ=",0)</f>
        <v>#REF!</v>
      </c>
      <c r="AL251">
        <f>IF('GA55 Only Print'!K:K,"AAAAAFv+dyU=",0)</f>
        <v>0</v>
      </c>
      <c r="AM251">
        <f>IF('GA55 Only Print'!L:L,"AAAAAFv+dyY=",0)</f>
        <v>0</v>
      </c>
      <c r="AN251">
        <f>IF('GA55 Only Print'!M:M,"AAAAAFv+dyc=",0)</f>
        <v>0</v>
      </c>
      <c r="AO251">
        <f>IF('GA55 Only Print'!N:N,"AAAAAFv+dyg=",0)</f>
        <v>0</v>
      </c>
      <c r="AP251">
        <f>IF('GA55 Only Print'!P:P,"AAAAAFv+dyk=",0)</f>
        <v>0</v>
      </c>
      <c r="AQ251">
        <f>IF('GA55 Only Print'!S:S,"AAAAAFv+dyo=",0)</f>
        <v>0</v>
      </c>
      <c r="AR251">
        <f>IF('GA55 Only Print'!U:U,"AAAAAFv+dys=",0)</f>
        <v>0</v>
      </c>
      <c r="AS251">
        <f>IF('GA55 Only Print'!Z:Z,"AAAAAFv+dyw=",0)</f>
        <v>0</v>
      </c>
      <c r="AT251" t="e">
        <f>IF('GA55 Only Print'!#REF!,"AAAAAFv+dy0=",0)</f>
        <v>#REF!</v>
      </c>
      <c r="AU251" t="e">
        <f>IF('GA55 Only Print'!#REF!,"AAAAAFv+dy4=",0)</f>
        <v>#REF!</v>
      </c>
      <c r="AV251" t="e">
        <f>IF('GA55 Only Print'!#REF!,"AAAAAFv+dy8=",0)</f>
        <v>#REF!</v>
      </c>
      <c r="AW251" t="e">
        <f>IF('GA55 Only Print'!#REF!,"AAAAAFv+dzA=",0)</f>
        <v>#REF!</v>
      </c>
      <c r="AX251" t="e">
        <f>IF('GA55 Only Print'!#REF!,"AAAAAFv+dzE=",0)</f>
        <v>#REF!</v>
      </c>
      <c r="AY251" t="e">
        <f>IF('GA55 Only Print'!#REF!,"AAAAAFv+dzI=",0)</f>
        <v>#REF!</v>
      </c>
      <c r="AZ251" t="e">
        <f>IF('GA55 Only Print'!#REF!,"AAAAAFv+dzM=",0)</f>
        <v>#REF!</v>
      </c>
      <c r="BA251" t="e">
        <f>IF('GA55 Only Print'!#REF!,"AAAAAFv+dzQ=",0)</f>
        <v>#REF!</v>
      </c>
      <c r="BB251" t="e">
        <f>IF('GA55 Only Print'!#REF!,"AAAAAFv+dzU=",0)</f>
        <v>#REF!</v>
      </c>
      <c r="BC251" t="e">
        <f>IF('GA55 Only Print'!#REF!,"AAAAAFv+dzY=",0)</f>
        <v>#REF!</v>
      </c>
      <c r="BD251" t="e">
        <f>IF('GA55 Only Print'!#REF!,"AAAAAFv+dzc=",0)</f>
        <v>#REF!</v>
      </c>
      <c r="BE251" t="e">
        <f>IF('GA55 Only Print'!#REF!,"AAAAAFv+dzg=",0)</f>
        <v>#REF!</v>
      </c>
      <c r="BF251">
        <f>IF('GA55 Only Print'!AB:AB,"AAAAAFv+dzk=",0)</f>
        <v>0</v>
      </c>
      <c r="BG251">
        <f>IF('GA55 Only Print'!AC:AC,"AAAAAFv+dzo=",0)</f>
        <v>0</v>
      </c>
      <c r="BH251">
        <f>IF('GA55 Only Print'!AD:AD,"AAAAAFv+dzs=",0)</f>
        <v>0</v>
      </c>
      <c r="BI251">
        <f>IF('GA55 Only Print'!AE:AE,"AAAAAFv+dzw=",0)</f>
        <v>0</v>
      </c>
      <c r="BJ251">
        <f>IF('GA55 Only Print'!AF:AF,"AAAAAFv+dz0=",0)</f>
        <v>0</v>
      </c>
      <c r="BK251">
        <f>IF('GA55 Only Print'!AG:AG,"AAAAAFv+dz4=",0)</f>
        <v>0</v>
      </c>
      <c r="BL251">
        <f>IF('GA55 Only Print'!AH:AH,"AAAAAFv+dz8=",0)</f>
        <v>0</v>
      </c>
      <c r="BM251">
        <f>IF('GA55 Only Print'!AI:AI,"AAAAAFv+d0A=",0)</f>
        <v>0</v>
      </c>
      <c r="BN251">
        <f>IF('GA55 Only Print'!AJ:AJ,"AAAAAFv+d0E=",0)</f>
        <v>0</v>
      </c>
      <c r="BO251">
        <f>IF('GA55 Only Print'!AK:AK,"AAAAAFv+d0I=",0)</f>
        <v>0</v>
      </c>
      <c r="BP251">
        <f>IF('GA55 Only Print'!AL:AL,"AAAAAFv+d0M=",0)</f>
        <v>0</v>
      </c>
      <c r="BQ251">
        <f>IF('GA55 Only Print'!AM:AM,"AAAAAFv+d0Q=",0)</f>
        <v>0</v>
      </c>
      <c r="BR251">
        <f>IF('GA55 Only Print'!AN:AN,"AAAAAFv+d0U=",0)</f>
        <v>0</v>
      </c>
      <c r="BS251">
        <f>IF('GA55 Only Print'!AQ:AQ,"AAAAAFv+d0Y=",0)</f>
        <v>0</v>
      </c>
      <c r="BT251">
        <f>IF('GA55 Only Print'!AR:AR,"AAAAAFv+d0c=",0)</f>
        <v>0</v>
      </c>
      <c r="BU251">
        <f>IF('GA55 Only Print'!AS:AS,"AAAAAFv+d0g=",0)</f>
        <v>0</v>
      </c>
      <c r="BV251">
        <f>IF('GA55 Only Print'!AT:AT,"AAAAAFv+d0k=",0)</f>
        <v>0</v>
      </c>
      <c r="BW251">
        <f>IF('GA55 Only Print'!AU:AU,"AAAAAFv+d0o=",0)</f>
        <v>0</v>
      </c>
      <c r="BX251">
        <f>IF('GA55 Only Print'!AV:AV,"AAAAAFv+d0s=",0)</f>
        <v>0</v>
      </c>
      <c r="BY251">
        <f>IF('GA55 Only Print'!AW:AW,"AAAAAFv+d0w=",0)</f>
        <v>0</v>
      </c>
      <c r="BZ251">
        <f>IF('GA55 Only Print'!AX:AX,"AAAAAFv+d00=",0)</f>
        <v>0</v>
      </c>
      <c r="CA251">
        <f>IF('GA55 Only Print'!AY:AY,"AAAAAFv+d04=",0)</f>
        <v>0</v>
      </c>
      <c r="CB251" t="e">
        <f>IF('GA55 Only Print'!#REF!,"AAAAAFv+d08=",0)</f>
        <v>#REF!</v>
      </c>
      <c r="CC251">
        <f>IF('GA55 Only Print'!AZ:AZ,"AAAAAFv+d1A=",0)</f>
        <v>0</v>
      </c>
      <c r="CD251">
        <f>IF('GA55 Only Print'!BA:BA,"AAAAAFv+d1E=",0)</f>
        <v>0</v>
      </c>
      <c r="CE251" t="e">
        <f>IF('GA55 Only Print'!#REF!,"AAAAAFv+d1I=",0)</f>
        <v>#REF!</v>
      </c>
      <c r="CF251" t="e">
        <f>IF('GA55 Only Print'!#REF!,"AAAAAFv+d1M=",0)</f>
        <v>#REF!</v>
      </c>
      <c r="CG251" t="e">
        <f>IF('GA55 Only Print'!#REF!,"AAAAAFv+d1Q=",0)</f>
        <v>#REF!</v>
      </c>
      <c r="CH251" t="e">
        <f>IF('GA55 Only Print'!#REF!,"AAAAAFv+d1U=",0)</f>
        <v>#REF!</v>
      </c>
      <c r="CI251" t="e">
        <f>IF('GA55 Only Print'!#REF!,"AAAAAFv+d1Y=",0)</f>
        <v>#REF!</v>
      </c>
      <c r="CJ251" t="e">
        <f>IF('GA55 Only Print'!#REF!,"AAAAAFv+d1c=",0)</f>
        <v>#REF!</v>
      </c>
      <c r="CK251">
        <f>IF('GA55 Only Print'!BB:BB,"AAAAAFv+d1g=",0)</f>
        <v>0</v>
      </c>
      <c r="CL251">
        <f>IF('GA55 Only Print'!BC:BC,"AAAAAFv+d1k=",0)</f>
        <v>0</v>
      </c>
      <c r="CM251">
        <f>IF('GA55 Only Print'!BD:BD,"AAAAAFv+d1o=",0)</f>
        <v>0</v>
      </c>
      <c r="CN251">
        <f>IF('GA55 Only Print'!BE:BE,"AAAAAFv+d1s=",0)</f>
        <v>0</v>
      </c>
      <c r="CO251">
        <f>IF('GA55 Only Print'!BF:BF,"AAAAAFv+d1w=",0)</f>
        <v>0</v>
      </c>
      <c r="CP251">
        <f>IF('GA55 Only Print'!BG:BG,"AAAAAFv+d10=",0)</f>
        <v>0</v>
      </c>
      <c r="CQ251">
        <f>IF('GA55 Only Print'!BH:BH,"AAAAAFv+d14=",0)</f>
        <v>0</v>
      </c>
      <c r="CR251">
        <f>IF('GA55 Only Print'!BI:BI,"AAAAAFv+d18=",0)</f>
        <v>0</v>
      </c>
      <c r="CS251">
        <f>IF('GA55 Only Print'!BJ:BJ,"AAAAAFv+d2A=",0)</f>
        <v>0</v>
      </c>
      <c r="CT251">
        <f>IF('GA55 Only Print'!BK:BK,"AAAAAFv+d2E=",0)</f>
        <v>0</v>
      </c>
      <c r="CU251">
        <f>IF('GA55 Only Print'!BL:BL,"AAAAAFv+d2I=",0)</f>
        <v>0</v>
      </c>
      <c r="CV251">
        <f>IF('GA55 Only Print'!BM:BM,"AAAAAFv+d2M=",0)</f>
        <v>0</v>
      </c>
      <c r="CW251">
        <f>IF('GA55 Only Print'!BN:BN,"AAAAAFv+d2Q=",0)</f>
        <v>0</v>
      </c>
      <c r="CX251">
        <f>IF('GA55 Only Print'!BO:BO,"AAAAAFv+d2U=",0)</f>
        <v>0</v>
      </c>
      <c r="CY251" t="s">
        <v>10</v>
      </c>
      <c r="CZ251" t="e">
        <f>IF("N",'GA55 Only Print'!_xlnm.Print_Area,"AAAAAFv+d2c=")</f>
        <v>#VALUE!</v>
      </c>
    </row>
  </sheetData>
  <customSheetViews>
    <customSheetView guid="{8E92581F-007A-4A12-99AF-FBD8FA5F0BC8}" state="veryHidden">
      <selection activeCell="CY251" sqref="CY251"/>
      <pageMargins left="0.7" right="0.7" top="0.75" bottom="0.75" header="0.3" footer="0.3"/>
    </customSheetView>
  </customSheetViews>
  <pageMargins left="0.7" right="0.7" top="0.75" bottom="0.75" header="0.3" footer="0.3"/>
  <customProperties>
    <customPr name="DVSECTIONID" r:id="rId1"/>
  </customProperties>
</worksheet>
</file>

<file path=xl/worksheets/sheet7.xml><?xml version="1.0" encoding="utf-8"?>
<worksheet xmlns="http://schemas.openxmlformats.org/spreadsheetml/2006/main" xmlns:r="http://schemas.openxmlformats.org/officeDocument/2006/relationships">
  <sheetPr codeName="Sheet5">
    <tabColor rgb="FFFFC000"/>
  </sheetPr>
  <dimension ref="A1:AA85"/>
  <sheetViews>
    <sheetView view="pageBreakPreview" zoomScale="110" zoomScaleSheetLayoutView="110" workbookViewId="0">
      <selection activeCell="K9" sqref="K9:M9"/>
    </sheetView>
  </sheetViews>
  <sheetFormatPr defaultRowHeight="15"/>
  <cols>
    <col min="1" max="1" width="2.7109375" style="4" customWidth="1"/>
    <col min="2" max="2" width="3.5703125" style="4" customWidth="1"/>
    <col min="3" max="3" width="7.85546875" style="4" customWidth="1"/>
    <col min="4" max="4" width="9.5703125" style="4" customWidth="1"/>
    <col min="5" max="5" width="6.85546875" style="4" customWidth="1"/>
    <col min="6" max="6" width="3.140625" style="4" customWidth="1"/>
    <col min="7" max="7" width="9" style="4" customWidth="1"/>
    <col min="8" max="8" width="4.5703125" style="4" customWidth="1"/>
    <col min="9" max="9" width="11.5703125" style="4" customWidth="1"/>
    <col min="10" max="10" width="10.140625" style="4" customWidth="1"/>
    <col min="11" max="11" width="7.5703125" style="4" customWidth="1"/>
    <col min="12" max="12" width="3.28515625" style="4" customWidth="1"/>
    <col min="13" max="13" width="10.28515625" style="4" customWidth="1"/>
    <col min="14" max="14" width="3" style="4" customWidth="1"/>
    <col min="15" max="15" width="13.85546875" style="4" customWidth="1"/>
    <col min="16" max="21" width="9.140625" style="4"/>
    <col min="22" max="22" width="9.140625" style="4" customWidth="1"/>
    <col min="23" max="27" width="9.140625" style="4" hidden="1" customWidth="1"/>
    <col min="28" max="16384" width="9.140625" style="4"/>
  </cols>
  <sheetData>
    <row r="1" spans="1:22" ht="16.5" customHeight="1">
      <c r="A1" s="644" t="str">
        <f>IF(AND(Master!D8=""),"",CONCATENATE("Office Name :- ",PROPER(Master!D8)))</f>
        <v>Office Name :- Government Senior Secondary School Inderwara , Rani (Pali)</v>
      </c>
      <c r="B1" s="644"/>
      <c r="C1" s="644"/>
      <c r="D1" s="644"/>
      <c r="E1" s="644"/>
      <c r="F1" s="644"/>
      <c r="G1" s="644"/>
      <c r="H1" s="644"/>
      <c r="I1" s="644"/>
      <c r="J1" s="644"/>
      <c r="K1" s="644"/>
      <c r="L1" s="644"/>
      <c r="M1" s="644"/>
      <c r="N1" s="644"/>
      <c r="O1" s="644"/>
    </row>
    <row r="2" spans="1:22" ht="13.5" customHeight="1" thickBot="1">
      <c r="A2" s="116"/>
      <c r="B2" s="116"/>
      <c r="C2" s="626" t="s">
        <v>199</v>
      </c>
      <c r="D2" s="626"/>
      <c r="E2" s="626"/>
      <c r="F2" s="626"/>
      <c r="G2" s="625" t="str">
        <f>IF(AND(Master!D19=""),"",Master!D19)</f>
        <v>2019-20</v>
      </c>
      <c r="H2" s="625"/>
      <c r="I2" s="626" t="s">
        <v>200</v>
      </c>
      <c r="J2" s="626"/>
      <c r="K2" s="626"/>
      <c r="L2" s="625" t="str">
        <f>IF(AND(Master!H19=""),"",Master!H19)</f>
        <v>2020-21</v>
      </c>
      <c r="M2" s="625"/>
      <c r="N2" s="388" t="s">
        <v>201</v>
      </c>
    </row>
    <row r="3" spans="1:22" ht="16.5" customHeight="1" thickTop="1">
      <c r="A3" s="412">
        <v>1</v>
      </c>
      <c r="B3" s="623" t="s">
        <v>155</v>
      </c>
      <c r="C3" s="624"/>
      <c r="D3" s="645" t="str">
        <f>UPPER(Master!D9)</f>
        <v>HEERA LAL JAT</v>
      </c>
      <c r="E3" s="645"/>
      <c r="F3" s="645"/>
      <c r="G3" s="645"/>
      <c r="H3" s="645"/>
      <c r="I3" s="348" t="s">
        <v>156</v>
      </c>
      <c r="J3" s="646" t="str">
        <f>UPPER(Master!H9)</f>
        <v>SR. TEACHER</v>
      </c>
      <c r="K3" s="646"/>
      <c r="L3" s="646"/>
      <c r="M3" s="349" t="s">
        <v>157</v>
      </c>
      <c r="N3" s="647" t="str">
        <f>UPPER(Master!D12)</f>
        <v>ADEPLXXXXX</v>
      </c>
      <c r="O3" s="648"/>
      <c r="P3" s="331"/>
      <c r="Q3" s="331"/>
    </row>
    <row r="4" spans="1:22" ht="16.5" customHeight="1">
      <c r="A4" s="411">
        <v>2</v>
      </c>
      <c r="B4" s="649" t="s">
        <v>557</v>
      </c>
      <c r="C4" s="649"/>
      <c r="D4" s="650"/>
      <c r="E4" s="650"/>
      <c r="F4" s="650"/>
      <c r="G4" s="650"/>
      <c r="H4" s="650"/>
      <c r="I4" s="649"/>
      <c r="J4" s="650"/>
      <c r="K4" s="650"/>
      <c r="L4" s="650"/>
      <c r="M4" s="649"/>
      <c r="N4" s="375" t="s">
        <v>158</v>
      </c>
      <c r="O4" s="376">
        <f>'GA55 Only Print'!L27</f>
        <v>806379</v>
      </c>
      <c r="P4" s="335"/>
      <c r="Q4" s="347" t="s">
        <v>439</v>
      </c>
      <c r="R4" s="622" t="s">
        <v>359</v>
      </c>
      <c r="S4" s="622"/>
      <c r="T4" s="622"/>
      <c r="U4" s="622"/>
      <c r="V4" s="622"/>
    </row>
    <row r="5" spans="1:22" ht="13.5" customHeight="1">
      <c r="A5" s="411">
        <v>3</v>
      </c>
      <c r="B5" s="650" t="s">
        <v>537</v>
      </c>
      <c r="C5" s="650"/>
      <c r="D5" s="650"/>
      <c r="E5" s="650"/>
      <c r="F5" s="650"/>
      <c r="G5" s="650"/>
      <c r="H5" s="650"/>
      <c r="I5" s="650"/>
      <c r="J5" s="650"/>
      <c r="K5" s="650"/>
      <c r="L5" s="650"/>
      <c r="M5" s="650"/>
      <c r="N5" s="375" t="s">
        <v>158</v>
      </c>
      <c r="O5" s="446">
        <f>'GA55 Only Print'!G27+'Extra deduc'!G5</f>
        <v>0</v>
      </c>
      <c r="P5" s="333"/>
      <c r="Q5" s="333"/>
      <c r="R5" s="622"/>
      <c r="S5" s="622"/>
      <c r="T5" s="622"/>
      <c r="U5" s="622"/>
      <c r="V5" s="622"/>
    </row>
    <row r="6" spans="1:22" ht="14.25" customHeight="1">
      <c r="A6" s="411">
        <v>4</v>
      </c>
      <c r="B6" s="630" t="s">
        <v>159</v>
      </c>
      <c r="C6" s="630"/>
      <c r="D6" s="630"/>
      <c r="E6" s="630"/>
      <c r="F6" s="630"/>
      <c r="G6" s="630"/>
      <c r="H6" s="630"/>
      <c r="I6" s="630"/>
      <c r="J6" s="630"/>
      <c r="K6" s="630"/>
      <c r="L6" s="630"/>
      <c r="M6" s="630"/>
      <c r="N6" s="375" t="s">
        <v>158</v>
      </c>
      <c r="O6" s="377">
        <f>O4-O5</f>
        <v>806379</v>
      </c>
      <c r="P6" s="333"/>
      <c r="Q6" s="333"/>
      <c r="R6" s="622"/>
      <c r="S6" s="622"/>
      <c r="T6" s="622"/>
      <c r="U6" s="622"/>
      <c r="V6" s="622"/>
    </row>
    <row r="7" spans="1:22" ht="17.25" customHeight="1">
      <c r="A7" s="607">
        <v>5</v>
      </c>
      <c r="B7" s="643" t="s">
        <v>519</v>
      </c>
      <c r="C7" s="643"/>
      <c r="D7" s="643"/>
      <c r="E7" s="643"/>
      <c r="F7" s="643"/>
      <c r="G7" s="643"/>
      <c r="H7" s="643"/>
      <c r="I7" s="643"/>
      <c r="J7" s="643"/>
      <c r="K7" s="651">
        <f>'Extra deduc'!G6</f>
        <v>0</v>
      </c>
      <c r="L7" s="651"/>
      <c r="M7" s="651"/>
      <c r="N7" s="652"/>
      <c r="O7" s="653"/>
      <c r="P7" s="332"/>
      <c r="Q7" s="332"/>
      <c r="R7" s="622"/>
      <c r="S7" s="622"/>
      <c r="T7" s="622"/>
      <c r="U7" s="622"/>
      <c r="V7" s="622"/>
    </row>
    <row r="8" spans="1:22" ht="15" customHeight="1">
      <c r="A8" s="614"/>
      <c r="B8" s="643" t="s">
        <v>420</v>
      </c>
      <c r="C8" s="643"/>
      <c r="D8" s="643"/>
      <c r="E8" s="643"/>
      <c r="F8" s="643"/>
      <c r="G8" s="643"/>
      <c r="H8" s="643"/>
      <c r="I8" s="643"/>
      <c r="J8" s="643"/>
      <c r="K8" s="651">
        <f>'Extra deduc'!G7</f>
        <v>0</v>
      </c>
      <c r="L8" s="651"/>
      <c r="M8" s="651"/>
      <c r="N8" s="652"/>
      <c r="O8" s="653"/>
      <c r="P8" s="332"/>
      <c r="Q8" s="332"/>
      <c r="R8" s="230"/>
      <c r="S8" s="230"/>
      <c r="T8" s="230"/>
      <c r="U8" s="230"/>
      <c r="V8" s="230"/>
    </row>
    <row r="9" spans="1:22" ht="15" customHeight="1">
      <c r="A9" s="608"/>
      <c r="B9" s="643" t="s">
        <v>518</v>
      </c>
      <c r="C9" s="643"/>
      <c r="D9" s="643"/>
      <c r="E9" s="643"/>
      <c r="F9" s="643"/>
      <c r="G9" s="643"/>
      <c r="H9" s="643"/>
      <c r="I9" s="643"/>
      <c r="J9" s="643"/>
      <c r="K9" s="654">
        <v>50000</v>
      </c>
      <c r="L9" s="654"/>
      <c r="M9" s="654"/>
      <c r="N9" s="375" t="s">
        <v>158</v>
      </c>
      <c r="O9" s="377">
        <f>SUM(K7:M9)</f>
        <v>50000</v>
      </c>
      <c r="P9" s="333"/>
      <c r="Q9" s="333"/>
      <c r="R9" s="230"/>
      <c r="S9" s="230"/>
      <c r="T9" s="230"/>
      <c r="U9" s="230"/>
      <c r="V9" s="230"/>
    </row>
    <row r="10" spans="1:22" ht="12.95" customHeight="1">
      <c r="A10" s="411">
        <v>6</v>
      </c>
      <c r="B10" s="636" t="s">
        <v>160</v>
      </c>
      <c r="C10" s="637"/>
      <c r="D10" s="637"/>
      <c r="E10" s="637"/>
      <c r="F10" s="637"/>
      <c r="G10" s="637"/>
      <c r="H10" s="637"/>
      <c r="I10" s="637"/>
      <c r="J10" s="637"/>
      <c r="K10" s="637"/>
      <c r="L10" s="637"/>
      <c r="M10" s="638"/>
      <c r="N10" s="375" t="s">
        <v>158</v>
      </c>
      <c r="O10" s="377">
        <f>O6-O9</f>
        <v>756379</v>
      </c>
      <c r="P10" s="333"/>
      <c r="Q10" s="333"/>
    </row>
    <row r="11" spans="1:22" ht="12.95" customHeight="1">
      <c r="A11" s="655">
        <v>7</v>
      </c>
      <c r="B11" s="643" t="s">
        <v>161</v>
      </c>
      <c r="C11" s="643"/>
      <c r="D11" s="643"/>
      <c r="E11" s="643"/>
      <c r="F11" s="643"/>
      <c r="G11" s="643"/>
      <c r="H11" s="643"/>
      <c r="I11" s="656" t="s">
        <v>162</v>
      </c>
      <c r="J11" s="656"/>
      <c r="K11" s="651">
        <f>'Extra deduc'!G8</f>
        <v>0</v>
      </c>
      <c r="L11" s="651"/>
      <c r="M11" s="651"/>
      <c r="N11" s="657"/>
      <c r="O11" s="658"/>
      <c r="P11" s="334"/>
      <c r="Q11" s="334"/>
    </row>
    <row r="12" spans="1:22" ht="12.95" customHeight="1">
      <c r="A12" s="655"/>
      <c r="B12" s="659" t="s">
        <v>163</v>
      </c>
      <c r="C12" s="659"/>
      <c r="D12" s="660" t="s">
        <v>198</v>
      </c>
      <c r="E12" s="660"/>
      <c r="F12" s="660" t="s">
        <v>164</v>
      </c>
      <c r="G12" s="660"/>
      <c r="H12" s="660"/>
      <c r="I12" s="660" t="s">
        <v>165</v>
      </c>
      <c r="J12" s="660"/>
      <c r="K12" s="656" t="s">
        <v>166</v>
      </c>
      <c r="L12" s="656"/>
      <c r="M12" s="656"/>
      <c r="N12" s="657"/>
      <c r="O12" s="658"/>
      <c r="P12" s="334"/>
      <c r="Q12" s="334"/>
    </row>
    <row r="13" spans="1:22" ht="12.95" customHeight="1">
      <c r="A13" s="655"/>
      <c r="B13" s="659"/>
      <c r="C13" s="659"/>
      <c r="D13" s="651">
        <f>ROUND(K11*0.3,0)</f>
        <v>0</v>
      </c>
      <c r="E13" s="651"/>
      <c r="F13" s="651">
        <f>'Extra deduc'!G11</f>
        <v>0</v>
      </c>
      <c r="G13" s="651"/>
      <c r="H13" s="651"/>
      <c r="I13" s="651">
        <f>'Extra deduc'!G9</f>
        <v>0</v>
      </c>
      <c r="J13" s="651"/>
      <c r="K13" s="651">
        <f>D13+F13+I13</f>
        <v>0</v>
      </c>
      <c r="L13" s="651"/>
      <c r="M13" s="651"/>
      <c r="N13" s="657"/>
      <c r="O13" s="658"/>
      <c r="P13" s="334"/>
      <c r="Q13" s="334"/>
    </row>
    <row r="14" spans="1:22" ht="12.95" customHeight="1">
      <c r="A14" s="411"/>
      <c r="B14" s="639" t="s">
        <v>421</v>
      </c>
      <c r="C14" s="640"/>
      <c r="D14" s="640"/>
      <c r="E14" s="640"/>
      <c r="F14" s="640"/>
      <c r="G14" s="640"/>
      <c r="H14" s="640"/>
      <c r="I14" s="640"/>
      <c r="J14" s="640"/>
      <c r="K14" s="640"/>
      <c r="L14" s="640"/>
      <c r="M14" s="641"/>
      <c r="N14" s="375" t="s">
        <v>158</v>
      </c>
      <c r="O14" s="377">
        <f>K11-K13</f>
        <v>0</v>
      </c>
      <c r="P14" s="333"/>
      <c r="Q14" s="333"/>
    </row>
    <row r="15" spans="1:22" ht="12.95" customHeight="1">
      <c r="A15" s="411">
        <v>8</v>
      </c>
      <c r="B15" s="643" t="s">
        <v>443</v>
      </c>
      <c r="C15" s="643"/>
      <c r="D15" s="643"/>
      <c r="E15" s="642">
        <f>'Extra deduc'!J15</f>
        <v>0</v>
      </c>
      <c r="F15" s="642"/>
      <c r="G15" s="642"/>
      <c r="H15" s="362"/>
      <c r="I15" s="362"/>
      <c r="J15" s="640" t="s">
        <v>442</v>
      </c>
      <c r="K15" s="640"/>
      <c r="L15" s="640"/>
      <c r="M15" s="641"/>
      <c r="N15" s="375" t="s">
        <v>158</v>
      </c>
      <c r="O15" s="377">
        <f>O10+O14</f>
        <v>756379</v>
      </c>
      <c r="P15" s="333"/>
      <c r="Q15" s="333"/>
    </row>
    <row r="16" spans="1:22" ht="15.75">
      <c r="A16" s="411">
        <v>9</v>
      </c>
      <c r="B16" s="643" t="s">
        <v>444</v>
      </c>
      <c r="C16" s="643"/>
      <c r="D16" s="643"/>
      <c r="E16" s="642">
        <f>'Extra deduc'!J5</f>
        <v>0</v>
      </c>
      <c r="F16" s="642"/>
      <c r="G16" s="642"/>
      <c r="H16" s="362"/>
      <c r="I16" s="362"/>
      <c r="J16" s="362"/>
      <c r="K16" s="640" t="s">
        <v>446</v>
      </c>
      <c r="L16" s="640"/>
      <c r="M16" s="641"/>
      <c r="N16" s="375" t="s">
        <v>158</v>
      </c>
      <c r="O16" s="377">
        <f>E15+E16</f>
        <v>0</v>
      </c>
      <c r="P16" s="333"/>
      <c r="Q16" s="333"/>
    </row>
    <row r="17" spans="1:22" ht="15.75">
      <c r="A17" s="411">
        <v>10</v>
      </c>
      <c r="B17" s="598" t="s">
        <v>445</v>
      </c>
      <c r="C17" s="598"/>
      <c r="D17" s="598"/>
      <c r="E17" s="598"/>
      <c r="F17" s="598"/>
      <c r="G17" s="598"/>
      <c r="H17" s="598"/>
      <c r="I17" s="598"/>
      <c r="J17" s="598"/>
      <c r="K17" s="598"/>
      <c r="L17" s="598"/>
      <c r="M17" s="598"/>
      <c r="N17" s="375" t="s">
        <v>158</v>
      </c>
      <c r="O17" s="376">
        <f>O15+O16</f>
        <v>756379</v>
      </c>
      <c r="P17" s="335"/>
      <c r="Q17" s="335"/>
    </row>
    <row r="18" spans="1:22" ht="15" customHeight="1">
      <c r="A18" s="607">
        <v>11</v>
      </c>
      <c r="B18" s="661" t="s">
        <v>422</v>
      </c>
      <c r="C18" s="661"/>
      <c r="D18" s="661"/>
      <c r="E18" s="661"/>
      <c r="F18" s="661"/>
      <c r="G18" s="661"/>
      <c r="H18" s="661"/>
      <c r="I18" s="661"/>
      <c r="J18" s="661"/>
      <c r="K18" s="661"/>
      <c r="L18" s="661"/>
      <c r="M18" s="661"/>
      <c r="N18" s="661"/>
      <c r="O18" s="662"/>
      <c r="P18" s="336"/>
      <c r="Q18" s="336"/>
    </row>
    <row r="19" spans="1:22" ht="12.95" customHeight="1">
      <c r="A19" s="614"/>
      <c r="B19" s="663" t="s">
        <v>452</v>
      </c>
      <c r="C19" s="663"/>
      <c r="D19" s="663"/>
      <c r="E19" s="663"/>
      <c r="F19" s="663"/>
      <c r="G19" s="663"/>
      <c r="H19" s="663"/>
      <c r="I19" s="663"/>
      <c r="J19" s="663"/>
      <c r="K19" s="663"/>
      <c r="L19" s="663"/>
      <c r="M19" s="663"/>
      <c r="N19" s="663"/>
      <c r="O19" s="664"/>
      <c r="P19" s="337"/>
      <c r="Q19" s="337"/>
    </row>
    <row r="20" spans="1:22" ht="12.95" customHeight="1">
      <c r="A20" s="614"/>
      <c r="B20" s="384" t="s">
        <v>47</v>
      </c>
      <c r="C20" s="634" t="s">
        <v>550</v>
      </c>
      <c r="D20" s="634"/>
      <c r="E20" s="634"/>
      <c r="F20" s="344" t="s">
        <v>158</v>
      </c>
      <c r="G20" s="381">
        <f>'GA55 Only Print'!M27</f>
        <v>48000</v>
      </c>
      <c r="H20" s="385" t="s">
        <v>168</v>
      </c>
      <c r="I20" s="665" t="s">
        <v>521</v>
      </c>
      <c r="J20" s="665"/>
      <c r="K20" s="665"/>
      <c r="L20" s="344" t="s">
        <v>158</v>
      </c>
      <c r="M20" s="447">
        <f>'GA55 Only Print'!P27</f>
        <v>65923</v>
      </c>
      <c r="N20" s="660"/>
      <c r="O20" s="666"/>
      <c r="P20" s="332"/>
      <c r="Q20" s="332"/>
    </row>
    <row r="21" spans="1:22" ht="12.95" customHeight="1">
      <c r="A21" s="614"/>
      <c r="B21" s="384" t="s">
        <v>48</v>
      </c>
      <c r="C21" s="634" t="s">
        <v>551</v>
      </c>
      <c r="D21" s="634"/>
      <c r="E21" s="634"/>
      <c r="F21" s="344" t="s">
        <v>158</v>
      </c>
      <c r="G21" s="381">
        <f>'GA55 Only Print'!R27</f>
        <v>25896</v>
      </c>
      <c r="H21" s="385" t="s">
        <v>169</v>
      </c>
      <c r="I21" s="667" t="s">
        <v>548</v>
      </c>
      <c r="J21" s="667"/>
      <c r="K21" s="667"/>
      <c r="L21" s="344" t="s">
        <v>158</v>
      </c>
      <c r="M21" s="381">
        <f>'Extra deduc'!J6</f>
        <v>0</v>
      </c>
      <c r="N21" s="660"/>
      <c r="O21" s="666"/>
      <c r="P21" s="332"/>
      <c r="Q21" s="332"/>
    </row>
    <row r="22" spans="1:22" ht="12.95" customHeight="1">
      <c r="A22" s="614"/>
      <c r="B22" s="384" t="s">
        <v>49</v>
      </c>
      <c r="C22" s="634" t="s">
        <v>552</v>
      </c>
      <c r="D22" s="634"/>
      <c r="E22" s="634"/>
      <c r="F22" s="344" t="s">
        <v>158</v>
      </c>
      <c r="G22" s="381">
        <f>'Extra deduc'!G16</f>
        <v>0</v>
      </c>
      <c r="H22" s="385" t="s">
        <v>171</v>
      </c>
      <c r="I22" s="667" t="s">
        <v>170</v>
      </c>
      <c r="J22" s="667"/>
      <c r="K22" s="667"/>
      <c r="L22" s="344" t="s">
        <v>158</v>
      </c>
      <c r="M22" s="382">
        <f>'Extra deduc'!G17</f>
        <v>0</v>
      </c>
      <c r="N22" s="660"/>
      <c r="O22" s="666"/>
      <c r="P22" s="332"/>
      <c r="Q22" s="332"/>
    </row>
    <row r="23" spans="1:22" ht="12.95" customHeight="1">
      <c r="A23" s="614"/>
      <c r="B23" s="384" t="s">
        <v>50</v>
      </c>
      <c r="C23" s="634" t="s">
        <v>317</v>
      </c>
      <c r="D23" s="634"/>
      <c r="E23" s="634"/>
      <c r="F23" s="344" t="s">
        <v>158</v>
      </c>
      <c r="G23" s="381">
        <f>'Extra deduc'!G18</f>
        <v>0</v>
      </c>
      <c r="H23" s="385" t="s">
        <v>173</v>
      </c>
      <c r="I23" s="667" t="s">
        <v>172</v>
      </c>
      <c r="J23" s="667"/>
      <c r="K23" s="667"/>
      <c r="L23" s="344" t="s">
        <v>158</v>
      </c>
      <c r="M23" s="382">
        <f>'Extra deduc'!G14</f>
        <v>0</v>
      </c>
      <c r="N23" s="660"/>
      <c r="O23" s="666"/>
      <c r="P23" s="332"/>
      <c r="Q23" s="332"/>
    </row>
    <row r="24" spans="1:22" ht="12.95" customHeight="1">
      <c r="A24" s="614"/>
      <c r="B24" s="384" t="s">
        <v>51</v>
      </c>
      <c r="C24" s="634" t="s">
        <v>553</v>
      </c>
      <c r="D24" s="634"/>
      <c r="E24" s="634"/>
      <c r="F24" s="344" t="s">
        <v>158</v>
      </c>
      <c r="G24" s="381">
        <f>'Extra deduc'!G19</f>
        <v>0</v>
      </c>
      <c r="H24" s="385" t="s">
        <v>175</v>
      </c>
      <c r="I24" s="667" t="s">
        <v>174</v>
      </c>
      <c r="J24" s="667"/>
      <c r="K24" s="667"/>
      <c r="L24" s="344" t="s">
        <v>158</v>
      </c>
      <c r="M24" s="381">
        <f>'Extra deduc'!J18</f>
        <v>0</v>
      </c>
      <c r="N24" s="660"/>
      <c r="O24" s="666"/>
      <c r="P24" s="332"/>
      <c r="Q24" s="332"/>
    </row>
    <row r="25" spans="1:22" ht="12.95" customHeight="1">
      <c r="A25" s="614"/>
      <c r="B25" s="384" t="s">
        <v>52</v>
      </c>
      <c r="C25" s="634" t="s">
        <v>554</v>
      </c>
      <c r="D25" s="634"/>
      <c r="E25" s="634"/>
      <c r="F25" s="344" t="s">
        <v>158</v>
      </c>
      <c r="G25" s="381">
        <f>'GA55 Only Print'!N27</f>
        <v>0</v>
      </c>
      <c r="H25" s="385" t="s">
        <v>176</v>
      </c>
      <c r="I25" s="667" t="s">
        <v>549</v>
      </c>
      <c r="J25" s="667"/>
      <c r="K25" s="667"/>
      <c r="L25" s="344" t="s">
        <v>158</v>
      </c>
      <c r="M25" s="381">
        <f>'Extra deduc'!J19</f>
        <v>0</v>
      </c>
      <c r="N25" s="660"/>
      <c r="O25" s="666"/>
      <c r="P25" s="332"/>
      <c r="Q25" s="332"/>
    </row>
    <row r="26" spans="1:22" ht="12.95" customHeight="1">
      <c r="A26" s="614"/>
      <c r="B26" s="384" t="s">
        <v>53</v>
      </c>
      <c r="C26" s="634" t="s">
        <v>555</v>
      </c>
      <c r="D26" s="634"/>
      <c r="E26" s="634"/>
      <c r="F26" s="344" t="s">
        <v>158</v>
      </c>
      <c r="G26" s="382">
        <f>'GA55 Only Print'!W27</f>
        <v>220</v>
      </c>
      <c r="H26" s="385" t="s">
        <v>179</v>
      </c>
      <c r="I26" s="628" t="s">
        <v>520</v>
      </c>
      <c r="J26" s="628"/>
      <c r="K26" s="628"/>
      <c r="L26" s="344" t="s">
        <v>158</v>
      </c>
      <c r="M26" s="381">
        <f>'Extra deduc'!G13</f>
        <v>0</v>
      </c>
      <c r="N26" s="660"/>
      <c r="O26" s="666"/>
      <c r="P26" s="332"/>
      <c r="Q26" s="332"/>
    </row>
    <row r="27" spans="1:22" ht="12.95" customHeight="1">
      <c r="A27" s="614"/>
      <c r="B27" s="384" t="s">
        <v>177</v>
      </c>
      <c r="C27" s="634" t="s">
        <v>178</v>
      </c>
      <c r="D27" s="634"/>
      <c r="E27" s="634"/>
      <c r="F27" s="344" t="s">
        <v>158</v>
      </c>
      <c r="G27" s="382">
        <f>'Extra deduc'!G15</f>
        <v>0</v>
      </c>
      <c r="H27" s="385" t="s">
        <v>416</v>
      </c>
      <c r="I27" s="635" t="s">
        <v>180</v>
      </c>
      <c r="J27" s="635"/>
      <c r="K27" s="635"/>
      <c r="L27" s="344" t="s">
        <v>158</v>
      </c>
      <c r="M27" s="381">
        <f>'Extra deduc'!J7</f>
        <v>0</v>
      </c>
      <c r="N27" s="660"/>
      <c r="O27" s="666"/>
      <c r="P27" s="332"/>
      <c r="Q27" s="332"/>
    </row>
    <row r="28" spans="1:22" ht="12.95" customHeight="1">
      <c r="A28" s="614"/>
      <c r="B28" s="384" t="s">
        <v>181</v>
      </c>
      <c r="C28" s="634" t="s">
        <v>556</v>
      </c>
      <c r="D28" s="634"/>
      <c r="E28" s="634"/>
      <c r="F28" s="344" t="s">
        <v>158</v>
      </c>
      <c r="G28" s="382">
        <f>'Extra deduc'!G10</f>
        <v>0</v>
      </c>
      <c r="H28" s="385" t="s">
        <v>418</v>
      </c>
      <c r="I28" s="635" t="s">
        <v>182</v>
      </c>
      <c r="J28" s="635"/>
      <c r="K28" s="635"/>
      <c r="L28" s="344" t="s">
        <v>158</v>
      </c>
      <c r="M28" s="381">
        <f>'Extra deduc'!G20</f>
        <v>0</v>
      </c>
      <c r="N28" s="660"/>
      <c r="O28" s="666"/>
      <c r="P28" s="332"/>
      <c r="Q28" s="332"/>
    </row>
    <row r="29" spans="1:22" ht="15.75">
      <c r="A29" s="614"/>
      <c r="B29" s="384" t="s">
        <v>167</v>
      </c>
      <c r="C29" s="627" t="s">
        <v>522</v>
      </c>
      <c r="D29" s="627"/>
      <c r="E29" s="627"/>
      <c r="F29" s="344" t="s">
        <v>158</v>
      </c>
      <c r="G29" s="381">
        <f>'Extra deduc'!G12</f>
        <v>0</v>
      </c>
      <c r="H29" s="385" t="s">
        <v>419</v>
      </c>
      <c r="I29" s="628" t="s">
        <v>424</v>
      </c>
      <c r="J29" s="628"/>
      <c r="K29" s="628"/>
      <c r="L29" s="344" t="s">
        <v>158</v>
      </c>
      <c r="M29" s="381">
        <f>'Extra deduc'!G21</f>
        <v>0</v>
      </c>
      <c r="N29" s="660"/>
      <c r="O29" s="666"/>
      <c r="P29" s="332"/>
      <c r="Q29" s="332"/>
    </row>
    <row r="30" spans="1:22" ht="15.75">
      <c r="A30" s="614"/>
      <c r="B30" s="629" t="s">
        <v>423</v>
      </c>
      <c r="C30" s="629"/>
      <c r="D30" s="629"/>
      <c r="E30" s="629"/>
      <c r="F30" s="629"/>
      <c r="G30" s="629"/>
      <c r="H30" s="629"/>
      <c r="I30" s="629"/>
      <c r="J30" s="629"/>
      <c r="K30" s="629"/>
      <c r="L30" s="344" t="s">
        <v>158</v>
      </c>
      <c r="M30" s="383">
        <f>SUM(G20:G29)+SUM(M20:M29)</f>
        <v>140039</v>
      </c>
      <c r="N30" s="660"/>
      <c r="O30" s="666"/>
      <c r="P30" s="332"/>
      <c r="Q30" s="332"/>
    </row>
    <row r="31" spans="1:22" ht="15.75" customHeight="1">
      <c r="A31" s="614"/>
      <c r="B31" s="630" t="s">
        <v>183</v>
      </c>
      <c r="C31" s="630"/>
      <c r="D31" s="630"/>
      <c r="E31" s="630"/>
      <c r="F31" s="630"/>
      <c r="G31" s="630"/>
      <c r="H31" s="630"/>
      <c r="I31" s="630"/>
      <c r="J31" s="630"/>
      <c r="K31" s="630"/>
      <c r="L31" s="630"/>
      <c r="M31" s="630"/>
      <c r="N31" s="358" t="s">
        <v>158</v>
      </c>
      <c r="O31" s="376">
        <f>IF(M30&lt;150001,ROUND(M30,0),150000)</f>
        <v>140039</v>
      </c>
      <c r="P31" s="335"/>
      <c r="Q31" s="347"/>
      <c r="R31" s="621" t="s">
        <v>358</v>
      </c>
      <c r="S31" s="621"/>
      <c r="T31" s="621"/>
      <c r="U31" s="621"/>
      <c r="V31" s="621"/>
    </row>
    <row r="32" spans="1:22" ht="15.75" customHeight="1">
      <c r="A32" s="614"/>
      <c r="B32" s="631" t="s">
        <v>427</v>
      </c>
      <c r="C32" s="631"/>
      <c r="D32" s="631"/>
      <c r="E32" s="631"/>
      <c r="F32" s="631"/>
      <c r="G32" s="631"/>
      <c r="H32" s="631"/>
      <c r="I32" s="631"/>
      <c r="J32" s="631"/>
      <c r="K32" s="631"/>
      <c r="L32" s="631"/>
      <c r="M32" s="631"/>
      <c r="N32" s="358"/>
      <c r="O32" s="376">
        <f>'GA55 Only Print'!P27</f>
        <v>65923</v>
      </c>
      <c r="P32" s="333"/>
      <c r="Q32" s="347" t="s">
        <v>439</v>
      </c>
      <c r="R32" s="621"/>
      <c r="S32" s="621"/>
      <c r="T32" s="621"/>
      <c r="U32" s="621"/>
      <c r="V32" s="621"/>
    </row>
    <row r="33" spans="1:22" ht="15.75" customHeight="1">
      <c r="A33" s="614"/>
      <c r="B33" s="632" t="s">
        <v>428</v>
      </c>
      <c r="C33" s="632"/>
      <c r="D33" s="632"/>
      <c r="E33" s="632"/>
      <c r="F33" s="632"/>
      <c r="G33" s="632"/>
      <c r="H33" s="632"/>
      <c r="I33" s="632"/>
      <c r="J33" s="632"/>
      <c r="K33" s="632"/>
      <c r="L33" s="632"/>
      <c r="M33" s="632"/>
      <c r="N33" s="358" t="s">
        <v>158</v>
      </c>
      <c r="O33" s="448" t="str">
        <f>IF(AND('Extra deduc'!J8=""),"",'Extra deduc'!J8)</f>
        <v/>
      </c>
      <c r="P33" s="333"/>
      <c r="Q33" s="333"/>
      <c r="R33" s="621"/>
      <c r="S33" s="621"/>
      <c r="T33" s="621"/>
      <c r="U33" s="621"/>
      <c r="V33" s="621"/>
    </row>
    <row r="34" spans="1:22" ht="18.75" customHeight="1">
      <c r="A34" s="608"/>
      <c r="B34" s="633" t="s">
        <v>429</v>
      </c>
      <c r="C34" s="633"/>
      <c r="D34" s="633"/>
      <c r="E34" s="633"/>
      <c r="F34" s="633"/>
      <c r="G34" s="633"/>
      <c r="H34" s="633"/>
      <c r="I34" s="633"/>
      <c r="J34" s="633"/>
      <c r="K34" s="633"/>
      <c r="L34" s="633"/>
      <c r="M34" s="633"/>
      <c r="N34" s="358" t="s">
        <v>158</v>
      </c>
      <c r="O34" s="376">
        <f>SUM(O31:O33)</f>
        <v>205962</v>
      </c>
      <c r="P34" s="335"/>
      <c r="Q34" s="335"/>
      <c r="R34" s="621"/>
      <c r="S34" s="621"/>
      <c r="T34" s="621"/>
      <c r="U34" s="621"/>
      <c r="V34" s="621"/>
    </row>
    <row r="35" spans="1:22" ht="13.5" customHeight="1">
      <c r="A35" s="607">
        <v>12</v>
      </c>
      <c r="B35" s="598" t="s">
        <v>184</v>
      </c>
      <c r="C35" s="598"/>
      <c r="D35" s="598"/>
      <c r="E35" s="598"/>
      <c r="F35" s="598"/>
      <c r="G35" s="598"/>
      <c r="H35" s="598"/>
      <c r="I35" s="598"/>
      <c r="J35" s="598"/>
      <c r="K35" s="598"/>
      <c r="L35" s="598"/>
      <c r="M35" s="598"/>
      <c r="N35" s="598"/>
      <c r="O35" s="668"/>
      <c r="P35" s="336"/>
      <c r="Q35" s="336"/>
      <c r="R35" s="621"/>
      <c r="S35" s="621"/>
      <c r="T35" s="621"/>
      <c r="U35" s="621"/>
      <c r="V35" s="621"/>
    </row>
    <row r="36" spans="1:22" s="84" customFormat="1" ht="14.1" customHeight="1">
      <c r="A36" s="614"/>
      <c r="B36" s="650" t="s">
        <v>447</v>
      </c>
      <c r="C36" s="650"/>
      <c r="D36" s="650"/>
      <c r="E36" s="650"/>
      <c r="F36" s="650"/>
      <c r="G36" s="650"/>
      <c r="H36" s="650"/>
      <c r="I36" s="650"/>
      <c r="J36" s="650"/>
      <c r="K36" s="650"/>
      <c r="L36" s="650"/>
      <c r="M36" s="650"/>
      <c r="N36" s="358" t="s">
        <v>158</v>
      </c>
      <c r="O36" s="377">
        <f>'Extra deduc'!J9</f>
        <v>0</v>
      </c>
      <c r="P36" s="333"/>
      <c r="Q36" s="333"/>
      <c r="R36" s="621"/>
      <c r="S36" s="621"/>
      <c r="T36" s="621"/>
      <c r="U36" s="621"/>
      <c r="V36" s="621"/>
    </row>
    <row r="37" spans="1:22" s="84" customFormat="1" ht="14.1" customHeight="1">
      <c r="A37" s="614"/>
      <c r="B37" s="650" t="s">
        <v>430</v>
      </c>
      <c r="C37" s="650"/>
      <c r="D37" s="650"/>
      <c r="E37" s="650"/>
      <c r="F37" s="650"/>
      <c r="G37" s="650"/>
      <c r="H37" s="650"/>
      <c r="I37" s="650"/>
      <c r="J37" s="650"/>
      <c r="K37" s="650"/>
      <c r="L37" s="650"/>
      <c r="M37" s="650"/>
      <c r="N37" s="358" t="s">
        <v>158</v>
      </c>
      <c r="O37" s="377">
        <f>'Extra deduc'!J10</f>
        <v>0</v>
      </c>
      <c r="P37" s="333"/>
      <c r="Q37" s="333"/>
    </row>
    <row r="38" spans="1:22" s="84" customFormat="1" ht="14.1" customHeight="1">
      <c r="A38" s="614"/>
      <c r="B38" s="650" t="s">
        <v>448</v>
      </c>
      <c r="C38" s="650"/>
      <c r="D38" s="650"/>
      <c r="E38" s="650"/>
      <c r="F38" s="650"/>
      <c r="G38" s="650"/>
      <c r="H38" s="650"/>
      <c r="I38" s="650"/>
      <c r="J38" s="650"/>
      <c r="K38" s="650"/>
      <c r="L38" s="650"/>
      <c r="M38" s="650"/>
      <c r="N38" s="358" t="s">
        <v>158</v>
      </c>
      <c r="O38" s="377">
        <f>'Extra deduc'!J11</f>
        <v>0</v>
      </c>
      <c r="P38" s="333"/>
      <c r="Q38" s="333"/>
    </row>
    <row r="39" spans="1:22" s="84" customFormat="1" ht="14.1" customHeight="1">
      <c r="A39" s="614"/>
      <c r="B39" s="650" t="s">
        <v>431</v>
      </c>
      <c r="C39" s="650"/>
      <c r="D39" s="650"/>
      <c r="E39" s="650"/>
      <c r="F39" s="650"/>
      <c r="G39" s="650"/>
      <c r="H39" s="650"/>
      <c r="I39" s="650"/>
      <c r="J39" s="650"/>
      <c r="K39" s="650"/>
      <c r="L39" s="650"/>
      <c r="M39" s="650"/>
      <c r="N39" s="358" t="s">
        <v>158</v>
      </c>
      <c r="O39" s="377">
        <f>'Extra deduc'!J12</f>
        <v>0</v>
      </c>
      <c r="P39" s="333"/>
      <c r="Q39" s="333"/>
    </row>
    <row r="40" spans="1:22" s="84" customFormat="1" ht="14.1" customHeight="1">
      <c r="A40" s="614"/>
      <c r="B40" s="650" t="s">
        <v>432</v>
      </c>
      <c r="C40" s="650"/>
      <c r="D40" s="650"/>
      <c r="E40" s="650"/>
      <c r="F40" s="650"/>
      <c r="G40" s="650"/>
      <c r="H40" s="650"/>
      <c r="I40" s="650"/>
      <c r="J40" s="650"/>
      <c r="K40" s="650"/>
      <c r="L40" s="650"/>
      <c r="M40" s="650"/>
      <c r="N40" s="358" t="s">
        <v>158</v>
      </c>
      <c r="O40" s="377">
        <f>'Extra deduc'!J13</f>
        <v>0</v>
      </c>
      <c r="P40" s="333"/>
      <c r="Q40" s="333"/>
    </row>
    <row r="41" spans="1:22" s="84" customFormat="1" ht="14.1" customHeight="1">
      <c r="A41" s="614"/>
      <c r="B41" s="650" t="s">
        <v>449</v>
      </c>
      <c r="C41" s="650"/>
      <c r="D41" s="650"/>
      <c r="E41" s="650"/>
      <c r="F41" s="650"/>
      <c r="G41" s="650"/>
      <c r="H41" s="650"/>
      <c r="I41" s="650"/>
      <c r="J41" s="650"/>
      <c r="K41" s="650"/>
      <c r="L41" s="650"/>
      <c r="M41" s="650"/>
      <c r="N41" s="358" t="s">
        <v>158</v>
      </c>
      <c r="O41" s="377">
        <f>'Extra deduc'!J14</f>
        <v>0</v>
      </c>
      <c r="P41" s="333"/>
      <c r="Q41" s="333"/>
    </row>
    <row r="42" spans="1:22" s="84" customFormat="1" ht="14.1" customHeight="1">
      <c r="A42" s="614"/>
      <c r="B42" s="650" t="s">
        <v>450</v>
      </c>
      <c r="C42" s="650"/>
      <c r="D42" s="650"/>
      <c r="E42" s="650"/>
      <c r="F42" s="650"/>
      <c r="G42" s="650"/>
      <c r="H42" s="650"/>
      <c r="I42" s="650"/>
      <c r="J42" s="650"/>
      <c r="K42" s="650"/>
      <c r="L42" s="650"/>
      <c r="M42" s="650"/>
      <c r="N42" s="358" t="s">
        <v>158</v>
      </c>
      <c r="O42" s="377">
        <f>IF('Extra deduc'!J15&lt;10001, 'Extra deduc'!J15, 10000)</f>
        <v>0</v>
      </c>
      <c r="P42" s="333"/>
      <c r="Q42" s="333"/>
    </row>
    <row r="43" spans="1:22" ht="15.75">
      <c r="A43" s="614"/>
      <c r="B43" s="650" t="s">
        <v>433</v>
      </c>
      <c r="C43" s="650"/>
      <c r="D43" s="650"/>
      <c r="E43" s="650"/>
      <c r="F43" s="650"/>
      <c r="G43" s="650"/>
      <c r="H43" s="650"/>
      <c r="I43" s="650"/>
      <c r="J43" s="650"/>
      <c r="K43" s="650"/>
      <c r="L43" s="650"/>
      <c r="M43" s="650"/>
      <c r="N43" s="358" t="s">
        <v>158</v>
      </c>
      <c r="O43" s="377">
        <f>'Extra deduc'!J16</f>
        <v>0</v>
      </c>
      <c r="P43" s="333"/>
      <c r="Q43" s="333"/>
    </row>
    <row r="44" spans="1:22" ht="14.25" customHeight="1">
      <c r="A44" s="608"/>
      <c r="B44" s="630" t="s">
        <v>434</v>
      </c>
      <c r="C44" s="630"/>
      <c r="D44" s="630"/>
      <c r="E44" s="630"/>
      <c r="F44" s="630"/>
      <c r="G44" s="630"/>
      <c r="H44" s="630"/>
      <c r="I44" s="630"/>
      <c r="J44" s="630"/>
      <c r="K44" s="630"/>
      <c r="L44" s="630"/>
      <c r="M44" s="630"/>
      <c r="N44" s="358" t="s">
        <v>158</v>
      </c>
      <c r="O44" s="378">
        <f>SUM(O36:O43)</f>
        <v>0</v>
      </c>
      <c r="P44" s="338"/>
      <c r="Q44" s="338"/>
    </row>
    <row r="45" spans="1:22" ht="15.75">
      <c r="A45" s="411">
        <v>13</v>
      </c>
      <c r="B45" s="674" t="s">
        <v>435</v>
      </c>
      <c r="C45" s="674"/>
      <c r="D45" s="674"/>
      <c r="E45" s="674"/>
      <c r="F45" s="674"/>
      <c r="G45" s="674"/>
      <c r="H45" s="674"/>
      <c r="I45" s="674"/>
      <c r="J45" s="674"/>
      <c r="K45" s="674"/>
      <c r="L45" s="674"/>
      <c r="M45" s="674"/>
      <c r="N45" s="358" t="s">
        <v>158</v>
      </c>
      <c r="O45" s="376">
        <f>O34+O44</f>
        <v>205962</v>
      </c>
      <c r="P45" s="333"/>
      <c r="Q45" s="333"/>
    </row>
    <row r="46" spans="1:22" ht="15.75">
      <c r="A46" s="411">
        <v>14</v>
      </c>
      <c r="B46" s="650" t="s">
        <v>436</v>
      </c>
      <c r="C46" s="650"/>
      <c r="D46" s="650"/>
      <c r="E46" s="650"/>
      <c r="F46" s="650"/>
      <c r="G46" s="650"/>
      <c r="H46" s="650"/>
      <c r="I46" s="650"/>
      <c r="J46" s="650"/>
      <c r="K46" s="650"/>
      <c r="L46" s="650"/>
      <c r="M46" s="650"/>
      <c r="N46" s="358" t="s">
        <v>158</v>
      </c>
      <c r="O46" s="376">
        <f>(O17-O45)</f>
        <v>550417</v>
      </c>
      <c r="P46" s="333"/>
      <c r="Q46" s="333"/>
    </row>
    <row r="47" spans="1:22" s="84" customFormat="1" ht="14.1" customHeight="1">
      <c r="A47" s="411">
        <v>15</v>
      </c>
      <c r="B47" s="674" t="s">
        <v>417</v>
      </c>
      <c r="C47" s="674"/>
      <c r="D47" s="674"/>
      <c r="E47" s="674"/>
      <c r="F47" s="674"/>
      <c r="G47" s="674"/>
      <c r="H47" s="674"/>
      <c r="I47" s="674"/>
      <c r="J47" s="674"/>
      <c r="K47" s="674"/>
      <c r="L47" s="674"/>
      <c r="M47" s="674"/>
      <c r="N47" s="358" t="s">
        <v>158</v>
      </c>
      <c r="O47" s="376">
        <f>ROUND(O46,-1)</f>
        <v>550420</v>
      </c>
      <c r="P47" s="335"/>
      <c r="Q47" s="335"/>
    </row>
    <row r="48" spans="1:22" s="84" customFormat="1" ht="14.1" customHeight="1">
      <c r="A48" s="607">
        <v>16</v>
      </c>
      <c r="B48" s="615" t="s">
        <v>185</v>
      </c>
      <c r="C48" s="616"/>
      <c r="D48" s="616"/>
      <c r="E48" s="616"/>
      <c r="F48" s="616"/>
      <c r="G48" s="616"/>
      <c r="H48" s="616"/>
      <c r="I48" s="616"/>
      <c r="J48" s="616"/>
      <c r="K48" s="616"/>
      <c r="L48" s="616"/>
      <c r="M48" s="616"/>
      <c r="N48" s="616"/>
      <c r="O48" s="617"/>
      <c r="P48" s="339"/>
      <c r="Q48" s="339"/>
    </row>
    <row r="49" spans="1:25" s="84" customFormat="1" ht="14.1" customHeight="1">
      <c r="A49" s="614"/>
      <c r="B49" s="618" t="s">
        <v>186</v>
      </c>
      <c r="C49" s="618"/>
      <c r="D49" s="618"/>
      <c r="E49" s="618"/>
      <c r="F49" s="618" t="s">
        <v>187</v>
      </c>
      <c r="G49" s="618"/>
      <c r="H49" s="618"/>
      <c r="I49" s="618"/>
      <c r="J49" s="618" t="s">
        <v>188</v>
      </c>
      <c r="K49" s="618"/>
      <c r="L49" s="618"/>
      <c r="M49" s="618"/>
      <c r="N49" s="345"/>
      <c r="O49" s="351"/>
      <c r="P49" s="340"/>
      <c r="Q49" s="340"/>
    </row>
    <row r="50" spans="1:25" s="84" customFormat="1" ht="14.1" customHeight="1">
      <c r="A50" s="614"/>
      <c r="B50" s="600" t="s">
        <v>472</v>
      </c>
      <c r="C50" s="600"/>
      <c r="D50" s="600"/>
      <c r="E50" s="329" t="s">
        <v>189</v>
      </c>
      <c r="F50" s="600" t="s">
        <v>473</v>
      </c>
      <c r="G50" s="600"/>
      <c r="H50" s="600"/>
      <c r="I50" s="329" t="s">
        <v>189</v>
      </c>
      <c r="J50" s="600"/>
      <c r="K50" s="600"/>
      <c r="L50" s="600"/>
      <c r="M50" s="329"/>
      <c r="N50" s="407" t="s">
        <v>158</v>
      </c>
      <c r="O50" s="379">
        <v>0</v>
      </c>
      <c r="P50" s="341"/>
      <c r="Q50" s="341"/>
      <c r="W50" s="84">
        <f>ROUND(IF(O47&lt;=250000,0,IF(O47&gt;=500000,12500,IF(O47&lt;=500000,0+(O47-250000)*0.05))),0)</f>
        <v>12500</v>
      </c>
      <c r="X50" s="84">
        <f>ROUND(IF(O47&lt;=300000,0,IF(O47&gt;=500000,10000,IF(O47&lt;=500000,(O47-300000)*0.05))),0)</f>
        <v>10000</v>
      </c>
      <c r="Y50" s="84">
        <v>0</v>
      </c>
    </row>
    <row r="51" spans="1:25" s="84" customFormat="1" ht="14.1" customHeight="1">
      <c r="A51" s="614"/>
      <c r="B51" s="600" t="s">
        <v>190</v>
      </c>
      <c r="C51" s="600"/>
      <c r="D51" s="600"/>
      <c r="E51" s="330">
        <v>0.05</v>
      </c>
      <c r="F51" s="600" t="s">
        <v>191</v>
      </c>
      <c r="G51" s="600"/>
      <c r="H51" s="600"/>
      <c r="I51" s="330">
        <v>0.05</v>
      </c>
      <c r="J51" s="600" t="s">
        <v>474</v>
      </c>
      <c r="K51" s="600"/>
      <c r="L51" s="600"/>
      <c r="M51" s="329" t="s">
        <v>189</v>
      </c>
      <c r="N51" s="407" t="s">
        <v>158</v>
      </c>
      <c r="O51" s="379">
        <f>IF(AND(Master!E3=Master!AB22),W50,IF(AND(Master!E3=Master!AB23),X50,IF(AND(Master!E3=Master!AB24),Y50,"")))</f>
        <v>12500</v>
      </c>
      <c r="P51" s="341"/>
      <c r="Q51" s="341"/>
      <c r="W51" s="84">
        <f>ROUND(IF(O47&lt;=500000,0,IF(O47&gt;=1000000,100000,IF(O47&lt;=1000000,(O47-500000)*0.2,"0"))),0)</f>
        <v>10084</v>
      </c>
      <c r="X51" s="84">
        <f>ROUND(IF(O47&lt;=500000,0,IF(O47&gt;=1000000,100000,IF(O47&lt;=1000000,(O47-500000)*0.2,"0"))),0)</f>
        <v>10084</v>
      </c>
      <c r="Y51" s="84">
        <f>ROUND(IF(O47&lt;=500000,0,IF(O47&gt;=1000000,100000,IF(O47&lt;=1000000,(O47-500000)*0.2,"0"))),0)</f>
        <v>10084</v>
      </c>
    </row>
    <row r="52" spans="1:25" s="84" customFormat="1" ht="14.1" customHeight="1">
      <c r="A52" s="614"/>
      <c r="B52" s="600" t="s">
        <v>192</v>
      </c>
      <c r="C52" s="600"/>
      <c r="D52" s="600"/>
      <c r="E52" s="330">
        <v>0.2</v>
      </c>
      <c r="F52" s="600" t="s">
        <v>192</v>
      </c>
      <c r="G52" s="600"/>
      <c r="H52" s="600"/>
      <c r="I52" s="330">
        <v>0.2</v>
      </c>
      <c r="J52" s="600" t="s">
        <v>192</v>
      </c>
      <c r="K52" s="600"/>
      <c r="L52" s="600"/>
      <c r="M52" s="330">
        <v>0.2</v>
      </c>
      <c r="N52" s="407" t="s">
        <v>158</v>
      </c>
      <c r="O52" s="379">
        <f>IF(AND(Master!E3=Master!AB22),W51,IF(AND(Master!E3=Master!AB23),X51,IF(AND(Master!E3=Master!AB24),Y51,"")))</f>
        <v>10084</v>
      </c>
      <c r="P52" s="341"/>
      <c r="Q52" s="341"/>
      <c r="W52" s="84">
        <f>ROUND(IF(O47&gt;1000000,(O47-1000000)*0.3,"0"),0)</f>
        <v>0</v>
      </c>
      <c r="X52" s="84">
        <f>ROUND(IF(O47&gt;1000000,(O47-1000000)*0.3,"0"),0)</f>
        <v>0</v>
      </c>
      <c r="Y52" s="84">
        <f>ROUND(IF(O47&gt;1000000,(O47-1000000)*0.3,"0"),0)</f>
        <v>0</v>
      </c>
    </row>
    <row r="53" spans="1:25" s="84" customFormat="1" ht="14.1" customHeight="1">
      <c r="A53" s="614"/>
      <c r="B53" s="619" t="s">
        <v>527</v>
      </c>
      <c r="C53" s="620"/>
      <c r="D53" s="620"/>
      <c r="E53" s="330">
        <v>0.3</v>
      </c>
      <c r="F53" s="600" t="s">
        <v>475</v>
      </c>
      <c r="G53" s="600"/>
      <c r="H53" s="600"/>
      <c r="I53" s="330">
        <v>0.3</v>
      </c>
      <c r="J53" s="600" t="s">
        <v>475</v>
      </c>
      <c r="K53" s="600"/>
      <c r="L53" s="600"/>
      <c r="M53" s="330">
        <v>0.3</v>
      </c>
      <c r="N53" s="407" t="s">
        <v>158</v>
      </c>
      <c r="O53" s="379">
        <f>IF(AND(Master!E3=Master!AB22),W52,IF(AND(Master!E3=Master!AB23),X52,IF(AND(Master!E3=Master!AB24),Y52,"")))</f>
        <v>0</v>
      </c>
      <c r="P53" s="341"/>
      <c r="Q53" s="341"/>
      <c r="W53" s="84">
        <f>ROUND(IF(O47&lt;=250000,0,IF(O47&lt;=500000,(O47-250000)*0.05,IF(O47&lt;=1000000,12500+(O47-500000)*0.2,IF(O47&gt;1000000,112500+(O47-1000000)*0.3,"0")))),0)</f>
        <v>22584</v>
      </c>
      <c r="X53" s="84">
        <f>ROUND(IF(O47&lt;=300000,0,IF(O47&lt;=500000,(O47-300000)*0.05,IF(O47&lt;=1000000,10000+(O47-500000)*0.2,IF(O47&gt;1000000,110000+(O47-1000000)*0.3,"0")))),0)</f>
        <v>20084</v>
      </c>
      <c r="Y53" s="84">
        <f>ROUND(IF(O47&lt;=250000,0,IF(O47&lt;=500000,(O47-250000)*0.05,IF(O47&lt;=1000000,0+(O47-500000)*0.2,IF(O47&gt;1000000,100000+(O47-1000000)*0.3,"0")))),0)</f>
        <v>10084</v>
      </c>
    </row>
    <row r="54" spans="1:25" s="84" customFormat="1" ht="14.1" customHeight="1">
      <c r="A54" s="614"/>
      <c r="B54" s="669" t="s">
        <v>193</v>
      </c>
      <c r="C54" s="669"/>
      <c r="D54" s="669"/>
      <c r="E54" s="669"/>
      <c r="F54" s="669"/>
      <c r="G54" s="669"/>
      <c r="H54" s="669"/>
      <c r="I54" s="669"/>
      <c r="J54" s="669"/>
      <c r="K54" s="669"/>
      <c r="L54" s="669"/>
      <c r="M54" s="669"/>
      <c r="N54" s="407" t="s">
        <v>158</v>
      </c>
      <c r="O54" s="376">
        <f>SUM(O50:O53)</f>
        <v>22584</v>
      </c>
      <c r="P54" s="335"/>
      <c r="Q54" s="335"/>
    </row>
    <row r="55" spans="1:25" s="84" customFormat="1" ht="14.1" customHeight="1">
      <c r="A55" s="614"/>
      <c r="B55" s="675" t="s">
        <v>545</v>
      </c>
      <c r="C55" s="675"/>
      <c r="D55" s="675"/>
      <c r="E55" s="675"/>
      <c r="F55" s="675"/>
      <c r="G55" s="675"/>
      <c r="H55" s="675"/>
      <c r="I55" s="675"/>
      <c r="J55" s="675"/>
      <c r="K55" s="675"/>
      <c r="L55" s="675"/>
      <c r="M55" s="675"/>
      <c r="N55" s="407" t="s">
        <v>158</v>
      </c>
      <c r="O55" s="376">
        <f>IF(O47&gt;500000,0,IF(O54&lt;12500,O54,12500))</f>
        <v>0</v>
      </c>
      <c r="P55" s="333"/>
      <c r="Q55" s="333"/>
    </row>
    <row r="56" spans="1:25" s="84" customFormat="1" ht="14.1" customHeight="1">
      <c r="A56" s="614"/>
      <c r="B56" s="669" t="s">
        <v>194</v>
      </c>
      <c r="C56" s="676"/>
      <c r="D56" s="676"/>
      <c r="E56" s="676"/>
      <c r="F56" s="669"/>
      <c r="G56" s="669"/>
      <c r="H56" s="669"/>
      <c r="I56" s="669"/>
      <c r="J56" s="669"/>
      <c r="K56" s="669"/>
      <c r="L56" s="669"/>
      <c r="M56" s="669"/>
      <c r="N56" s="407" t="s">
        <v>158</v>
      </c>
      <c r="O56" s="376">
        <f>O54-O55</f>
        <v>22584</v>
      </c>
      <c r="P56" s="335"/>
      <c r="Q56" s="335"/>
      <c r="X56" s="84">
        <f>IF(T59&gt;350000,0,IF(T59&lt;2501,T59,2500))</f>
        <v>0</v>
      </c>
    </row>
    <row r="57" spans="1:25" ht="15" customHeight="1">
      <c r="A57" s="614"/>
      <c r="B57" s="346" t="s">
        <v>437</v>
      </c>
      <c r="C57" s="672" t="s">
        <v>523</v>
      </c>
      <c r="D57" s="672"/>
      <c r="E57" s="672"/>
      <c r="F57" s="672"/>
      <c r="G57" s="672"/>
      <c r="H57" s="672"/>
      <c r="I57" s="672"/>
      <c r="J57" s="672"/>
      <c r="K57" s="672"/>
      <c r="L57" s="672"/>
      <c r="M57" s="673"/>
      <c r="N57" s="407" t="s">
        <v>158</v>
      </c>
      <c r="O57" s="377">
        <f>ROUND((O56*0.04),0)</f>
        <v>903</v>
      </c>
      <c r="P57" s="333"/>
      <c r="Q57" s="333"/>
    </row>
    <row r="58" spans="1:25" ht="15" customHeight="1">
      <c r="A58" s="608"/>
      <c r="B58" s="670" t="s">
        <v>482</v>
      </c>
      <c r="C58" s="671"/>
      <c r="D58" s="671"/>
      <c r="E58" s="671"/>
      <c r="F58" s="670"/>
      <c r="G58" s="670"/>
      <c r="H58" s="670"/>
      <c r="I58" s="670"/>
      <c r="J58" s="670"/>
      <c r="K58" s="670"/>
      <c r="L58" s="670"/>
      <c r="M58" s="670"/>
      <c r="N58" s="407" t="s">
        <v>158</v>
      </c>
      <c r="O58" s="376">
        <f>SUM(O56:O57)</f>
        <v>23487</v>
      </c>
      <c r="P58" s="335"/>
      <c r="Q58" s="335"/>
    </row>
    <row r="59" spans="1:25" ht="15" customHeight="1">
      <c r="A59" s="411">
        <v>17</v>
      </c>
      <c r="B59" s="597" t="s">
        <v>476</v>
      </c>
      <c r="C59" s="597"/>
      <c r="D59" s="597"/>
      <c r="E59" s="597"/>
      <c r="F59" s="597"/>
      <c r="G59" s="597"/>
      <c r="H59" s="597"/>
      <c r="I59" s="597"/>
      <c r="J59" s="597"/>
      <c r="K59" s="597"/>
      <c r="L59" s="597"/>
      <c r="M59" s="597"/>
      <c r="N59" s="407" t="s">
        <v>158</v>
      </c>
      <c r="O59" s="350" t="str">
        <f>'Extra deduc'!J17</f>
        <v>0</v>
      </c>
      <c r="P59" s="333"/>
      <c r="Q59" s="333"/>
    </row>
    <row r="60" spans="1:25" ht="16.5" customHeight="1">
      <c r="A60" s="411">
        <v>18</v>
      </c>
      <c r="B60" s="598" t="s">
        <v>195</v>
      </c>
      <c r="C60" s="598"/>
      <c r="D60" s="598"/>
      <c r="E60" s="598"/>
      <c r="F60" s="598"/>
      <c r="G60" s="598"/>
      <c r="H60" s="598"/>
      <c r="I60" s="598"/>
      <c r="J60" s="598"/>
      <c r="K60" s="598"/>
      <c r="L60" s="598"/>
      <c r="M60" s="598"/>
      <c r="N60" s="407" t="s">
        <v>158</v>
      </c>
      <c r="O60" s="376">
        <f>O58-O59</f>
        <v>23487</v>
      </c>
      <c r="P60" s="335"/>
      <c r="Q60" s="335"/>
      <c r="Y60" s="4">
        <f>ROUND(IF(Master!E3=Master!AB22,IF(O47&lt;250001,0,IF(O47&gt;500000,12500,((O47-250000)*0.05))),IF(O47&lt;300001,0,IF(O47&gt;500000,10000,((O47-300000)*0.05)))),0)</f>
        <v>12500</v>
      </c>
    </row>
    <row r="61" spans="1:25" ht="31.5" customHeight="1">
      <c r="A61" s="607">
        <v>19</v>
      </c>
      <c r="B61" s="609" t="s">
        <v>196</v>
      </c>
      <c r="C61" s="609"/>
      <c r="D61" s="609"/>
      <c r="E61" s="610" t="s">
        <v>524</v>
      </c>
      <c r="F61" s="610"/>
      <c r="G61" s="610"/>
      <c r="H61" s="611" t="s">
        <v>544</v>
      </c>
      <c r="I61" s="611"/>
      <c r="J61" s="451" t="s">
        <v>525</v>
      </c>
      <c r="K61" s="612" t="s">
        <v>526</v>
      </c>
      <c r="L61" s="612"/>
      <c r="M61" s="601" t="s">
        <v>438</v>
      </c>
      <c r="N61" s="602"/>
      <c r="O61" s="413" t="s">
        <v>483</v>
      </c>
      <c r="P61" s="342"/>
      <c r="Q61" s="342"/>
    </row>
    <row r="62" spans="1:25" ht="15.75">
      <c r="A62" s="608"/>
      <c r="B62" s="609"/>
      <c r="C62" s="609"/>
      <c r="D62" s="609"/>
      <c r="E62" s="603">
        <f>SUM('GA55 Only Print'!V6:V12)</f>
        <v>3500</v>
      </c>
      <c r="F62" s="613"/>
      <c r="G62" s="604"/>
      <c r="H62" s="603">
        <f>SUM('GA55 Only Print'!V13:V15)</f>
        <v>1500</v>
      </c>
      <c r="I62" s="604"/>
      <c r="J62" s="380">
        <f>SUM('GA55 Only Print'!V16)</f>
        <v>500</v>
      </c>
      <c r="K62" s="603">
        <f>SUM('GA55 Only Print'!V17)</f>
        <v>500</v>
      </c>
      <c r="L62" s="604"/>
      <c r="M62" s="603">
        <f>SUM('GA55 Only Print'!V18:V26)+'Extra deduc'!J20</f>
        <v>0</v>
      </c>
      <c r="N62" s="604"/>
      <c r="O62" s="386">
        <f>'Extra deduc'!J20+'GA55 Only Print'!V27</f>
        <v>6000</v>
      </c>
      <c r="P62" s="343"/>
      <c r="Q62" s="343"/>
    </row>
    <row r="63" spans="1:25" ht="15.75" customHeight="1" thickBot="1">
      <c r="A63" s="605" t="str">
        <f>IF(O60&gt;O62,"Income Tax Payable",IF(O60&lt;O62,"Income Tax Refundable","Income Tax Payble/Refundable"))</f>
        <v>Income Tax Payable</v>
      </c>
      <c r="B63" s="606"/>
      <c r="C63" s="606"/>
      <c r="D63" s="606"/>
      <c r="E63" s="606"/>
      <c r="F63" s="606"/>
      <c r="G63" s="606"/>
      <c r="H63" s="606"/>
      <c r="I63" s="606"/>
      <c r="J63" s="606"/>
      <c r="K63" s="606"/>
      <c r="L63" s="606"/>
      <c r="M63" s="606"/>
      <c r="N63" s="352" t="s">
        <v>158</v>
      </c>
      <c r="O63" s="387">
        <f>IF(O60&gt;O62,O60-O62,O62-O60)</f>
        <v>17487</v>
      </c>
      <c r="P63" s="333"/>
      <c r="Q63" s="333"/>
    </row>
    <row r="64" spans="1:25" ht="16.5" thickTop="1">
      <c r="A64" s="353"/>
      <c r="B64" s="353"/>
      <c r="C64" s="353"/>
      <c r="D64" s="353"/>
      <c r="E64" s="353"/>
      <c r="F64" s="353"/>
      <c r="G64" s="353"/>
      <c r="H64" s="353"/>
      <c r="I64" s="353"/>
      <c r="J64" s="353"/>
      <c r="K64" s="353"/>
      <c r="L64" s="353"/>
      <c r="M64" s="353"/>
      <c r="N64" s="354"/>
      <c r="O64" s="333"/>
      <c r="P64" s="333"/>
      <c r="Q64" s="333"/>
    </row>
    <row r="65" spans="1:25" ht="16.5">
      <c r="A65" s="277"/>
      <c r="B65" s="278"/>
      <c r="C65" s="278"/>
      <c r="D65" s="279"/>
      <c r="E65" s="278"/>
      <c r="F65" s="278"/>
      <c r="G65" s="278"/>
      <c r="H65" s="278"/>
      <c r="I65" s="278"/>
      <c r="J65" s="278"/>
      <c r="K65" s="278"/>
      <c r="L65" s="599" t="s">
        <v>197</v>
      </c>
      <c r="M65" s="599"/>
      <c r="N65" s="599"/>
      <c r="O65" s="276"/>
      <c r="P65" s="276"/>
      <c r="Q65" s="276"/>
    </row>
    <row r="66" spans="1:25" ht="16.5">
      <c r="A66" s="277"/>
      <c r="B66" s="278"/>
      <c r="C66" s="278"/>
      <c r="D66" s="279"/>
      <c r="E66" s="278"/>
      <c r="F66" s="278"/>
      <c r="G66" s="278"/>
      <c r="H66" s="278"/>
      <c r="I66" s="278"/>
      <c r="J66" s="278"/>
      <c r="K66" s="278"/>
      <c r="L66" s="280"/>
      <c r="M66" s="281"/>
      <c r="N66" s="282"/>
      <c r="O66" s="276"/>
      <c r="P66" s="276"/>
      <c r="Q66" s="276"/>
    </row>
    <row r="67" spans="1:25" ht="15.75">
      <c r="A67" s="283"/>
      <c r="B67" s="284"/>
      <c r="C67" s="284"/>
      <c r="D67" s="284"/>
      <c r="E67" s="284"/>
      <c r="F67" s="284"/>
      <c r="G67" s="284"/>
      <c r="H67" s="284"/>
      <c r="I67" s="284"/>
      <c r="J67" s="284"/>
      <c r="K67" s="284"/>
      <c r="L67" s="284"/>
      <c r="M67" s="284"/>
      <c r="N67" s="284"/>
      <c r="O67" s="285"/>
      <c r="P67" s="285"/>
      <c r="Q67" s="285"/>
      <c r="R67" s="84"/>
      <c r="S67" s="84"/>
      <c r="T67" s="84"/>
      <c r="U67" s="84"/>
      <c r="V67" s="84"/>
      <c r="W67" s="84"/>
      <c r="X67" s="84"/>
      <c r="Y67" s="84"/>
    </row>
    <row r="68" spans="1:25" ht="15.75">
      <c r="A68" s="286"/>
      <c r="B68" s="284"/>
      <c r="C68" s="284"/>
      <c r="D68" s="284"/>
      <c r="E68" s="284"/>
      <c r="F68" s="284"/>
      <c r="G68" s="284"/>
      <c r="H68" s="284"/>
      <c r="I68" s="284"/>
      <c r="J68" s="284"/>
      <c r="K68" s="284"/>
      <c r="L68" s="284"/>
      <c r="M68" s="284"/>
      <c r="N68" s="284"/>
      <c r="O68" s="285"/>
      <c r="P68" s="285"/>
      <c r="Q68" s="285"/>
      <c r="R68" s="84"/>
      <c r="S68" s="84"/>
      <c r="T68" s="84"/>
      <c r="U68" s="84"/>
      <c r="V68" s="84"/>
      <c r="W68" s="84"/>
      <c r="X68" s="84"/>
      <c r="Y68" s="84"/>
    </row>
    <row r="69" spans="1:25" ht="15.75">
      <c r="A69" s="283"/>
      <c r="B69" s="284"/>
      <c r="C69" s="284"/>
      <c r="D69" s="284"/>
      <c r="E69" s="284"/>
      <c r="F69" s="284"/>
      <c r="G69" s="284"/>
      <c r="H69" s="284"/>
      <c r="I69" s="284"/>
      <c r="J69" s="284"/>
      <c r="K69" s="284"/>
      <c r="L69" s="284"/>
      <c r="M69" s="284"/>
      <c r="N69" s="284"/>
      <c r="O69" s="285"/>
      <c r="P69" s="285"/>
      <c r="Q69" s="285"/>
      <c r="R69" s="84"/>
      <c r="S69" s="84"/>
      <c r="T69" s="84"/>
      <c r="U69" s="84"/>
      <c r="V69" s="84"/>
      <c r="W69" s="84"/>
      <c r="X69" s="84"/>
      <c r="Y69" s="84"/>
    </row>
    <row r="70" spans="1:25" ht="15.75">
      <c r="A70" s="283"/>
      <c r="B70" s="287"/>
      <c r="C70" s="287"/>
      <c r="D70" s="287"/>
      <c r="E70" s="287"/>
      <c r="F70" s="287"/>
      <c r="G70" s="287"/>
      <c r="H70" s="287"/>
      <c r="I70" s="288"/>
      <c r="J70" s="288"/>
      <c r="K70" s="288"/>
      <c r="L70" s="288"/>
      <c r="M70" s="288"/>
      <c r="N70" s="288"/>
      <c r="O70" s="285"/>
      <c r="P70" s="285"/>
      <c r="Q70" s="285"/>
      <c r="R70" s="84"/>
      <c r="S70" s="84"/>
      <c r="T70" s="84"/>
      <c r="U70" s="84"/>
      <c r="V70" s="84"/>
      <c r="W70" s="84"/>
      <c r="X70" s="84"/>
      <c r="Y70" s="84"/>
    </row>
    <row r="71" spans="1:25" ht="15.75">
      <c r="A71" s="283"/>
      <c r="B71" s="287"/>
      <c r="C71" s="287"/>
      <c r="D71" s="287"/>
      <c r="E71" s="287"/>
      <c r="F71" s="287"/>
      <c r="G71" s="287"/>
      <c r="H71" s="287"/>
      <c r="I71" s="288"/>
      <c r="J71" s="288"/>
      <c r="K71" s="288"/>
      <c r="L71" s="288"/>
      <c r="M71" s="288"/>
      <c r="N71" s="288"/>
      <c r="O71" s="285"/>
      <c r="P71" s="285"/>
      <c r="Q71" s="285"/>
      <c r="R71" s="84"/>
      <c r="S71" s="84"/>
      <c r="T71" s="84"/>
      <c r="U71" s="84"/>
      <c r="V71" s="84"/>
      <c r="W71" s="84"/>
      <c r="X71" s="84"/>
      <c r="Y71" s="84"/>
    </row>
    <row r="72" spans="1:25" ht="15.75">
      <c r="A72" s="283"/>
      <c r="B72" s="287"/>
      <c r="C72" s="287"/>
      <c r="D72" s="287"/>
      <c r="E72" s="287"/>
      <c r="F72" s="287"/>
      <c r="G72" s="287"/>
      <c r="H72" s="287"/>
      <c r="I72" s="288"/>
      <c r="J72" s="288"/>
      <c r="K72" s="288"/>
      <c r="L72" s="288"/>
      <c r="M72" s="288"/>
      <c r="N72" s="288"/>
      <c r="O72" s="285"/>
      <c r="P72" s="285"/>
      <c r="Q72" s="285"/>
      <c r="R72" s="84"/>
      <c r="S72" s="84"/>
      <c r="T72" s="84"/>
      <c r="U72" s="84"/>
      <c r="V72" s="84"/>
      <c r="W72" s="84"/>
      <c r="X72" s="84"/>
      <c r="Y72" s="84"/>
    </row>
    <row r="73" spans="1:25" ht="15.75">
      <c r="A73" s="283"/>
      <c r="B73" s="287"/>
      <c r="C73" s="287"/>
      <c r="D73" s="287"/>
      <c r="E73" s="287"/>
      <c r="F73" s="287"/>
      <c r="G73" s="287"/>
      <c r="H73" s="287"/>
      <c r="I73" s="288"/>
      <c r="J73" s="288"/>
      <c r="K73" s="288"/>
      <c r="L73" s="288"/>
      <c r="M73" s="288"/>
      <c r="N73" s="288"/>
      <c r="O73" s="285"/>
      <c r="P73" s="285"/>
      <c r="Q73" s="285"/>
      <c r="R73" s="84"/>
      <c r="S73" s="84"/>
      <c r="T73" s="84"/>
      <c r="U73" s="84"/>
      <c r="V73" s="84"/>
      <c r="W73" s="84"/>
      <c r="X73" s="84"/>
      <c r="Y73" s="84"/>
    </row>
    <row r="74" spans="1:25" ht="15.75">
      <c r="A74" s="283"/>
      <c r="B74" s="287"/>
      <c r="C74" s="287"/>
      <c r="D74" s="287"/>
      <c r="E74" s="287"/>
      <c r="F74" s="287"/>
      <c r="G74" s="287"/>
      <c r="H74" s="287"/>
      <c r="I74" s="288"/>
      <c r="J74" s="288"/>
      <c r="K74" s="288"/>
      <c r="L74" s="288"/>
      <c r="M74" s="288"/>
      <c r="N74" s="288"/>
      <c r="O74" s="285"/>
      <c r="P74" s="285"/>
      <c r="Q74" s="285"/>
      <c r="R74" s="84"/>
      <c r="S74" s="84"/>
      <c r="T74" s="84"/>
      <c r="U74" s="84"/>
      <c r="V74" s="84"/>
      <c r="W74" s="84"/>
      <c r="X74" s="84"/>
      <c r="Y74" s="84"/>
    </row>
    <row r="75" spans="1:25" ht="15.75">
      <c r="A75" s="286"/>
      <c r="B75" s="289"/>
      <c r="C75" s="290"/>
      <c r="D75" s="290"/>
      <c r="E75" s="290"/>
      <c r="F75" s="290"/>
      <c r="G75" s="290"/>
      <c r="H75" s="289"/>
      <c r="I75" s="288"/>
      <c r="J75" s="288"/>
      <c r="K75" s="288"/>
      <c r="L75" s="288"/>
      <c r="M75" s="288"/>
      <c r="N75" s="288"/>
      <c r="O75" s="285"/>
      <c r="P75" s="285"/>
      <c r="Q75" s="285"/>
      <c r="R75" s="84"/>
      <c r="S75" s="84"/>
      <c r="T75" s="84"/>
      <c r="U75" s="84"/>
      <c r="V75" s="84"/>
      <c r="W75" s="84"/>
      <c r="X75" s="84"/>
      <c r="Y75" s="84"/>
    </row>
    <row r="76" spans="1:25" s="86" customFormat="1" ht="15.75">
      <c r="A76" s="291"/>
      <c r="B76" s="292"/>
      <c r="C76" s="292"/>
      <c r="D76" s="292"/>
      <c r="E76" s="292"/>
      <c r="F76" s="292"/>
      <c r="G76" s="292"/>
      <c r="H76" s="292"/>
      <c r="I76" s="288"/>
      <c r="J76" s="288"/>
      <c r="K76" s="288"/>
      <c r="L76" s="288"/>
      <c r="M76" s="288"/>
      <c r="N76" s="288"/>
      <c r="O76" s="293"/>
      <c r="P76" s="293"/>
      <c r="Q76" s="293"/>
      <c r="R76" s="85"/>
      <c r="S76" s="85"/>
      <c r="T76" s="85"/>
      <c r="U76" s="85"/>
      <c r="V76" s="85"/>
      <c r="W76" s="85"/>
      <c r="X76" s="85"/>
      <c r="Y76" s="85"/>
    </row>
    <row r="77" spans="1:25" s="86" customFormat="1" ht="15.75">
      <c r="A77" s="291"/>
      <c r="B77" s="292"/>
      <c r="C77" s="292"/>
      <c r="D77" s="292"/>
      <c r="E77" s="292"/>
      <c r="F77" s="292"/>
      <c r="G77" s="292"/>
      <c r="H77" s="292"/>
      <c r="I77" s="292"/>
      <c r="J77" s="292"/>
      <c r="K77" s="292"/>
      <c r="L77" s="292"/>
      <c r="M77" s="294"/>
      <c r="N77" s="295"/>
      <c r="O77" s="293"/>
      <c r="P77" s="293"/>
      <c r="Q77" s="293"/>
      <c r="R77" s="85"/>
      <c r="S77" s="85"/>
      <c r="T77" s="85"/>
      <c r="U77" s="85"/>
      <c r="V77" s="85"/>
      <c r="W77" s="85"/>
      <c r="X77" s="85"/>
      <c r="Y77" s="85"/>
    </row>
    <row r="78" spans="1:25" s="86" customFormat="1" ht="15.75">
      <c r="A78" s="291"/>
      <c r="B78" s="292"/>
      <c r="C78" s="292"/>
      <c r="D78" s="292"/>
      <c r="E78" s="292"/>
      <c r="F78" s="292"/>
      <c r="G78" s="292"/>
      <c r="H78" s="292"/>
      <c r="I78" s="292"/>
      <c r="J78" s="292"/>
      <c r="K78" s="292"/>
      <c r="L78" s="292"/>
      <c r="M78" s="294"/>
      <c r="N78" s="295"/>
      <c r="O78" s="293"/>
      <c r="P78" s="293"/>
      <c r="Q78" s="293"/>
      <c r="R78" s="85"/>
      <c r="S78" s="85"/>
      <c r="T78" s="85"/>
      <c r="U78" s="85"/>
      <c r="V78" s="85"/>
      <c r="W78" s="85"/>
      <c r="X78" s="85"/>
      <c r="Y78" s="85"/>
    </row>
    <row r="79" spans="1:25" s="86" customFormat="1" ht="15.75">
      <c r="A79" s="291"/>
      <c r="B79" s="292"/>
      <c r="C79" s="292"/>
      <c r="D79" s="292"/>
      <c r="E79" s="292"/>
      <c r="F79" s="292"/>
      <c r="G79" s="292"/>
      <c r="H79" s="292"/>
      <c r="I79" s="292"/>
      <c r="J79" s="292"/>
      <c r="K79" s="292"/>
      <c r="L79" s="292"/>
      <c r="M79" s="294"/>
      <c r="N79" s="295"/>
      <c r="O79" s="293"/>
      <c r="P79" s="293"/>
      <c r="Q79" s="293"/>
      <c r="R79" s="85"/>
      <c r="S79" s="85"/>
      <c r="T79" s="85"/>
      <c r="U79" s="85"/>
      <c r="V79" s="85"/>
      <c r="W79" s="85"/>
      <c r="X79" s="85"/>
      <c r="Y79" s="85"/>
    </row>
    <row r="80" spans="1:25" s="86" customFormat="1" ht="15.75">
      <c r="A80" s="291"/>
      <c r="B80" s="292"/>
      <c r="C80" s="292"/>
      <c r="D80" s="292"/>
      <c r="E80" s="292"/>
      <c r="F80" s="292"/>
      <c r="G80" s="292"/>
      <c r="H80" s="292"/>
      <c r="I80" s="292"/>
      <c r="J80" s="292"/>
      <c r="K80" s="292"/>
      <c r="L80" s="296"/>
      <c r="M80" s="294"/>
      <c r="N80" s="297"/>
      <c r="O80" s="293"/>
      <c r="P80" s="293"/>
      <c r="Q80" s="293"/>
      <c r="R80" s="85"/>
      <c r="S80" s="85"/>
      <c r="T80" s="85"/>
      <c r="U80" s="85"/>
      <c r="V80" s="85"/>
      <c r="W80" s="85"/>
      <c r="X80" s="85"/>
      <c r="Y80" s="85"/>
    </row>
    <row r="81" spans="1:25" ht="15.75">
      <c r="A81" s="298"/>
      <c r="B81" s="299"/>
      <c r="C81" s="299"/>
      <c r="D81" s="299"/>
      <c r="E81" s="299"/>
      <c r="F81" s="299"/>
      <c r="G81" s="299"/>
      <c r="H81" s="299"/>
      <c r="I81" s="299"/>
      <c r="J81" s="299"/>
      <c r="K81" s="299"/>
      <c r="L81" s="299"/>
      <c r="M81" s="300"/>
      <c r="N81" s="301"/>
      <c r="O81" s="276"/>
      <c r="P81" s="276"/>
      <c r="Q81" s="276"/>
      <c r="R81" s="84"/>
      <c r="S81" s="84"/>
      <c r="T81" s="84"/>
      <c r="U81" s="84"/>
      <c r="V81" s="84"/>
      <c r="W81" s="84"/>
      <c r="X81" s="84"/>
      <c r="Y81" s="84"/>
    </row>
    <row r="82" spans="1:25">
      <c r="A82" s="302"/>
      <c r="B82" s="303"/>
      <c r="C82" s="303"/>
      <c r="D82" s="303"/>
      <c r="E82" s="303"/>
      <c r="F82" s="303"/>
      <c r="G82" s="303"/>
      <c r="H82" s="303"/>
      <c r="I82" s="303"/>
      <c r="J82" s="303"/>
      <c r="K82" s="303"/>
      <c r="L82" s="303"/>
      <c r="M82" s="303"/>
      <c r="N82" s="303"/>
      <c r="O82" s="303"/>
      <c r="P82" s="303"/>
      <c r="Q82" s="303"/>
      <c r="R82" s="84"/>
      <c r="S82" s="84"/>
      <c r="T82" s="84"/>
      <c r="U82" s="84"/>
      <c r="V82" s="84"/>
      <c r="W82" s="84"/>
      <c r="X82" s="84"/>
      <c r="Y82" s="84"/>
    </row>
    <row r="83" spans="1:25">
      <c r="A83" s="302"/>
      <c r="B83" s="303"/>
      <c r="C83" s="303"/>
      <c r="D83" s="303"/>
      <c r="E83" s="303"/>
      <c r="F83" s="303"/>
      <c r="G83" s="303"/>
      <c r="H83" s="303"/>
      <c r="I83" s="303"/>
      <c r="J83" s="303"/>
      <c r="K83" s="303"/>
      <c r="L83" s="303"/>
      <c r="M83" s="303"/>
      <c r="N83" s="303"/>
      <c r="O83" s="303"/>
      <c r="P83" s="303"/>
      <c r="Q83" s="303"/>
      <c r="R83" s="84"/>
      <c r="S83" s="84"/>
      <c r="T83" s="84"/>
      <c r="U83" s="84"/>
      <c r="V83" s="84"/>
      <c r="W83" s="84"/>
      <c r="X83" s="84"/>
      <c r="Y83" s="84"/>
    </row>
    <row r="84" spans="1:25">
      <c r="A84" s="302"/>
      <c r="B84" s="303"/>
      <c r="C84" s="303"/>
      <c r="D84" s="303"/>
      <c r="E84" s="303"/>
      <c r="F84" s="303"/>
      <c r="G84" s="303"/>
      <c r="H84" s="303"/>
      <c r="I84" s="303"/>
      <c r="J84" s="303"/>
      <c r="K84" s="303"/>
      <c r="L84" s="303"/>
      <c r="M84" s="303"/>
      <c r="N84" s="303"/>
      <c r="O84" s="303"/>
      <c r="P84" s="303"/>
      <c r="Q84" s="303"/>
      <c r="R84" s="84"/>
      <c r="S84" s="84"/>
      <c r="T84" s="84"/>
      <c r="U84" s="84"/>
      <c r="V84" s="84"/>
      <c r="W84" s="84"/>
      <c r="X84" s="84"/>
      <c r="Y84" s="84"/>
    </row>
    <row r="85" spans="1:25">
      <c r="B85" s="84"/>
      <c r="C85" s="84"/>
      <c r="D85" s="84"/>
      <c r="E85" s="84"/>
      <c r="F85" s="84"/>
      <c r="G85" s="84"/>
      <c r="H85" s="84"/>
      <c r="I85" s="84"/>
      <c r="J85" s="84"/>
      <c r="K85" s="84"/>
      <c r="L85" s="84"/>
      <c r="M85" s="84"/>
      <c r="N85" s="84"/>
      <c r="O85" s="84"/>
      <c r="P85" s="84"/>
      <c r="Q85" s="84"/>
      <c r="R85" s="84"/>
      <c r="S85" s="84"/>
      <c r="T85" s="84"/>
      <c r="U85" s="84"/>
      <c r="V85" s="84"/>
      <c r="W85" s="84"/>
      <c r="X85" s="84"/>
      <c r="Y85" s="84"/>
    </row>
  </sheetData>
  <sheetProtection password="C1FB" sheet="1" objects="1" scenarios="1" formatCells="0" formatColumns="0" formatRows="0" selectLockedCells="1"/>
  <customSheetViews>
    <customSheetView guid="{8E92581F-007A-4A12-99AF-FBD8FA5F0BC8}" hiddenColumns="1">
      <selection activeCell="R66" sqref="R66"/>
      <pageMargins left="0.55000000000000004" right="0.3" top="0.25" bottom="0.25" header="0.3" footer="0.3"/>
      <pageSetup paperSize="9" scale="87" orientation="portrait" r:id="rId1"/>
    </customSheetView>
  </customSheetViews>
  <mergeCells count="124">
    <mergeCell ref="J53:L53"/>
    <mergeCell ref="B54:M54"/>
    <mergeCell ref="C26:E26"/>
    <mergeCell ref="I26:K26"/>
    <mergeCell ref="C27:E27"/>
    <mergeCell ref="I27:K27"/>
    <mergeCell ref="B58:M58"/>
    <mergeCell ref="C57:M57"/>
    <mergeCell ref="B45:M45"/>
    <mergeCell ref="B46:M46"/>
    <mergeCell ref="B47:M47"/>
    <mergeCell ref="B51:D51"/>
    <mergeCell ref="B52:D52"/>
    <mergeCell ref="F52:H52"/>
    <mergeCell ref="J52:L52"/>
    <mergeCell ref="F51:H51"/>
    <mergeCell ref="J51:L51"/>
    <mergeCell ref="B55:M55"/>
    <mergeCell ref="B56:M56"/>
    <mergeCell ref="A35:A44"/>
    <mergeCell ref="B35:O35"/>
    <mergeCell ref="B36:M36"/>
    <mergeCell ref="B37:M37"/>
    <mergeCell ref="B38:M38"/>
    <mergeCell ref="B39:M39"/>
    <mergeCell ref="B40:M40"/>
    <mergeCell ref="B41:M41"/>
    <mergeCell ref="B42:M42"/>
    <mergeCell ref="B43:M43"/>
    <mergeCell ref="B44:M44"/>
    <mergeCell ref="A18:A34"/>
    <mergeCell ref="B18:O18"/>
    <mergeCell ref="B19:O19"/>
    <mergeCell ref="C20:E20"/>
    <mergeCell ref="I20:K20"/>
    <mergeCell ref="N20:O30"/>
    <mergeCell ref="C21:E21"/>
    <mergeCell ref="I21:K21"/>
    <mergeCell ref="C22:E22"/>
    <mergeCell ref="I22:K22"/>
    <mergeCell ref="C23:E23"/>
    <mergeCell ref="I23:K23"/>
    <mergeCell ref="C24:E24"/>
    <mergeCell ref="I24:K24"/>
    <mergeCell ref="C25:E25"/>
    <mergeCell ref="I25:K25"/>
    <mergeCell ref="A11:A13"/>
    <mergeCell ref="B11:H11"/>
    <mergeCell ref="I11:J11"/>
    <mergeCell ref="K11:M11"/>
    <mergeCell ref="N11:O13"/>
    <mergeCell ref="B12:C13"/>
    <mergeCell ref="D12:E12"/>
    <mergeCell ref="F12:H12"/>
    <mergeCell ref="I12:J12"/>
    <mergeCell ref="K12:M12"/>
    <mergeCell ref="D13:E13"/>
    <mergeCell ref="F13:H13"/>
    <mergeCell ref="I13:J13"/>
    <mergeCell ref="K13:M13"/>
    <mergeCell ref="A1:O1"/>
    <mergeCell ref="C2:F2"/>
    <mergeCell ref="D3:H3"/>
    <mergeCell ref="J3:L3"/>
    <mergeCell ref="N3:O3"/>
    <mergeCell ref="B4:M4"/>
    <mergeCell ref="B5:M5"/>
    <mergeCell ref="B6:M6"/>
    <mergeCell ref="A7:A9"/>
    <mergeCell ref="B7:J7"/>
    <mergeCell ref="K7:M7"/>
    <mergeCell ref="N7:O8"/>
    <mergeCell ref="B8:J8"/>
    <mergeCell ref="K8:M8"/>
    <mergeCell ref="B9:J9"/>
    <mergeCell ref="K9:M9"/>
    <mergeCell ref="R31:V36"/>
    <mergeCell ref="R4:V7"/>
    <mergeCell ref="B3:C3"/>
    <mergeCell ref="G2:H2"/>
    <mergeCell ref="I2:K2"/>
    <mergeCell ref="L2:M2"/>
    <mergeCell ref="C29:E29"/>
    <mergeCell ref="I29:K29"/>
    <mergeCell ref="B30:K30"/>
    <mergeCell ref="B31:M31"/>
    <mergeCell ref="B32:M32"/>
    <mergeCell ref="B33:M33"/>
    <mergeCell ref="B34:M34"/>
    <mergeCell ref="C28:E28"/>
    <mergeCell ref="I28:K28"/>
    <mergeCell ref="B10:M10"/>
    <mergeCell ref="B14:M14"/>
    <mergeCell ref="B17:M17"/>
    <mergeCell ref="J15:M15"/>
    <mergeCell ref="E15:G15"/>
    <mergeCell ref="B15:D15"/>
    <mergeCell ref="B16:D16"/>
    <mergeCell ref="E16:G16"/>
    <mergeCell ref="K16:M16"/>
    <mergeCell ref="B59:M59"/>
    <mergeCell ref="B60:M60"/>
    <mergeCell ref="L65:N65"/>
    <mergeCell ref="B50:D50"/>
    <mergeCell ref="M61:N61"/>
    <mergeCell ref="M62:N62"/>
    <mergeCell ref="A63:M63"/>
    <mergeCell ref="A61:A62"/>
    <mergeCell ref="B61:D62"/>
    <mergeCell ref="E61:G61"/>
    <mergeCell ref="H61:I61"/>
    <mergeCell ref="K61:L61"/>
    <mergeCell ref="E62:G62"/>
    <mergeCell ref="H62:I62"/>
    <mergeCell ref="K62:L62"/>
    <mergeCell ref="A48:A58"/>
    <mergeCell ref="B48:O48"/>
    <mergeCell ref="B49:E49"/>
    <mergeCell ref="F49:I49"/>
    <mergeCell ref="J49:M49"/>
    <mergeCell ref="F50:H50"/>
    <mergeCell ref="J50:L50"/>
    <mergeCell ref="B53:D53"/>
    <mergeCell ref="F53:H53"/>
  </mergeCells>
  <conditionalFormatting sqref="J66">
    <cfRule type="iconSet" priority="9">
      <iconSet iconSet="3TrafficLights2">
        <cfvo type="percent" val="0"/>
        <cfvo type="percent" val="33"/>
        <cfvo type="percent" val="67"/>
      </iconSet>
    </cfRule>
  </conditionalFormatting>
  <conditionalFormatting sqref="N67:R70">
    <cfRule type="iconSet" priority="5">
      <iconSet iconSet="3TrafficLights2">
        <cfvo type="percent" val="0"/>
        <cfvo type="percent" val="33"/>
        <cfvo type="percent" val="67"/>
      </iconSet>
    </cfRule>
  </conditionalFormatting>
  <conditionalFormatting sqref="B62:D62">
    <cfRule type="iconSet" priority="1">
      <iconSet iconSet="3TrafficLights2">
        <cfvo type="percent" val="0"/>
        <cfvo type="percent" val="&quot;Income Tax Payable&quot;"/>
        <cfvo type="formula" val="&quot;Income Tax Refundable&quot;"/>
      </iconSet>
    </cfRule>
    <cfRule type="iconSet" priority="3">
      <iconSet iconSet="3TrafficLights2">
        <cfvo type="percent" val="0"/>
        <cfvo type="percent" val="33"/>
        <cfvo type="percent" val="67"/>
      </iconSet>
    </cfRule>
  </conditionalFormatting>
  <pageMargins left="0.55000000000000004" right="0.3" top="0.25" bottom="0.25" header="0.3" footer="0.3"/>
  <pageSetup paperSize="9" scale="87" orientation="portrait" r:id="rId2"/>
  <drawing r:id="rId3"/>
</worksheet>
</file>

<file path=xl/worksheets/sheet8.xml><?xml version="1.0" encoding="utf-8"?>
<worksheet xmlns="http://schemas.openxmlformats.org/spreadsheetml/2006/main" xmlns:r="http://schemas.openxmlformats.org/officeDocument/2006/relationships">
  <sheetPr codeName="Sheet6">
    <tabColor rgb="FF5A285B"/>
  </sheetPr>
  <dimension ref="A1:Z32"/>
  <sheetViews>
    <sheetView workbookViewId="0">
      <selection activeCell="C4" sqref="C4:N4"/>
    </sheetView>
  </sheetViews>
  <sheetFormatPr defaultColWidth="0" defaultRowHeight="15" zeroHeight="1"/>
  <cols>
    <col min="1" max="11" width="8.7109375" style="4" customWidth="1"/>
    <col min="12" max="13" width="6.7109375" style="4" customWidth="1"/>
    <col min="14" max="26" width="8.85546875" style="4" customWidth="1"/>
    <col min="27" max="16384" width="8.85546875" style="4" hidden="1"/>
  </cols>
  <sheetData>
    <row r="1" spans="1:25">
      <c r="A1" s="700" t="s">
        <v>366</v>
      </c>
      <c r="B1" s="700"/>
      <c r="C1" s="700"/>
      <c r="D1" s="700"/>
      <c r="E1" s="700"/>
      <c r="F1" s="700"/>
      <c r="G1" s="700"/>
      <c r="H1" s="700"/>
      <c r="I1" s="700"/>
      <c r="J1" s="700"/>
      <c r="K1" s="700"/>
      <c r="L1" s="700"/>
      <c r="M1" s="700"/>
      <c r="N1" s="700"/>
      <c r="O1" s="304"/>
      <c r="P1" s="304"/>
    </row>
    <row r="2" spans="1:25">
      <c r="A2" s="701"/>
      <c r="B2" s="701"/>
      <c r="C2" s="701"/>
      <c r="D2" s="701"/>
      <c r="E2" s="701"/>
      <c r="F2" s="701"/>
      <c r="G2" s="701"/>
      <c r="H2" s="701"/>
      <c r="I2" s="701"/>
      <c r="J2" s="701"/>
      <c r="K2" s="701"/>
      <c r="L2" s="701"/>
      <c r="M2" s="701"/>
      <c r="N2" s="701"/>
      <c r="O2" s="304"/>
      <c r="P2" s="304"/>
    </row>
    <row r="3" spans="1:25" ht="18.75">
      <c r="A3" s="696" t="s">
        <v>367</v>
      </c>
      <c r="B3" s="696"/>
      <c r="C3" s="697" t="str">
        <f>IF(AND(Master!D9=""),"",UPPER(Master!D9))</f>
        <v>HEERA LAL JAT</v>
      </c>
      <c r="D3" s="697"/>
      <c r="E3" s="697"/>
      <c r="F3" s="697"/>
      <c r="G3" s="697"/>
      <c r="H3" s="697"/>
      <c r="I3" s="697"/>
      <c r="J3" s="697"/>
      <c r="K3" s="697"/>
      <c r="L3" s="697"/>
      <c r="M3" s="697"/>
      <c r="N3" s="697"/>
      <c r="O3" s="304"/>
      <c r="P3" s="304"/>
    </row>
    <row r="4" spans="1:25" ht="18.75">
      <c r="A4" s="696" t="s">
        <v>368</v>
      </c>
      <c r="B4" s="696"/>
      <c r="C4" s="699"/>
      <c r="D4" s="699"/>
      <c r="E4" s="699"/>
      <c r="F4" s="699"/>
      <c r="G4" s="699"/>
      <c r="H4" s="699"/>
      <c r="I4" s="699"/>
      <c r="J4" s="699"/>
      <c r="K4" s="699"/>
      <c r="L4" s="699"/>
      <c r="M4" s="699"/>
      <c r="N4" s="699"/>
      <c r="O4" s="304"/>
      <c r="P4" s="304"/>
    </row>
    <row r="5" spans="1:25" ht="18.75">
      <c r="A5" s="696" t="s">
        <v>157</v>
      </c>
      <c r="B5" s="696"/>
      <c r="C5" s="697" t="str">
        <f>IF(AND(Master!D12=""),"",UPPER(Master!D12))</f>
        <v>ADEPLXXXXX</v>
      </c>
      <c r="D5" s="697"/>
      <c r="E5" s="697"/>
      <c r="F5" s="697"/>
      <c r="G5" s="697"/>
      <c r="H5" s="698" t="s">
        <v>369</v>
      </c>
      <c r="I5" s="698"/>
      <c r="J5" s="699" t="s">
        <v>370</v>
      </c>
      <c r="K5" s="699"/>
      <c r="L5" s="699"/>
      <c r="M5" s="699"/>
      <c r="N5" s="699"/>
      <c r="O5" s="304"/>
      <c r="P5" s="304"/>
    </row>
    <row r="6" spans="1:25" ht="18.75">
      <c r="A6" s="305"/>
      <c r="B6" s="305"/>
      <c r="C6" s="305"/>
      <c r="D6" s="305"/>
      <c r="E6" s="305"/>
      <c r="F6" s="305"/>
      <c r="G6" s="305"/>
      <c r="H6" s="305"/>
      <c r="I6" s="305"/>
      <c r="J6" s="305"/>
      <c r="K6" s="305"/>
      <c r="L6" s="305"/>
      <c r="M6" s="305"/>
      <c r="N6" s="305"/>
      <c r="O6" s="304"/>
      <c r="P6" s="304"/>
    </row>
    <row r="7" spans="1:25" ht="18.75">
      <c r="A7" s="695" t="s">
        <v>560</v>
      </c>
      <c r="B7" s="695"/>
      <c r="C7" s="695"/>
      <c r="D7" s="695"/>
      <c r="E7" s="695"/>
      <c r="F7" s="695"/>
      <c r="G7" s="695"/>
      <c r="H7" s="695"/>
      <c r="I7" s="695"/>
      <c r="J7" s="695"/>
      <c r="K7" s="695"/>
      <c r="L7" s="695" t="s">
        <v>371</v>
      </c>
      <c r="M7" s="695"/>
      <c r="N7" s="695"/>
      <c r="O7" s="304"/>
      <c r="P7" s="304"/>
    </row>
    <row r="8" spans="1:25" ht="18.75">
      <c r="A8" s="677" t="s">
        <v>559</v>
      </c>
      <c r="B8" s="678"/>
      <c r="C8" s="678"/>
      <c r="D8" s="678"/>
      <c r="E8" s="678"/>
      <c r="F8" s="678"/>
      <c r="G8" s="678"/>
      <c r="H8" s="678"/>
      <c r="I8" s="678"/>
      <c r="J8" s="678"/>
      <c r="K8" s="679"/>
      <c r="L8" s="680">
        <v>157000</v>
      </c>
      <c r="M8" s="681"/>
      <c r="N8" s="681"/>
      <c r="O8" s="304"/>
      <c r="P8" s="304"/>
    </row>
    <row r="9" spans="1:25" ht="18.75">
      <c r="A9" s="682" t="s">
        <v>558</v>
      </c>
      <c r="B9" s="683"/>
      <c r="C9" s="683"/>
      <c r="D9" s="683"/>
      <c r="E9" s="683"/>
      <c r="F9" s="683"/>
      <c r="G9" s="683"/>
      <c r="H9" s="683"/>
      <c r="I9" s="683"/>
      <c r="J9" s="683"/>
      <c r="K9" s="684"/>
      <c r="L9" s="680">
        <v>132000</v>
      </c>
      <c r="M9" s="681"/>
      <c r="N9" s="681"/>
      <c r="O9" s="304"/>
      <c r="P9" s="304"/>
    </row>
    <row r="10" spans="1:25" ht="18.75">
      <c r="A10" s="695" t="s">
        <v>372</v>
      </c>
      <c r="B10" s="695"/>
      <c r="C10" s="695"/>
      <c r="D10" s="695"/>
      <c r="E10" s="695"/>
      <c r="F10" s="695"/>
      <c r="G10" s="695"/>
      <c r="H10" s="695"/>
      <c r="I10" s="695"/>
      <c r="J10" s="695"/>
      <c r="K10" s="695"/>
      <c r="L10" s="695" t="s">
        <v>371</v>
      </c>
      <c r="M10" s="695"/>
      <c r="N10" s="695"/>
      <c r="O10" s="304"/>
      <c r="P10" s="304"/>
    </row>
    <row r="11" spans="1:25" ht="18.75">
      <c r="A11" s="677" t="s">
        <v>375</v>
      </c>
      <c r="B11" s="678"/>
      <c r="C11" s="678"/>
      <c r="D11" s="678"/>
      <c r="E11" s="678"/>
      <c r="F11" s="678"/>
      <c r="G11" s="678"/>
      <c r="H11" s="678"/>
      <c r="I11" s="678"/>
      <c r="J11" s="678"/>
      <c r="K11" s="679"/>
      <c r="L11" s="680">
        <v>195000</v>
      </c>
      <c r="M11" s="681"/>
      <c r="N11" s="681"/>
      <c r="O11" s="304"/>
      <c r="P11" s="304"/>
    </row>
    <row r="12" spans="1:25" ht="18.75">
      <c r="A12" s="682" t="s">
        <v>534</v>
      </c>
      <c r="B12" s="683"/>
      <c r="C12" s="683"/>
      <c r="D12" s="683"/>
      <c r="E12" s="683"/>
      <c r="F12" s="683"/>
      <c r="G12" s="683"/>
      <c r="H12" s="683"/>
      <c r="I12" s="683"/>
      <c r="J12" s="683"/>
      <c r="K12" s="684"/>
      <c r="L12" s="680">
        <v>180000</v>
      </c>
      <c r="M12" s="681"/>
      <c r="N12" s="681"/>
      <c r="O12" s="304"/>
      <c r="P12" s="304"/>
    </row>
    <row r="13" spans="1:25" ht="19.5" thickBot="1">
      <c r="A13" s="688" t="s">
        <v>373</v>
      </c>
      <c r="B13" s="688"/>
      <c r="C13" s="688"/>
      <c r="D13" s="688"/>
      <c r="E13" s="688"/>
      <c r="F13" s="688"/>
      <c r="G13" s="688"/>
      <c r="H13" s="688"/>
      <c r="I13" s="688"/>
      <c r="J13" s="688"/>
      <c r="K13" s="688"/>
      <c r="L13" s="688" t="s">
        <v>371</v>
      </c>
      <c r="M13" s="688"/>
      <c r="N13" s="688"/>
      <c r="O13" s="304"/>
      <c r="P13" s="304"/>
    </row>
    <row r="14" spans="1:25" ht="21" thickBot="1">
      <c r="A14" s="677" t="s">
        <v>376</v>
      </c>
      <c r="B14" s="678"/>
      <c r="C14" s="678"/>
      <c r="D14" s="678"/>
      <c r="E14" s="678"/>
      <c r="F14" s="678"/>
      <c r="G14" s="678"/>
      <c r="H14" s="678"/>
      <c r="I14" s="678"/>
      <c r="J14" s="678"/>
      <c r="K14" s="679"/>
      <c r="L14" s="680">
        <v>225000</v>
      </c>
      <c r="M14" s="681"/>
      <c r="N14" s="681"/>
      <c r="O14" s="304"/>
      <c r="P14" s="304"/>
      <c r="S14" s="685" t="s">
        <v>478</v>
      </c>
      <c r="T14" s="686"/>
      <c r="U14" s="686"/>
      <c r="V14" s="686"/>
      <c r="W14" s="686"/>
      <c r="X14" s="686"/>
      <c r="Y14" s="687"/>
    </row>
    <row r="15" spans="1:25" ht="18.75">
      <c r="A15" s="682" t="s">
        <v>533</v>
      </c>
      <c r="B15" s="683"/>
      <c r="C15" s="683"/>
      <c r="D15" s="683"/>
      <c r="E15" s="683"/>
      <c r="F15" s="683"/>
      <c r="G15" s="683"/>
      <c r="H15" s="683"/>
      <c r="I15" s="683"/>
      <c r="J15" s="683"/>
      <c r="K15" s="684"/>
      <c r="L15" s="680">
        <v>110000</v>
      </c>
      <c r="M15" s="681"/>
      <c r="N15" s="681"/>
      <c r="O15" s="304"/>
      <c r="P15" s="304"/>
    </row>
    <row r="16" spans="1:25" ht="18.75">
      <c r="A16" s="688" t="s">
        <v>374</v>
      </c>
      <c r="B16" s="688"/>
      <c r="C16" s="688"/>
      <c r="D16" s="688"/>
      <c r="E16" s="688"/>
      <c r="F16" s="688"/>
      <c r="G16" s="688"/>
      <c r="H16" s="688"/>
      <c r="I16" s="688"/>
      <c r="J16" s="688"/>
      <c r="K16" s="688"/>
      <c r="L16" s="688" t="s">
        <v>371</v>
      </c>
      <c r="M16" s="688"/>
      <c r="N16" s="688"/>
      <c r="O16" s="304"/>
      <c r="P16" s="304"/>
    </row>
    <row r="17" spans="1:25" ht="18.75">
      <c r="A17" s="677" t="s">
        <v>454</v>
      </c>
      <c r="B17" s="678"/>
      <c r="C17" s="678"/>
      <c r="D17" s="678"/>
      <c r="E17" s="678"/>
      <c r="F17" s="678"/>
      <c r="G17" s="678"/>
      <c r="H17" s="678"/>
      <c r="I17" s="678"/>
      <c r="J17" s="678"/>
      <c r="K17" s="679"/>
      <c r="L17" s="680">
        <v>299000</v>
      </c>
      <c r="M17" s="681"/>
      <c r="N17" s="681"/>
      <c r="O17" s="304"/>
      <c r="P17" s="304"/>
    </row>
    <row r="18" spans="1:25" ht="18.75">
      <c r="A18" s="682" t="s">
        <v>532</v>
      </c>
      <c r="B18" s="683"/>
      <c r="C18" s="683"/>
      <c r="D18" s="683"/>
      <c r="E18" s="683"/>
      <c r="F18" s="683"/>
      <c r="G18" s="683"/>
      <c r="H18" s="683"/>
      <c r="I18" s="683"/>
      <c r="J18" s="683"/>
      <c r="K18" s="684"/>
      <c r="L18" s="680">
        <v>25000</v>
      </c>
      <c r="M18" s="681"/>
      <c r="N18" s="681"/>
      <c r="O18" s="304"/>
      <c r="P18" s="304"/>
    </row>
    <row r="19" spans="1:25" ht="18.75">
      <c r="A19" s="688" t="s">
        <v>453</v>
      </c>
      <c r="B19" s="688"/>
      <c r="C19" s="688"/>
      <c r="D19" s="688"/>
      <c r="E19" s="688"/>
      <c r="F19" s="688"/>
      <c r="G19" s="688"/>
      <c r="H19" s="688"/>
      <c r="I19" s="688"/>
      <c r="J19" s="688"/>
      <c r="K19" s="688"/>
      <c r="L19" s="688" t="s">
        <v>371</v>
      </c>
      <c r="M19" s="688"/>
      <c r="N19" s="688"/>
      <c r="O19" s="304"/>
      <c r="P19" s="304"/>
    </row>
    <row r="20" spans="1:25" ht="18.75">
      <c r="A20" s="677" t="s">
        <v>535</v>
      </c>
      <c r="B20" s="678"/>
      <c r="C20" s="678"/>
      <c r="D20" s="678"/>
      <c r="E20" s="678"/>
      <c r="F20" s="678"/>
      <c r="G20" s="678"/>
      <c r="H20" s="678"/>
      <c r="I20" s="678"/>
      <c r="J20" s="678"/>
      <c r="K20" s="679"/>
      <c r="L20" s="680">
        <v>310000</v>
      </c>
      <c r="M20" s="681"/>
      <c r="N20" s="681"/>
      <c r="O20" s="304"/>
      <c r="P20" s="304"/>
    </row>
    <row r="21" spans="1:25" ht="18.75">
      <c r="A21" s="682" t="s">
        <v>531</v>
      </c>
      <c r="B21" s="683"/>
      <c r="C21" s="683"/>
      <c r="D21" s="683"/>
      <c r="E21" s="683"/>
      <c r="F21" s="683"/>
      <c r="G21" s="683"/>
      <c r="H21" s="683"/>
      <c r="I21" s="683"/>
      <c r="J21" s="683"/>
      <c r="K21" s="684"/>
      <c r="L21" s="680">
        <v>2100</v>
      </c>
      <c r="M21" s="681"/>
      <c r="N21" s="681"/>
      <c r="O21" s="304"/>
      <c r="P21" s="304"/>
    </row>
    <row r="22" spans="1:25" ht="18.75">
      <c r="A22" s="688" t="s">
        <v>529</v>
      </c>
      <c r="B22" s="688"/>
      <c r="C22" s="688"/>
      <c r="D22" s="688"/>
      <c r="E22" s="688"/>
      <c r="F22" s="688"/>
      <c r="G22" s="688"/>
      <c r="H22" s="688"/>
      <c r="I22" s="688"/>
      <c r="J22" s="688"/>
      <c r="K22" s="688"/>
      <c r="L22" s="688" t="s">
        <v>371</v>
      </c>
      <c r="M22" s="688"/>
      <c r="N22" s="688"/>
      <c r="O22" s="304"/>
      <c r="P22" s="304"/>
    </row>
    <row r="23" spans="1:25" ht="33" customHeight="1">
      <c r="A23" s="689" t="s">
        <v>530</v>
      </c>
      <c r="B23" s="690"/>
      <c r="C23" s="690"/>
      <c r="D23" s="690"/>
      <c r="E23" s="690"/>
      <c r="F23" s="690"/>
      <c r="G23" s="690"/>
      <c r="H23" s="690"/>
      <c r="I23" s="690"/>
      <c r="J23" s="690"/>
      <c r="K23" s="691"/>
      <c r="L23" s="692">
        <f>COMPUTATION!O47</f>
        <v>550420</v>
      </c>
      <c r="M23" s="693"/>
      <c r="N23" s="694"/>
      <c r="O23" s="304"/>
      <c r="P23" s="304"/>
      <c r="Q23" s="306"/>
      <c r="R23" s="306"/>
      <c r="S23" s="306"/>
      <c r="T23" s="306"/>
      <c r="U23" s="306"/>
      <c r="V23" s="306"/>
      <c r="W23" s="306"/>
      <c r="X23" s="306"/>
      <c r="Y23" s="306"/>
    </row>
    <row r="24" spans="1:25">
      <c r="A24" s="304"/>
      <c r="B24" s="304"/>
      <c r="C24" s="304"/>
      <c r="D24" s="304"/>
      <c r="E24" s="304"/>
      <c r="F24" s="304"/>
      <c r="G24" s="304"/>
      <c r="H24" s="304"/>
      <c r="I24" s="304"/>
      <c r="J24" s="304"/>
      <c r="K24" s="304"/>
      <c r="L24" s="304"/>
      <c r="M24" s="304"/>
      <c r="N24" s="304"/>
      <c r="O24" s="304"/>
      <c r="P24" s="304"/>
    </row>
    <row r="25" spans="1:25">
      <c r="A25" s="304"/>
      <c r="B25" s="304"/>
      <c r="C25" s="304"/>
      <c r="D25" s="304"/>
      <c r="E25" s="304"/>
      <c r="F25" s="304"/>
      <c r="G25" s="304"/>
      <c r="H25" s="304"/>
      <c r="I25" s="304"/>
      <c r="J25" s="304"/>
      <c r="K25" s="304"/>
      <c r="L25" s="304"/>
      <c r="M25" s="304"/>
      <c r="N25" s="304"/>
      <c r="O25" s="304"/>
      <c r="P25" s="304"/>
    </row>
    <row r="26" spans="1:25">
      <c r="A26" s="304"/>
      <c r="B26" s="304"/>
      <c r="C26" s="304"/>
      <c r="D26" s="304"/>
      <c r="E26" s="304"/>
      <c r="F26" s="304"/>
      <c r="G26" s="304"/>
      <c r="H26" s="304"/>
      <c r="I26" s="304"/>
      <c r="J26" s="304"/>
      <c r="K26" s="304"/>
      <c r="L26" s="304"/>
      <c r="M26" s="304"/>
      <c r="N26" s="304"/>
      <c r="O26" s="304"/>
      <c r="P26" s="304"/>
    </row>
    <row r="27" spans="1:25">
      <c r="A27" s="304"/>
      <c r="B27" s="304"/>
      <c r="C27" s="304"/>
      <c r="D27" s="304"/>
      <c r="E27" s="304"/>
      <c r="F27" s="304"/>
      <c r="G27" s="304"/>
      <c r="H27" s="304"/>
      <c r="I27" s="304"/>
      <c r="J27" s="304"/>
      <c r="K27" s="304"/>
      <c r="L27" s="304"/>
      <c r="M27" s="304"/>
      <c r="N27" s="304"/>
      <c r="O27" s="304"/>
      <c r="P27" s="304"/>
    </row>
    <row r="28" spans="1:25">
      <c r="A28" s="304"/>
      <c r="B28" s="304"/>
      <c r="C28" s="304"/>
      <c r="D28" s="304"/>
      <c r="E28" s="304"/>
      <c r="F28" s="304"/>
      <c r="G28" s="304"/>
      <c r="H28" s="304"/>
      <c r="I28" s="304"/>
      <c r="J28" s="304"/>
      <c r="K28" s="304"/>
      <c r="L28" s="304"/>
      <c r="M28" s="304"/>
      <c r="N28" s="304"/>
      <c r="O28" s="304"/>
      <c r="P28" s="304"/>
    </row>
    <row r="29" spans="1:25">
      <c r="A29" s="304"/>
      <c r="B29" s="304"/>
      <c r="C29" s="304"/>
      <c r="D29" s="304"/>
      <c r="E29" s="304"/>
      <c r="F29" s="304"/>
      <c r="G29" s="304"/>
      <c r="H29" s="304"/>
      <c r="I29" s="304"/>
      <c r="J29" s="304"/>
      <c r="K29" s="304"/>
      <c r="L29" s="304"/>
      <c r="M29" s="304"/>
      <c r="N29" s="304"/>
      <c r="O29" s="304"/>
      <c r="P29" s="304"/>
    </row>
    <row r="30" spans="1:25"/>
    <row r="31" spans="1:25"/>
    <row r="32" spans="1:25"/>
  </sheetData>
  <sheetProtection password="C1FB" sheet="1" objects="1" scenarios="1" formatCells="0" formatColumns="0" formatRows="0" selectLockedCells="1"/>
  <customSheetViews>
    <customSheetView guid="{8E92581F-007A-4A12-99AF-FBD8FA5F0BC8}">
      <selection activeCell="C4" sqref="C4:N4"/>
      <pageMargins left="0.7" right="0.7" top="0.75" bottom="0.75" header="0.3" footer="0.3"/>
      <pageSetup orientation="portrait" r:id="rId1"/>
    </customSheetView>
  </customSheetViews>
  <mergeCells count="44">
    <mergeCell ref="A5:B5"/>
    <mergeCell ref="C5:G5"/>
    <mergeCell ref="H5:I5"/>
    <mergeCell ref="J5:N5"/>
    <mergeCell ref="A1:N2"/>
    <mergeCell ref="A3:B3"/>
    <mergeCell ref="C3:N3"/>
    <mergeCell ref="A4:B4"/>
    <mergeCell ref="C4:N4"/>
    <mergeCell ref="A18:K18"/>
    <mergeCell ref="L18:N18"/>
    <mergeCell ref="A7:K7"/>
    <mergeCell ref="L7:N7"/>
    <mergeCell ref="A11:K11"/>
    <mergeCell ref="L11:N11"/>
    <mergeCell ref="A12:K12"/>
    <mergeCell ref="L12:N12"/>
    <mergeCell ref="A15:K15"/>
    <mergeCell ref="L15:N15"/>
    <mergeCell ref="A16:K16"/>
    <mergeCell ref="L16:N16"/>
    <mergeCell ref="A17:K17"/>
    <mergeCell ref="L17:N17"/>
    <mergeCell ref="A10:K10"/>
    <mergeCell ref="L10:N10"/>
    <mergeCell ref="A22:K22"/>
    <mergeCell ref="L22:N22"/>
    <mergeCell ref="A23:K23"/>
    <mergeCell ref="L23:N23"/>
    <mergeCell ref="A19:K19"/>
    <mergeCell ref="L19:N19"/>
    <mergeCell ref="A20:K20"/>
    <mergeCell ref="L20:N20"/>
    <mergeCell ref="A21:K21"/>
    <mergeCell ref="L21:N21"/>
    <mergeCell ref="A8:K8"/>
    <mergeCell ref="L8:N8"/>
    <mergeCell ref="A9:K9"/>
    <mergeCell ref="L9:N9"/>
    <mergeCell ref="S14:Y14"/>
    <mergeCell ref="A13:K13"/>
    <mergeCell ref="L13:N13"/>
    <mergeCell ref="A14:K14"/>
    <mergeCell ref="L14:N14"/>
  </mergeCell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sheetPr codeName="Sheet7">
    <tabColor rgb="FF2A4A32"/>
  </sheetPr>
  <dimension ref="A1:AF39"/>
  <sheetViews>
    <sheetView workbookViewId="0">
      <selection activeCell="L11" sqref="L11:N11"/>
    </sheetView>
  </sheetViews>
  <sheetFormatPr defaultColWidth="0" defaultRowHeight="15" zeroHeight="1"/>
  <cols>
    <col min="1" max="1" width="6" style="123" customWidth="1"/>
    <col min="2" max="2" width="5.85546875" style="123" customWidth="1"/>
    <col min="3" max="6" width="6.7109375" style="123" customWidth="1"/>
    <col min="7" max="7" width="7.42578125" style="123" customWidth="1"/>
    <col min="8" max="8" width="8.28515625" style="123" customWidth="1"/>
    <col min="9" max="10" width="6.7109375" style="123" customWidth="1"/>
    <col min="11" max="12" width="6.42578125" style="123" customWidth="1"/>
    <col min="13" max="13" width="6.28515625" style="123" customWidth="1"/>
    <col min="14" max="14" width="6.140625" style="123" customWidth="1"/>
    <col min="15" max="19" width="8.85546875" style="123" customWidth="1"/>
    <col min="20" max="24" width="8.85546875" style="123" hidden="1" customWidth="1"/>
    <col min="25" max="25" width="9.140625" style="123" hidden="1" customWidth="1"/>
    <col min="26" max="32" width="0" style="123" hidden="1" customWidth="1"/>
    <col min="33" max="16384" width="8.85546875" style="123" hidden="1"/>
  </cols>
  <sheetData>
    <row r="1" spans="1:14" ht="18.75" customHeight="1">
      <c r="A1" s="740" t="s">
        <v>377</v>
      </c>
      <c r="B1" s="740"/>
      <c r="C1" s="740"/>
      <c r="D1" s="740"/>
      <c r="E1" s="740"/>
      <c r="F1" s="740"/>
      <c r="G1" s="740"/>
      <c r="H1" s="740"/>
      <c r="I1" s="740"/>
      <c r="J1" s="740"/>
      <c r="K1" s="740"/>
      <c r="L1" s="740"/>
      <c r="M1" s="740"/>
      <c r="N1" s="740"/>
    </row>
    <row r="2" spans="1:14" ht="42" customHeight="1">
      <c r="A2" s="741" t="s">
        <v>378</v>
      </c>
      <c r="B2" s="741"/>
      <c r="C2" s="741"/>
      <c r="D2" s="741"/>
      <c r="E2" s="741"/>
      <c r="F2" s="741"/>
      <c r="G2" s="741"/>
      <c r="H2" s="741"/>
      <c r="I2" s="741"/>
      <c r="J2" s="741"/>
      <c r="K2" s="741"/>
      <c r="L2" s="741"/>
      <c r="M2" s="741"/>
      <c r="N2" s="741"/>
    </row>
    <row r="3" spans="1:14" ht="15.75">
      <c r="A3" s="742" t="s">
        <v>367</v>
      </c>
      <c r="B3" s="742"/>
      <c r="C3" s="743" t="str">
        <f>UPPER(IF('89 (1) Form'!C3="","",'89 (1) Form'!C3))</f>
        <v>HEERA LAL JAT</v>
      </c>
      <c r="D3" s="743"/>
      <c r="E3" s="743"/>
      <c r="F3" s="743"/>
      <c r="G3" s="743"/>
      <c r="H3" s="743"/>
      <c r="I3" s="743"/>
      <c r="J3" s="743"/>
      <c r="K3" s="743"/>
      <c r="L3" s="743"/>
      <c r="M3" s="743"/>
      <c r="N3" s="743"/>
    </row>
    <row r="4" spans="1:14" ht="15.75">
      <c r="A4" s="742" t="s">
        <v>368</v>
      </c>
      <c r="B4" s="742"/>
      <c r="C4" s="743" t="str">
        <f>UPPER(IF('89 (1) Form'!C4="","",'89 (1) Form'!C4))</f>
        <v/>
      </c>
      <c r="D4" s="743"/>
      <c r="E4" s="743"/>
      <c r="F4" s="743"/>
      <c r="G4" s="743"/>
      <c r="H4" s="743"/>
      <c r="I4" s="743"/>
      <c r="J4" s="743"/>
      <c r="K4" s="743"/>
      <c r="L4" s="743"/>
      <c r="M4" s="743"/>
      <c r="N4" s="743"/>
    </row>
    <row r="5" spans="1:14" ht="17.25" customHeight="1">
      <c r="A5" s="742" t="s">
        <v>157</v>
      </c>
      <c r="B5" s="742"/>
      <c r="C5" s="743" t="str">
        <f>UPPER(IF('89 (1) Form'!C5="","",'89 (1) Form'!C5))</f>
        <v>ADEPLXXXXX</v>
      </c>
      <c r="D5" s="743"/>
      <c r="E5" s="743"/>
      <c r="F5" s="743"/>
      <c r="G5" s="743"/>
      <c r="H5" s="712" t="s">
        <v>369</v>
      </c>
      <c r="I5" s="712"/>
      <c r="J5" s="743" t="str">
        <f>UPPER(IF('89 (1) Form'!J5="","",'89 (1) Form'!J5))</f>
        <v xml:space="preserve">INDIAN RESIDENT </v>
      </c>
      <c r="K5" s="743"/>
      <c r="L5" s="743"/>
      <c r="M5" s="743"/>
      <c r="N5" s="743"/>
    </row>
    <row r="6" spans="1:14" ht="28.5" customHeight="1">
      <c r="A6" s="744" t="s">
        <v>379</v>
      </c>
      <c r="B6" s="744"/>
      <c r="C6" s="744"/>
      <c r="D6" s="744"/>
      <c r="E6" s="744"/>
      <c r="F6" s="744"/>
      <c r="G6" s="744"/>
      <c r="H6" s="744"/>
      <c r="I6" s="744"/>
      <c r="J6" s="744"/>
      <c r="K6" s="744"/>
      <c r="L6" s="744"/>
      <c r="M6" s="744"/>
      <c r="N6" s="744"/>
    </row>
    <row r="7" spans="1:14" ht="29.25" customHeight="1">
      <c r="A7" s="731" t="s">
        <v>477</v>
      </c>
      <c r="B7" s="731"/>
      <c r="C7" s="731"/>
      <c r="D7" s="731"/>
      <c r="E7" s="731"/>
      <c r="F7" s="731"/>
      <c r="G7" s="731"/>
      <c r="H7" s="731"/>
      <c r="I7" s="731"/>
      <c r="J7" s="731"/>
      <c r="K7" s="731"/>
      <c r="L7" s="737">
        <f>'89 (1) Form'!L12+'89 (1) Form'!L15+'89 (1) Form'!L18+'89 (1) Form'!L21</f>
        <v>317100</v>
      </c>
      <c r="M7" s="738"/>
      <c r="N7" s="739"/>
    </row>
    <row r="8" spans="1:14" ht="29.25" customHeight="1">
      <c r="A8" s="731" t="s">
        <v>380</v>
      </c>
      <c r="B8" s="731"/>
      <c r="C8" s="731"/>
      <c r="D8" s="731"/>
      <c r="E8" s="731"/>
      <c r="F8" s="731"/>
      <c r="G8" s="731"/>
      <c r="H8" s="731"/>
      <c r="I8" s="731"/>
      <c r="J8" s="731"/>
      <c r="K8" s="731"/>
      <c r="L8" s="732" t="s">
        <v>381</v>
      </c>
      <c r="M8" s="733"/>
      <c r="N8" s="734"/>
    </row>
    <row r="9" spans="1:14" ht="40.5" customHeight="1">
      <c r="A9" s="731" t="s">
        <v>382</v>
      </c>
      <c r="B9" s="731"/>
      <c r="C9" s="731"/>
      <c r="D9" s="731"/>
      <c r="E9" s="731"/>
      <c r="F9" s="731"/>
      <c r="G9" s="731"/>
      <c r="H9" s="731"/>
      <c r="I9" s="731"/>
      <c r="J9" s="731"/>
      <c r="K9" s="731"/>
      <c r="L9" s="732" t="s">
        <v>381</v>
      </c>
      <c r="M9" s="733"/>
      <c r="N9" s="734"/>
    </row>
    <row r="10" spans="1:14" ht="27.75" customHeight="1">
      <c r="A10" s="731" t="s">
        <v>383</v>
      </c>
      <c r="B10" s="731"/>
      <c r="C10" s="731"/>
      <c r="D10" s="731"/>
      <c r="E10" s="731"/>
      <c r="F10" s="731"/>
      <c r="G10" s="731"/>
      <c r="H10" s="731"/>
      <c r="I10" s="731"/>
      <c r="J10" s="731"/>
      <c r="K10" s="731"/>
      <c r="L10" s="732" t="s">
        <v>381</v>
      </c>
      <c r="M10" s="733"/>
      <c r="N10" s="734"/>
    </row>
    <row r="11" spans="1:14" ht="27.75" customHeight="1">
      <c r="A11" s="731" t="s">
        <v>384</v>
      </c>
      <c r="B11" s="731"/>
      <c r="C11" s="731"/>
      <c r="D11" s="731"/>
      <c r="E11" s="731"/>
      <c r="F11" s="731"/>
      <c r="G11" s="731"/>
      <c r="H11" s="731"/>
      <c r="I11" s="731"/>
      <c r="J11" s="731"/>
      <c r="K11" s="731"/>
      <c r="L11" s="732" t="s">
        <v>385</v>
      </c>
      <c r="M11" s="733"/>
      <c r="N11" s="734"/>
    </row>
    <row r="12" spans="1:14" ht="18" customHeight="1">
      <c r="A12" s="735" t="s">
        <v>386</v>
      </c>
      <c r="B12" s="735"/>
      <c r="C12" s="735"/>
      <c r="D12" s="735"/>
      <c r="E12" s="735"/>
      <c r="F12" s="735"/>
      <c r="G12" s="735"/>
      <c r="H12" s="735"/>
      <c r="I12" s="735"/>
      <c r="J12" s="735"/>
      <c r="K12" s="735"/>
      <c r="L12" s="735"/>
      <c r="M12" s="735"/>
      <c r="N12" s="735"/>
    </row>
    <row r="13" spans="1:14">
      <c r="A13" s="307" t="s">
        <v>387</v>
      </c>
      <c r="B13" s="736" t="str">
        <f>UPPER(IF('89 (1) Form'!C3="","",'89 (1) Form'!C3))</f>
        <v>HEERA LAL JAT</v>
      </c>
      <c r="C13" s="736"/>
      <c r="D13" s="736"/>
      <c r="E13" s="736"/>
      <c r="F13" s="730" t="s">
        <v>388</v>
      </c>
      <c r="G13" s="730"/>
      <c r="H13" s="730"/>
      <c r="I13" s="730"/>
      <c r="J13" s="730"/>
      <c r="K13" s="730"/>
      <c r="L13" s="730"/>
      <c r="M13" s="730"/>
      <c r="N13" s="730"/>
    </row>
    <row r="14" spans="1:14">
      <c r="A14" s="730" t="s">
        <v>389</v>
      </c>
      <c r="B14" s="730"/>
      <c r="C14" s="730"/>
      <c r="D14" s="730"/>
    </row>
    <row r="15" spans="1:14">
      <c r="A15" s="719" t="s">
        <v>390</v>
      </c>
      <c r="B15" s="719"/>
      <c r="C15" s="719"/>
      <c r="D15" s="720">
        <f ca="1">TODAY()</f>
        <v>43821</v>
      </c>
      <c r="E15" s="721"/>
    </row>
    <row r="16" spans="1:14">
      <c r="A16" s="123" t="s">
        <v>391</v>
      </c>
      <c r="B16" s="722"/>
      <c r="C16" s="722"/>
    </row>
    <row r="17" spans="1:29">
      <c r="A17" s="123" t="s">
        <v>392</v>
      </c>
      <c r="B17" s="723"/>
      <c r="C17" s="724"/>
      <c r="K17" s="725" t="s">
        <v>393</v>
      </c>
      <c r="L17" s="725"/>
      <c r="M17" s="725"/>
      <c r="N17" s="725"/>
    </row>
    <row r="18" spans="1:29" ht="8.25" customHeight="1"/>
    <row r="19" spans="1:29" ht="15.75">
      <c r="A19" s="726" t="s">
        <v>394</v>
      </c>
      <c r="B19" s="726"/>
      <c r="C19" s="726"/>
      <c r="D19" s="726"/>
      <c r="E19" s="726"/>
      <c r="F19" s="726"/>
      <c r="G19" s="726"/>
      <c r="H19" s="726"/>
      <c r="I19" s="726"/>
      <c r="J19" s="726"/>
      <c r="K19" s="726"/>
      <c r="L19" s="726"/>
      <c r="M19" s="726"/>
      <c r="N19" s="726"/>
      <c r="Z19" s="123">
        <f>ROUND(IF(L23&lt;=250000,0,IF(L23&gt;=500000,12500,IF(L23&lt;=500000,0+(L23-250000)*0.05))),0)</f>
        <v>12500</v>
      </c>
      <c r="AC19" s="123">
        <f>ROUND(Z19*3%,0)</f>
        <v>375</v>
      </c>
    </row>
    <row r="20" spans="1:29">
      <c r="A20" s="308"/>
      <c r="B20" s="308"/>
      <c r="C20" s="308"/>
      <c r="D20" s="308"/>
      <c r="E20" s="727" t="s">
        <v>395</v>
      </c>
      <c r="F20" s="727"/>
      <c r="G20" s="727"/>
      <c r="H20" s="727"/>
      <c r="I20" s="727"/>
      <c r="J20" s="727"/>
      <c r="K20" s="308"/>
      <c r="L20" s="308"/>
      <c r="M20" s="308"/>
      <c r="N20" s="308"/>
    </row>
    <row r="21" spans="1:29" ht="18.95" customHeight="1">
      <c r="A21" s="713" t="s">
        <v>396</v>
      </c>
      <c r="B21" s="713"/>
      <c r="C21" s="713"/>
      <c r="D21" s="713"/>
      <c r="E21" s="713"/>
      <c r="F21" s="713"/>
      <c r="G21" s="713"/>
      <c r="H21" s="713"/>
      <c r="I21" s="713"/>
      <c r="J21" s="713"/>
      <c r="K21" s="713"/>
      <c r="L21" s="728">
        <f>L23-L22</f>
        <v>233320</v>
      </c>
      <c r="M21" s="728"/>
      <c r="N21" s="728"/>
      <c r="Z21" s="123">
        <f>ROUND(IF(L23&lt;=500000,0,IF(L23&gt;=1000000,100000,IF(L23&lt;=1000000,(L23-500000)*0.2,"0"))),0)</f>
        <v>10084</v>
      </c>
      <c r="AC21" s="123">
        <f>ROUND(Z21*3%,0)</f>
        <v>303</v>
      </c>
    </row>
    <row r="22" spans="1:29" ht="18.95" customHeight="1">
      <c r="A22" s="713" t="s">
        <v>397</v>
      </c>
      <c r="B22" s="713"/>
      <c r="C22" s="713"/>
      <c r="D22" s="713"/>
      <c r="E22" s="713"/>
      <c r="F22" s="713"/>
      <c r="G22" s="713"/>
      <c r="H22" s="713"/>
      <c r="I22" s="713"/>
      <c r="J22" s="713"/>
      <c r="K22" s="713"/>
      <c r="L22" s="729">
        <f>L7</f>
        <v>317100</v>
      </c>
      <c r="M22" s="729"/>
      <c r="N22" s="729"/>
      <c r="Z22" s="123">
        <f>ROUND(IF(L23&gt;1000000,(L23-1000000)*0.3,"0"),0)</f>
        <v>0</v>
      </c>
      <c r="AC22" s="123">
        <f>ROUND(Z22*3%,0)</f>
        <v>0</v>
      </c>
    </row>
    <row r="23" spans="1:29" ht="18.95" customHeight="1">
      <c r="A23" s="715" t="s">
        <v>398</v>
      </c>
      <c r="B23" s="715"/>
      <c r="C23" s="715"/>
      <c r="D23" s="715"/>
      <c r="E23" s="715"/>
      <c r="F23" s="715"/>
      <c r="G23" s="715"/>
      <c r="H23" s="715"/>
      <c r="I23" s="715"/>
      <c r="J23" s="715"/>
      <c r="K23" s="715"/>
      <c r="L23" s="718">
        <f>'89 (1) Form'!L23</f>
        <v>550420</v>
      </c>
      <c r="M23" s="718"/>
      <c r="N23" s="718"/>
      <c r="Z23" s="123">
        <f>ROUND(IF(L23&lt;=250000,0,IF(L23&lt;=500000,(L23-250000)*0.05,IF(L23&lt;=1000000,12500+(L23-500000)*0.2,IF(L23&gt;1000000,112500+(L23-1000000)*0.3,"0")))),0)</f>
        <v>22584</v>
      </c>
      <c r="AA23" s="123">
        <f>IF(AND(L23=0),0,ROUND(IF(AND(L23&lt;=500000),Z23-12500,Z23),0))</f>
        <v>22584</v>
      </c>
      <c r="AB23" s="123">
        <f>ROUND(IF(AND(AA23&lt;=0),0,AA23),0)</f>
        <v>22584</v>
      </c>
      <c r="AC23" s="123">
        <f>ROUND(AB23*4%,0)</f>
        <v>903</v>
      </c>
    </row>
    <row r="24" spans="1:29" ht="18.95" customHeight="1">
      <c r="A24" s="713" t="s">
        <v>399</v>
      </c>
      <c r="B24" s="713"/>
      <c r="C24" s="713"/>
      <c r="D24" s="713"/>
      <c r="E24" s="713"/>
      <c r="F24" s="713"/>
      <c r="G24" s="713"/>
      <c r="H24" s="713"/>
      <c r="I24" s="713"/>
      <c r="J24" s="713"/>
      <c r="K24" s="713"/>
      <c r="L24" s="717">
        <f>AB23+AC23</f>
        <v>23487</v>
      </c>
      <c r="M24" s="717"/>
      <c r="N24" s="717"/>
      <c r="Z24" s="123">
        <f>ROUND(IF(L21&lt;=250000,0,IF(L21&lt;=500000,(L21-250000)*0.05,IF(L21&lt;=1000000,12500+(L21-500000)*0.2,IF(L21&gt;1000000,112500+(L21-1000000)*0.3,"0")))),0)</f>
        <v>0</v>
      </c>
      <c r="AA24" s="123">
        <f>ROUND(IF(AND(L21&lt;=350000),Z24-2500,Z24),0)</f>
        <v>-2500</v>
      </c>
      <c r="AB24" s="123">
        <f>ROUND(IF(AND(AA24&lt;=0),0,AA24),0)</f>
        <v>0</v>
      </c>
      <c r="AC24" s="123">
        <f>ROUND(AB24*3%,0)</f>
        <v>0</v>
      </c>
    </row>
    <row r="25" spans="1:29" ht="18.95" customHeight="1">
      <c r="A25" s="713" t="s">
        <v>400</v>
      </c>
      <c r="B25" s="713"/>
      <c r="C25" s="713"/>
      <c r="D25" s="713"/>
      <c r="E25" s="713"/>
      <c r="F25" s="713"/>
      <c r="G25" s="713"/>
      <c r="H25" s="713"/>
      <c r="I25" s="713"/>
      <c r="J25" s="713"/>
      <c r="K25" s="713"/>
      <c r="L25" s="718">
        <f>AB24+AC24</f>
        <v>0</v>
      </c>
      <c r="M25" s="718"/>
      <c r="N25" s="718"/>
    </row>
    <row r="26" spans="1:29" ht="18.95" customHeight="1">
      <c r="A26" s="713" t="s">
        <v>401</v>
      </c>
      <c r="B26" s="713"/>
      <c r="C26" s="713"/>
      <c r="D26" s="713"/>
      <c r="E26" s="713"/>
      <c r="F26" s="713"/>
      <c r="G26" s="713"/>
      <c r="H26" s="713"/>
      <c r="I26" s="713"/>
      <c r="J26" s="713"/>
      <c r="K26" s="713"/>
      <c r="L26" s="718">
        <f>L24-L25</f>
        <v>23487</v>
      </c>
      <c r="M26" s="718"/>
      <c r="N26" s="718"/>
    </row>
    <row r="27" spans="1:29" ht="18.95" customHeight="1">
      <c r="A27" s="713" t="s">
        <v>402</v>
      </c>
      <c r="B27" s="713"/>
      <c r="C27" s="713"/>
      <c r="D27" s="713"/>
      <c r="E27" s="713"/>
      <c r="F27" s="713"/>
      <c r="G27" s="713"/>
      <c r="H27" s="713"/>
      <c r="I27" s="713"/>
      <c r="J27" s="713"/>
      <c r="K27" s="713"/>
      <c r="L27" s="714">
        <f>M38</f>
        <v>17722</v>
      </c>
      <c r="M27" s="714"/>
      <c r="N27" s="714"/>
    </row>
    <row r="28" spans="1:29" ht="25.5" customHeight="1">
      <c r="A28" s="715" t="s">
        <v>403</v>
      </c>
      <c r="B28" s="715"/>
      <c r="C28" s="715"/>
      <c r="D28" s="715"/>
      <c r="E28" s="715"/>
      <c r="F28" s="715"/>
      <c r="G28" s="715"/>
      <c r="H28" s="715"/>
      <c r="I28" s="715"/>
      <c r="J28" s="715"/>
      <c r="K28" s="715"/>
      <c r="L28" s="716">
        <f>L26-L27</f>
        <v>5765</v>
      </c>
      <c r="M28" s="716"/>
      <c r="N28" s="716"/>
    </row>
    <row r="29" spans="1:29" ht="6.75" customHeight="1"/>
    <row r="30" spans="1:29">
      <c r="A30" s="702" t="s">
        <v>404</v>
      </c>
      <c r="B30" s="702"/>
      <c r="C30" s="702"/>
      <c r="D30" s="702"/>
      <c r="E30" s="702"/>
      <c r="F30" s="702"/>
      <c r="G30" s="702"/>
      <c r="H30" s="702"/>
      <c r="I30" s="702"/>
      <c r="J30" s="702"/>
      <c r="K30" s="702"/>
      <c r="L30" s="702"/>
      <c r="M30" s="702"/>
      <c r="N30" s="702"/>
    </row>
    <row r="31" spans="1:29" s="309" customFormat="1" ht="108.75" customHeight="1">
      <c r="A31" s="711" t="s">
        <v>405</v>
      </c>
      <c r="B31" s="711"/>
      <c r="C31" s="711" t="s">
        <v>406</v>
      </c>
      <c r="D31" s="711"/>
      <c r="E31" s="711" t="s">
        <v>407</v>
      </c>
      <c r="F31" s="711"/>
      <c r="G31" s="711" t="s">
        <v>408</v>
      </c>
      <c r="H31" s="711"/>
      <c r="I31" s="711" t="s">
        <v>409</v>
      </c>
      <c r="J31" s="711"/>
      <c r="K31" s="711" t="s">
        <v>410</v>
      </c>
      <c r="L31" s="711"/>
      <c r="M31" s="711" t="s">
        <v>411</v>
      </c>
      <c r="N31" s="711"/>
    </row>
    <row r="32" spans="1:29">
      <c r="A32" s="712">
        <v>1</v>
      </c>
      <c r="B32" s="712"/>
      <c r="C32" s="712">
        <v>2</v>
      </c>
      <c r="D32" s="712"/>
      <c r="E32" s="712">
        <v>3</v>
      </c>
      <c r="F32" s="712"/>
      <c r="G32" s="712">
        <v>4</v>
      </c>
      <c r="H32" s="712"/>
      <c r="I32" s="712">
        <v>5</v>
      </c>
      <c r="J32" s="712"/>
      <c r="K32" s="712">
        <v>6</v>
      </c>
      <c r="L32" s="712"/>
      <c r="M32" s="712">
        <v>7</v>
      </c>
      <c r="N32" s="712"/>
    </row>
    <row r="33" spans="1:31">
      <c r="A33" s="703" t="s">
        <v>561</v>
      </c>
      <c r="B33" s="703"/>
      <c r="C33" s="704">
        <f>ROUND('89 (1) Form'!L8,-1)</f>
        <v>157000</v>
      </c>
      <c r="D33" s="702"/>
      <c r="E33" s="704">
        <f>ROUND('89 (1) Form'!L9,-1)</f>
        <v>132000</v>
      </c>
      <c r="F33" s="702"/>
      <c r="G33" s="704">
        <f>C33+E33</f>
        <v>289000</v>
      </c>
      <c r="H33" s="702"/>
      <c r="I33" s="702">
        <f>Z33+AD33</f>
        <v>0</v>
      </c>
      <c r="J33" s="702"/>
      <c r="K33" s="702">
        <f>AC33+AE33</f>
        <v>1957</v>
      </c>
      <c r="L33" s="702"/>
      <c r="M33" s="702">
        <f>K33-I33</f>
        <v>1957</v>
      </c>
      <c r="N33" s="702"/>
      <c r="Z33" s="123">
        <f>ROUND(IF(C33&lt;=270000,0,IF(C33&lt;=500000,(C33-270000)*0.1,IF(C33&lt;=1000000,23000+(C33-500000)*0.2,IF(C33&gt;1000000,123000+(C33-1000000)*0.3,"0")))),0)</f>
        <v>0</v>
      </c>
      <c r="AC33" s="123">
        <f>ROUND(IF(G33&lt;=270000,0,IF(G33&lt;=500000,(G33-270000)*0.1,IF(G33&lt;=1000000,23000+(G33-500000)*0.2,IF(G33&gt;1000000,123000+(G33-1000000)*0.3,"0")))),0)</f>
        <v>1900</v>
      </c>
      <c r="AD33" s="123">
        <f>ROUND(Z33*3%,0)</f>
        <v>0</v>
      </c>
      <c r="AE33" s="118">
        <f>ROUND(AC33*3%,0)</f>
        <v>57</v>
      </c>
    </row>
    <row r="34" spans="1:31" s="118" customFormat="1" ht="18.95" customHeight="1">
      <c r="A34" s="703" t="s">
        <v>412</v>
      </c>
      <c r="B34" s="703"/>
      <c r="C34" s="704">
        <f>ROUND('89 (1) Form'!L11,-1)</f>
        <v>195000</v>
      </c>
      <c r="D34" s="702"/>
      <c r="E34" s="704">
        <f>ROUND('89 (1) Form'!L12,-1)</f>
        <v>180000</v>
      </c>
      <c r="F34" s="702"/>
      <c r="G34" s="704">
        <f>C34+E34</f>
        <v>375000</v>
      </c>
      <c r="H34" s="702"/>
      <c r="I34" s="702">
        <f>Z34+AD34</f>
        <v>0</v>
      </c>
      <c r="J34" s="702"/>
      <c r="K34" s="702">
        <f>AC34+AE34</f>
        <v>10815</v>
      </c>
      <c r="L34" s="702"/>
      <c r="M34" s="702">
        <f>K34-I34</f>
        <v>10815</v>
      </c>
      <c r="N34" s="702"/>
      <c r="Z34" s="118">
        <f>ROUND(IF(C34&lt;=270000,0,IF(C34&lt;=500000,(C34-270000)*0.1,IF(C34&lt;=1000000,23000+(C34-500000)*0.2,IF(C34&gt;1000000,123000+(C34-1000000)*0.3,"0")))),0)</f>
        <v>0</v>
      </c>
      <c r="AC34" s="118">
        <f>ROUND(IF(G34&lt;=270000,0,IF(G34&lt;=500000,(G34-270000)*0.1,IF(G34&lt;=1000000,23000+(G34-500000)*0.2,IF(G34&gt;1000000,123000+(G34-1000000)*0.3,"0")))),0)</f>
        <v>10500</v>
      </c>
      <c r="AD34" s="118">
        <f>ROUND(Z34*3%,0)</f>
        <v>0</v>
      </c>
      <c r="AE34" s="118">
        <f>ROUND(AC34*3%,0)</f>
        <v>315</v>
      </c>
    </row>
    <row r="35" spans="1:31" s="118" customFormat="1" ht="18.95" customHeight="1">
      <c r="A35" s="703" t="s">
        <v>413</v>
      </c>
      <c r="B35" s="703"/>
      <c r="C35" s="704">
        <f>ROUND('89 (1) Form'!L14,-1)</f>
        <v>225000</v>
      </c>
      <c r="D35" s="702"/>
      <c r="E35" s="704">
        <f>ROUND('89 (1) Form'!L15,-1)</f>
        <v>110000</v>
      </c>
      <c r="F35" s="702"/>
      <c r="G35" s="704">
        <f t="shared" ref="G35:G36" si="0">C35+E35</f>
        <v>335000</v>
      </c>
      <c r="H35" s="702"/>
      <c r="I35" s="702">
        <f t="shared" ref="I35" si="1">Z35+AD35</f>
        <v>0</v>
      </c>
      <c r="J35" s="702"/>
      <c r="K35" s="702">
        <f t="shared" ref="K35" si="2">AC35+AE35</f>
        <v>3605</v>
      </c>
      <c r="L35" s="702"/>
      <c r="M35" s="702">
        <f t="shared" ref="M35" si="3">K35-I35</f>
        <v>3605</v>
      </c>
      <c r="N35" s="702"/>
      <c r="Z35" s="118">
        <f>ROUND(IF(C35&lt;=300000,0,IF(C35&lt;=500000,(C35-300000)*0.1,IF(C35&lt;=1000000,20000+(C35-500000)*0.2,IF(C35&gt;1000000,120000+(C35-1000000)*0.3,"0")))),0)</f>
        <v>0</v>
      </c>
      <c r="AC35" s="118">
        <f>ROUND(IF(G35&lt;=300000,0,IF(G35&lt;=500000,(G35-300000)*0.1,IF(G35&lt;=1000000,20000+(G35-500000)*0.2,IF(G35&gt;1000000,120000+(G35-1000000)*0.3,"0")))),0)</f>
        <v>3500</v>
      </c>
      <c r="AD35" s="118">
        <f>ROUND(Z35*3%,0)</f>
        <v>0</v>
      </c>
      <c r="AE35" s="118">
        <f t="shared" ref="AE35" si="4">ROUND(AC35*3%,0)</f>
        <v>105</v>
      </c>
    </row>
    <row r="36" spans="1:31" s="118" customFormat="1" ht="18.95" customHeight="1">
      <c r="A36" s="703" t="s">
        <v>479</v>
      </c>
      <c r="B36" s="703"/>
      <c r="C36" s="704">
        <f>ROUND('89 (1) Form'!L17,-1)</f>
        <v>299000</v>
      </c>
      <c r="D36" s="702"/>
      <c r="E36" s="704">
        <f>ROUND('89 (1) Form'!L18,-1)</f>
        <v>25000</v>
      </c>
      <c r="F36" s="704"/>
      <c r="G36" s="704">
        <f t="shared" si="0"/>
        <v>324000</v>
      </c>
      <c r="H36" s="702"/>
      <c r="I36" s="702">
        <f>AA36+AD36</f>
        <v>0</v>
      </c>
      <c r="J36" s="702"/>
      <c r="K36" s="702">
        <f>AC36+AE36</f>
        <v>1236</v>
      </c>
      <c r="L36" s="702"/>
      <c r="M36" s="702">
        <f>K36-I36</f>
        <v>1236</v>
      </c>
      <c r="N36" s="702"/>
      <c r="Z36" s="123">
        <f>ROUND(IF(C36&lt;=250000,0,IF(C36&lt;=500000,(C36-250000)*0.05,IF(C36&lt;=1000000,12500+(C36-500000)*0.2,IF(C36&gt;1000000,112500+(C36-1000000)*0.3,"0")))),0)</f>
        <v>2450</v>
      </c>
      <c r="AA36" s="123">
        <f>IF(AND(Z36&lt;=2500),0,ROUND(IF(AND(C36&lt;=350000),Z36-2500,Z36),0))</f>
        <v>0</v>
      </c>
      <c r="AB36" s="123">
        <f>ROUND(IF(G36&lt;=250000,0,IF(G36&lt;=500000,(G36-250000)*0.05,IF(G36&lt;=1000000,12500+(G36-500000)*0.2,IF(G36&gt;1000000,112500+(G36-1000000)*0.3,"0")))),0)</f>
        <v>3700</v>
      </c>
      <c r="AC36" s="123">
        <f>IF(AND(AB36&lt;=2500),0,ROUND(IF(AND(G36&lt;=350000),AB36-2500,AB36),0))</f>
        <v>1200</v>
      </c>
      <c r="AD36" s="118">
        <f>ROUND(AA36*3%,0)</f>
        <v>0</v>
      </c>
      <c r="AE36" s="118">
        <f>ROUND(AC36*3%,0)</f>
        <v>36</v>
      </c>
    </row>
    <row r="37" spans="1:31" s="118" customFormat="1" ht="18.95" customHeight="1">
      <c r="A37" s="703" t="s">
        <v>536</v>
      </c>
      <c r="B37" s="703"/>
      <c r="C37" s="704">
        <f>ROUND('89 (1) Form'!L20,-1)</f>
        <v>310000</v>
      </c>
      <c r="D37" s="702"/>
      <c r="E37" s="704">
        <f>ROUND('89 (1) Form'!L21,-1)</f>
        <v>2100</v>
      </c>
      <c r="F37" s="704"/>
      <c r="G37" s="704">
        <f t="shared" ref="G37" si="5">C37+E37</f>
        <v>312100</v>
      </c>
      <c r="H37" s="702"/>
      <c r="I37" s="702">
        <f>AA37+AD37</f>
        <v>520</v>
      </c>
      <c r="J37" s="702"/>
      <c r="K37" s="702">
        <f>AC37+AE37</f>
        <v>629</v>
      </c>
      <c r="L37" s="702"/>
      <c r="M37" s="702">
        <f>K37-I37</f>
        <v>109</v>
      </c>
      <c r="N37" s="702"/>
      <c r="Z37" s="123">
        <f>ROUND(IF(C37&lt;=250000,0,IF(C37&lt;=500000,(C37-250000)*0.05,IF(C37&lt;=1000000,12500+(C37-500000)*0.2,IF(C37&gt;1000000,112500+(C37-1000000)*0.3,"0")))),0)</f>
        <v>3000</v>
      </c>
      <c r="AA37" s="123">
        <f>IF(AND(Z37&lt;=2500),0,ROUND(IF(AND(C37&lt;=350000),Z37-2500,Z37),0))</f>
        <v>500</v>
      </c>
      <c r="AB37" s="123">
        <f>ROUND(IF(G37&lt;=250000,0,IF(G37&lt;=500000,(G37-250000)*0.05,IF(G37&lt;=1000000,12500+(G37-500000)*0.2,IF(G37&gt;1000000,112500+(G37-1000000)*0.3,"0")))),0)</f>
        <v>3105</v>
      </c>
      <c r="AC37" s="123">
        <f>IF(AND(AB37&lt;=2500),0,ROUND(IF(AND(G37&lt;=350000),AB37-2500,AB37),0))</f>
        <v>605</v>
      </c>
      <c r="AD37" s="118">
        <f>ROUND(AA37*4%,0)</f>
        <v>20</v>
      </c>
      <c r="AE37" s="118">
        <f>ROUND(AC37*4%,0)</f>
        <v>24</v>
      </c>
    </row>
    <row r="38" spans="1:31" ht="21" customHeight="1">
      <c r="A38" s="705" t="s">
        <v>4</v>
      </c>
      <c r="B38" s="706"/>
      <c r="C38" s="707"/>
      <c r="D38" s="708"/>
      <c r="E38" s="707"/>
      <c r="F38" s="708"/>
      <c r="G38" s="707"/>
      <c r="H38" s="708"/>
      <c r="I38" s="707"/>
      <c r="J38" s="708"/>
      <c r="K38" s="707"/>
      <c r="L38" s="708"/>
      <c r="M38" s="709">
        <f>SUM(M33:N37)</f>
        <v>17722</v>
      </c>
      <c r="N38" s="710"/>
    </row>
    <row r="39" spans="1:31"/>
  </sheetData>
  <sheetProtection password="C1FB" sheet="1" objects="1" scenarios="1" formatCells="0" formatColumns="0" formatRows="0" selectLockedCells="1"/>
  <customSheetViews>
    <customSheetView guid="{8E92581F-007A-4A12-99AF-FBD8FA5F0BC8}" hiddenColumns="1" topLeftCell="A13">
      <selection activeCell="L10" sqref="L10:N10"/>
      <pageMargins left="0.7" right="0.45" top="0.5" bottom="0.5" header="0.3" footer="0.3"/>
      <pageSetup paperSize="9" scale="95" orientation="portrait" r:id="rId1"/>
    </customSheetView>
  </customSheetViews>
  <mergeCells count="105">
    <mergeCell ref="A7:K7"/>
    <mergeCell ref="L7:N7"/>
    <mergeCell ref="A1:N1"/>
    <mergeCell ref="A2:N2"/>
    <mergeCell ref="A3:B3"/>
    <mergeCell ref="C3:N3"/>
    <mergeCell ref="A4:B4"/>
    <mergeCell ref="C4:N4"/>
    <mergeCell ref="A5:B5"/>
    <mergeCell ref="C5:G5"/>
    <mergeCell ref="H5:I5"/>
    <mergeCell ref="J5:N5"/>
    <mergeCell ref="A6:N6"/>
    <mergeCell ref="A14:D14"/>
    <mergeCell ref="A8:K8"/>
    <mergeCell ref="L8:N8"/>
    <mergeCell ref="A9:K9"/>
    <mergeCell ref="L9:N9"/>
    <mergeCell ref="A10:K10"/>
    <mergeCell ref="L10:N10"/>
    <mergeCell ref="A11:K11"/>
    <mergeCell ref="L11:N11"/>
    <mergeCell ref="A12:N12"/>
    <mergeCell ref="B13:E13"/>
    <mergeCell ref="F13:N13"/>
    <mergeCell ref="A24:K24"/>
    <mergeCell ref="L24:N24"/>
    <mergeCell ref="A25:K25"/>
    <mergeCell ref="L25:N25"/>
    <mergeCell ref="A26:K26"/>
    <mergeCell ref="L26:N26"/>
    <mergeCell ref="A23:K23"/>
    <mergeCell ref="L23:N23"/>
    <mergeCell ref="A15:C15"/>
    <mergeCell ref="D15:E15"/>
    <mergeCell ref="B16:C16"/>
    <mergeCell ref="B17:C17"/>
    <mergeCell ref="K17:N17"/>
    <mergeCell ref="A19:N19"/>
    <mergeCell ref="E20:J20"/>
    <mergeCell ref="A21:K21"/>
    <mergeCell ref="L21:N21"/>
    <mergeCell ref="A22:K22"/>
    <mergeCell ref="L22:N22"/>
    <mergeCell ref="K33:L33"/>
    <mergeCell ref="M33:N33"/>
    <mergeCell ref="A33:B33"/>
    <mergeCell ref="C33:D33"/>
    <mergeCell ref="E33:F33"/>
    <mergeCell ref="G33:H33"/>
    <mergeCell ref="I33:J33"/>
    <mergeCell ref="A27:K27"/>
    <mergeCell ref="L27:N27"/>
    <mergeCell ref="A28:K28"/>
    <mergeCell ref="L28:N28"/>
    <mergeCell ref="A30:N30"/>
    <mergeCell ref="K31:L31"/>
    <mergeCell ref="M31:N31"/>
    <mergeCell ref="A32:B32"/>
    <mergeCell ref="C32:D32"/>
    <mergeCell ref="E32:F32"/>
    <mergeCell ref="G32:H32"/>
    <mergeCell ref="I32:J32"/>
    <mergeCell ref="K32:L32"/>
    <mergeCell ref="M32:N32"/>
    <mergeCell ref="A31:B31"/>
    <mergeCell ref="C31:D31"/>
    <mergeCell ref="E31:F31"/>
    <mergeCell ref="G31:H31"/>
    <mergeCell ref="I31:J31"/>
    <mergeCell ref="A38:B38"/>
    <mergeCell ref="C38:D38"/>
    <mergeCell ref="E38:F38"/>
    <mergeCell ref="G38:H38"/>
    <mergeCell ref="I38:J38"/>
    <mergeCell ref="K38:L38"/>
    <mergeCell ref="M38:N38"/>
    <mergeCell ref="A36:B36"/>
    <mergeCell ref="C36:D36"/>
    <mergeCell ref="E36:F36"/>
    <mergeCell ref="G36:H36"/>
    <mergeCell ref="I36:J36"/>
    <mergeCell ref="K36:L36"/>
    <mergeCell ref="A37:B37"/>
    <mergeCell ref="C37:D37"/>
    <mergeCell ref="E37:F37"/>
    <mergeCell ref="G37:H37"/>
    <mergeCell ref="I37:J37"/>
    <mergeCell ref="K37:L37"/>
    <mergeCell ref="M37:N37"/>
    <mergeCell ref="M36:N36"/>
    <mergeCell ref="M34:N34"/>
    <mergeCell ref="A35:B35"/>
    <mergeCell ref="C35:D35"/>
    <mergeCell ref="E35:F35"/>
    <mergeCell ref="G35:H35"/>
    <mergeCell ref="I35:J35"/>
    <mergeCell ref="K35:L35"/>
    <mergeCell ref="M35:N35"/>
    <mergeCell ref="A34:B34"/>
    <mergeCell ref="C34:D34"/>
    <mergeCell ref="E34:F34"/>
    <mergeCell ref="G34:H34"/>
    <mergeCell ref="I34:J34"/>
    <mergeCell ref="K34:L34"/>
  </mergeCells>
  <pageMargins left="0.7" right="0.45" top="0.5" bottom="0.5" header="0.3" footer="0.3"/>
  <pageSetup paperSize="9" scale="9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HOW TO USE</vt:lpstr>
      <vt:lpstr>Master</vt:lpstr>
      <vt:lpstr>GA55 Entry</vt:lpstr>
      <vt:lpstr>Extra deduc</vt:lpstr>
      <vt:lpstr>GA55 Only Print</vt:lpstr>
      <vt:lpstr>COMPUTATION</vt:lpstr>
      <vt:lpstr>89 (1) Form</vt:lpstr>
      <vt:lpstr>form10E</vt:lpstr>
      <vt:lpstr>Form No. 16</vt:lpstr>
      <vt:lpstr>Master!Print_Area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2019-12-22T04:12:14Z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1wB7Hy-MbCPcTYcvRgaobW8UVMZShhPXKOON1rDU6_Uw</vt:lpwstr>
  </property>
  <property fmtid="{D5CDD505-2E9C-101B-9397-08002B2CF9AE}" pid="4" name="Google.Documents.RevisionId">
    <vt:lpwstr>14744808532751259142</vt:lpwstr>
  </property>
  <property fmtid="{D5CDD505-2E9C-101B-9397-08002B2CF9AE}" pid="5" name="Google.Documents.PreviousRevisionId">
    <vt:lpwstr>15913184929773948758</vt:lpwstr>
  </property>
  <property fmtid="{D5CDD505-2E9C-101B-9397-08002B2CF9AE}" pid="6" name="Google.Documents.PluginVersion">
    <vt:lpwstr>2.0.2662.553</vt:lpwstr>
  </property>
  <property fmtid="{D5CDD505-2E9C-101B-9397-08002B2CF9AE}" pid="7" name="Google.Documents.MergeIncapabilityFlags">
    <vt:i4>0</vt:i4>
  </property>
</Properties>
</file>