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5" yWindow="-105" windowWidth="19425" windowHeight="10305" firstSheet="1" activeTab="1"/>
  </bookViews>
  <sheets>
    <sheet name="Macro-disabled" sheetId="2" state="hidden" r:id="rId1"/>
    <sheet name="TDS CALCULATIONS " sheetId="3" r:id="rId2"/>
    <sheet name="how to use " sheetId="4" r:id="rId3"/>
    <sheet name="tax-calculator" sheetId="1" state="hidden" r:id="rId4"/>
  </sheets>
  <definedNames>
    <definedName name="_xlnm._FilterDatabase" localSheetId="2" hidden="1">'how to use '!$A$1:$I$9</definedName>
    <definedName name="_xlnm._FilterDatabase" localSheetId="1" hidden="1">'TDS CALCULATIONS '!$A$1:$H$21</definedName>
    <definedName name="category">'tax-calculator'!$G$3:$G$5</definedName>
    <definedName name="_xlnm.Print_Area" localSheetId="1">'TDS CALCULATIONS '!$A$1:$G$52</definedName>
  </definedNames>
  <calcPr calcId="124519"/>
</workbook>
</file>

<file path=xl/calcChain.xml><?xml version="1.0" encoding="utf-8"?>
<calcChain xmlns="http://schemas.openxmlformats.org/spreadsheetml/2006/main">
  <c r="D5" i="3"/>
  <c r="C5"/>
  <c r="S8" s="1"/>
  <c r="S16"/>
  <c r="S17" s="1"/>
  <c r="N30"/>
  <c r="K5"/>
  <c r="B7" s="1"/>
  <c r="D6" s="1"/>
  <c r="H5"/>
  <c r="C6" l="1"/>
  <c r="S9" s="1"/>
  <c r="G9" s="1"/>
  <c r="S18"/>
  <c r="E5"/>
  <c r="G5" s="1"/>
  <c r="B11" i="1"/>
  <c r="B12"/>
  <c r="B13" s="1"/>
  <c r="B14" s="1"/>
  <c r="B15" s="1"/>
  <c r="B16" s="1"/>
  <c r="B17" s="1"/>
  <c r="B18" s="1"/>
  <c r="B19" s="1"/>
  <c r="B20" s="1"/>
  <c r="B21" s="1"/>
  <c r="B22" s="1"/>
  <c r="B23" s="1"/>
  <c r="B24" s="1"/>
  <c r="B25" s="1"/>
  <c r="B26" s="1"/>
  <c r="N13"/>
  <c r="L21"/>
  <c r="Q21"/>
  <c r="L22"/>
  <c r="Q22"/>
  <c r="L23"/>
  <c r="Q23"/>
  <c r="Q24"/>
  <c r="Q25"/>
  <c r="Q26"/>
  <c r="L31"/>
  <c r="L32"/>
  <c r="L33"/>
  <c r="L39"/>
  <c r="L40"/>
  <c r="F6" i="3" l="1"/>
  <c r="G6" s="1"/>
  <c r="G11" s="1"/>
  <c r="G25"/>
  <c r="G13" l="1"/>
  <c r="G26" s="1"/>
  <c r="D60" s="1"/>
  <c r="E6" i="1"/>
  <c r="E27" s="1"/>
  <c r="J7" s="1"/>
  <c r="L11" s="1"/>
  <c r="Q10" s="1"/>
  <c r="F29" i="3" l="1"/>
  <c r="F34" s="1"/>
  <c r="C60"/>
  <c r="C28" s="1"/>
  <c r="F31"/>
  <c r="F30"/>
  <c r="K11" i="1"/>
  <c r="Q9" s="1"/>
  <c r="R9" s="1"/>
  <c r="J11"/>
  <c r="Q8" s="1"/>
  <c r="R8" s="1"/>
  <c r="R10"/>
  <c r="S10" s="1"/>
  <c r="J8"/>
  <c r="J12" s="1"/>
  <c r="T8" s="1"/>
  <c r="U8" s="1"/>
  <c r="V8" s="1"/>
  <c r="C31" i="3" l="1"/>
  <c r="C30"/>
  <c r="C29"/>
  <c r="F33"/>
  <c r="F35" s="1"/>
  <c r="C32"/>
  <c r="K12" i="1"/>
  <c r="T9" s="1"/>
  <c r="U9" s="1"/>
  <c r="L12"/>
  <c r="I1" s="1"/>
  <c r="S9"/>
  <c r="S8"/>
  <c r="Q13" s="1"/>
  <c r="E29" s="1"/>
  <c r="F36" i="3" l="1"/>
  <c r="F37" s="1"/>
  <c r="C33"/>
  <c r="C61"/>
  <c r="C34" s="1"/>
  <c r="V9" i="1"/>
  <c r="R13" s="1"/>
  <c r="E30" s="1"/>
  <c r="T10"/>
  <c r="U10" s="1"/>
  <c r="C35" i="3" l="1"/>
  <c r="V10" i="1"/>
  <c r="C36" i="3" l="1"/>
  <c r="C37" s="1"/>
  <c r="G38" s="1"/>
  <c r="G43" l="1"/>
  <c r="G40"/>
  <c r="G42" s="1"/>
  <c r="G50"/>
  <c r="G51" s="1"/>
  <c r="E50"/>
  <c r="E51" s="1"/>
  <c r="F50"/>
  <c r="F51" s="1"/>
  <c r="D50"/>
  <c r="D51" s="1"/>
  <c r="A52" l="1"/>
  <c r="N31"/>
  <c r="F52" s="1"/>
</calcChain>
</file>

<file path=xl/sharedStrings.xml><?xml version="1.0" encoding="utf-8"?>
<sst xmlns="http://schemas.openxmlformats.org/spreadsheetml/2006/main" count="146" uniqueCount="121">
  <si>
    <t>New Simplified Personal Income Tax Regime u/s 115BAC - Kya Khoya Kya Paya?</t>
  </si>
  <si>
    <t>Senior Citizen (60 Yrs or more)</t>
  </si>
  <si>
    <t>Senior Citizen (80 Yrs or more)</t>
  </si>
  <si>
    <t>Other</t>
  </si>
  <si>
    <t>A</t>
  </si>
  <si>
    <t>Enter your Gross Income without any deduction/exemption</t>
  </si>
  <si>
    <t>B</t>
  </si>
  <si>
    <t>Less: Select Allowances/Exemptions/Deductions/Set Off you are normally entitled to</t>
  </si>
  <si>
    <t>Fill estimated amount hereunder</t>
  </si>
  <si>
    <t>Txable Income old</t>
  </si>
  <si>
    <t>Old Scheme</t>
  </si>
  <si>
    <t>Rebate</t>
  </si>
  <si>
    <t>Net Tax</t>
  </si>
  <si>
    <t>New Scheme</t>
  </si>
  <si>
    <t>Taxable income new</t>
  </si>
  <si>
    <t>Senior Citizen</t>
  </si>
  <si>
    <t>Super Senior</t>
  </si>
  <si>
    <t>Others</t>
  </si>
  <si>
    <t>Tax as per old scheme</t>
  </si>
  <si>
    <t>Tax as per new scheme</t>
  </si>
  <si>
    <t>Final Tax based on category Selection</t>
  </si>
  <si>
    <t>Income tax slab old</t>
  </si>
  <si>
    <t>Income tax slab new</t>
  </si>
  <si>
    <t>From</t>
  </si>
  <si>
    <t>To</t>
  </si>
  <si>
    <t>Income Tax Rate</t>
  </si>
  <si>
    <t>Differential Rate</t>
  </si>
  <si>
    <t>above 1000000/-</t>
  </si>
  <si>
    <t>Income Tax Slab for Senior Citizens AY 2016-17 and AY 2015-16</t>
  </si>
  <si>
    <t>1500001 and above</t>
  </si>
  <si>
    <t>C</t>
  </si>
  <si>
    <t>Total Income (A-B)</t>
  </si>
  <si>
    <t>Tax under Old Regime (after Section 87A rebate)</t>
  </si>
  <si>
    <t>Tax under New Optinal Regime (after Section 87A rebate)</t>
  </si>
  <si>
    <t># only following allowances are exempt to the Individual or HUF exercising Option of New Simplified Personal Income Tax Regime:
(a) Transport Allowance granted to a divyang employee to meet expenditure for the purpose of commuting between place of residence and place of duty
(b) Conveyance Allowance granted to meet the expenditure on conveyance in performance of duties of an office;
(c) Any Allowance granted to meet the cost of travel on tour or on transfer;
(d) Daily Allowance to meet the ordinary daily charges incurred by employee for absence from his normal place of duty</t>
  </si>
  <si>
    <t>Macros must be enabled to use this utility</t>
  </si>
  <si>
    <t>Download help file on how to enable macros</t>
  </si>
  <si>
    <t>http://abcaus.in/macros.pdf</t>
  </si>
  <si>
    <t>NAME :-</t>
  </si>
  <si>
    <t>POST</t>
  </si>
  <si>
    <t xml:space="preserve">GROSS SALARY </t>
  </si>
  <si>
    <t>-</t>
  </si>
  <si>
    <t>STANDARD DEDUCTION</t>
  </si>
  <si>
    <t>DEDUCTIONS:-</t>
  </si>
  <si>
    <t>80 C ,CCC ,CCD1       ( MAX 150000)</t>
  </si>
  <si>
    <t>80 CCD(1B)               MAX 50000</t>
  </si>
  <si>
    <t>HOUSE RENT  ALLOWANCE</t>
  </si>
  <si>
    <t>HOUSE LOAN INTEREST   (MAX 200000)</t>
  </si>
  <si>
    <t>MEDICLAIM ( MAX 25000 )</t>
  </si>
  <si>
    <t xml:space="preserve">EDUCATION LOAN </t>
  </si>
  <si>
    <t>TOTAL DEDUCTIONS</t>
  </si>
  <si>
    <t xml:space="preserve">TDS DEDUCTED TILL  NOW </t>
  </si>
  <si>
    <t xml:space="preserve">TAX PAYABLE  THROUGH TDS </t>
  </si>
  <si>
    <t xml:space="preserve">NO OF INSTALMENTS /MONTH REMAINING </t>
  </si>
  <si>
    <t xml:space="preserve">IF YOU FACE ANY PROBLEM  IN THIS SHEET PLEASE MAIL ME ON PANKAJJAIN5246@GMAIL.COM               </t>
  </si>
  <si>
    <t xml:space="preserve">SIGNATURE OF EMPLOYEE </t>
  </si>
  <si>
    <t xml:space="preserve">ANY OTHER DEDUCTION                                                   </t>
  </si>
  <si>
    <t xml:space="preserve">TDS FROM NOW  </t>
  </si>
  <si>
    <r>
      <t>SURRENDER</t>
    </r>
    <r>
      <rPr>
        <b/>
        <sz val="11"/>
        <color rgb="FFFF0000"/>
        <rFont val="Calibri"/>
        <family val="2"/>
        <scheme val="minor"/>
      </rPr>
      <t xml:space="preserve"> #</t>
    </r>
  </si>
  <si>
    <t xml:space="preserve">Short deduction </t>
  </si>
  <si>
    <t>BEFORE</t>
  </si>
  <si>
    <t>AFTER</t>
  </si>
  <si>
    <t xml:space="preserve">HOW TO USE </t>
  </si>
  <si>
    <t xml:space="preserve">QUARTER WISE        REQUIRED TDS </t>
  </si>
  <si>
    <t xml:space="preserve">FILL BASIC INFORMATION IN COLUMN NO.. 1 AND 3 </t>
  </si>
  <si>
    <t xml:space="preserve">80G  ( Donations) Any other  </t>
  </si>
  <si>
    <t>ONE</t>
  </si>
  <si>
    <t>THREE</t>
  </si>
  <si>
    <t xml:space="preserve">FIVE </t>
  </si>
  <si>
    <t xml:space="preserve"> EXPECTED TOTAL  TAX PAYABLE THROUGH TDS (FOR WHOLE YEAR)</t>
  </si>
  <si>
    <t>D.A PER MONTH</t>
  </si>
  <si>
    <r>
      <t>80TTA</t>
    </r>
    <r>
      <rPr>
        <b/>
        <sz val="10"/>
        <color theme="1"/>
        <rFont val="Calibri"/>
        <family val="2"/>
        <scheme val="minor"/>
      </rPr>
      <t xml:space="preserve"> (INTEREST ON SAVING BANK ACCOUNT ) MAX 10000</t>
    </r>
  </si>
  <si>
    <t>MAR TO JUNE Gross SALARY (B5+C5+D5)*4</t>
  </si>
  <si>
    <t xml:space="preserve">NOT APPLICABLE </t>
  </si>
  <si>
    <t xml:space="preserve">QUARTER WISE TDS </t>
  </si>
  <si>
    <t>JULY TO FEB Gross SALARY (B7+C6+D6)*8</t>
  </si>
  <si>
    <t>WRITE YOUR MARCH MONTH BASIC IN COLUMN NO.. B5</t>
  </si>
  <si>
    <t>WRITE YOUR INCOME FROM OTHER SOURCES  IN COLUMN NO.. G8</t>
  </si>
  <si>
    <t>WRITE YOUR DEDUCTIONS IN COLUMN NO.  F15 TO F24</t>
  </si>
  <si>
    <t xml:space="preserve">REMAINING CALCULATIONS WILL BE DONE AUTOMATICALLY </t>
  </si>
  <si>
    <t>GROSS TOTAL INCOME FOR THE YEAR</t>
  </si>
  <si>
    <t>250000-500000</t>
  </si>
  <si>
    <t>500000-10,00000</t>
  </si>
  <si>
    <t>1200000-1500000</t>
  </si>
  <si>
    <t>Tax As Per New Tax Regime</t>
  </si>
  <si>
    <t>Tax As Per Old Tax Regime</t>
  </si>
  <si>
    <t>Rebate U/S 87 A</t>
  </si>
  <si>
    <t>Manikya Lal Verma Govt. College Bhilwara</t>
  </si>
  <si>
    <t>Total Tax (Old Regime)</t>
  </si>
  <si>
    <t xml:space="preserve">Total </t>
  </si>
  <si>
    <t>Cess &amp; Surcharge @4%</t>
  </si>
  <si>
    <t>Total</t>
  </si>
  <si>
    <t xml:space="preserve">Balance Tax </t>
  </si>
  <si>
    <t xml:space="preserve">Quarterly TDS Require-ment And Short Deduction </t>
  </si>
  <si>
    <t xml:space="preserve">Above 10,00000 </t>
  </si>
  <si>
    <t>Above 1500000</t>
  </si>
  <si>
    <t>0- 250000</t>
  </si>
  <si>
    <t xml:space="preserve">BENIFICIAL TAX REGIME AMOUNT </t>
  </si>
  <si>
    <t>Dr. Pankaj Kumar Bhalawat</t>
  </si>
  <si>
    <t>WRITE YOUR TDS DEDUCTED TILL NO. IN COLUMN NO.  G39</t>
  </si>
  <si>
    <t>WRITE REMAINING MONTHS (NO. OF INSTALMENTS) IN F41</t>
  </si>
  <si>
    <t>WRITE YOUR TDS DEDUCTED MONTHWISE IN COLUMN NO. B46 TO G46 AND B 48TO G48</t>
  </si>
  <si>
    <t>Prepared By:- Dr.Pankaj Kumar Bhalawat,Assistant Professor EAFM, MLV Govt College Bhilwara</t>
  </si>
  <si>
    <r>
      <t xml:space="preserve">**NOTE :-  The above TDS calculator has been prepared with atmost due care and precautions. Still the user is fully responsible for the out come .                                                                                                                 </t>
    </r>
    <r>
      <rPr>
        <sz val="8"/>
        <color theme="3" tint="0.39997558519241921"/>
        <rFont val="Calibri"/>
        <family val="2"/>
        <scheme val="minor"/>
      </rPr>
      <t xml:space="preserve">           </t>
    </r>
  </si>
  <si>
    <t xml:space="preserve">INCOME FROM OTHER SOURCES + OTHER ALLOWANCE +BONUS+ARREAR </t>
  </si>
  <si>
    <t>NET TAXABLE INCOME FOR OLD REGIME</t>
  </si>
  <si>
    <t>GROSS TOTAL INCOME AFTER STANDARD DEDUCTION/NET TAXABLE INCOME FOR NEW REGIME</t>
  </si>
  <si>
    <t>Total Tax (New Regime)</t>
  </si>
  <si>
    <t>PAN No</t>
  </si>
  <si>
    <t xml:space="preserve">Asst. Professor </t>
  </si>
  <si>
    <t>HRA 9%</t>
  </si>
  <si>
    <t>300000-700000</t>
  </si>
  <si>
    <t>700000-1000000</t>
  </si>
  <si>
    <t>1000000-1200000</t>
  </si>
  <si>
    <t xml:space="preserve"> NOV 24</t>
  </si>
  <si>
    <t>July 24 To Feb 25</t>
  </si>
  <si>
    <t>March 24 To June 24</t>
  </si>
  <si>
    <r>
      <t xml:space="preserve">COMPUTATION OF </t>
    </r>
    <r>
      <rPr>
        <b/>
        <i/>
        <u/>
        <sz val="13"/>
        <color rgb="FFFF0000"/>
        <rFont val="Calibri"/>
        <family val="2"/>
        <scheme val="minor"/>
      </rPr>
      <t>ESTIMATED</t>
    </r>
    <r>
      <rPr>
        <b/>
        <sz val="13"/>
        <color theme="1"/>
        <rFont val="Calibri"/>
        <family val="2"/>
        <scheme val="minor"/>
      </rPr>
      <t xml:space="preserve"> INCOME TAX PAYABLE FOR F.Y 2024-25</t>
    </r>
  </si>
  <si>
    <t>BASIC AS ON 01.03.2024</t>
  </si>
  <si>
    <t>BASIC AS ON 01-07-24</t>
  </si>
  <si>
    <t>*The  D. A for first four month has been taken @50% and 53% for rest 8 months( Assumed 3% D.A increase From July  by state govt.)</t>
  </si>
</sst>
</file>

<file path=xl/styles.xml><?xml version="1.0" encoding="utf-8"?>
<styleSheet xmlns="http://schemas.openxmlformats.org/spreadsheetml/2006/main">
  <numFmts count="3">
    <numFmt numFmtId="164" formatCode="_(* #,##0.00_);_(* \(#,##0.00\);_(* \-??_);_(@_)"/>
    <numFmt numFmtId="165" formatCode="_-* #,##0_-;\-* #,##0_-;_-* \-??_-;_-@_-"/>
    <numFmt numFmtId="166" formatCode="_(* #,##0_);_(* \(#,##0\);_(* \-??_);_(@_)"/>
  </numFmts>
  <fonts count="50">
    <font>
      <sz val="11"/>
      <color indexed="8"/>
      <name val="Calibri"/>
      <family val="2"/>
      <charset val="1"/>
    </font>
    <font>
      <b/>
      <sz val="13"/>
      <color indexed="8"/>
      <name val="Arial"/>
      <family val="2"/>
      <charset val="1"/>
    </font>
    <font>
      <sz val="12"/>
      <color indexed="8"/>
      <name val="Arial"/>
      <family val="2"/>
      <charset val="1"/>
    </font>
    <font>
      <b/>
      <sz val="12"/>
      <color indexed="8"/>
      <name val="Arial"/>
      <family val="2"/>
      <charset val="1"/>
    </font>
    <font>
      <sz val="13"/>
      <color indexed="8"/>
      <name val="Arial"/>
      <family val="2"/>
      <charset val="1"/>
    </font>
    <font>
      <b/>
      <sz val="11"/>
      <color indexed="8"/>
      <name val="Calibri"/>
      <family val="2"/>
      <charset val="1"/>
    </font>
    <font>
      <b/>
      <sz val="12"/>
      <name val="Arial"/>
      <family val="2"/>
      <charset val="1"/>
    </font>
    <font>
      <sz val="25"/>
      <color indexed="10"/>
      <name val="Times New Roman"/>
      <family val="1"/>
      <charset val="1"/>
    </font>
    <font>
      <sz val="12"/>
      <color indexed="8"/>
      <name val="Times New Roman"/>
      <family val="1"/>
      <charset val="1"/>
    </font>
    <font>
      <sz val="20"/>
      <color indexed="8"/>
      <name val="Times New Roman"/>
      <family val="1"/>
      <charset val="1"/>
    </font>
    <font>
      <b/>
      <u/>
      <sz val="14"/>
      <color indexed="30"/>
      <name val="Calibri"/>
      <family val="2"/>
      <charset val="1"/>
    </font>
    <font>
      <u/>
      <sz val="11"/>
      <color indexed="30"/>
      <name val="Calibri"/>
      <family val="2"/>
      <charset val="1"/>
    </font>
    <font>
      <sz val="11"/>
      <color indexed="8"/>
      <name val="Calibri"/>
      <family val="2"/>
      <charset val="1"/>
    </font>
    <font>
      <sz val="11"/>
      <color rgb="FFFF0000"/>
      <name val="Calibri"/>
      <family val="2"/>
      <scheme val="minor"/>
    </font>
    <font>
      <b/>
      <sz val="11"/>
      <color theme="1"/>
      <name val="Calibri"/>
      <family val="2"/>
      <scheme val="minor"/>
    </font>
    <font>
      <b/>
      <sz val="13"/>
      <color theme="1"/>
      <name val="Calibri"/>
      <family val="2"/>
      <scheme val="minor"/>
    </font>
    <font>
      <b/>
      <i/>
      <u/>
      <sz val="13"/>
      <color rgb="FFFF0000"/>
      <name val="Calibri"/>
      <family val="2"/>
      <scheme val="minor"/>
    </font>
    <font>
      <b/>
      <sz val="12"/>
      <color theme="1"/>
      <name val="Calibri"/>
      <family val="2"/>
      <scheme val="minor"/>
    </font>
    <font>
      <b/>
      <sz val="10"/>
      <color theme="1"/>
      <name val="Calibri"/>
      <family val="2"/>
      <scheme val="minor"/>
    </font>
    <font>
      <b/>
      <sz val="11"/>
      <color rgb="FF00B050"/>
      <name val="Calibri"/>
      <family val="2"/>
      <scheme val="minor"/>
    </font>
    <font>
      <b/>
      <sz val="11"/>
      <color rgb="FFFF0000"/>
      <name val="Calibri"/>
      <family val="2"/>
      <scheme val="minor"/>
    </font>
    <font>
      <b/>
      <sz val="11"/>
      <color rgb="FF00B0F0"/>
      <name val="Calibri"/>
      <family val="2"/>
      <scheme val="minor"/>
    </font>
    <font>
      <sz val="10"/>
      <color theme="1"/>
      <name val="Calibri"/>
      <family val="2"/>
      <scheme val="minor"/>
    </font>
    <font>
      <b/>
      <sz val="16"/>
      <color theme="4" tint="-0.499984740745262"/>
      <name val="Calibri"/>
      <family val="2"/>
      <scheme val="minor"/>
    </font>
    <font>
      <b/>
      <sz val="11"/>
      <color theme="4" tint="-0.499984740745262"/>
      <name val="Calibri"/>
      <family val="2"/>
      <scheme val="minor"/>
    </font>
    <font>
      <b/>
      <sz val="11"/>
      <color indexed="8"/>
      <name val="Calibri"/>
      <family val="2"/>
    </font>
    <font>
      <b/>
      <sz val="14"/>
      <color rgb="FFFF0000"/>
      <name val="Calibri"/>
      <family val="2"/>
    </font>
    <font>
      <b/>
      <sz val="14"/>
      <color theme="1"/>
      <name val="Calibri"/>
      <family val="2"/>
    </font>
    <font>
      <sz val="28"/>
      <color indexed="8"/>
      <name val="Calibri"/>
      <family val="2"/>
      <charset val="1"/>
    </font>
    <font>
      <sz val="12"/>
      <color indexed="8"/>
      <name val="Calibri"/>
      <family val="2"/>
    </font>
    <font>
      <sz val="12"/>
      <color indexed="8"/>
      <name val="Calibri"/>
      <family val="2"/>
      <charset val="1"/>
    </font>
    <font>
      <sz val="20"/>
      <color indexed="8"/>
      <name val="Calibri"/>
      <family val="2"/>
      <charset val="1"/>
    </font>
    <font>
      <b/>
      <u/>
      <sz val="11"/>
      <color theme="10"/>
      <name val="Calibri"/>
      <family val="2"/>
    </font>
    <font>
      <sz val="11"/>
      <color rgb="FF000000"/>
      <name val="Calibri"/>
      <family val="2"/>
      <scheme val="minor"/>
    </font>
    <font>
      <b/>
      <sz val="12"/>
      <color rgb="FF000000"/>
      <name val="Arial"/>
      <family val="2"/>
    </font>
    <font>
      <sz val="10"/>
      <color rgb="FF000000"/>
      <name val="Calibri"/>
      <family val="2"/>
      <scheme val="minor"/>
    </font>
    <font>
      <sz val="10"/>
      <color indexed="8"/>
      <name val="Calibri"/>
      <family val="2"/>
    </font>
    <font>
      <sz val="8"/>
      <color rgb="FF000000"/>
      <name val="Calibri"/>
      <family val="2"/>
      <scheme val="minor"/>
    </font>
    <font>
      <b/>
      <sz val="11"/>
      <color rgb="FF000000"/>
      <name val="Calibri"/>
      <family val="2"/>
      <scheme val="minor"/>
    </font>
    <font>
      <b/>
      <sz val="9"/>
      <color theme="1"/>
      <name val="Calibri"/>
      <family val="2"/>
      <scheme val="minor"/>
    </font>
    <font>
      <sz val="8"/>
      <color indexed="8"/>
      <name val="Calibri"/>
      <family val="2"/>
    </font>
    <font>
      <sz val="8"/>
      <color theme="3" tint="0.39997558519241921"/>
      <name val="Calibri"/>
      <family val="2"/>
      <scheme val="minor"/>
    </font>
    <font>
      <b/>
      <sz val="10"/>
      <color rgb="FFFF0000"/>
      <name val="Calibri"/>
      <family val="2"/>
    </font>
    <font>
      <b/>
      <sz val="10"/>
      <color rgb="FFFF0000"/>
      <name val="Calibri"/>
      <family val="2"/>
      <scheme val="minor"/>
    </font>
    <font>
      <b/>
      <sz val="10"/>
      <color indexed="8"/>
      <name val="Calibri"/>
      <family val="2"/>
    </font>
    <font>
      <b/>
      <sz val="10"/>
      <name val="Calibri"/>
      <family val="2"/>
      <scheme val="minor"/>
    </font>
    <font>
      <b/>
      <sz val="14"/>
      <color theme="1"/>
      <name val="Calibri"/>
      <family val="2"/>
      <scheme val="minor"/>
    </font>
    <font>
      <b/>
      <sz val="8"/>
      <name val="Calibri"/>
      <family val="2"/>
      <scheme val="minor"/>
    </font>
    <font>
      <b/>
      <sz val="10"/>
      <color rgb="FF000000"/>
      <name val="Calibri"/>
      <family val="2"/>
      <scheme val="minor"/>
    </font>
    <font>
      <b/>
      <sz val="8"/>
      <color theme="1"/>
      <name val="Calibri"/>
      <family val="2"/>
      <scheme val="minor"/>
    </font>
  </fonts>
  <fills count="23">
    <fill>
      <patternFill patternType="none"/>
    </fill>
    <fill>
      <patternFill patternType="gray125"/>
    </fill>
    <fill>
      <patternFill patternType="solid">
        <fgColor indexed="13"/>
        <bgColor indexed="34"/>
      </patternFill>
    </fill>
    <fill>
      <patternFill patternType="solid">
        <fgColor indexed="27"/>
        <bgColor indexed="41"/>
      </patternFill>
    </fill>
    <fill>
      <patternFill patternType="solid">
        <fgColor indexed="22"/>
        <bgColor indexed="42"/>
      </patternFill>
    </fill>
    <fill>
      <patternFill patternType="solid">
        <fgColor indexed="51"/>
        <bgColor indexed="52"/>
      </patternFill>
    </fill>
    <fill>
      <patternFill patternType="solid">
        <fgColor indexed="26"/>
        <bgColor indexed="27"/>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rgb="FF00B0F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59999389629810485"/>
        <bgColor indexed="64"/>
      </patternFill>
    </fill>
  </fills>
  <borders count="3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style="medium">
        <color indexed="8"/>
      </right>
      <top style="medium">
        <color indexed="8"/>
      </top>
      <bottom/>
      <diagonal/>
    </border>
    <border>
      <left/>
      <right/>
      <top style="medium">
        <color indexed="8"/>
      </top>
      <bottom/>
      <diagonal/>
    </border>
    <border>
      <left style="thin">
        <color indexed="8"/>
      </left>
      <right style="medium">
        <color indexed="8"/>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8"/>
      </left>
      <right style="medium">
        <color indexed="8"/>
      </right>
      <top/>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s>
  <cellStyleXfs count="3">
    <xf numFmtId="0" fontId="0" fillId="0" borderId="0"/>
    <xf numFmtId="164" fontId="12" fillId="0" borderId="0" applyFill="0" applyBorder="0" applyProtection="0"/>
    <xf numFmtId="0" fontId="11" fillId="0" borderId="0" applyNumberFormat="0" applyFill="0" applyBorder="0" applyProtection="0"/>
  </cellStyleXfs>
  <cellXfs count="203">
    <xf numFmtId="0" fontId="0" fillId="0" borderId="0" xfId="0"/>
    <xf numFmtId="0" fontId="0" fillId="2" borderId="0" xfId="0" applyFill="1"/>
    <xf numFmtId="0" fontId="2" fillId="0" borderId="0" xfId="0" applyFont="1"/>
    <xf numFmtId="0" fontId="0" fillId="3" borderId="1" xfId="0" applyFill="1" applyBorder="1"/>
    <xf numFmtId="0" fontId="4" fillId="4" borderId="1" xfId="0" applyFont="1" applyFill="1" applyBorder="1" applyAlignment="1" applyProtection="1">
      <alignment horizontal="left" vertical="center" wrapText="1"/>
      <protection locked="0"/>
    </xf>
    <xf numFmtId="0" fontId="2" fillId="2" borderId="0" xfId="0" applyFont="1" applyFill="1"/>
    <xf numFmtId="0" fontId="3" fillId="0" borderId="3" xfId="0" applyFont="1" applyBorder="1" applyAlignment="1">
      <alignment horizontal="right"/>
    </xf>
    <xf numFmtId="0" fontId="3" fillId="0" borderId="4" xfId="0" applyFont="1" applyBorder="1"/>
    <xf numFmtId="0" fontId="2" fillId="0" borderId="4" xfId="0" applyFont="1" applyBorder="1"/>
    <xf numFmtId="165" fontId="2" fillId="4" borderId="3" xfId="1" applyNumberFormat="1" applyFont="1" applyFill="1" applyBorder="1" applyProtection="1">
      <protection locked="0"/>
    </xf>
    <xf numFmtId="0" fontId="3" fillId="0" borderId="5" xfId="0" applyFont="1" applyBorder="1" applyAlignment="1">
      <alignment horizontal="right" vertical="top"/>
    </xf>
    <xf numFmtId="0" fontId="3" fillId="0" borderId="6" xfId="0" applyFont="1" applyBorder="1" applyAlignment="1">
      <alignment wrapText="1"/>
    </xf>
    <xf numFmtId="0" fontId="0" fillId="0" borderId="6" xfId="0" applyBorder="1"/>
    <xf numFmtId="0" fontId="2" fillId="0" borderId="5" xfId="0" applyFont="1" applyBorder="1" applyAlignment="1">
      <alignment vertical="top" wrapText="1"/>
    </xf>
    <xf numFmtId="0" fontId="0" fillId="5" borderId="0" xfId="0" applyFill="1"/>
    <xf numFmtId="0" fontId="2" fillId="0" borderId="7" xfId="0" applyFont="1" applyBorder="1" applyAlignment="1">
      <alignment vertical="center"/>
    </xf>
    <xf numFmtId="0" fontId="2" fillId="0" borderId="8" xfId="0" applyFont="1" applyBorder="1"/>
    <xf numFmtId="0" fontId="0" fillId="0" borderId="9" xfId="0" applyBorder="1"/>
    <xf numFmtId="165" fontId="2" fillId="4" borderId="10" xfId="1" applyNumberFormat="1" applyFont="1" applyFill="1" applyBorder="1" applyProtection="1">
      <protection locked="0"/>
    </xf>
    <xf numFmtId="165" fontId="2" fillId="0" borderId="0" xfId="0" applyNumberFormat="1" applyFont="1"/>
    <xf numFmtId="0" fontId="2" fillId="0" borderId="11" xfId="0" applyFont="1" applyBorder="1"/>
    <xf numFmtId="0" fontId="2" fillId="0" borderId="1" xfId="0" applyFont="1" applyBorder="1"/>
    <xf numFmtId="0" fontId="2" fillId="0" borderId="1" xfId="0" applyFont="1" applyBorder="1" applyAlignment="1">
      <alignment horizontal="center"/>
    </xf>
    <xf numFmtId="0" fontId="3" fillId="0" borderId="0" xfId="0" applyFont="1"/>
    <xf numFmtId="0" fontId="2" fillId="0" borderId="9" xfId="0" applyFont="1" applyBorder="1" applyAlignment="1">
      <alignment horizontal="left" wrapText="1"/>
    </xf>
    <xf numFmtId="0" fontId="2" fillId="0" borderId="8" xfId="0" applyFont="1" applyBorder="1" applyAlignment="1">
      <alignment horizontal="left" wrapText="1"/>
    </xf>
    <xf numFmtId="0" fontId="0" fillId="6" borderId="1" xfId="0" applyFill="1" applyBorder="1" applyAlignment="1">
      <alignment horizontal="center"/>
    </xf>
    <xf numFmtId="0" fontId="0" fillId="6" borderId="12" xfId="0" applyFill="1" applyBorder="1" applyAlignment="1">
      <alignment horizontal="center"/>
    </xf>
    <xf numFmtId="2" fontId="0" fillId="6" borderId="12" xfId="0" applyNumberFormat="1" applyFill="1" applyBorder="1" applyAlignment="1">
      <alignment horizontal="center"/>
    </xf>
    <xf numFmtId="0" fontId="0" fillId="6" borderId="13" xfId="0" applyFill="1" applyBorder="1" applyAlignment="1">
      <alignment horizontal="center"/>
    </xf>
    <xf numFmtId="2" fontId="0" fillId="6" borderId="13" xfId="0" applyNumberFormat="1" applyFill="1" applyBorder="1" applyAlignment="1">
      <alignment horizontal="center"/>
    </xf>
    <xf numFmtId="0" fontId="0" fillId="6" borderId="0" xfId="0" applyFill="1"/>
    <xf numFmtId="0" fontId="2" fillId="0" borderId="14" xfId="0" applyFont="1" applyBorder="1" applyAlignment="1">
      <alignment vertical="center"/>
    </xf>
    <xf numFmtId="0" fontId="2" fillId="0" borderId="15" xfId="0" applyFont="1" applyBorder="1"/>
    <xf numFmtId="0" fontId="0" fillId="0" borderId="16" xfId="0" applyBorder="1"/>
    <xf numFmtId="165" fontId="2" fillId="4" borderId="17" xfId="1" applyNumberFormat="1" applyFont="1" applyFill="1" applyBorder="1" applyProtection="1">
      <protection locked="0"/>
    </xf>
    <xf numFmtId="0" fontId="5" fillId="6" borderId="0" xfId="0" applyFont="1" applyFill="1"/>
    <xf numFmtId="0" fontId="3" fillId="0" borderId="3" xfId="0" applyFont="1" applyBorder="1" applyAlignment="1">
      <alignment horizontal="right" vertical="center"/>
    </xf>
    <xf numFmtId="0" fontId="3" fillId="0" borderId="18" xfId="0" applyFont="1" applyBorder="1"/>
    <xf numFmtId="165" fontId="2" fillId="0" borderId="3" xfId="1" applyNumberFormat="1" applyFont="1" applyFill="1" applyBorder="1" applyProtection="1"/>
    <xf numFmtId="0" fontId="3" fillId="0" borderId="0" xfId="0" applyFont="1" applyAlignment="1">
      <alignment horizontal="right" vertical="center"/>
    </xf>
    <xf numFmtId="165" fontId="2" fillId="0" borderId="0" xfId="1" applyNumberFormat="1" applyFont="1" applyFill="1" applyBorder="1" applyProtection="1"/>
    <xf numFmtId="166" fontId="6" fillId="0" borderId="0" xfId="1" applyNumberFormat="1" applyFont="1" applyFill="1" applyBorder="1" applyProtection="1">
      <protection hidden="1"/>
    </xf>
    <xf numFmtId="0" fontId="0" fillId="2" borderId="0" xfId="0" applyFill="1" applyAlignment="1">
      <alignment horizontal="left" wrapText="1"/>
    </xf>
    <xf numFmtId="0" fontId="0" fillId="0" borderId="0" xfId="0" applyAlignment="1">
      <alignment horizontal="left" wrapText="1"/>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2" applyNumberFormat="1" applyFont="1" applyFill="1" applyBorder="1" applyAlignment="1" applyProtection="1">
      <alignment vertical="center"/>
    </xf>
    <xf numFmtId="0" fontId="18" fillId="0" borderId="19" xfId="0" applyFont="1" applyBorder="1" applyAlignment="1" applyProtection="1">
      <alignment horizontal="center" vertical="center" wrapText="1"/>
      <protection hidden="1"/>
    </xf>
    <xf numFmtId="1" fontId="0" fillId="0" borderId="0" xfId="0" applyNumberFormat="1"/>
    <xf numFmtId="0" fontId="14" fillId="0" borderId="19" xfId="0" applyFont="1" applyBorder="1" applyAlignment="1" applyProtection="1">
      <alignment wrapText="1"/>
      <protection hidden="1"/>
    </xf>
    <xf numFmtId="0" fontId="0" fillId="0" borderId="0" xfId="0" applyAlignment="1">
      <alignment horizontal="left"/>
    </xf>
    <xf numFmtId="0" fontId="0" fillId="12" borderId="19" xfId="0" applyFill="1" applyBorder="1" applyAlignment="1" applyProtection="1">
      <alignment wrapText="1"/>
      <protection locked="0" hidden="1"/>
    </xf>
    <xf numFmtId="0" fontId="0" fillId="0" borderId="0" xfId="0" applyProtection="1">
      <protection hidden="1"/>
    </xf>
    <xf numFmtId="1" fontId="0" fillId="0" borderId="0" xfId="0" applyNumberFormat="1" applyProtection="1">
      <protection hidden="1"/>
    </xf>
    <xf numFmtId="1" fontId="0" fillId="12" borderId="19" xfId="0" applyNumberFormat="1" applyFill="1" applyBorder="1" applyAlignment="1" applyProtection="1">
      <alignment wrapText="1"/>
      <protection locked="0" hidden="1"/>
    </xf>
    <xf numFmtId="0" fontId="14" fillId="0" borderId="19" xfId="0" applyFont="1" applyBorder="1" applyAlignment="1" applyProtection="1">
      <alignment horizontal="center" vertical="center" wrapText="1"/>
      <protection hidden="1"/>
    </xf>
    <xf numFmtId="0" fontId="29" fillId="0" borderId="19" xfId="0" applyFont="1" applyBorder="1" applyAlignment="1" applyProtection="1">
      <alignment horizontal="center" vertical="center"/>
      <protection hidden="1"/>
    </xf>
    <xf numFmtId="0" fontId="29" fillId="0" borderId="19" xfId="0" quotePrefix="1" applyFont="1" applyBorder="1" applyAlignment="1" applyProtection="1">
      <alignment horizontal="center" vertical="center"/>
      <protection hidden="1"/>
    </xf>
    <xf numFmtId="0" fontId="0" fillId="0" borderId="0" xfId="0" applyAlignment="1">
      <alignment vertical="center"/>
    </xf>
    <xf numFmtId="1" fontId="0" fillId="0" borderId="19" xfId="0" applyNumberFormat="1" applyBorder="1"/>
    <xf numFmtId="0" fontId="0" fillId="0" borderId="19" xfId="0" applyBorder="1" applyAlignment="1">
      <alignment horizontal="left"/>
    </xf>
    <xf numFmtId="0" fontId="14" fillId="0" borderId="19" xfId="0" applyFont="1" applyBorder="1" applyAlignment="1" applyProtection="1">
      <alignment horizontal="left" wrapText="1"/>
      <protection hidden="1"/>
    </xf>
    <xf numFmtId="0" fontId="14" fillId="7" borderId="19" xfId="0" applyFont="1" applyFill="1" applyBorder="1" applyAlignment="1" applyProtection="1">
      <alignment horizontal="left" wrapText="1"/>
      <protection locked="0" hidden="1"/>
    </xf>
    <xf numFmtId="0" fontId="0" fillId="0" borderId="19" xfId="0" applyBorder="1"/>
    <xf numFmtId="0" fontId="14" fillId="0" borderId="19" xfId="0" applyFont="1" applyBorder="1" applyAlignment="1" applyProtection="1">
      <alignment horizontal="left" vertical="center"/>
      <protection hidden="1"/>
    </xf>
    <xf numFmtId="0" fontId="17" fillId="0" borderId="19" xfId="0" applyFont="1" applyBorder="1" applyAlignment="1" applyProtection="1">
      <alignment horizontal="left" vertical="center"/>
      <protection hidden="1"/>
    </xf>
    <xf numFmtId="0" fontId="14" fillId="9" borderId="19" xfId="0" applyFont="1" applyFill="1" applyBorder="1" applyAlignment="1" applyProtection="1">
      <alignment horizontal="left" vertical="center"/>
      <protection locked="0" hidden="1"/>
    </xf>
    <xf numFmtId="0" fontId="14" fillId="0" borderId="19" xfId="0" applyFont="1" applyBorder="1" applyAlignment="1" applyProtection="1">
      <alignment horizontal="left" vertical="center"/>
      <protection locked="0" hidden="1"/>
    </xf>
    <xf numFmtId="1" fontId="20" fillId="0" borderId="19" xfId="0" applyNumberFormat="1" applyFont="1" applyBorder="1" applyAlignment="1" applyProtection="1">
      <alignment horizontal="left"/>
      <protection hidden="1"/>
    </xf>
    <xf numFmtId="0" fontId="14" fillId="0" borderId="19" xfId="0" applyFont="1" applyBorder="1" applyAlignment="1" applyProtection="1">
      <alignment horizontal="left"/>
      <protection hidden="1"/>
    </xf>
    <xf numFmtId="1" fontId="19" fillId="7" borderId="19" xfId="0" applyNumberFormat="1" applyFont="1" applyFill="1" applyBorder="1" applyAlignment="1" applyProtection="1">
      <alignment horizontal="left"/>
      <protection hidden="1"/>
    </xf>
    <xf numFmtId="0" fontId="14" fillId="0" borderId="19" xfId="0" applyFont="1" applyBorder="1" applyAlignment="1" applyProtection="1">
      <alignment horizontal="left"/>
      <protection locked="0" hidden="1"/>
    </xf>
    <xf numFmtId="1" fontId="21" fillId="0" borderId="19" xfId="0" applyNumberFormat="1" applyFont="1" applyBorder="1" applyAlignment="1" applyProtection="1">
      <alignment horizontal="left"/>
      <protection hidden="1"/>
    </xf>
    <xf numFmtId="1" fontId="14" fillId="0" borderId="19" xfId="0" applyNumberFormat="1" applyFont="1" applyBorder="1" applyAlignment="1" applyProtection="1">
      <alignment horizontal="left"/>
      <protection hidden="1"/>
    </xf>
    <xf numFmtId="0" fontId="13" fillId="20" borderId="19" xfId="0" applyFont="1" applyFill="1" applyBorder="1" applyAlignment="1" applyProtection="1">
      <alignment horizontal="center"/>
      <protection locked="0" hidden="1"/>
    </xf>
    <xf numFmtId="0" fontId="14" fillId="7" borderId="19" xfId="0" applyFont="1" applyFill="1" applyBorder="1" applyAlignment="1" applyProtection="1">
      <alignment horizontal="left"/>
      <protection hidden="1"/>
    </xf>
    <xf numFmtId="0" fontId="20" fillId="19" borderId="19" xfId="0" applyFont="1" applyFill="1" applyBorder="1" applyAlignment="1" applyProtection="1">
      <alignment horizontal="left"/>
      <protection hidden="1"/>
    </xf>
    <xf numFmtId="1" fontId="20" fillId="0" borderId="0" xfId="0" applyNumberFormat="1" applyFont="1" applyAlignment="1" applyProtection="1">
      <alignment horizontal="left"/>
      <protection hidden="1"/>
    </xf>
    <xf numFmtId="0" fontId="0" fillId="19" borderId="19" xfId="0" applyFill="1" applyBorder="1"/>
    <xf numFmtId="1" fontId="43" fillId="10" borderId="19" xfId="0" applyNumberFormat="1" applyFont="1" applyFill="1" applyBorder="1" applyAlignment="1" applyProtection="1">
      <alignment horizontal="left"/>
      <protection hidden="1"/>
    </xf>
    <xf numFmtId="17" fontId="44" fillId="7" borderId="19" xfId="0" applyNumberFormat="1" applyFont="1" applyFill="1" applyBorder="1" applyAlignment="1" applyProtection="1">
      <alignment horizontal="center"/>
      <protection hidden="1"/>
    </xf>
    <xf numFmtId="17" fontId="45" fillId="7" borderId="19" xfId="0" applyNumberFormat="1" applyFont="1" applyFill="1" applyBorder="1" applyAlignment="1" applyProtection="1">
      <alignment horizontal="center"/>
      <protection hidden="1"/>
    </xf>
    <xf numFmtId="0" fontId="36" fillId="16" borderId="19" xfId="0" applyFont="1" applyFill="1" applyBorder="1" applyAlignment="1" applyProtection="1">
      <alignment horizontal="center"/>
      <protection locked="0" hidden="1"/>
    </xf>
    <xf numFmtId="0" fontId="44" fillId="7" borderId="19" xfId="0" applyFont="1" applyFill="1" applyBorder="1" applyAlignment="1" applyProtection="1">
      <alignment horizontal="center"/>
      <protection hidden="1"/>
    </xf>
    <xf numFmtId="0" fontId="36" fillId="15" borderId="19" xfId="0" applyFont="1" applyFill="1" applyBorder="1" applyAlignment="1" applyProtection="1">
      <alignment horizontal="center"/>
      <protection hidden="1"/>
    </xf>
    <xf numFmtId="0" fontId="45" fillId="15" borderId="19" xfId="0" applyFont="1" applyFill="1" applyBorder="1" applyAlignment="1" applyProtection="1">
      <alignment horizontal="center"/>
      <protection hidden="1"/>
    </xf>
    <xf numFmtId="1" fontId="36" fillId="19" borderId="19" xfId="0" applyNumberFormat="1" applyFont="1" applyFill="1" applyBorder="1" applyAlignment="1" applyProtection="1">
      <alignment horizontal="center"/>
      <protection hidden="1"/>
    </xf>
    <xf numFmtId="1" fontId="43" fillId="19" borderId="19" xfId="0" applyNumberFormat="1" applyFont="1" applyFill="1" applyBorder="1" applyAlignment="1" applyProtection="1">
      <alignment horizontal="center"/>
      <protection hidden="1"/>
    </xf>
    <xf numFmtId="9" fontId="35" fillId="21" borderId="23" xfId="0" applyNumberFormat="1" applyFont="1" applyFill="1" applyBorder="1" applyAlignment="1">
      <alignment vertical="center" wrapText="1"/>
    </xf>
    <xf numFmtId="9" fontId="35" fillId="21" borderId="28" xfId="0" applyNumberFormat="1" applyFont="1" applyFill="1" applyBorder="1" applyAlignment="1">
      <alignment vertical="center" wrapText="1"/>
    </xf>
    <xf numFmtId="0" fontId="35" fillId="19" borderId="23" xfId="0" applyFont="1" applyFill="1" applyBorder="1" applyAlignment="1">
      <alignment vertical="center" wrapText="1"/>
    </xf>
    <xf numFmtId="9" fontId="35" fillId="19" borderId="23" xfId="0" applyNumberFormat="1" applyFont="1" applyFill="1" applyBorder="1" applyAlignment="1">
      <alignment vertical="center" wrapText="1"/>
    </xf>
    <xf numFmtId="0" fontId="37" fillId="21" borderId="23" xfId="0" applyFont="1" applyFill="1" applyBorder="1" applyAlignment="1">
      <alignment vertical="center" wrapText="1"/>
    </xf>
    <xf numFmtId="0" fontId="37" fillId="21" borderId="28" xfId="0" applyFont="1" applyFill="1" applyBorder="1" applyAlignment="1">
      <alignment vertical="center" wrapText="1"/>
    </xf>
    <xf numFmtId="0" fontId="46" fillId="7" borderId="19" xfId="0" applyFont="1" applyFill="1" applyBorder="1" applyAlignment="1" applyProtection="1">
      <alignment horizontal="center" vertical="center"/>
      <protection locked="0" hidden="1"/>
    </xf>
    <xf numFmtId="0" fontId="46" fillId="7" borderId="19" xfId="0" applyFont="1" applyFill="1" applyBorder="1" applyAlignment="1" applyProtection="1">
      <alignment horizontal="center"/>
      <protection hidden="1"/>
    </xf>
    <xf numFmtId="0" fontId="17" fillId="0" borderId="19" xfId="0" applyFont="1" applyBorder="1" applyAlignment="1" applyProtection="1">
      <alignment vertical="center" wrapText="1"/>
      <protection hidden="1"/>
    </xf>
    <xf numFmtId="0" fontId="35" fillId="19" borderId="28" xfId="0" applyFont="1" applyFill="1" applyBorder="1" applyAlignment="1">
      <alignment vertical="center" wrapText="1"/>
    </xf>
    <xf numFmtId="9" fontId="35" fillId="19" borderId="28" xfId="0" applyNumberFormat="1" applyFont="1" applyFill="1" applyBorder="1" applyAlignment="1">
      <alignment vertical="center" wrapText="1"/>
    </xf>
    <xf numFmtId="1" fontId="48" fillId="21" borderId="23" xfId="0" applyNumberFormat="1" applyFont="1" applyFill="1" applyBorder="1" applyAlignment="1" applyProtection="1">
      <alignment vertical="center" wrapText="1"/>
      <protection hidden="1"/>
    </xf>
    <xf numFmtId="1" fontId="48" fillId="21" borderId="33" xfId="0" applyNumberFormat="1" applyFont="1" applyFill="1" applyBorder="1" applyAlignment="1" applyProtection="1">
      <alignment vertical="center" wrapText="1"/>
      <protection hidden="1"/>
    </xf>
    <xf numFmtId="1" fontId="48" fillId="21" borderId="32" xfId="0" applyNumberFormat="1" applyFont="1" applyFill="1" applyBorder="1" applyAlignment="1" applyProtection="1">
      <alignment vertical="center" wrapText="1"/>
      <protection hidden="1"/>
    </xf>
    <xf numFmtId="1" fontId="38" fillId="21" borderId="19" xfId="0" applyNumberFormat="1" applyFont="1" applyFill="1" applyBorder="1" applyAlignment="1" applyProtection="1">
      <alignment vertical="center" wrapText="1"/>
      <protection hidden="1"/>
    </xf>
    <xf numFmtId="1" fontId="33" fillId="12" borderId="19" xfId="0" applyNumberFormat="1" applyFont="1" applyFill="1" applyBorder="1" applyAlignment="1" applyProtection="1">
      <alignment vertical="center" wrapText="1"/>
      <protection hidden="1"/>
    </xf>
    <xf numFmtId="1" fontId="33" fillId="7" borderId="19" xfId="0" applyNumberFormat="1" applyFont="1" applyFill="1" applyBorder="1" applyAlignment="1" applyProtection="1">
      <alignment vertical="center" wrapText="1"/>
      <protection hidden="1"/>
    </xf>
    <xf numFmtId="1" fontId="33" fillId="19" borderId="19" xfId="0" applyNumberFormat="1" applyFont="1" applyFill="1" applyBorder="1" applyAlignment="1" applyProtection="1">
      <alignment vertical="center" wrapText="1"/>
      <protection hidden="1"/>
    </xf>
    <xf numFmtId="0" fontId="44" fillId="19" borderId="23" xfId="0" applyFont="1" applyFill="1" applyBorder="1" applyAlignment="1" applyProtection="1">
      <alignment vertical="top" wrapText="1"/>
      <protection hidden="1"/>
    </xf>
    <xf numFmtId="1" fontId="48" fillId="19" borderId="23" xfId="0" applyNumberFormat="1" applyFont="1" applyFill="1" applyBorder="1" applyAlignment="1" applyProtection="1">
      <alignment vertical="center" wrapText="1"/>
      <protection hidden="1"/>
    </xf>
    <xf numFmtId="1" fontId="48" fillId="19" borderId="28" xfId="0" applyNumberFormat="1" applyFont="1" applyFill="1" applyBorder="1" applyAlignment="1" applyProtection="1">
      <alignment vertical="center" wrapText="1"/>
      <protection hidden="1"/>
    </xf>
    <xf numFmtId="1" fontId="25" fillId="19" borderId="19" xfId="0" applyNumberFormat="1" applyFont="1" applyFill="1" applyBorder="1" applyProtection="1">
      <protection hidden="1"/>
    </xf>
    <xf numFmtId="1" fontId="0" fillId="12" borderId="19" xfId="0" applyNumberFormat="1" applyFill="1" applyBorder="1" applyProtection="1">
      <protection hidden="1"/>
    </xf>
    <xf numFmtId="1" fontId="0" fillId="7" borderId="19" xfId="0" applyNumberFormat="1" applyFill="1" applyBorder="1" applyProtection="1">
      <protection hidden="1"/>
    </xf>
    <xf numFmtId="1" fontId="0" fillId="19" borderId="19" xfId="0" applyNumberFormat="1" applyFill="1" applyBorder="1" applyProtection="1">
      <protection hidden="1"/>
    </xf>
    <xf numFmtId="1" fontId="38" fillId="10" borderId="19" xfId="0" applyNumberFormat="1" applyFont="1" applyFill="1" applyBorder="1" applyAlignment="1" applyProtection="1">
      <alignment vertical="center" wrapText="1"/>
      <protection hidden="1"/>
    </xf>
    <xf numFmtId="1" fontId="25" fillId="10" borderId="19" xfId="0" applyNumberFormat="1" applyFont="1" applyFill="1" applyBorder="1" applyProtection="1">
      <protection hidden="1"/>
    </xf>
    <xf numFmtId="17" fontId="36" fillId="10" borderId="19" xfId="0" applyNumberFormat="1" applyFont="1" applyFill="1" applyBorder="1" applyAlignment="1" applyProtection="1">
      <alignment horizontal="center"/>
      <protection hidden="1"/>
    </xf>
    <xf numFmtId="1" fontId="14" fillId="10" borderId="19" xfId="0" applyNumberFormat="1" applyFont="1" applyFill="1" applyBorder="1" applyAlignment="1" applyProtection="1">
      <alignment horizontal="left" vertical="top"/>
      <protection locked="0" hidden="1"/>
    </xf>
    <xf numFmtId="0" fontId="49" fillId="10" borderId="19" xfId="0" applyFont="1" applyFill="1" applyBorder="1" applyAlignment="1" applyProtection="1">
      <alignment horizontal="center" vertical="center" wrapText="1"/>
      <protection hidden="1"/>
    </xf>
    <xf numFmtId="0" fontId="47" fillId="19" borderId="19" xfId="0" applyFont="1" applyFill="1" applyBorder="1" applyAlignment="1" applyProtection="1">
      <alignment horizontal="center" vertical="center" wrapText="1"/>
      <protection hidden="1"/>
    </xf>
    <xf numFmtId="0" fontId="17" fillId="0" borderId="31" xfId="0" applyFont="1" applyBorder="1" applyAlignment="1" applyProtection="1">
      <alignment vertical="center" wrapText="1"/>
      <protection hidden="1"/>
    </xf>
    <xf numFmtId="0" fontId="17" fillId="0" borderId="19" xfId="0" applyFont="1" applyBorder="1" applyAlignment="1" applyProtection="1">
      <alignment vertical="center" wrapText="1"/>
      <protection locked="0"/>
    </xf>
    <xf numFmtId="0" fontId="17" fillId="0" borderId="30" xfId="0" applyFont="1" applyBorder="1" applyAlignment="1" applyProtection="1">
      <alignment vertical="center" wrapText="1"/>
      <protection locked="0"/>
    </xf>
    <xf numFmtId="0" fontId="14" fillId="0" borderId="19" xfId="0" applyFont="1" applyBorder="1" applyAlignment="1" applyProtection="1">
      <alignment horizontal="center" vertical="center" wrapText="1"/>
      <protection locked="0" hidden="1"/>
    </xf>
    <xf numFmtId="0" fontId="0" fillId="0" borderId="29" xfId="0" applyBorder="1" applyAlignment="1">
      <alignment horizontal="center"/>
    </xf>
    <xf numFmtId="0" fontId="38" fillId="12" borderId="30" xfId="0" applyFont="1" applyFill="1" applyBorder="1" applyAlignment="1">
      <alignment horizontal="center" vertical="center" wrapText="1"/>
    </xf>
    <xf numFmtId="0" fontId="38" fillId="12" borderId="31" xfId="0" applyFont="1" applyFill="1" applyBorder="1" applyAlignment="1">
      <alignment horizontal="center" vertical="center" wrapText="1"/>
    </xf>
    <xf numFmtId="0" fontId="0" fillId="12" borderId="30" xfId="0" applyFill="1" applyBorder="1" applyAlignment="1">
      <alignment horizontal="center"/>
    </xf>
    <xf numFmtId="0" fontId="0" fillId="12" borderId="31" xfId="0" applyFill="1" applyBorder="1" applyAlignment="1">
      <alignment horizontal="center"/>
    </xf>
    <xf numFmtId="0" fontId="0" fillId="0" borderId="0" xfId="0" applyAlignment="1">
      <alignment horizontal="center" vertical="top"/>
    </xf>
    <xf numFmtId="0" fontId="14" fillId="0" borderId="30" xfId="0" applyFont="1" applyBorder="1" applyAlignment="1" applyProtection="1">
      <alignment horizontal="left" wrapText="1"/>
      <protection hidden="1"/>
    </xf>
    <xf numFmtId="0" fontId="14" fillId="0" borderId="31" xfId="0" applyFont="1" applyBorder="1" applyAlignment="1" applyProtection="1">
      <alignment horizontal="left" wrapText="1"/>
      <protection hidden="1"/>
    </xf>
    <xf numFmtId="0" fontId="36" fillId="10" borderId="19" xfId="0" applyFont="1" applyFill="1" applyBorder="1" applyAlignment="1" applyProtection="1">
      <alignment horizontal="center" wrapText="1"/>
      <protection hidden="1"/>
    </xf>
    <xf numFmtId="0" fontId="36" fillId="10" borderId="19" xfId="0" applyFont="1" applyFill="1" applyBorder="1"/>
    <xf numFmtId="0" fontId="44" fillId="13" borderId="19" xfId="0" applyFont="1" applyFill="1" applyBorder="1" applyAlignment="1" applyProtection="1">
      <alignment horizontal="center"/>
      <protection hidden="1"/>
    </xf>
    <xf numFmtId="0" fontId="36" fillId="0" borderId="19" xfId="0" applyFont="1" applyBorder="1"/>
    <xf numFmtId="0" fontId="36" fillId="11" borderId="19" xfId="0" applyFont="1" applyFill="1" applyBorder="1" applyAlignment="1" applyProtection="1">
      <alignment horizontal="center"/>
      <protection hidden="1"/>
    </xf>
    <xf numFmtId="0" fontId="44" fillId="14" borderId="19" xfId="0" applyFont="1" applyFill="1" applyBorder="1" applyAlignment="1" applyProtection="1">
      <alignment horizontal="center" wrapText="1"/>
      <protection hidden="1"/>
    </xf>
    <xf numFmtId="0" fontId="14" fillId="0" borderId="19" xfId="0" applyFont="1" applyBorder="1" applyAlignment="1" applyProtection="1">
      <alignment horizontal="left" wrapText="1"/>
      <protection hidden="1"/>
    </xf>
    <xf numFmtId="0" fontId="0" fillId="19" borderId="19" xfId="0" applyFill="1" applyBorder="1" applyAlignment="1" applyProtection="1">
      <alignment horizontal="center"/>
      <protection hidden="1"/>
    </xf>
    <xf numFmtId="0" fontId="20" fillId="0" borderId="24" xfId="0" applyFont="1" applyBorder="1" applyAlignment="1" applyProtection="1">
      <alignment horizontal="center"/>
      <protection hidden="1"/>
    </xf>
    <xf numFmtId="0" fontId="20" fillId="0" borderId="25" xfId="0" applyFont="1" applyBorder="1" applyAlignment="1" applyProtection="1">
      <alignment horizontal="center"/>
      <protection hidden="1"/>
    </xf>
    <xf numFmtId="0" fontId="20" fillId="0" borderId="26" xfId="0" applyFont="1" applyBorder="1" applyAlignment="1" applyProtection="1">
      <alignment horizontal="center"/>
      <protection hidden="1"/>
    </xf>
    <xf numFmtId="0" fontId="32" fillId="9" borderId="19" xfId="2" applyFont="1" applyFill="1" applyBorder="1" applyAlignment="1" applyProtection="1">
      <alignment horizontal="center"/>
      <protection hidden="1"/>
    </xf>
    <xf numFmtId="0" fontId="25" fillId="10" borderId="19" xfId="0" applyFont="1" applyFill="1" applyBorder="1" applyAlignment="1">
      <alignment horizontal="center"/>
    </xf>
    <xf numFmtId="0" fontId="33" fillId="19" borderId="19" xfId="0" applyFont="1" applyFill="1" applyBorder="1" applyAlignment="1">
      <alignment horizontal="center" vertical="center" wrapText="1"/>
    </xf>
    <xf numFmtId="0" fontId="38" fillId="10" borderId="19" xfId="0" applyFont="1" applyFill="1" applyBorder="1" applyAlignment="1">
      <alignment horizontal="center" vertical="center" wrapText="1"/>
    </xf>
    <xf numFmtId="0" fontId="19" fillId="0" borderId="19" xfId="0" applyFont="1" applyBorder="1" applyAlignment="1" applyProtection="1">
      <alignment horizontal="center"/>
      <protection hidden="1"/>
    </xf>
    <xf numFmtId="0" fontId="13" fillId="0" borderId="19" xfId="0" applyFont="1" applyBorder="1" applyAlignment="1" applyProtection="1">
      <alignment horizontal="center"/>
      <protection locked="0" hidden="1"/>
    </xf>
    <xf numFmtId="0" fontId="19" fillId="7" borderId="19" xfId="0" applyFont="1" applyFill="1" applyBorder="1" applyAlignment="1" applyProtection="1">
      <alignment horizontal="center" wrapText="1"/>
      <protection hidden="1"/>
    </xf>
    <xf numFmtId="0" fontId="14" fillId="0" borderId="19" xfId="0" applyFont="1" applyBorder="1" applyAlignment="1" applyProtection="1">
      <alignment horizontal="center" wrapText="1"/>
      <protection hidden="1"/>
    </xf>
    <xf numFmtId="0" fontId="24" fillId="0" borderId="19" xfId="0" applyFont="1" applyBorder="1" applyAlignment="1" applyProtection="1">
      <alignment horizontal="center"/>
      <protection hidden="1"/>
    </xf>
    <xf numFmtId="0" fontId="20" fillId="7" borderId="30" xfId="0" applyFont="1" applyFill="1" applyBorder="1" applyAlignment="1" applyProtection="1">
      <alignment horizontal="center"/>
      <protection locked="0" hidden="1"/>
    </xf>
    <xf numFmtId="0" fontId="20" fillId="7" borderId="31" xfId="0" applyFont="1" applyFill="1" applyBorder="1" applyAlignment="1" applyProtection="1">
      <alignment horizontal="center"/>
      <protection locked="0" hidden="1"/>
    </xf>
    <xf numFmtId="1" fontId="19" fillId="18" borderId="30" xfId="0" applyNumberFormat="1" applyFont="1" applyFill="1" applyBorder="1" applyAlignment="1" applyProtection="1">
      <alignment horizontal="center"/>
      <protection hidden="1"/>
    </xf>
    <xf numFmtId="1" fontId="19" fillId="18" borderId="31" xfId="0" applyNumberFormat="1" applyFont="1" applyFill="1" applyBorder="1" applyAlignment="1" applyProtection="1">
      <alignment horizontal="center"/>
      <protection hidden="1"/>
    </xf>
    <xf numFmtId="0" fontId="23" fillId="20" borderId="19" xfId="0" applyFont="1" applyFill="1" applyBorder="1" applyAlignment="1" applyProtection="1">
      <alignment horizontal="center"/>
      <protection locked="0"/>
    </xf>
    <xf numFmtId="0" fontId="15" fillId="22" borderId="19" xfId="0" applyFont="1" applyFill="1" applyBorder="1" applyAlignment="1" applyProtection="1">
      <alignment horizontal="center" vertical="center" wrapText="1"/>
      <protection hidden="1"/>
    </xf>
    <xf numFmtId="0" fontId="30" fillId="19" borderId="21" xfId="0" applyFont="1" applyFill="1" applyBorder="1" applyAlignment="1">
      <alignment horizontal="center" vertical="top" wrapText="1"/>
    </xf>
    <xf numFmtId="0" fontId="30" fillId="19" borderId="20" xfId="0" applyFont="1" applyFill="1" applyBorder="1" applyAlignment="1">
      <alignment horizontal="center" vertical="top" wrapText="1"/>
    </xf>
    <xf numFmtId="0" fontId="30" fillId="20" borderId="19" xfId="0" applyFont="1" applyFill="1" applyBorder="1" applyAlignment="1">
      <alignment horizontal="center" vertical="top" wrapText="1"/>
    </xf>
    <xf numFmtId="0" fontId="0" fillId="0" borderId="19" xfId="0" applyBorder="1" applyAlignment="1" applyProtection="1">
      <alignment horizontal="center" vertical="center"/>
      <protection hidden="1"/>
    </xf>
    <xf numFmtId="0" fontId="0" fillId="0" borderId="21" xfId="0" quotePrefix="1" applyBorder="1" applyAlignment="1" applyProtection="1">
      <alignment horizontal="center" vertical="center"/>
      <protection hidden="1"/>
    </xf>
    <xf numFmtId="0" fontId="0" fillId="0" borderId="20" xfId="0" quotePrefix="1"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14" fillId="0" borderId="19" xfId="0" applyFont="1" applyBorder="1" applyAlignment="1" applyProtection="1">
      <alignment horizontal="left" vertical="center"/>
      <protection hidden="1"/>
    </xf>
    <xf numFmtId="0" fontId="17" fillId="0" borderId="30" xfId="0" applyFont="1" applyBorder="1" applyAlignment="1" applyProtection="1">
      <alignment horizontal="center" vertical="center" wrapText="1"/>
      <protection locked="0"/>
    </xf>
    <xf numFmtId="0" fontId="17" fillId="0" borderId="34" xfId="0" applyFont="1" applyBorder="1" applyAlignment="1" applyProtection="1">
      <alignment horizontal="center" vertical="center" wrapText="1"/>
      <protection locked="0"/>
    </xf>
    <xf numFmtId="0" fontId="25" fillId="7" borderId="19" xfId="0" applyFont="1" applyFill="1" applyBorder="1" applyAlignment="1" applyProtection="1">
      <alignment horizontal="center"/>
      <protection hidden="1"/>
    </xf>
    <xf numFmtId="0" fontId="42" fillId="19" borderId="21" xfId="0" applyFont="1" applyFill="1" applyBorder="1" applyAlignment="1">
      <alignment horizontal="center" vertical="top" wrapText="1"/>
    </xf>
    <xf numFmtId="0" fontId="42" fillId="19" borderId="22" xfId="0" applyFont="1" applyFill="1" applyBorder="1" applyAlignment="1">
      <alignment horizontal="center" vertical="top" wrapText="1"/>
    </xf>
    <xf numFmtId="0" fontId="42" fillId="19" borderId="20" xfId="0" applyFont="1" applyFill="1" applyBorder="1" applyAlignment="1">
      <alignment horizontal="center" vertical="top" wrapText="1"/>
    </xf>
    <xf numFmtId="0" fontId="17" fillId="7" borderId="19" xfId="0" applyFont="1" applyFill="1" applyBorder="1" applyAlignment="1">
      <alignment horizontal="left"/>
    </xf>
    <xf numFmtId="0" fontId="26" fillId="7" borderId="19" xfId="0" applyFont="1" applyFill="1" applyBorder="1" applyAlignment="1" applyProtection="1">
      <alignment horizontal="center" wrapText="1"/>
      <protection hidden="1"/>
    </xf>
    <xf numFmtId="0" fontId="39" fillId="0" borderId="19" xfId="0" applyFont="1" applyBorder="1" applyAlignment="1" applyProtection="1">
      <alignment horizontal="left" vertical="center" wrapText="1"/>
      <protection hidden="1"/>
    </xf>
    <xf numFmtId="0" fontId="40" fillId="0" borderId="19" xfId="0" applyFont="1" applyBorder="1" applyAlignment="1" applyProtection="1">
      <alignment horizontal="left" vertical="center" wrapText="1"/>
      <protection hidden="1"/>
    </xf>
    <xf numFmtId="0" fontId="22" fillId="0" borderId="19" xfId="0" applyFont="1" applyBorder="1" applyAlignment="1">
      <alignment horizontal="left" vertical="center" wrapText="1"/>
    </xf>
    <xf numFmtId="1" fontId="27" fillId="11" borderId="19" xfId="0" applyNumberFormat="1" applyFont="1" applyFill="1" applyBorder="1" applyAlignment="1" applyProtection="1">
      <alignment horizontal="center"/>
      <protection hidden="1"/>
    </xf>
    <xf numFmtId="0" fontId="25" fillId="0" borderId="19" xfId="0" applyFont="1" applyBorder="1" applyAlignment="1" applyProtection="1">
      <alignment horizontal="center"/>
      <protection hidden="1"/>
    </xf>
    <xf numFmtId="0" fontId="20" fillId="21" borderId="27" xfId="0" applyFont="1" applyFill="1" applyBorder="1" applyAlignment="1" applyProtection="1">
      <alignment horizontal="center"/>
      <protection hidden="1"/>
    </xf>
    <xf numFmtId="0" fontId="20" fillId="19" borderId="27" xfId="0" applyFont="1" applyFill="1" applyBorder="1" applyAlignment="1" applyProtection="1">
      <alignment horizontal="center"/>
      <protection hidden="1"/>
    </xf>
    <xf numFmtId="0" fontId="33" fillId="21" borderId="19" xfId="0" applyFont="1" applyFill="1" applyBorder="1" applyAlignment="1">
      <alignment horizontal="center" vertical="center" wrapText="1"/>
    </xf>
    <xf numFmtId="0" fontId="33" fillId="7" borderId="19" xfId="0" applyFont="1" applyFill="1" applyBorder="1" applyAlignment="1">
      <alignment horizontal="center" vertical="center" wrapText="1"/>
    </xf>
    <xf numFmtId="0" fontId="0" fillId="7" borderId="19" xfId="0" applyFill="1" applyBorder="1" applyAlignment="1">
      <alignment horizontal="center"/>
    </xf>
    <xf numFmtId="0" fontId="35" fillId="19" borderId="19" xfId="0" applyFont="1" applyFill="1" applyBorder="1" applyAlignment="1">
      <alignment horizontal="center" vertical="center" wrapText="1"/>
    </xf>
    <xf numFmtId="9" fontId="35" fillId="19" borderId="19" xfId="0" applyNumberFormat="1" applyFont="1" applyFill="1" applyBorder="1" applyAlignment="1">
      <alignment horizontal="right" vertical="center" wrapText="1"/>
    </xf>
    <xf numFmtId="1" fontId="48" fillId="19" borderId="19" xfId="0" applyNumberFormat="1" applyFont="1" applyFill="1" applyBorder="1" applyAlignment="1" applyProtection="1">
      <alignment horizontal="right" vertical="center" wrapText="1"/>
      <protection hidden="1"/>
    </xf>
    <xf numFmtId="0" fontId="31" fillId="14" borderId="0" xfId="0" applyFont="1" applyFill="1" applyAlignment="1" applyProtection="1">
      <alignment horizontal="left"/>
      <protection hidden="1"/>
    </xf>
    <xf numFmtId="0" fontId="31" fillId="17" borderId="0" xfId="0" applyFont="1" applyFill="1" applyAlignment="1" applyProtection="1">
      <alignment horizontal="left" wrapText="1"/>
      <protection hidden="1"/>
    </xf>
    <xf numFmtId="0" fontId="31" fillId="19" borderId="0" xfId="0" applyFont="1" applyFill="1" applyAlignment="1">
      <alignment horizontal="left"/>
    </xf>
    <xf numFmtId="0" fontId="0" fillId="0" borderId="0" xfId="0" applyAlignment="1">
      <alignment horizontal="center"/>
    </xf>
    <xf numFmtId="0" fontId="28" fillId="8" borderId="0" xfId="0" applyFont="1" applyFill="1" applyAlignment="1" applyProtection="1">
      <alignment horizontal="center"/>
      <protection hidden="1"/>
    </xf>
    <xf numFmtId="0" fontId="31" fillId="15" borderId="0" xfId="0" applyFont="1" applyFill="1" applyAlignment="1" applyProtection="1">
      <alignment horizontal="left"/>
      <protection hidden="1"/>
    </xf>
    <xf numFmtId="0" fontId="31" fillId="7" borderId="0" xfId="0" applyFont="1" applyFill="1" applyAlignment="1" applyProtection="1">
      <alignment horizontal="left"/>
      <protection hidden="1"/>
    </xf>
    <xf numFmtId="0" fontId="31" fillId="12" borderId="0" xfId="0" applyFont="1" applyFill="1" applyAlignment="1" applyProtection="1">
      <alignment horizontal="left"/>
      <protection hidden="1"/>
    </xf>
    <xf numFmtId="0" fontId="31" fillId="11" borderId="0" xfId="0" applyFont="1" applyFill="1" applyAlignment="1" applyProtection="1">
      <alignment horizontal="left"/>
      <protection hidden="1"/>
    </xf>
    <xf numFmtId="0" fontId="1" fillId="2" borderId="1" xfId="0" applyFont="1" applyFill="1" applyBorder="1" applyAlignment="1">
      <alignment horizontal="center" vertical="center"/>
    </xf>
    <xf numFmtId="0" fontId="3" fillId="3" borderId="1" xfId="0" applyFont="1" applyFill="1" applyBorder="1" applyAlignment="1">
      <alignment horizontal="left" vertical="center"/>
    </xf>
    <xf numFmtId="0" fontId="0" fillId="2" borderId="2" xfId="0" applyFill="1" applyBorder="1" applyAlignment="1">
      <alignment horizontal="center"/>
    </xf>
    <xf numFmtId="0" fontId="2" fillId="0" borderId="9" xfId="0" applyFont="1" applyBorder="1" applyAlignment="1">
      <alignment horizontal="left" wrapText="1"/>
    </xf>
    <xf numFmtId="0" fontId="0" fillId="0" borderId="0" xfId="0" applyAlignment="1">
      <alignment horizontal="left" wrapText="1"/>
    </xf>
  </cellXfs>
  <cellStyles count="3">
    <cellStyle name="Comma" xfId="1" builtinId="3"/>
    <cellStyle name="Hyperlink"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5E0B4"/>
      <rgbColor rgb="00808080"/>
      <rgbColor rgb="009999FF"/>
      <rgbColor rgb="00993366"/>
      <rgbColor rgb="00FBE5D6"/>
      <rgbColor rgb="00DEEBF7"/>
      <rgbColor rgb="00660066"/>
      <rgbColor rgb="00FF8080"/>
      <rgbColor rgb="000563C1"/>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0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s://www.facebook.com/abCAus" TargetMode="External"/><Relationship Id="rId1" Type="http://schemas.openxmlformats.org/officeDocument/2006/relationships/hyperlink" Target="http://abcaus.in/macros.pdf" TargetMode="External"/><Relationship Id="rId6" Type="http://schemas.openxmlformats.org/officeDocument/2006/relationships/image" Target="../media/image4.png"/><Relationship Id="rId5" Type="http://schemas.openxmlformats.org/officeDocument/2006/relationships/image" Target="../media/image3.jpeg"/><Relationship Id="rId4" Type="http://schemas.openxmlformats.org/officeDocument/2006/relationships/hyperlink" Target="https://youtu.be/gNizknzAF_E" TargetMode="External"/></Relationships>
</file>

<file path=xl/drawings/drawing1.xml><?xml version="1.0" encoding="utf-8"?>
<xdr:wsDr xmlns:xdr="http://schemas.openxmlformats.org/drawingml/2006/spreadsheetDrawing" xmlns:a="http://schemas.openxmlformats.org/drawingml/2006/main">
  <xdr:twoCellAnchor>
    <xdr:from>
      <xdr:col>8</xdr:col>
      <xdr:colOff>428625</xdr:colOff>
      <xdr:row>9</xdr:row>
      <xdr:rowOff>85725</xdr:rowOff>
    </xdr:from>
    <xdr:to>
      <xdr:col>12</xdr:col>
      <xdr:colOff>390525</xdr:colOff>
      <xdr:row>22</xdr:row>
      <xdr:rowOff>142875</xdr:rowOff>
    </xdr:to>
    <xdr:pic>
      <xdr:nvPicPr>
        <xdr:cNvPr id="2049" name="Picture 4">
          <a:extLst>
            <a:ext uri="{FF2B5EF4-FFF2-40B4-BE49-F238E27FC236}">
              <a16:creationId xmlns="" xmlns:a16="http://schemas.microsoft.com/office/drawing/2014/main" id="{00000000-0008-0000-00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5305425" y="2209800"/>
          <a:ext cx="2400300" cy="253365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cap="flat">
              <a:solidFill>
                <a:srgbClr val="3465A4"/>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137886</xdr:colOff>
      <xdr:row>4</xdr:row>
      <xdr:rowOff>63500</xdr:rowOff>
    </xdr:from>
    <xdr:to>
      <xdr:col>0</xdr:col>
      <xdr:colOff>589643</xdr:colOff>
      <xdr:row>4</xdr:row>
      <xdr:rowOff>66223</xdr:rowOff>
    </xdr:to>
    <xdr:cxnSp macro="">
      <xdr:nvCxnSpPr>
        <xdr:cNvPr id="3" name="Straight Arrow Connector 2">
          <a:extLst>
            <a:ext uri="{FF2B5EF4-FFF2-40B4-BE49-F238E27FC236}">
              <a16:creationId xmlns="" xmlns:a16="http://schemas.microsoft.com/office/drawing/2014/main" id="{00000000-0008-0000-0100-000003000000}"/>
            </a:ext>
          </a:extLst>
        </xdr:cNvPr>
        <xdr:cNvCxnSpPr/>
      </xdr:nvCxnSpPr>
      <xdr:spPr bwMode="auto">
        <a:xfrm flipV="1">
          <a:off x="137886" y="1310821"/>
          <a:ext cx="451757" cy="2723"/>
        </a:xfrm>
        <a:prstGeom prst="straightConnector1">
          <a:avLst/>
        </a:prstGeom>
        <a:solidFill>
          <a:srgbClr val="090000"/>
        </a:solidFill>
        <a:ln w="9525" cap="flat" cmpd="sng" algn="ctr">
          <a:solidFill>
            <a:srgbClr val="400000"/>
          </a:solidFill>
          <a:prstDash val="solid"/>
          <a:round/>
          <a:headEnd type="none" w="med" len="med"/>
          <a:tailEnd type="arrow"/>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133350</xdr:colOff>
      <xdr:row>6</xdr:row>
      <xdr:rowOff>212725</xdr:rowOff>
    </xdr:from>
    <xdr:to>
      <xdr:col>0</xdr:col>
      <xdr:colOff>561975</xdr:colOff>
      <xdr:row>6</xdr:row>
      <xdr:rowOff>222252</xdr:rowOff>
    </xdr:to>
    <xdr:cxnSp macro="">
      <xdr:nvCxnSpPr>
        <xdr:cNvPr id="6" name="Straight Arrow Connector 5">
          <a:extLst>
            <a:ext uri="{FF2B5EF4-FFF2-40B4-BE49-F238E27FC236}">
              <a16:creationId xmlns="" xmlns:a16="http://schemas.microsoft.com/office/drawing/2014/main" id="{00000000-0008-0000-0100-000006000000}"/>
            </a:ext>
          </a:extLst>
        </xdr:cNvPr>
        <xdr:cNvCxnSpPr/>
      </xdr:nvCxnSpPr>
      <xdr:spPr bwMode="auto">
        <a:xfrm flipV="1">
          <a:off x="133350" y="1881868"/>
          <a:ext cx="428625" cy="9527"/>
        </a:xfrm>
        <a:prstGeom prst="straightConnector1">
          <a:avLst/>
        </a:prstGeom>
        <a:solidFill>
          <a:srgbClr val="090000"/>
        </a:solidFill>
        <a:ln w="9525" cap="flat" cmpd="sng" algn="ctr">
          <a:solidFill>
            <a:srgbClr val="400000"/>
          </a:solidFill>
          <a:prstDash val="solid"/>
          <a:round/>
          <a:headEnd type="none" w="med" len="med"/>
          <a:tailEnd type="arrow"/>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68036</xdr:colOff>
      <xdr:row>48</xdr:row>
      <xdr:rowOff>74840</xdr:rowOff>
    </xdr:from>
    <xdr:to>
      <xdr:col>0</xdr:col>
      <xdr:colOff>498930</xdr:colOff>
      <xdr:row>50</xdr:row>
      <xdr:rowOff>27214</xdr:rowOff>
    </xdr:to>
    <xdr:sp macro="" textlink="">
      <xdr:nvSpPr>
        <xdr:cNvPr id="10" name="Right Arrow 9">
          <a:extLst>
            <a:ext uri="{FF2B5EF4-FFF2-40B4-BE49-F238E27FC236}">
              <a16:creationId xmlns="" xmlns:a16="http://schemas.microsoft.com/office/drawing/2014/main" id="{00000000-0008-0000-0100-00000A000000}"/>
            </a:ext>
          </a:extLst>
        </xdr:cNvPr>
        <xdr:cNvSpPr/>
      </xdr:nvSpPr>
      <xdr:spPr bwMode="auto">
        <a:xfrm>
          <a:off x="68036" y="9422947"/>
          <a:ext cx="430894" cy="324303"/>
        </a:xfrm>
        <a:prstGeom prst="rightArrow">
          <a:avLst/>
        </a:pr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en-US"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11</xdr:col>
      <xdr:colOff>142875</xdr:colOff>
      <xdr:row>0</xdr:row>
      <xdr:rowOff>57150</xdr:rowOff>
    </xdr:from>
    <xdr:to>
      <xdr:col>13</xdr:col>
      <xdr:colOff>9525</xdr:colOff>
      <xdr:row>0</xdr:row>
      <xdr:rowOff>590550</xdr:rowOff>
    </xdr:to>
    <xdr:sp macro="" textlink="" fLocksText="0">
      <xdr:nvSpPr>
        <xdr:cNvPr id="1025" name="Rectangle 1">
          <a:hlinkClick xmlns:r="http://schemas.openxmlformats.org/officeDocument/2006/relationships" r:id="rId1"/>
          <a:extLst>
            <a:ext uri="{FF2B5EF4-FFF2-40B4-BE49-F238E27FC236}">
              <a16:creationId xmlns="" xmlns:a16="http://schemas.microsoft.com/office/drawing/2014/main" id="{00000000-0008-0000-0300-000001040000}"/>
            </a:ext>
          </a:extLst>
        </xdr:cNvPr>
        <xdr:cNvSpPr>
          <a:spLocks noChangeArrowheads="1"/>
        </xdr:cNvSpPr>
      </xdr:nvSpPr>
      <xdr:spPr bwMode="auto">
        <a:xfrm>
          <a:off x="5581650" y="57150"/>
          <a:ext cx="1371600" cy="533400"/>
        </a:xfrm>
        <a:prstGeom prst="rect">
          <a:avLst/>
        </a:prstGeom>
        <a:solidFill>
          <a:srgbClr val="FFFFFF"/>
        </a:solidFill>
        <a:ln w="12600" cap="flat">
          <a:solidFill>
            <a:srgbClr val="ED7D31"/>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ctr"/>
        <a:lstStyle/>
        <a:p>
          <a:pPr algn="l" rtl="0">
            <a:defRPr sz="1000"/>
          </a:pPr>
          <a:r>
            <a:rPr lang="en-US" sz="1100" b="0" i="0" u="none" strike="noStrike" baseline="0">
              <a:solidFill>
                <a:srgbClr val="000000"/>
              </a:solidFill>
              <a:latin typeface="Calibri"/>
            </a:rPr>
            <a:t>Macros must have been enabled to use this utility.   </a:t>
          </a:r>
        </a:p>
        <a:p>
          <a:pPr algn="l" rtl="0">
            <a:defRPr sz="1000"/>
          </a:pPr>
          <a:r>
            <a:rPr lang="en-US" sz="1100" b="0" i="0" u="none" strike="noStrike" baseline="0">
              <a:solidFill>
                <a:srgbClr val="000000"/>
              </a:solidFill>
              <a:latin typeface="Calibri"/>
            </a:rPr>
            <a:t>Macro Help</a:t>
          </a:r>
        </a:p>
      </xdr:txBody>
    </xdr:sp>
    <xdr:clientData/>
  </xdr:twoCellAnchor>
  <xdr:twoCellAnchor>
    <xdr:from>
      <xdr:col>3</xdr:col>
      <xdr:colOff>161925</xdr:colOff>
      <xdr:row>0</xdr:row>
      <xdr:rowOff>104775</xdr:rowOff>
    </xdr:from>
    <xdr:to>
      <xdr:col>3</xdr:col>
      <xdr:colOff>1352550</xdr:colOff>
      <xdr:row>0</xdr:row>
      <xdr:rowOff>581025</xdr:rowOff>
    </xdr:to>
    <xdr:pic>
      <xdr:nvPicPr>
        <xdr:cNvPr id="1026" name="Picture 7">
          <a:hlinkClick xmlns:r="http://schemas.openxmlformats.org/officeDocument/2006/relationships" r:id="rId2"/>
          <a:extLst>
            <a:ext uri="{FF2B5EF4-FFF2-40B4-BE49-F238E27FC236}">
              <a16:creationId xmlns="" xmlns:a16="http://schemas.microsoft.com/office/drawing/2014/main" id="{00000000-0008-0000-0300-0000020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rcRect/>
        <a:stretch>
          <a:fillRect/>
        </a:stretch>
      </xdr:blipFill>
      <xdr:spPr bwMode="auto">
        <a:xfrm>
          <a:off x="4286250" y="104775"/>
          <a:ext cx="1190625" cy="47625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cap="flat">
              <a:solidFill>
                <a:srgbClr val="3465A4"/>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2305050</xdr:colOff>
      <xdr:row>0</xdr:row>
      <xdr:rowOff>95250</xdr:rowOff>
    </xdr:from>
    <xdr:to>
      <xdr:col>3</xdr:col>
      <xdr:colOff>9525</xdr:colOff>
      <xdr:row>0</xdr:row>
      <xdr:rowOff>590550</xdr:rowOff>
    </xdr:to>
    <xdr:pic>
      <xdr:nvPicPr>
        <xdr:cNvPr id="1027" name="Picture 8">
          <a:hlinkClick xmlns:r="http://schemas.openxmlformats.org/officeDocument/2006/relationships" r:id="rId4"/>
          <a:extLst>
            <a:ext uri="{FF2B5EF4-FFF2-40B4-BE49-F238E27FC236}">
              <a16:creationId xmlns="" xmlns:a16="http://schemas.microsoft.com/office/drawing/2014/main" id="{00000000-0008-0000-0300-00000304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 xmlns:a14="http://schemas.microsoft.com/office/drawing/2010/main" val="0"/>
            </a:ext>
          </a:extLst>
        </a:blip>
        <a:srcRect/>
        <a:stretch>
          <a:fillRect/>
        </a:stretch>
      </xdr:blipFill>
      <xdr:spPr bwMode="auto">
        <a:xfrm>
          <a:off x="2781300" y="95250"/>
          <a:ext cx="1352550" cy="49530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cap="flat">
              <a:solidFill>
                <a:srgbClr val="3465A4"/>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47625</xdr:colOff>
      <xdr:row>0</xdr:row>
      <xdr:rowOff>85725</xdr:rowOff>
    </xdr:from>
    <xdr:to>
      <xdr:col>2</xdr:col>
      <xdr:colOff>962025</xdr:colOff>
      <xdr:row>0</xdr:row>
      <xdr:rowOff>600075</xdr:rowOff>
    </xdr:to>
    <xdr:pic>
      <xdr:nvPicPr>
        <xdr:cNvPr id="1028" name="Picture 8">
          <a:extLst>
            <a:ext uri="{FF2B5EF4-FFF2-40B4-BE49-F238E27FC236}">
              <a16:creationId xmlns="" xmlns:a16="http://schemas.microsoft.com/office/drawing/2014/main" id="{00000000-0008-0000-0300-000004040000}"/>
            </a:ext>
          </a:extLst>
        </xdr:cNvPr>
        <xdr:cNvPicPr>
          <a:picLocks noChangeAspect="1" noChangeArrowheads="1"/>
        </xdr:cNvPicPr>
      </xdr:nvPicPr>
      <xdr:blipFill>
        <a:blip xmlns:r="http://schemas.openxmlformats.org/officeDocument/2006/relationships" r:embed="rId6">
          <a:extLst>
            <a:ext uri="{28A0092B-C50C-407E-A947-70E740481C1C}">
              <a14:useLocalDpi xmlns="" xmlns:a14="http://schemas.microsoft.com/office/drawing/2010/main" val="0"/>
            </a:ext>
          </a:extLst>
        </a:blip>
        <a:srcRect/>
        <a:stretch>
          <a:fillRect/>
        </a:stretch>
      </xdr:blipFill>
      <xdr:spPr bwMode="auto">
        <a:xfrm>
          <a:off x="171450" y="85725"/>
          <a:ext cx="1266825" cy="51435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cap="flat">
              <a:solidFill>
                <a:srgbClr val="3465A4"/>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10</xdr:col>
      <xdr:colOff>838200</xdr:colOff>
      <xdr:row>5</xdr:row>
      <xdr:rowOff>38100</xdr:rowOff>
    </xdr:from>
    <xdr:to>
      <xdr:col>10</xdr:col>
      <xdr:colOff>1123950</xdr:colOff>
      <xdr:row>5</xdr:row>
      <xdr:rowOff>171450</xdr:rowOff>
    </xdr:to>
    <xdr:sp macro="" textlink="">
      <xdr:nvSpPr>
        <xdr:cNvPr id="1029" name="Arrow: Notched Right 8">
          <a:extLst>
            <a:ext uri="{FF2B5EF4-FFF2-40B4-BE49-F238E27FC236}">
              <a16:creationId xmlns="" xmlns:a16="http://schemas.microsoft.com/office/drawing/2014/main" id="{00000000-0008-0000-0300-000005040000}"/>
            </a:ext>
          </a:extLst>
        </xdr:cNvPr>
        <xdr:cNvSpPr>
          <a:spLocks noChangeArrowheads="1"/>
        </xdr:cNvSpPr>
      </xdr:nvSpPr>
      <xdr:spPr bwMode="auto">
        <a:xfrm>
          <a:off x="5143500" y="1581150"/>
          <a:ext cx="285750" cy="133350"/>
        </a:xfrm>
        <a:custGeom>
          <a:avLst/>
          <a:gdLst>
            <a:gd name="G0" fmla="min 826 402"/>
            <a:gd name="G1" fmla="*/ 32767 826 1"/>
            <a:gd name="G2" fmla="*/ G1 1 G0"/>
            <a:gd name="G3" fmla="+- 0 0 50000"/>
            <a:gd name="G4" fmla="+- 32767 0 50000"/>
            <a:gd name="G5" fmla="?: G4 50000 32767"/>
            <a:gd name="G6" fmla="?: G3 0 G4"/>
            <a:gd name="G7" fmla="+- 0 0 50000"/>
            <a:gd name="G8" fmla="+- G2 0 50000"/>
            <a:gd name="G9" fmla="?: G8 50000 G2"/>
            <a:gd name="G10" fmla="?: G7 0 G8"/>
            <a:gd name="G11" fmla="*/ G0 G10 1"/>
            <a:gd name="G12" fmla="*/ G11 1 32767"/>
            <a:gd name="G13" fmla="+- 826 0 G12"/>
            <a:gd name="G14" fmla="*/ 402 G6 1"/>
            <a:gd name="G15" fmla="*/ G14 1 32767"/>
            <a:gd name="G16" fmla="*/ 402 1 2"/>
            <a:gd name="G17" fmla="+- G16 0 G15"/>
            <a:gd name="G18" fmla="+- G16 G15 0"/>
            <a:gd name="G19" fmla="+- G18 0 0"/>
            <a:gd name="G20" fmla="*/ 402 1 2"/>
            <a:gd name="G21" fmla="*/ G15 G12 1"/>
            <a:gd name="G22" fmla="*/ G21 1 G20"/>
            <a:gd name="G23" fmla="+- 826 0 G22"/>
            <a:gd name="G24" fmla="+- 826 0 0"/>
            <a:gd name="G25" fmla="+- 402 0 0"/>
          </a:gdLst>
          <a:ahLst/>
          <a:cxnLst>
            <a:cxn ang="0">
              <a:pos x="r" y="vc"/>
            </a:cxn>
            <a:cxn ang="5400000">
              <a:pos x="hc" y="b"/>
            </a:cxn>
            <a:cxn ang="10800000">
              <a:pos x="l" y="vc"/>
            </a:cxn>
            <a:cxn ang="16200000">
              <a:pos x="hc" y="t"/>
            </a:cxn>
          </a:cxnLst>
          <a:rect l="0" t="0" r="0" b="0"/>
          <a:pathLst>
            <a:path>
              <a:moveTo>
                <a:pt x="0" y="412"/>
              </a:moveTo>
              <a:lnTo>
                <a:pt x="613" y="412"/>
              </a:lnTo>
              <a:lnTo>
                <a:pt x="613" y="0"/>
              </a:lnTo>
              <a:lnTo>
                <a:pt x="826" y="201"/>
              </a:lnTo>
              <a:lnTo>
                <a:pt x="613" y="402"/>
              </a:lnTo>
              <a:lnTo>
                <a:pt x="613" y="-10"/>
              </a:lnTo>
              <a:lnTo>
                <a:pt x="0" y="-10"/>
              </a:lnTo>
              <a:lnTo>
                <a:pt x="-224" y="201"/>
              </a:lnTo>
              <a:close/>
            </a:path>
          </a:pathLst>
        </a:custGeom>
        <a:solidFill>
          <a:srgbClr val="FF0000"/>
        </a:solidFill>
        <a:ln w="12600" cap="flat">
          <a:solidFill>
            <a:srgbClr val="000000"/>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11</xdr:col>
      <xdr:colOff>857250</xdr:colOff>
      <xdr:row>6</xdr:row>
      <xdr:rowOff>209550</xdr:rowOff>
    </xdr:from>
    <xdr:to>
      <xdr:col>11</xdr:col>
      <xdr:colOff>990600</xdr:colOff>
      <xdr:row>6</xdr:row>
      <xdr:rowOff>381000</xdr:rowOff>
    </xdr:to>
    <xdr:sp macro="" textlink="">
      <xdr:nvSpPr>
        <xdr:cNvPr id="1030" name="Arrow: Notched Right 9">
          <a:extLst>
            <a:ext uri="{FF2B5EF4-FFF2-40B4-BE49-F238E27FC236}">
              <a16:creationId xmlns="" xmlns:a16="http://schemas.microsoft.com/office/drawing/2014/main" id="{00000000-0008-0000-0300-000006040000}"/>
            </a:ext>
          </a:extLst>
        </xdr:cNvPr>
        <xdr:cNvSpPr>
          <a:spLocks noChangeArrowheads="1"/>
        </xdr:cNvSpPr>
      </xdr:nvSpPr>
      <xdr:spPr bwMode="auto">
        <a:xfrm>
          <a:off x="6296025" y="1952625"/>
          <a:ext cx="133350" cy="171450"/>
        </a:xfrm>
        <a:custGeom>
          <a:avLst/>
          <a:gdLst>
            <a:gd name="G0" fmla="min 381 487"/>
            <a:gd name="G1" fmla="*/ 32767 381 1"/>
            <a:gd name="G2" fmla="*/ G1 1 G0"/>
            <a:gd name="G3" fmla="+- 0 0 50000"/>
            <a:gd name="G4" fmla="+- 32767 0 50000"/>
            <a:gd name="G5" fmla="?: G4 50000 32767"/>
            <a:gd name="G6" fmla="?: G3 0 G4"/>
            <a:gd name="G7" fmla="+- 0 0 50000"/>
            <a:gd name="G8" fmla="+- G2 0 50000"/>
            <a:gd name="G9" fmla="?: G8 50000 G2"/>
            <a:gd name="G10" fmla="?: G7 0 G8"/>
            <a:gd name="G11" fmla="*/ G0 G10 1"/>
            <a:gd name="G12" fmla="*/ G11 1 32767"/>
            <a:gd name="G13" fmla="+- 381 0 G12"/>
            <a:gd name="G14" fmla="*/ 487 G6 1"/>
            <a:gd name="G15" fmla="*/ G14 1 32767"/>
            <a:gd name="G16" fmla="*/ 487 1 2"/>
            <a:gd name="G17" fmla="+- G16 0 G15"/>
            <a:gd name="G18" fmla="+- G16 G15 0"/>
            <a:gd name="G19" fmla="+- G18 0 0"/>
            <a:gd name="G20" fmla="*/ 487 1 2"/>
            <a:gd name="G21" fmla="*/ G15 G12 1"/>
            <a:gd name="G22" fmla="*/ G21 1 G20"/>
            <a:gd name="G23" fmla="+- 381 0 G22"/>
            <a:gd name="G24" fmla="+- 381 0 0"/>
            <a:gd name="G25" fmla="+- 487 0 0"/>
          </a:gdLst>
          <a:ahLst/>
          <a:cxnLst>
            <a:cxn ang="0">
              <a:pos x="r" y="vc"/>
            </a:cxn>
            <a:cxn ang="5400000">
              <a:pos x="hc" y="b"/>
            </a:cxn>
            <a:cxn ang="10800000">
              <a:pos x="l" y="vc"/>
            </a:cxn>
            <a:cxn ang="16200000">
              <a:pos x="hc" y="t"/>
            </a:cxn>
          </a:cxnLst>
          <a:rect l="0" t="0" r="0" b="0"/>
          <a:pathLst>
            <a:path>
              <a:moveTo>
                <a:pt x="0" y="500"/>
              </a:moveTo>
              <a:lnTo>
                <a:pt x="581" y="500"/>
              </a:lnTo>
              <a:lnTo>
                <a:pt x="581" y="0"/>
              </a:lnTo>
              <a:lnTo>
                <a:pt x="381" y="244"/>
              </a:lnTo>
              <a:lnTo>
                <a:pt x="581" y="487"/>
              </a:lnTo>
              <a:lnTo>
                <a:pt x="581" y="-12"/>
              </a:lnTo>
              <a:lnTo>
                <a:pt x="0" y="-12"/>
              </a:lnTo>
              <a:lnTo>
                <a:pt x="210" y="244"/>
              </a:lnTo>
              <a:close/>
            </a:path>
          </a:pathLst>
        </a:custGeom>
        <a:solidFill>
          <a:srgbClr val="FF0000"/>
        </a:solidFill>
        <a:ln w="12600" cap="flat">
          <a:solidFill>
            <a:srgbClr val="000000"/>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10</xdr:col>
      <xdr:colOff>828675</xdr:colOff>
      <xdr:row>3</xdr:row>
      <xdr:rowOff>200025</xdr:rowOff>
    </xdr:from>
    <xdr:to>
      <xdr:col>10</xdr:col>
      <xdr:colOff>1104900</xdr:colOff>
      <xdr:row>3</xdr:row>
      <xdr:rowOff>342900</xdr:rowOff>
    </xdr:to>
    <xdr:sp macro="" textlink="">
      <xdr:nvSpPr>
        <xdr:cNvPr id="1031" name="Arrow: Notched Right 10">
          <a:extLst>
            <a:ext uri="{FF2B5EF4-FFF2-40B4-BE49-F238E27FC236}">
              <a16:creationId xmlns="" xmlns:a16="http://schemas.microsoft.com/office/drawing/2014/main" id="{00000000-0008-0000-0300-000007040000}"/>
            </a:ext>
          </a:extLst>
        </xdr:cNvPr>
        <xdr:cNvSpPr>
          <a:spLocks noChangeArrowheads="1"/>
        </xdr:cNvSpPr>
      </xdr:nvSpPr>
      <xdr:spPr bwMode="auto">
        <a:xfrm>
          <a:off x="5133975" y="1181100"/>
          <a:ext cx="276225" cy="142875"/>
        </a:xfrm>
        <a:custGeom>
          <a:avLst/>
          <a:gdLst>
            <a:gd name="G0" fmla="min 826 402"/>
            <a:gd name="G1" fmla="*/ 32767 826 1"/>
            <a:gd name="G2" fmla="*/ G1 1 G0"/>
            <a:gd name="G3" fmla="+- 0 0 50000"/>
            <a:gd name="G4" fmla="+- 32767 0 50000"/>
            <a:gd name="G5" fmla="?: G4 50000 32767"/>
            <a:gd name="G6" fmla="?: G3 0 G4"/>
            <a:gd name="G7" fmla="+- 0 0 50000"/>
            <a:gd name="G8" fmla="+- G2 0 50000"/>
            <a:gd name="G9" fmla="?: G8 50000 G2"/>
            <a:gd name="G10" fmla="?: G7 0 G8"/>
            <a:gd name="G11" fmla="*/ G0 G10 1"/>
            <a:gd name="G12" fmla="*/ G11 1 32767"/>
            <a:gd name="G13" fmla="+- 826 0 G12"/>
            <a:gd name="G14" fmla="*/ 402 G6 1"/>
            <a:gd name="G15" fmla="*/ G14 1 32767"/>
            <a:gd name="G16" fmla="*/ 402 1 2"/>
            <a:gd name="G17" fmla="+- G16 0 G15"/>
            <a:gd name="G18" fmla="+- G16 G15 0"/>
            <a:gd name="G19" fmla="+- G18 0 0"/>
            <a:gd name="G20" fmla="*/ 402 1 2"/>
            <a:gd name="G21" fmla="*/ G15 G12 1"/>
            <a:gd name="G22" fmla="*/ G21 1 G20"/>
            <a:gd name="G23" fmla="+- 826 0 G22"/>
            <a:gd name="G24" fmla="+- 826 0 0"/>
            <a:gd name="G25" fmla="+- 402 0 0"/>
          </a:gdLst>
          <a:ahLst/>
          <a:cxnLst>
            <a:cxn ang="0">
              <a:pos x="r" y="vc"/>
            </a:cxn>
            <a:cxn ang="5400000">
              <a:pos x="hc" y="b"/>
            </a:cxn>
            <a:cxn ang="10800000">
              <a:pos x="l" y="vc"/>
            </a:cxn>
            <a:cxn ang="16200000">
              <a:pos x="hc" y="t"/>
            </a:cxn>
          </a:cxnLst>
          <a:rect l="0" t="0" r="0" b="0"/>
          <a:pathLst>
            <a:path>
              <a:moveTo>
                <a:pt x="0" y="412"/>
              </a:moveTo>
              <a:lnTo>
                <a:pt x="613" y="412"/>
              </a:lnTo>
              <a:lnTo>
                <a:pt x="613" y="0"/>
              </a:lnTo>
              <a:lnTo>
                <a:pt x="826" y="201"/>
              </a:lnTo>
              <a:lnTo>
                <a:pt x="613" y="402"/>
              </a:lnTo>
              <a:lnTo>
                <a:pt x="613" y="-10"/>
              </a:lnTo>
              <a:lnTo>
                <a:pt x="0" y="-10"/>
              </a:lnTo>
              <a:lnTo>
                <a:pt x="-224" y="201"/>
              </a:lnTo>
              <a:close/>
            </a:path>
          </a:pathLst>
        </a:custGeom>
        <a:solidFill>
          <a:srgbClr val="FF0000"/>
        </a:solidFill>
        <a:ln w="12600" cap="flat">
          <a:solidFill>
            <a:srgbClr val="000000"/>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abcaus.in/macros.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dimension ref="A1:Q24"/>
  <sheetViews>
    <sheetView workbookViewId="0">
      <selection activeCell="D8" sqref="D8"/>
    </sheetView>
  </sheetViews>
  <sheetFormatPr defaultColWidth="0" defaultRowHeight="15" zeroHeight="1"/>
  <cols>
    <col min="1" max="17" width="9.140625" customWidth="1"/>
    <col min="18" max="16384" width="8.85546875" hidden="1"/>
  </cols>
  <sheetData>
    <row r="1" spans="8:8"/>
    <row r="2" spans="8:8"/>
    <row r="3" spans="8:8"/>
    <row r="4" spans="8:8"/>
    <row r="5" spans="8:8"/>
    <row r="6" spans="8:8" ht="31.5">
      <c r="H6" s="45" t="s">
        <v>35</v>
      </c>
    </row>
    <row r="7" spans="8:8" ht="15.75">
      <c r="H7" s="46"/>
    </row>
    <row r="8" spans="8:8" ht="26.25">
      <c r="H8" s="47" t="s">
        <v>36</v>
      </c>
    </row>
    <row r="9" spans="8:8" ht="18.75">
      <c r="H9" s="48" t="s">
        <v>37</v>
      </c>
    </row>
    <row r="10" spans="8:8"/>
    <row r="11" spans="8:8"/>
    <row r="12" spans="8:8"/>
    <row r="13" spans="8:8"/>
    <row r="14" spans="8:8"/>
    <row r="15" spans="8:8"/>
    <row r="16" spans="8:8"/>
    <row r="17"/>
    <row r="18"/>
    <row r="19"/>
    <row r="20"/>
    <row r="21"/>
    <row r="22"/>
    <row r="23"/>
    <row r="24"/>
  </sheetData>
  <sheetProtection sheet="1"/>
  <hyperlinks>
    <hyperlink ref="H9" r:id="rId1"/>
  </hyperlinks>
  <pageMargins left="0.7" right="0.7" top="0.75" bottom="0.75" header="0.51180555555555551" footer="0.51180555555555551"/>
  <pageSetup firstPageNumber="0"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dimension ref="A1:S61"/>
  <sheetViews>
    <sheetView tabSelected="1" topLeftCell="A20" zoomScale="140" zoomScaleNormal="140" workbookViewId="0">
      <selection activeCell="G29" sqref="G29"/>
    </sheetView>
  </sheetViews>
  <sheetFormatPr defaultColWidth="0" defaultRowHeight="15"/>
  <cols>
    <col min="1" max="1" width="13" customWidth="1"/>
    <col min="2" max="2" width="16.42578125" customWidth="1"/>
    <col min="3" max="3" width="14.7109375" customWidth="1"/>
    <col min="4" max="4" width="14.5703125" customWidth="1"/>
    <col min="5" max="5" width="13.42578125" customWidth="1"/>
    <col min="6" max="6" width="14.140625" customWidth="1"/>
    <col min="7" max="7" width="16.28515625" customWidth="1"/>
    <col min="8" max="11" width="9.140625" hidden="1" customWidth="1"/>
    <col min="12" max="13" width="0" hidden="1" customWidth="1"/>
    <col min="14" max="19" width="9.140625" hidden="1" customWidth="1"/>
    <col min="20" max="16384" width="9.140625" hidden="1"/>
  </cols>
  <sheetData>
    <row r="1" spans="1:19" ht="21">
      <c r="A1" s="157" t="s">
        <v>87</v>
      </c>
      <c r="B1" s="157"/>
      <c r="C1" s="157"/>
      <c r="D1" s="157"/>
      <c r="E1" s="157"/>
      <c r="F1" s="157"/>
      <c r="G1" s="157"/>
      <c r="H1" s="65"/>
    </row>
    <row r="2" spans="1:19" ht="17.25">
      <c r="A2" s="158" t="s">
        <v>117</v>
      </c>
      <c r="B2" s="158"/>
      <c r="C2" s="158"/>
      <c r="D2" s="158"/>
      <c r="E2" s="158"/>
      <c r="F2" s="158"/>
      <c r="G2" s="158"/>
      <c r="H2" s="65"/>
    </row>
    <row r="3" spans="1:19" ht="18.600000000000001" customHeight="1">
      <c r="A3" s="98" t="s">
        <v>38</v>
      </c>
      <c r="B3" s="168" t="s">
        <v>98</v>
      </c>
      <c r="C3" s="169"/>
      <c r="D3" s="121" t="s">
        <v>108</v>
      </c>
      <c r="E3" s="122"/>
      <c r="F3" s="98" t="s">
        <v>39</v>
      </c>
      <c r="G3" s="123" t="s">
        <v>109</v>
      </c>
      <c r="H3" s="65"/>
    </row>
    <row r="4" spans="1:19" ht="43.5" customHeight="1">
      <c r="A4" s="159" t="s">
        <v>116</v>
      </c>
      <c r="B4" s="119" t="s">
        <v>118</v>
      </c>
      <c r="C4" s="57" t="s">
        <v>70</v>
      </c>
      <c r="D4" s="124" t="s">
        <v>110</v>
      </c>
      <c r="E4" s="49" t="s">
        <v>72</v>
      </c>
      <c r="F4" s="49" t="s">
        <v>75</v>
      </c>
      <c r="G4" s="66" t="s">
        <v>40</v>
      </c>
      <c r="H4" s="65"/>
    </row>
    <row r="5" spans="1:19" ht="18.75">
      <c r="A5" s="160"/>
      <c r="B5" s="96">
        <v>71000</v>
      </c>
      <c r="C5" s="58">
        <f>B5*0.5</f>
        <v>35500</v>
      </c>
      <c r="D5" s="58">
        <f>IF(D4="HRA 9%",B5*0.09,IF(D4="HRA18%",B5*0.18))</f>
        <v>6390</v>
      </c>
      <c r="E5" s="58">
        <f>(B5+C5+D5)*4</f>
        <v>451560</v>
      </c>
      <c r="F5" s="59" t="s">
        <v>41</v>
      </c>
      <c r="G5" s="67">
        <f>SUM(E5:F5)</f>
        <v>451560</v>
      </c>
      <c r="H5" s="61">
        <f>ROUND(B5*1.03,-2)</f>
        <v>73100</v>
      </c>
      <c r="K5">
        <f>B5*1.03</f>
        <v>73130</v>
      </c>
    </row>
    <row r="6" spans="1:19" ht="20.45" customHeight="1">
      <c r="A6" s="161" t="s">
        <v>115</v>
      </c>
      <c r="B6" s="120" t="s">
        <v>119</v>
      </c>
      <c r="C6" s="162">
        <f>B7*0.53</f>
        <v>38743</v>
      </c>
      <c r="D6" s="162">
        <f>IF(D4="HRA 9%",B7*0.09,IF(D4="HRA18%",B7*0.18))</f>
        <v>6579</v>
      </c>
      <c r="E6" s="163" t="s">
        <v>41</v>
      </c>
      <c r="F6" s="165">
        <f>(B7+C6+D6)*8</f>
        <v>947376</v>
      </c>
      <c r="G6" s="167">
        <f>SUM(F6)</f>
        <v>947376</v>
      </c>
      <c r="H6" s="61"/>
    </row>
    <row r="7" spans="1:19" ht="23.1" customHeight="1">
      <c r="A7" s="161"/>
      <c r="B7" s="97">
        <f>ROUND(K5,-2)</f>
        <v>73100</v>
      </c>
      <c r="C7" s="162"/>
      <c r="D7" s="162"/>
      <c r="E7" s="164"/>
      <c r="F7" s="166"/>
      <c r="G7" s="167"/>
      <c r="H7" s="61"/>
    </row>
    <row r="8" spans="1:19">
      <c r="A8" s="148" t="s">
        <v>104</v>
      </c>
      <c r="B8" s="148"/>
      <c r="C8" s="148"/>
      <c r="D8" s="148"/>
      <c r="E8" s="148"/>
      <c r="F8" s="148"/>
      <c r="G8" s="68">
        <v>50000</v>
      </c>
      <c r="H8" s="61"/>
      <c r="R8" t="s">
        <v>60</v>
      </c>
      <c r="S8" s="50">
        <f>(B5+C5)/2</f>
        <v>53250</v>
      </c>
    </row>
    <row r="9" spans="1:19">
      <c r="A9" s="148" t="s">
        <v>58</v>
      </c>
      <c r="B9" s="148"/>
      <c r="C9" s="153" t="s">
        <v>73</v>
      </c>
      <c r="D9" s="154"/>
      <c r="E9" s="155"/>
      <c r="F9" s="156"/>
      <c r="G9" s="118">
        <f>IF(C9="BEFORE JULY",S8,IF(C9="AFTER JUNE",S9,0))</f>
        <v>0</v>
      </c>
      <c r="H9" s="61"/>
      <c r="R9" t="s">
        <v>61</v>
      </c>
      <c r="S9">
        <f>(B7+C6)/2</f>
        <v>55921.5</v>
      </c>
    </row>
    <row r="10" spans="1:19" hidden="1">
      <c r="A10" s="148"/>
      <c r="B10" s="148"/>
      <c r="C10" s="148"/>
      <c r="D10" s="148"/>
      <c r="E10" s="148"/>
      <c r="F10" s="148"/>
      <c r="G10" s="69">
        <v>0</v>
      </c>
      <c r="H10" s="61"/>
      <c r="S10">
        <v>0</v>
      </c>
    </row>
    <row r="11" spans="1:19">
      <c r="A11" s="149" t="s">
        <v>80</v>
      </c>
      <c r="B11" s="149"/>
      <c r="C11" s="149"/>
      <c r="D11" s="149"/>
      <c r="E11" s="149"/>
      <c r="F11" s="149"/>
      <c r="G11" s="70">
        <f>SUM($G5:$G10)</f>
        <v>1448936</v>
      </c>
      <c r="H11" s="61"/>
    </row>
    <row r="12" spans="1:19">
      <c r="A12" s="151" t="s">
        <v>42</v>
      </c>
      <c r="B12" s="151"/>
      <c r="C12" s="151"/>
      <c r="D12" s="151"/>
      <c r="E12" s="151"/>
      <c r="F12" s="51"/>
      <c r="G12" s="71">
        <v>75000</v>
      </c>
      <c r="H12" s="65"/>
    </row>
    <row r="13" spans="1:19">
      <c r="A13" s="152" t="s">
        <v>106</v>
      </c>
      <c r="B13" s="152"/>
      <c r="C13" s="152"/>
      <c r="D13" s="152"/>
      <c r="E13" s="152"/>
      <c r="F13" s="152"/>
      <c r="G13" s="70">
        <f>SUM(G11-G12)</f>
        <v>1373936</v>
      </c>
      <c r="H13" s="61"/>
    </row>
    <row r="14" spans="1:19">
      <c r="A14" s="150" t="s">
        <v>43</v>
      </c>
      <c r="B14" s="150"/>
      <c r="C14" s="150"/>
      <c r="D14" s="150"/>
      <c r="E14" s="150"/>
      <c r="F14" s="150"/>
      <c r="G14" s="71"/>
      <c r="H14" s="65"/>
    </row>
    <row r="15" spans="1:19">
      <c r="A15" s="139" t="s">
        <v>44</v>
      </c>
      <c r="B15" s="139"/>
      <c r="C15" s="139"/>
      <c r="D15" s="139"/>
      <c r="E15" s="139"/>
      <c r="F15" s="53">
        <v>150000</v>
      </c>
      <c r="G15" s="71"/>
      <c r="H15" s="65"/>
    </row>
    <row r="16" spans="1:19">
      <c r="A16" s="139" t="s">
        <v>45</v>
      </c>
      <c r="B16" s="139"/>
      <c r="C16" s="139"/>
      <c r="D16" s="139"/>
      <c r="E16" s="139"/>
      <c r="F16" s="53">
        <v>0</v>
      </c>
      <c r="G16" s="71"/>
      <c r="H16" s="65"/>
      <c r="R16" t="s">
        <v>66</v>
      </c>
      <c r="S16" s="50">
        <f>ROUND(B5,0)/31</f>
        <v>2290.3225806451615</v>
      </c>
    </row>
    <row r="17" spans="1:19">
      <c r="A17" s="139" t="s">
        <v>46</v>
      </c>
      <c r="B17" s="139"/>
      <c r="C17" s="139"/>
      <c r="D17" s="139"/>
      <c r="E17" s="139"/>
      <c r="F17" s="53">
        <v>0</v>
      </c>
      <c r="G17" s="71"/>
      <c r="H17" s="65"/>
      <c r="R17" t="s">
        <v>67</v>
      </c>
      <c r="S17">
        <f>ROUND(S16*3,0)</f>
        <v>6871</v>
      </c>
    </row>
    <row r="18" spans="1:19">
      <c r="A18" s="139" t="s">
        <v>47</v>
      </c>
      <c r="B18" s="139"/>
      <c r="C18" s="139"/>
      <c r="D18" s="139"/>
      <c r="E18" s="139"/>
      <c r="F18" s="53">
        <v>200000</v>
      </c>
      <c r="G18" s="71"/>
      <c r="H18" s="65"/>
      <c r="R18" t="s">
        <v>68</v>
      </c>
      <c r="S18">
        <f>ROUND(S16*5,0)</f>
        <v>11452</v>
      </c>
    </row>
    <row r="19" spans="1:19">
      <c r="A19" s="139" t="s">
        <v>48</v>
      </c>
      <c r="B19" s="139"/>
      <c r="C19" s="139"/>
      <c r="D19" s="139"/>
      <c r="E19" s="139"/>
      <c r="F19" s="53">
        <v>0</v>
      </c>
      <c r="G19" s="71"/>
      <c r="H19" s="65"/>
    </row>
    <row r="20" spans="1:19">
      <c r="A20" s="139" t="s">
        <v>49</v>
      </c>
      <c r="B20" s="139"/>
      <c r="C20" s="139"/>
      <c r="D20" s="139"/>
      <c r="E20" s="139"/>
      <c r="F20" s="53">
        <v>0</v>
      </c>
      <c r="G20" s="71"/>
      <c r="H20" s="65"/>
    </row>
    <row r="21" spans="1:19">
      <c r="A21" s="139" t="s">
        <v>71</v>
      </c>
      <c r="B21" s="139"/>
      <c r="C21" s="139"/>
      <c r="D21" s="139"/>
      <c r="E21" s="139"/>
      <c r="F21" s="53">
        <v>0</v>
      </c>
      <c r="G21" s="71"/>
      <c r="H21" s="65"/>
    </row>
    <row r="22" spans="1:19" hidden="1">
      <c r="A22" s="62"/>
      <c r="B22" s="63"/>
      <c r="C22" s="131"/>
      <c r="D22" s="132"/>
      <c r="E22" s="64"/>
      <c r="F22" s="56"/>
      <c r="G22" s="71"/>
    </row>
    <row r="23" spans="1:19">
      <c r="A23" s="139" t="s">
        <v>65</v>
      </c>
      <c r="B23" s="139"/>
      <c r="C23" s="139"/>
      <c r="D23" s="139"/>
      <c r="E23" s="139"/>
      <c r="F23" s="53">
        <v>0</v>
      </c>
      <c r="G23" s="71"/>
    </row>
    <row r="24" spans="1:19">
      <c r="A24" s="139" t="s">
        <v>56</v>
      </c>
      <c r="B24" s="139"/>
      <c r="C24" s="139"/>
      <c r="D24" s="139"/>
      <c r="E24" s="139"/>
      <c r="F24" s="53">
        <v>0</v>
      </c>
      <c r="G24" s="71"/>
    </row>
    <row r="25" spans="1:19">
      <c r="A25" s="140" t="s">
        <v>50</v>
      </c>
      <c r="B25" s="140"/>
      <c r="C25" s="140"/>
      <c r="D25" s="140"/>
      <c r="E25" s="140"/>
      <c r="F25" s="140"/>
      <c r="G25" s="77">
        <f>F15+F16+F17+F18+F19+F20+F24+F21+F23+F22</f>
        <v>350000</v>
      </c>
    </row>
    <row r="26" spans="1:19">
      <c r="A26" s="141" t="s">
        <v>105</v>
      </c>
      <c r="B26" s="142"/>
      <c r="C26" s="142"/>
      <c r="D26" s="142"/>
      <c r="E26" s="142"/>
      <c r="F26" s="143"/>
      <c r="G26" s="70">
        <f>G13-G25</f>
        <v>1023936</v>
      </c>
    </row>
    <row r="27" spans="1:19">
      <c r="A27" s="181" t="s">
        <v>84</v>
      </c>
      <c r="B27" s="181"/>
      <c r="C27" s="181"/>
      <c r="D27" s="182" t="s">
        <v>85</v>
      </c>
      <c r="E27" s="182"/>
      <c r="F27" s="182"/>
      <c r="G27" s="79"/>
    </row>
    <row r="28" spans="1:19">
      <c r="A28" s="94" t="s">
        <v>111</v>
      </c>
      <c r="B28" s="90">
        <v>0.05</v>
      </c>
      <c r="C28" s="101">
        <f>ROUND(IF(C60&lt;300001,0,IF(C60&gt;700000,20000,((C60-300000)*0.05))),0)</f>
        <v>20000</v>
      </c>
      <c r="D28" s="92" t="s">
        <v>96</v>
      </c>
      <c r="E28" s="93">
        <v>0</v>
      </c>
      <c r="F28" s="108">
        <v>0</v>
      </c>
    </row>
    <row r="29" spans="1:19">
      <c r="A29" s="94" t="s">
        <v>112</v>
      </c>
      <c r="B29" s="90">
        <v>0.1</v>
      </c>
      <c r="C29" s="101">
        <f>IF(C60&lt;700001,0,IF(C60&gt;1000000,30000,((C60-700000)*0.1)))</f>
        <v>30000</v>
      </c>
      <c r="D29" s="92" t="s">
        <v>81</v>
      </c>
      <c r="E29" s="93">
        <v>0.05</v>
      </c>
      <c r="F29" s="109">
        <f>IF(D60&lt;250001,0,IF(D60&gt;500000,12500,((D60-250000)*0.05)))</f>
        <v>12500</v>
      </c>
    </row>
    <row r="30" spans="1:19" ht="15" customHeight="1">
      <c r="A30" s="94" t="s">
        <v>113</v>
      </c>
      <c r="B30" s="90">
        <v>0.15</v>
      </c>
      <c r="C30" s="101">
        <f>ROUND(IF(C60&lt;1000001,0,IF(C60&gt;1200000,30000,((C60-1000000)*0.15))),0)</f>
        <v>30000</v>
      </c>
      <c r="D30" s="99" t="s">
        <v>82</v>
      </c>
      <c r="E30" s="100">
        <v>0.2</v>
      </c>
      <c r="F30" s="110">
        <f>IF(D60&lt;500001,0,IF(D60&gt;1000000,100000,((D60-500000)*0.2)))</f>
        <v>100000</v>
      </c>
      <c r="N30" s="54">
        <f>SUM(B46+C46+D46+E46+F46+G46+B48+C48+D48+E48+F48+G48)</f>
        <v>144000</v>
      </c>
    </row>
    <row r="31" spans="1:19" ht="22.5">
      <c r="A31" s="94" t="s">
        <v>83</v>
      </c>
      <c r="B31" s="90">
        <v>0.2</v>
      </c>
      <c r="C31" s="102">
        <f>IF(C60&lt;1200001,0,IF(C60&gt;1500000,60000,((C60-1200000)*0.2)))</f>
        <v>34787.200000000004</v>
      </c>
      <c r="D31" s="186" t="s">
        <v>94</v>
      </c>
      <c r="E31" s="187">
        <v>0.3</v>
      </c>
      <c r="F31" s="188">
        <f>IF(D60&lt;1000001,0,((D60-1000000)*0.3))</f>
        <v>7180.8</v>
      </c>
      <c r="N31" s="55">
        <f>N30-G43</f>
        <v>24621.311999999991</v>
      </c>
    </row>
    <row r="32" spans="1:19">
      <c r="A32" s="95" t="s">
        <v>95</v>
      </c>
      <c r="B32" s="91">
        <v>0.3</v>
      </c>
      <c r="C32" s="103">
        <f>IF(C60&lt;1500001,0,((C60-1500000)*0.3))</f>
        <v>0</v>
      </c>
      <c r="D32" s="186"/>
      <c r="E32" s="187"/>
      <c r="F32" s="188"/>
    </row>
    <row r="33" spans="1:9">
      <c r="A33" s="183" t="s">
        <v>89</v>
      </c>
      <c r="B33" s="183"/>
      <c r="C33" s="104">
        <f>SUM(C28:C32)</f>
        <v>114787.20000000001</v>
      </c>
      <c r="D33" s="146" t="s">
        <v>91</v>
      </c>
      <c r="E33" s="146"/>
      <c r="F33" s="111">
        <f>SUM(F28:F32)</f>
        <v>119680.8</v>
      </c>
    </row>
    <row r="34" spans="1:9">
      <c r="A34" s="126" t="s">
        <v>86</v>
      </c>
      <c r="B34" s="127"/>
      <c r="C34" s="105">
        <f>IF(C60&lt;=700001,C61,0)</f>
        <v>0</v>
      </c>
      <c r="D34" s="128"/>
      <c r="E34" s="129"/>
      <c r="F34" s="112">
        <f>IF(D60&lt;=500001,F29,0)</f>
        <v>0</v>
      </c>
    </row>
    <row r="35" spans="1:9">
      <c r="A35" s="184" t="s">
        <v>92</v>
      </c>
      <c r="B35" s="184"/>
      <c r="C35" s="106">
        <f>C33-C34</f>
        <v>114787.20000000001</v>
      </c>
      <c r="D35" s="185" t="s">
        <v>92</v>
      </c>
      <c r="E35" s="185"/>
      <c r="F35" s="113">
        <f>F33-F34</f>
        <v>119680.8</v>
      </c>
    </row>
    <row r="36" spans="1:9">
      <c r="A36" s="146" t="s">
        <v>90</v>
      </c>
      <c r="B36" s="146"/>
      <c r="C36" s="107">
        <f>C35*4%</f>
        <v>4591.4880000000003</v>
      </c>
      <c r="D36" s="80"/>
      <c r="E36" s="80"/>
      <c r="F36" s="114">
        <f>F35*4%</f>
        <v>4787.232</v>
      </c>
    </row>
    <row r="37" spans="1:9">
      <c r="A37" s="147" t="s">
        <v>107</v>
      </c>
      <c r="B37" s="147"/>
      <c r="C37" s="115">
        <f>SUM(C35:C36)</f>
        <v>119378.68800000001</v>
      </c>
      <c r="D37" s="145" t="s">
        <v>88</v>
      </c>
      <c r="E37" s="145"/>
      <c r="F37" s="116">
        <f>SUM(F35:F36)</f>
        <v>124468.03200000001</v>
      </c>
    </row>
    <row r="38" spans="1:9">
      <c r="A38" s="144" t="s">
        <v>97</v>
      </c>
      <c r="B38" s="144"/>
      <c r="C38" s="144"/>
      <c r="D38" s="144"/>
      <c r="E38" s="144"/>
      <c r="F38" s="144"/>
      <c r="G38" s="72">
        <f>MIN(C37:F37)</f>
        <v>119378.68800000001</v>
      </c>
    </row>
    <row r="39" spans="1:9">
      <c r="A39" s="180" t="s">
        <v>51</v>
      </c>
      <c r="B39" s="180"/>
      <c r="C39" s="180"/>
      <c r="D39" s="180"/>
      <c r="E39" s="180"/>
      <c r="F39" s="180"/>
      <c r="G39" s="73">
        <v>96000</v>
      </c>
    </row>
    <row r="40" spans="1:9">
      <c r="A40" s="170" t="s">
        <v>52</v>
      </c>
      <c r="B40" s="170"/>
      <c r="C40" s="170"/>
      <c r="D40" s="170"/>
      <c r="E40" s="170"/>
      <c r="F40" s="170"/>
      <c r="G40" s="74">
        <f>G38-G39</f>
        <v>23378.688000000009</v>
      </c>
    </row>
    <row r="41" spans="1:9">
      <c r="A41" s="180" t="s">
        <v>53</v>
      </c>
      <c r="B41" s="180"/>
      <c r="C41" s="180"/>
      <c r="D41" s="180"/>
      <c r="E41" s="180"/>
      <c r="F41" s="76">
        <v>4</v>
      </c>
      <c r="G41" s="75"/>
      <c r="I41" s="60"/>
    </row>
    <row r="42" spans="1:9">
      <c r="A42" s="170" t="s">
        <v>57</v>
      </c>
      <c r="B42" s="170"/>
      <c r="C42" s="170"/>
      <c r="D42" s="170"/>
      <c r="E42" s="170"/>
      <c r="F42" s="170"/>
      <c r="G42" s="78">
        <f>ROUND(G40/F41,-2)</f>
        <v>5800</v>
      </c>
    </row>
    <row r="43" spans="1:9">
      <c r="A43" s="171" t="s">
        <v>93</v>
      </c>
      <c r="B43" s="137" t="s">
        <v>69</v>
      </c>
      <c r="C43" s="136"/>
      <c r="D43" s="136"/>
      <c r="E43" s="136"/>
      <c r="F43" s="136"/>
      <c r="G43" s="81">
        <f>G38</f>
        <v>119378.68800000001</v>
      </c>
    </row>
    <row r="44" spans="1:9">
      <c r="A44" s="172"/>
      <c r="B44" s="135" t="s">
        <v>74</v>
      </c>
      <c r="C44" s="136"/>
      <c r="D44" s="136"/>
      <c r="E44" s="136"/>
      <c r="F44" s="136"/>
      <c r="G44" s="136"/>
    </row>
    <row r="45" spans="1:9">
      <c r="A45" s="172"/>
      <c r="B45" s="82">
        <v>154924</v>
      </c>
      <c r="C45" s="82">
        <v>154955</v>
      </c>
      <c r="D45" s="82">
        <v>154985</v>
      </c>
      <c r="E45" s="82">
        <v>155016</v>
      </c>
      <c r="F45" s="82">
        <v>155046</v>
      </c>
      <c r="G45" s="83">
        <v>155077</v>
      </c>
    </row>
    <row r="46" spans="1:9">
      <c r="A46" s="172"/>
      <c r="B46" s="84">
        <v>12000</v>
      </c>
      <c r="C46" s="84">
        <v>12000</v>
      </c>
      <c r="D46" s="84">
        <v>12000</v>
      </c>
      <c r="E46" s="84">
        <v>12000</v>
      </c>
      <c r="F46" s="84">
        <v>12000</v>
      </c>
      <c r="G46" s="84">
        <v>12000</v>
      </c>
    </row>
    <row r="47" spans="1:9">
      <c r="A47" s="172"/>
      <c r="B47" s="82">
        <v>155108</v>
      </c>
      <c r="C47" s="82">
        <v>155138</v>
      </c>
      <c r="D47" s="85" t="s">
        <v>114</v>
      </c>
      <c r="E47" s="82">
        <v>155199</v>
      </c>
      <c r="F47" s="82">
        <v>45292</v>
      </c>
      <c r="G47" s="83">
        <v>154895</v>
      </c>
    </row>
    <row r="48" spans="1:9">
      <c r="A48" s="172"/>
      <c r="B48" s="84">
        <v>12000</v>
      </c>
      <c r="C48" s="84">
        <v>12000</v>
      </c>
      <c r="D48" s="84">
        <v>12000</v>
      </c>
      <c r="E48" s="84">
        <v>12000</v>
      </c>
      <c r="F48" s="84">
        <v>12000</v>
      </c>
      <c r="G48" s="84">
        <v>12000</v>
      </c>
    </row>
    <row r="49" spans="1:14">
      <c r="A49" s="172"/>
      <c r="B49" s="138" t="s">
        <v>63</v>
      </c>
      <c r="C49" s="136"/>
      <c r="D49" s="117">
        <v>45444</v>
      </c>
      <c r="E49" s="117">
        <v>45536</v>
      </c>
      <c r="F49" s="117">
        <v>45627</v>
      </c>
      <c r="G49" s="117">
        <v>45717</v>
      </c>
    </row>
    <row r="50" spans="1:14">
      <c r="A50" s="172"/>
      <c r="B50" s="136"/>
      <c r="C50" s="136"/>
      <c r="D50" s="86">
        <f>ROUND(G38*15%,0)</f>
        <v>17907</v>
      </c>
      <c r="E50" s="86">
        <f>ROUND(G38*45%,0)</f>
        <v>53720</v>
      </c>
      <c r="F50" s="86">
        <f>ROUND(G38*75%,0)</f>
        <v>89534</v>
      </c>
      <c r="G50" s="87">
        <f>ROUND(G38*100%,0)</f>
        <v>119379</v>
      </c>
    </row>
    <row r="51" spans="1:14">
      <c r="A51" s="173"/>
      <c r="B51" s="133" t="s">
        <v>59</v>
      </c>
      <c r="C51" s="134"/>
      <c r="D51" s="88">
        <f>MAX(0,D50-B46-C46-D46)</f>
        <v>0</v>
      </c>
      <c r="E51" s="88">
        <f>MAX(0,E50-B46-C46-D46-E46-F46-G46)</f>
        <v>0</v>
      </c>
      <c r="F51" s="88">
        <f>MAX(0,F50-B46-C46-D46-E46-F46-G46-B48-C48-D48)</f>
        <v>0</v>
      </c>
      <c r="G51" s="89">
        <f>MAX(0,G50-B46-C46-D46-E46-F46-G46-B48-C48-D48-E48-F48-G48)</f>
        <v>0</v>
      </c>
    </row>
    <row r="52" spans="1:14" ht="18.75">
      <c r="A52" s="175" t="str">
        <f>IF((N30-G43)&lt;=0,"Income tax Payable","Income Tax Refundable")</f>
        <v>Income Tax Refundable</v>
      </c>
      <c r="B52" s="175"/>
      <c r="C52" s="175"/>
      <c r="D52" s="175"/>
      <c r="E52" s="175"/>
      <c r="F52" s="179">
        <f>ABS(N31)</f>
        <v>24621.311999999991</v>
      </c>
      <c r="G52" s="179"/>
    </row>
    <row r="53" spans="1:14">
      <c r="A53" s="176" t="s">
        <v>120</v>
      </c>
      <c r="B53" s="176"/>
      <c r="C53" s="176"/>
      <c r="D53" s="176"/>
      <c r="E53" s="176"/>
      <c r="F53" s="176"/>
      <c r="G53" s="176"/>
    </row>
    <row r="54" spans="1:14">
      <c r="A54" s="177" t="s">
        <v>103</v>
      </c>
      <c r="B54" s="177"/>
      <c r="C54" s="177"/>
      <c r="D54" s="177"/>
      <c r="E54" s="177"/>
      <c r="F54" s="177"/>
      <c r="G54" s="177"/>
    </row>
    <row r="55" spans="1:14">
      <c r="A55" s="178" t="s">
        <v>54</v>
      </c>
      <c r="B55" s="178"/>
      <c r="C55" s="178"/>
      <c r="D55" s="178"/>
      <c r="E55" s="178"/>
      <c r="F55" s="178"/>
      <c r="G55" s="178"/>
      <c r="N55" s="52"/>
    </row>
    <row r="56" spans="1:14" ht="15.75">
      <c r="A56" s="174" t="s">
        <v>102</v>
      </c>
      <c r="B56" s="174"/>
      <c r="C56" s="174"/>
      <c r="D56" s="174"/>
      <c r="E56" s="174"/>
      <c r="F56" s="174"/>
      <c r="G56" s="174"/>
    </row>
    <row r="57" spans="1:14">
      <c r="F57" s="125"/>
      <c r="G57" s="125"/>
    </row>
    <row r="58" spans="1:14">
      <c r="F58" s="130" t="s">
        <v>55</v>
      </c>
      <c r="G58" s="130"/>
    </row>
    <row r="59" spans="1:14" hidden="1">
      <c r="F59" s="130"/>
      <c r="G59" s="130"/>
    </row>
    <row r="60" spans="1:14" hidden="1">
      <c r="C60" s="50">
        <f>G13</f>
        <v>1373936</v>
      </c>
      <c r="D60" s="50">
        <f>G26</f>
        <v>1023936</v>
      </c>
      <c r="F60" s="130"/>
      <c r="G60" s="130"/>
    </row>
    <row r="61" spans="1:14" hidden="1">
      <c r="C61">
        <f>(C28+C29)</f>
        <v>50000</v>
      </c>
    </row>
  </sheetData>
  <sheetProtection password="F04B" sheet="1" objects="1" scenarios="1"/>
  <mergeCells count="63">
    <mergeCell ref="A21:E21"/>
    <mergeCell ref="A23:E23"/>
    <mergeCell ref="F31:F32"/>
    <mergeCell ref="A15:E15"/>
    <mergeCell ref="A39:F39"/>
    <mergeCell ref="A16:E16"/>
    <mergeCell ref="A17:E17"/>
    <mergeCell ref="A18:E18"/>
    <mergeCell ref="A19:E19"/>
    <mergeCell ref="A20:E20"/>
    <mergeCell ref="A40:F40"/>
    <mergeCell ref="A41:E41"/>
    <mergeCell ref="A27:C27"/>
    <mergeCell ref="D27:F27"/>
    <mergeCell ref="A33:B33"/>
    <mergeCell ref="D33:E33"/>
    <mergeCell ref="A35:B35"/>
    <mergeCell ref="D35:E35"/>
    <mergeCell ref="D31:D32"/>
    <mergeCell ref="E31:E32"/>
    <mergeCell ref="A42:F42"/>
    <mergeCell ref="A43:A51"/>
    <mergeCell ref="A56:G56"/>
    <mergeCell ref="A52:E52"/>
    <mergeCell ref="A53:G53"/>
    <mergeCell ref="A54:G54"/>
    <mergeCell ref="A55:G55"/>
    <mergeCell ref="F52:G52"/>
    <mergeCell ref="A1:G1"/>
    <mergeCell ref="A2:G2"/>
    <mergeCell ref="A4:A5"/>
    <mergeCell ref="A6:A7"/>
    <mergeCell ref="C6:C7"/>
    <mergeCell ref="D6:D7"/>
    <mergeCell ref="E6:E7"/>
    <mergeCell ref="F6:F7"/>
    <mergeCell ref="G6:G7"/>
    <mergeCell ref="B3:C3"/>
    <mergeCell ref="A8:F8"/>
    <mergeCell ref="A10:F10"/>
    <mergeCell ref="A9:B9"/>
    <mergeCell ref="A11:F11"/>
    <mergeCell ref="A14:F14"/>
    <mergeCell ref="A12:E12"/>
    <mergeCell ref="A13:F13"/>
    <mergeCell ref="C9:D9"/>
    <mergeCell ref="E9:F9"/>
    <mergeCell ref="F57:G57"/>
    <mergeCell ref="A34:B34"/>
    <mergeCell ref="D34:E34"/>
    <mergeCell ref="F58:G60"/>
    <mergeCell ref="C22:D22"/>
    <mergeCell ref="B51:C51"/>
    <mergeCell ref="B44:G44"/>
    <mergeCell ref="B43:F43"/>
    <mergeCell ref="B49:C50"/>
    <mergeCell ref="A24:E24"/>
    <mergeCell ref="A25:F25"/>
    <mergeCell ref="A26:F26"/>
    <mergeCell ref="A38:F38"/>
    <mergeCell ref="D37:E37"/>
    <mergeCell ref="A36:B36"/>
    <mergeCell ref="A37:B37"/>
  </mergeCells>
  <dataValidations count="8">
    <dataValidation type="whole" operator="lessThanOrEqual" allowBlank="1" showInputMessage="1" showErrorMessage="1" error="MAX AMOUNT DEDUCTIBLE U/S TTA IS 40000 RS ONLY." sqref="F21 F23">
      <formula1>40000</formula1>
    </dataValidation>
    <dataValidation type="whole" operator="lessThanOrEqual" allowBlank="1" showInputMessage="1" showErrorMessage="1" error="DEDUCTION U/S 80 D CANT BE EXCEED THAN 25000" sqref="F19">
      <formula1>25000</formula1>
    </dataValidation>
    <dataValidation type="whole" operator="lessThanOrEqual" allowBlank="1" showInputMessage="1" showErrorMessage="1" error="DEUCTION U/S 24 CANT BE EXCEED THAN 200000" sqref="F18">
      <formula1>200000</formula1>
    </dataValidation>
    <dataValidation type="whole" operator="lessThanOrEqual" allowBlank="1" showInputMessage="1" showErrorMessage="1" error="DEDUCTION UNDER SECTION 80C,CCC AND CCD CANT BE EXCEED THAN 150000" sqref="F15">
      <formula1>150000</formula1>
    </dataValidation>
    <dataValidation type="list" allowBlank="1" showInputMessage="1" showErrorMessage="1" sqref="C9">
      <formula1>"BEFORE JULY,AFTER JUNE,NOT APPLICABLE "</formula1>
    </dataValidation>
    <dataValidation type="list" allowBlank="1" showInputMessage="1" showErrorMessage="1" sqref="E22">
      <formula1>"ONE,THREE,FIVE"</formula1>
    </dataValidation>
    <dataValidation type="whole" allowBlank="1" showInputMessage="1" showErrorMessage="1" error="MAX AMOUNT DEDUCTIBLE U/S TTA IS 40000 RS ONLY." sqref="F22">
      <formula1>0</formula1>
      <formula2>1000000</formula2>
    </dataValidation>
    <dataValidation type="list" allowBlank="1" showInputMessage="1" showErrorMessage="1" promptTitle="HRA Rate" sqref="D4">
      <formula1>"HRA 9%, HRA18%"</formula1>
    </dataValidation>
  </dataValidations>
  <pageMargins left="0.70866141732283505" right="0.31496062992126" top="0.74803149606299202" bottom="0.74803149606299202" header="0.31496062992126" footer="0.31496062992126"/>
  <pageSetup scale="85" orientation="portrait" r:id="rId1"/>
  <drawing r:id="rId2"/>
</worksheet>
</file>

<file path=xl/worksheets/sheet3.xml><?xml version="1.0" encoding="utf-8"?>
<worksheet xmlns="http://schemas.openxmlformats.org/spreadsheetml/2006/main" xmlns:r="http://schemas.openxmlformats.org/officeDocument/2006/relationships">
  <dimension ref="A1:I10"/>
  <sheetViews>
    <sheetView workbookViewId="0">
      <selection activeCell="A9" sqref="A9:I9"/>
    </sheetView>
  </sheetViews>
  <sheetFormatPr defaultRowHeight="15"/>
  <cols>
    <col min="9" max="9" width="92" customWidth="1"/>
  </cols>
  <sheetData>
    <row r="1" spans="1:9" ht="36">
      <c r="A1" s="193" t="s">
        <v>62</v>
      </c>
      <c r="B1" s="193"/>
      <c r="C1" s="193"/>
      <c r="D1" s="193"/>
      <c r="E1" s="193"/>
      <c r="F1" s="193"/>
      <c r="G1" s="193"/>
      <c r="H1" s="193"/>
      <c r="I1" s="193"/>
    </row>
    <row r="2" spans="1:9" ht="26.25">
      <c r="A2" s="194" t="s">
        <v>64</v>
      </c>
      <c r="B2" s="194"/>
      <c r="C2" s="194"/>
      <c r="D2" s="194"/>
      <c r="E2" s="194"/>
      <c r="F2" s="194"/>
      <c r="G2" s="194"/>
      <c r="H2" s="194"/>
      <c r="I2" s="194"/>
    </row>
    <row r="3" spans="1:9" ht="26.25">
      <c r="A3" s="195" t="s">
        <v>76</v>
      </c>
      <c r="B3" s="195"/>
      <c r="C3" s="195"/>
      <c r="D3" s="195"/>
      <c r="E3" s="195"/>
      <c r="F3" s="195"/>
      <c r="G3" s="195"/>
      <c r="H3" s="195"/>
      <c r="I3" s="195"/>
    </row>
    <row r="4" spans="1:9" ht="26.25">
      <c r="A4" s="196" t="s">
        <v>77</v>
      </c>
      <c r="B4" s="196"/>
      <c r="C4" s="196"/>
      <c r="D4" s="196"/>
      <c r="E4" s="196"/>
      <c r="F4" s="196"/>
      <c r="G4" s="196"/>
      <c r="H4" s="196"/>
      <c r="I4" s="196"/>
    </row>
    <row r="5" spans="1:9" ht="26.25">
      <c r="A5" s="197" t="s">
        <v>78</v>
      </c>
      <c r="B5" s="197"/>
      <c r="C5" s="197"/>
      <c r="D5" s="197"/>
      <c r="E5" s="197"/>
      <c r="F5" s="197"/>
      <c r="G5" s="197"/>
      <c r="H5" s="197"/>
      <c r="I5" s="197"/>
    </row>
    <row r="6" spans="1:9" ht="26.25">
      <c r="A6" s="195" t="s">
        <v>99</v>
      </c>
      <c r="B6" s="195"/>
      <c r="C6" s="195"/>
      <c r="D6" s="195"/>
      <c r="E6" s="195"/>
      <c r="F6" s="195"/>
      <c r="G6" s="195"/>
      <c r="H6" s="195"/>
      <c r="I6" s="195"/>
    </row>
    <row r="7" spans="1:9" ht="26.25">
      <c r="A7" s="189" t="s">
        <v>100</v>
      </c>
      <c r="B7" s="189"/>
      <c r="C7" s="189"/>
      <c r="D7" s="189"/>
      <c r="E7" s="189"/>
      <c r="F7" s="189"/>
      <c r="G7" s="189"/>
      <c r="H7" s="189"/>
      <c r="I7" s="189"/>
    </row>
    <row r="8" spans="1:9" ht="29.25" customHeight="1">
      <c r="A8" s="190" t="s">
        <v>101</v>
      </c>
      <c r="B8" s="190"/>
      <c r="C8" s="190"/>
      <c r="D8" s="190"/>
      <c r="E8" s="190"/>
      <c r="F8" s="190"/>
      <c r="G8" s="190"/>
      <c r="H8" s="190"/>
      <c r="I8" s="190"/>
    </row>
    <row r="9" spans="1:9" ht="26.25">
      <c r="A9" s="191" t="s">
        <v>79</v>
      </c>
      <c r="B9" s="191"/>
      <c r="C9" s="191"/>
      <c r="D9" s="191"/>
      <c r="E9" s="191"/>
      <c r="F9" s="191"/>
      <c r="G9" s="191"/>
      <c r="H9" s="191"/>
      <c r="I9" s="191"/>
    </row>
    <row r="10" spans="1:9">
      <c r="A10" s="192"/>
      <c r="B10" s="192"/>
      <c r="C10" s="192"/>
      <c r="D10" s="192"/>
      <c r="E10" s="192"/>
      <c r="F10" s="192"/>
      <c r="G10" s="192"/>
      <c r="H10" s="192"/>
      <c r="I10" s="192"/>
    </row>
  </sheetData>
  <mergeCells count="10">
    <mergeCell ref="A7:I7"/>
    <mergeCell ref="A8:I8"/>
    <mergeCell ref="A9:I9"/>
    <mergeCell ref="A10:I10"/>
    <mergeCell ref="A1:I1"/>
    <mergeCell ref="A2:I2"/>
    <mergeCell ref="A3:I3"/>
    <mergeCell ref="A4:I4"/>
    <mergeCell ref="A5:I5"/>
    <mergeCell ref="A6:I6"/>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IV51"/>
  <sheetViews>
    <sheetView workbookViewId="0">
      <selection activeCell="V16" sqref="V16"/>
    </sheetView>
  </sheetViews>
  <sheetFormatPr defaultColWidth="0" defaultRowHeight="15" zeroHeight="1"/>
  <cols>
    <col min="1" max="1" width="1.85546875" customWidth="1"/>
    <col min="2" max="2" width="5.28515625" hidden="1" customWidth="1"/>
    <col min="3" max="3" width="54.7109375" hidden="1" customWidth="1"/>
    <col min="4" max="5" width="21.7109375" hidden="1" customWidth="1"/>
    <col min="6" max="6" width="4.140625" hidden="1" customWidth="1"/>
    <col min="7" max="8" width="8.85546875" customWidth="1"/>
    <col min="9" max="9" width="24.42578125" customWidth="1"/>
    <col min="10" max="10" width="20.5703125" customWidth="1"/>
    <col min="11" max="11" width="17" customWidth="1"/>
    <col min="12" max="12" width="20" customWidth="1"/>
    <col min="13" max="13" width="2.5703125" customWidth="1"/>
    <col min="14" max="14" width="16.85546875" customWidth="1"/>
    <col min="15" max="15" width="13.85546875" customWidth="1"/>
    <col min="16" max="16" width="17.42578125" customWidth="1"/>
    <col min="17" max="17" width="17.140625" customWidth="1"/>
    <col min="18" max="18" width="12.7109375" customWidth="1"/>
    <col min="19" max="19" width="8.85546875" customWidth="1"/>
    <col min="20" max="20" width="12.28515625" customWidth="1"/>
    <col min="21" max="21" width="11.7109375" customWidth="1"/>
    <col min="22" max="22" width="9.7109375" customWidth="1"/>
    <col min="23" max="255" width="8.85546875" customWidth="1"/>
    <col min="256" max="256" width="6.7109375" customWidth="1"/>
    <col min="257" max="16384" width="8.85546875" hidden="1"/>
  </cols>
  <sheetData>
    <row r="1" spans="1:22" ht="52.15" customHeight="1">
      <c r="A1" s="1"/>
      <c r="B1" s="1"/>
      <c r="C1" s="1"/>
      <c r="D1" s="1"/>
      <c r="E1" s="1"/>
      <c r="F1" s="1"/>
      <c r="I1">
        <f>'tax-calculator'!L12</f>
        <v>174734</v>
      </c>
    </row>
    <row r="2" spans="1:22" ht="3.6" customHeight="1">
      <c r="A2" s="1"/>
      <c r="F2" s="1"/>
    </row>
    <row r="3" spans="1:22" ht="22.9" customHeight="1">
      <c r="A3" s="1"/>
      <c r="B3" s="198" t="s">
        <v>0</v>
      </c>
      <c r="C3" s="198"/>
      <c r="D3" s="198"/>
      <c r="E3" s="198"/>
      <c r="F3" s="1"/>
      <c r="G3" s="2" t="s">
        <v>1</v>
      </c>
    </row>
    <row r="4" spans="1:22" ht="41.45" customHeight="1">
      <c r="A4" s="1"/>
      <c r="B4" s="3"/>
      <c r="C4" s="199"/>
      <c r="D4" s="199"/>
      <c r="E4" s="4" t="s">
        <v>1</v>
      </c>
      <c r="F4" s="1"/>
      <c r="G4" s="2" t="s">
        <v>2</v>
      </c>
    </row>
    <row r="5" spans="1:22" ht="3.6" customHeight="1">
      <c r="A5" s="1"/>
      <c r="B5" s="200"/>
      <c r="C5" s="200"/>
      <c r="D5" s="200"/>
      <c r="E5" s="200"/>
      <c r="F5" s="1"/>
      <c r="G5" s="2" t="s">
        <v>3</v>
      </c>
    </row>
    <row r="6" spans="1:22" ht="15.75">
      <c r="A6" s="5"/>
      <c r="B6" s="6" t="s">
        <v>4</v>
      </c>
      <c r="C6" s="7" t="s">
        <v>5</v>
      </c>
      <c r="D6" s="8"/>
      <c r="E6" s="9">
        <f>'TDS CALCULATIONS '!G11</f>
        <v>1448936</v>
      </c>
      <c r="F6" s="5"/>
      <c r="G6" s="2"/>
    </row>
    <row r="7" spans="1:22" ht="33" customHeight="1">
      <c r="A7" s="5"/>
      <c r="B7" s="10" t="s">
        <v>6</v>
      </c>
      <c r="C7" s="11" t="s">
        <v>7</v>
      </c>
      <c r="D7" s="12"/>
      <c r="E7" s="13" t="s">
        <v>8</v>
      </c>
      <c r="F7" s="5"/>
      <c r="G7" s="2"/>
      <c r="I7" s="2" t="s">
        <v>9</v>
      </c>
      <c r="J7" s="2">
        <f>E27</f>
        <v>1448936</v>
      </c>
      <c r="K7" s="2"/>
      <c r="L7" s="2"/>
      <c r="M7" s="2"/>
      <c r="O7" s="2"/>
      <c r="Q7" t="s">
        <v>10</v>
      </c>
      <c r="R7" t="s">
        <v>11</v>
      </c>
      <c r="S7" s="14" t="s">
        <v>12</v>
      </c>
      <c r="T7" t="s">
        <v>13</v>
      </c>
      <c r="U7" t="s">
        <v>11</v>
      </c>
      <c r="V7" s="14" t="s">
        <v>12</v>
      </c>
    </row>
    <row r="8" spans="1:22" ht="15.75">
      <c r="A8" s="5"/>
      <c r="B8" s="15">
        <v>1</v>
      </c>
      <c r="C8" s="16"/>
      <c r="D8" s="17"/>
      <c r="E8" s="18"/>
      <c r="F8" s="5"/>
      <c r="G8" s="2"/>
      <c r="I8" s="2" t="s">
        <v>14</v>
      </c>
      <c r="J8" s="19">
        <f>E6-(E11+E17)</f>
        <v>1448936</v>
      </c>
      <c r="K8" s="2"/>
      <c r="L8" s="2"/>
      <c r="M8" s="2"/>
      <c r="N8" s="2" t="s">
        <v>1</v>
      </c>
      <c r="O8" s="2"/>
      <c r="Q8">
        <f>J11</f>
        <v>244680.80000000002</v>
      </c>
      <c r="R8">
        <f t="shared" ref="R8:R10" si="0">IF($J$7&gt;500000,0,Q8)</f>
        <v>0</v>
      </c>
      <c r="S8" s="14">
        <f t="shared" ref="S8:S10" si="1">Q8-R8</f>
        <v>244680.80000000002</v>
      </c>
      <c r="T8">
        <f>J12</f>
        <v>174734</v>
      </c>
      <c r="U8">
        <f t="shared" ref="U8:U10" si="2">IF($J$8&gt;500000,0,T8)</f>
        <v>0</v>
      </c>
      <c r="V8" s="14">
        <f t="shared" ref="V8:V10" si="3">T8-U8</f>
        <v>174734</v>
      </c>
    </row>
    <row r="9" spans="1:22" ht="15.75">
      <c r="A9" s="5"/>
      <c r="B9" s="15">
        <v>2</v>
      </c>
      <c r="C9" s="16"/>
      <c r="D9" s="17"/>
      <c r="E9" s="18"/>
      <c r="F9" s="5"/>
      <c r="G9" s="2"/>
      <c r="I9" s="20"/>
      <c r="J9" s="20"/>
      <c r="K9" s="20"/>
      <c r="L9" s="20"/>
      <c r="M9" s="2"/>
      <c r="N9" s="2" t="s">
        <v>2</v>
      </c>
      <c r="O9" s="2"/>
      <c r="Q9">
        <f>K11</f>
        <v>234680.80000000002</v>
      </c>
      <c r="R9">
        <f t="shared" si="0"/>
        <v>0</v>
      </c>
      <c r="S9" s="14">
        <f t="shared" si="1"/>
        <v>234680.80000000002</v>
      </c>
      <c r="T9">
        <f>K12</f>
        <v>174734</v>
      </c>
      <c r="U9">
        <f t="shared" si="2"/>
        <v>0</v>
      </c>
      <c r="V9" s="14">
        <f t="shared" si="3"/>
        <v>174734</v>
      </c>
    </row>
    <row r="10" spans="1:22" ht="15.75">
      <c r="A10" s="5"/>
      <c r="B10" s="15">
        <v>3</v>
      </c>
      <c r="C10" s="16"/>
      <c r="D10" s="17"/>
      <c r="E10" s="18"/>
      <c r="F10" s="5"/>
      <c r="G10" s="2"/>
      <c r="I10" s="21"/>
      <c r="J10" s="22" t="s">
        <v>15</v>
      </c>
      <c r="K10" s="22" t="s">
        <v>16</v>
      </c>
      <c r="L10" s="22" t="s">
        <v>17</v>
      </c>
      <c r="M10" s="2"/>
      <c r="N10" s="2" t="s">
        <v>3</v>
      </c>
      <c r="O10" s="2"/>
      <c r="Q10">
        <f>L11</f>
        <v>247180.80000000002</v>
      </c>
      <c r="R10">
        <f t="shared" si="0"/>
        <v>0</v>
      </c>
      <c r="S10" s="14">
        <f t="shared" si="1"/>
        <v>247180.80000000002</v>
      </c>
      <c r="T10">
        <f>L12</f>
        <v>174734</v>
      </c>
      <c r="U10">
        <f t="shared" si="2"/>
        <v>0</v>
      </c>
      <c r="V10" s="14">
        <f t="shared" si="3"/>
        <v>174734</v>
      </c>
    </row>
    <row r="11" spans="1:22" ht="15.75">
      <c r="A11" s="5"/>
      <c r="B11" s="15">
        <f t="shared" ref="B11:B26" si="4">B10+1</f>
        <v>4</v>
      </c>
      <c r="C11" s="16"/>
      <c r="D11" s="17"/>
      <c r="E11" s="18"/>
      <c r="F11" s="5"/>
      <c r="G11" s="2"/>
      <c r="I11" s="21" t="s">
        <v>18</v>
      </c>
      <c r="J11" s="21">
        <f>SUMPRODUCT(--(J7&gt;(J30:J32)), (J7-(J30:J32)), (L31:L33))</f>
        <v>244680.80000000002</v>
      </c>
      <c r="K11" s="21">
        <f>SUMPRODUCT(--(J7&gt;(J38:J39)), (J7-(J38:J39)), (L39:L40))</f>
        <v>234680.80000000002</v>
      </c>
      <c r="L11" s="21">
        <f>SUMPRODUCT(--(J7&gt;(J20:J22)), (J7-(J20:J22)), (L21:L23))</f>
        <v>247180.80000000002</v>
      </c>
      <c r="M11" s="2"/>
      <c r="N11" s="2"/>
      <c r="O11" s="2"/>
    </row>
    <row r="12" spans="1:22" ht="15.75">
      <c r="A12" s="5"/>
      <c r="B12" s="15">
        <f t="shared" si="4"/>
        <v>5</v>
      </c>
      <c r="C12" s="16"/>
      <c r="D12" s="17"/>
      <c r="E12" s="18"/>
      <c r="F12" s="5"/>
      <c r="G12" s="2"/>
      <c r="I12" s="21" t="s">
        <v>19</v>
      </c>
      <c r="J12" s="21">
        <f>SUMPRODUCT(--(J8&gt;(O20:O25)), (J8-(O20:O25)), (Q21:Q26))</f>
        <v>174734</v>
      </c>
      <c r="K12" s="21">
        <f>SUMPRODUCT(--(J8&gt;(O20:O25)), (J8-(O20:O25)), (Q21:Q26))</f>
        <v>174734</v>
      </c>
      <c r="L12" s="21">
        <f>SUMPRODUCT(--(J8&gt;(O20:O25)), (J8-(O20:O25)), (Q21:Q26))</f>
        <v>174734</v>
      </c>
      <c r="M12" s="2"/>
      <c r="N12" s="23" t="s">
        <v>20</v>
      </c>
      <c r="O12" s="2"/>
      <c r="Q12" t="s">
        <v>10</v>
      </c>
      <c r="R12" t="s">
        <v>13</v>
      </c>
    </row>
    <row r="13" spans="1:22" ht="15.75">
      <c r="A13" s="5"/>
      <c r="B13" s="15">
        <f t="shared" si="4"/>
        <v>6</v>
      </c>
      <c r="C13" s="16"/>
      <c r="D13" s="17"/>
      <c r="E13" s="18"/>
      <c r="F13" s="5"/>
      <c r="G13" s="2"/>
      <c r="I13" s="2"/>
      <c r="J13" s="2"/>
      <c r="K13" s="2"/>
      <c r="L13" s="2"/>
      <c r="M13" s="2"/>
      <c r="N13" s="2" t="str">
        <f>E4</f>
        <v>Senior Citizen (60 Yrs or more)</v>
      </c>
      <c r="O13" s="2"/>
      <c r="Q13">
        <f>VLOOKUP(E4,N8:S10,6,0)</f>
        <v>244680.80000000002</v>
      </c>
      <c r="R13">
        <f>VLOOKUP(E4,N8:V10,9,0)</f>
        <v>174734</v>
      </c>
    </row>
    <row r="14" spans="1:22" ht="15.75">
      <c r="A14" s="5"/>
      <c r="B14" s="15">
        <f t="shared" si="4"/>
        <v>7</v>
      </c>
      <c r="C14" s="16"/>
      <c r="D14" s="17"/>
      <c r="E14" s="18"/>
      <c r="F14" s="5"/>
      <c r="G14" s="2"/>
      <c r="I14" s="2"/>
      <c r="J14" s="2"/>
      <c r="K14" s="2"/>
      <c r="L14" s="2"/>
      <c r="M14" s="2"/>
      <c r="N14" s="2"/>
      <c r="O14" s="2"/>
    </row>
    <row r="15" spans="1:22" ht="15.75">
      <c r="A15" s="5"/>
      <c r="B15" s="15">
        <f t="shared" si="4"/>
        <v>8</v>
      </c>
      <c r="C15" s="16"/>
      <c r="D15" s="17"/>
      <c r="E15" s="18"/>
      <c r="F15" s="5"/>
      <c r="G15" s="2"/>
      <c r="I15" s="2"/>
      <c r="J15" s="2"/>
      <c r="K15" s="2"/>
      <c r="L15" s="2"/>
      <c r="M15" s="2"/>
      <c r="N15" s="2"/>
      <c r="O15" s="2"/>
    </row>
    <row r="16" spans="1:22" ht="45.6" customHeight="1">
      <c r="A16" s="5"/>
      <c r="B16" s="15">
        <f t="shared" si="4"/>
        <v>9</v>
      </c>
      <c r="C16" s="201"/>
      <c r="D16" s="201"/>
      <c r="E16" s="18"/>
      <c r="F16" s="5"/>
      <c r="G16" s="2"/>
      <c r="I16" s="2"/>
      <c r="J16" s="2"/>
      <c r="K16" s="2"/>
      <c r="L16" s="2"/>
      <c r="M16" s="2"/>
      <c r="N16" s="2"/>
      <c r="O16" s="2"/>
    </row>
    <row r="17" spans="1:17" ht="31.9" customHeight="1">
      <c r="A17" s="5"/>
      <c r="B17" s="15">
        <f t="shared" si="4"/>
        <v>10</v>
      </c>
      <c r="C17" s="25"/>
      <c r="D17" s="24"/>
      <c r="E17" s="18"/>
      <c r="F17" s="5"/>
      <c r="G17" s="2"/>
      <c r="I17" s="2"/>
      <c r="J17" s="2"/>
      <c r="K17" s="2"/>
      <c r="L17" s="2"/>
      <c r="M17" s="2"/>
      <c r="N17" s="2"/>
      <c r="O17" s="2"/>
    </row>
    <row r="18" spans="1:17" ht="15.75">
      <c r="A18" s="5"/>
      <c r="B18" s="15">
        <f t="shared" si="4"/>
        <v>11</v>
      </c>
      <c r="C18" s="16"/>
      <c r="D18" s="17"/>
      <c r="E18" s="18"/>
      <c r="F18" s="5"/>
      <c r="G18" s="2"/>
      <c r="I18" s="2" t="s">
        <v>21</v>
      </c>
      <c r="J18" s="2"/>
      <c r="K18" s="2"/>
      <c r="L18" s="2"/>
      <c r="M18" s="2"/>
      <c r="N18" s="2" t="s">
        <v>22</v>
      </c>
      <c r="O18" s="2"/>
    </row>
    <row r="19" spans="1:17" ht="15.75">
      <c r="A19" s="5"/>
      <c r="B19" s="15">
        <f t="shared" si="4"/>
        <v>12</v>
      </c>
      <c r="C19" s="16"/>
      <c r="D19" s="17"/>
      <c r="E19" s="18"/>
      <c r="F19" s="5"/>
      <c r="G19" s="2"/>
      <c r="I19" s="26" t="s">
        <v>23</v>
      </c>
      <c r="J19" s="26" t="s">
        <v>24</v>
      </c>
      <c r="K19" s="26" t="s">
        <v>25</v>
      </c>
      <c r="L19" s="26" t="s">
        <v>26</v>
      </c>
      <c r="M19" s="2"/>
      <c r="N19" s="26" t="s">
        <v>23</v>
      </c>
      <c r="O19" s="26" t="s">
        <v>24</v>
      </c>
      <c r="P19" s="26" t="s">
        <v>25</v>
      </c>
      <c r="Q19" s="26" t="s">
        <v>26</v>
      </c>
    </row>
    <row r="20" spans="1:17" ht="15.75">
      <c r="A20" s="5"/>
      <c r="B20" s="15">
        <f t="shared" si="4"/>
        <v>13</v>
      </c>
      <c r="C20" s="16"/>
      <c r="D20" s="17"/>
      <c r="E20" s="18"/>
      <c r="F20" s="5"/>
      <c r="G20" s="2"/>
      <c r="I20" s="27">
        <v>0</v>
      </c>
      <c r="J20" s="27">
        <v>250000</v>
      </c>
      <c r="K20" s="28">
        <v>0</v>
      </c>
      <c r="L20" s="28"/>
      <c r="M20" s="2"/>
      <c r="N20" s="27">
        <v>0</v>
      </c>
      <c r="O20" s="27">
        <v>250000</v>
      </c>
      <c r="P20" s="28">
        <v>0</v>
      </c>
      <c r="Q20" s="28"/>
    </row>
    <row r="21" spans="1:17" ht="15.75">
      <c r="A21" s="5"/>
      <c r="B21" s="15">
        <f t="shared" si="4"/>
        <v>14</v>
      </c>
      <c r="C21" s="16"/>
      <c r="D21" s="17"/>
      <c r="E21" s="18"/>
      <c r="F21" s="5"/>
      <c r="G21" s="2"/>
      <c r="I21" s="27">
        <v>250001</v>
      </c>
      <c r="J21" s="27">
        <v>500000</v>
      </c>
      <c r="K21" s="28">
        <v>0.05</v>
      </c>
      <c r="L21" s="28">
        <f t="shared" ref="L21:L23" si="5">K21-K20</f>
        <v>0.05</v>
      </c>
      <c r="M21" s="2"/>
      <c r="N21" s="27">
        <v>250001</v>
      </c>
      <c r="O21" s="27">
        <v>500000</v>
      </c>
      <c r="P21" s="28">
        <v>0.05</v>
      </c>
      <c r="Q21" s="28">
        <f t="shared" ref="Q21:Q26" si="6">P21-P20</f>
        <v>0.05</v>
      </c>
    </row>
    <row r="22" spans="1:17" ht="15.75">
      <c r="A22" s="5"/>
      <c r="B22" s="15">
        <f t="shared" si="4"/>
        <v>15</v>
      </c>
      <c r="C22" s="16"/>
      <c r="D22" s="17"/>
      <c r="E22" s="18"/>
      <c r="F22" s="5"/>
      <c r="G22" s="2"/>
      <c r="I22" s="27">
        <v>500001</v>
      </c>
      <c r="J22" s="27">
        <v>1000000</v>
      </c>
      <c r="K22" s="28">
        <v>0.2</v>
      </c>
      <c r="L22" s="28">
        <f t="shared" si="5"/>
        <v>0.15000000000000002</v>
      </c>
      <c r="M22" s="2"/>
      <c r="N22" s="27">
        <v>500001</v>
      </c>
      <c r="O22" s="27">
        <v>750000</v>
      </c>
      <c r="P22" s="28">
        <v>0.1</v>
      </c>
      <c r="Q22" s="28">
        <f t="shared" si="6"/>
        <v>0.05</v>
      </c>
    </row>
    <row r="23" spans="1:17" ht="15.75">
      <c r="A23" s="5"/>
      <c r="B23" s="15">
        <f t="shared" si="4"/>
        <v>16</v>
      </c>
      <c r="C23" s="16"/>
      <c r="D23" s="17"/>
      <c r="E23" s="18"/>
      <c r="F23" s="5"/>
      <c r="G23" s="2"/>
      <c r="I23" s="29" t="s">
        <v>27</v>
      </c>
      <c r="J23" s="29"/>
      <c r="K23" s="30">
        <v>0.30000000000000004</v>
      </c>
      <c r="L23" s="30">
        <f t="shared" si="5"/>
        <v>0.10000000000000003</v>
      </c>
      <c r="M23" s="2"/>
      <c r="N23" s="27">
        <v>750001</v>
      </c>
      <c r="O23" s="27">
        <v>1000000</v>
      </c>
      <c r="P23" s="28">
        <v>0.15</v>
      </c>
      <c r="Q23" s="28">
        <f t="shared" si="6"/>
        <v>4.9999999999999989E-2</v>
      </c>
    </row>
    <row r="24" spans="1:17" ht="15.75">
      <c r="A24" s="5"/>
      <c r="B24" s="15">
        <f t="shared" si="4"/>
        <v>17</v>
      </c>
      <c r="C24" s="16"/>
      <c r="D24" s="17"/>
      <c r="E24" s="18"/>
      <c r="F24" s="5"/>
      <c r="G24" s="2"/>
      <c r="I24" s="31"/>
      <c r="J24" s="31"/>
      <c r="K24" s="31"/>
      <c r="L24" s="31"/>
      <c r="M24" s="2"/>
      <c r="N24" s="27">
        <v>1000001</v>
      </c>
      <c r="O24" s="27">
        <v>1250000</v>
      </c>
      <c r="P24" s="28">
        <v>0.2</v>
      </c>
      <c r="Q24" s="28">
        <f t="shared" si="6"/>
        <v>5.0000000000000017E-2</v>
      </c>
    </row>
    <row r="25" spans="1:17" ht="15.75">
      <c r="A25" s="5"/>
      <c r="B25" s="15">
        <f t="shared" si="4"/>
        <v>18</v>
      </c>
      <c r="C25" s="16"/>
      <c r="D25" s="17"/>
      <c r="E25" s="18"/>
      <c r="F25" s="5"/>
      <c r="G25" s="2"/>
      <c r="I25" s="31"/>
      <c r="J25" s="31"/>
      <c r="K25" s="31"/>
      <c r="L25" s="31"/>
      <c r="M25" s="2"/>
      <c r="N25" s="27">
        <v>1250001</v>
      </c>
      <c r="O25" s="27">
        <v>1500000</v>
      </c>
      <c r="P25" s="28">
        <v>0.25</v>
      </c>
      <c r="Q25" s="28">
        <f t="shared" si="6"/>
        <v>4.9999999999999989E-2</v>
      </c>
    </row>
    <row r="26" spans="1:17" ht="15.75">
      <c r="A26" s="5"/>
      <c r="B26" s="32">
        <f t="shared" si="4"/>
        <v>19</v>
      </c>
      <c r="C26" s="33"/>
      <c r="D26" s="34"/>
      <c r="E26" s="35"/>
      <c r="F26" s="5"/>
      <c r="G26" s="2"/>
      <c r="I26" s="36" t="s">
        <v>28</v>
      </c>
      <c r="J26" s="31"/>
      <c r="K26" s="31"/>
      <c r="L26" s="31"/>
      <c r="M26" s="2"/>
      <c r="N26" s="27" t="s">
        <v>29</v>
      </c>
      <c r="O26" s="27"/>
      <c r="P26" s="28">
        <v>0.30000000000000004</v>
      </c>
      <c r="Q26" s="28">
        <f t="shared" si="6"/>
        <v>5.0000000000000044E-2</v>
      </c>
    </row>
    <row r="27" spans="1:17" ht="15.75">
      <c r="A27" s="5"/>
      <c r="B27" s="37" t="s">
        <v>30</v>
      </c>
      <c r="C27" s="38" t="s">
        <v>31</v>
      </c>
      <c r="D27" s="8"/>
      <c r="E27" s="39">
        <f>E6-SUM(E8:E26)</f>
        <v>1448936</v>
      </c>
      <c r="F27" s="5"/>
      <c r="G27" s="2"/>
      <c r="I27" s="26" t="s">
        <v>23</v>
      </c>
      <c r="J27" s="26" t="s">
        <v>24</v>
      </c>
      <c r="K27" s="26" t="s">
        <v>25</v>
      </c>
      <c r="L27" s="26" t="s">
        <v>26</v>
      </c>
      <c r="M27" s="2"/>
      <c r="N27" s="2"/>
      <c r="O27" s="2"/>
    </row>
    <row r="28" spans="1:17" ht="10.15" customHeight="1">
      <c r="A28" s="5"/>
      <c r="B28" s="40"/>
      <c r="C28" s="23"/>
      <c r="D28" s="2"/>
      <c r="E28" s="41"/>
      <c r="F28" s="5"/>
      <c r="G28" s="2"/>
      <c r="I28" s="27"/>
      <c r="J28" s="27"/>
      <c r="K28" s="27"/>
      <c r="L28" s="27"/>
      <c r="M28" s="2"/>
      <c r="N28" s="2"/>
      <c r="O28" s="2"/>
    </row>
    <row r="29" spans="1:17" ht="15.75">
      <c r="A29" s="5"/>
      <c r="B29" s="40"/>
      <c r="C29" s="23" t="s">
        <v>32</v>
      </c>
      <c r="D29" s="2"/>
      <c r="E29" s="42">
        <f>Q13</f>
        <v>244680.80000000002</v>
      </c>
      <c r="F29" s="5"/>
      <c r="G29" s="2"/>
      <c r="I29" s="27"/>
      <c r="J29" s="27"/>
      <c r="K29" s="27"/>
      <c r="L29" s="27"/>
      <c r="M29" s="2"/>
      <c r="N29" s="2"/>
      <c r="O29" s="2"/>
    </row>
    <row r="30" spans="1:17" ht="16.5" customHeight="1">
      <c r="A30" s="1"/>
      <c r="C30" s="23" t="s">
        <v>33</v>
      </c>
      <c r="E30" s="42">
        <f>R13</f>
        <v>174734</v>
      </c>
      <c r="F30" s="1"/>
      <c r="I30" s="27">
        <v>0</v>
      </c>
      <c r="J30" s="27">
        <v>300000</v>
      </c>
      <c r="K30" s="28">
        <v>0</v>
      </c>
      <c r="L30" s="28"/>
    </row>
    <row r="31" spans="1:17" ht="106.15" customHeight="1">
      <c r="A31" s="1"/>
      <c r="B31" s="202" t="s">
        <v>34</v>
      </c>
      <c r="C31" s="202"/>
      <c r="D31" s="202"/>
      <c r="E31" s="202"/>
      <c r="F31" s="43"/>
      <c r="G31" s="44"/>
      <c r="I31" s="27">
        <v>300001</v>
      </c>
      <c r="J31" s="27">
        <v>500000</v>
      </c>
      <c r="K31" s="28">
        <v>0.05</v>
      </c>
      <c r="L31" s="28">
        <f t="shared" ref="L31:L33" si="7">K31-K30</f>
        <v>0.05</v>
      </c>
    </row>
    <row r="32" spans="1:17">
      <c r="A32" s="1"/>
      <c r="F32" s="1"/>
      <c r="I32" s="27">
        <v>500001</v>
      </c>
      <c r="J32" s="27">
        <v>1000000</v>
      </c>
      <c r="K32" s="28">
        <v>0.2</v>
      </c>
      <c r="L32" s="28">
        <f t="shared" si="7"/>
        <v>0.15000000000000002</v>
      </c>
    </row>
    <row r="33" spans="1:12">
      <c r="A33" s="1"/>
      <c r="B33" s="1"/>
      <c r="C33" s="1"/>
      <c r="D33" s="1"/>
      <c r="E33" s="1"/>
      <c r="F33" s="1"/>
      <c r="I33" s="29" t="s">
        <v>27</v>
      </c>
      <c r="J33" s="29"/>
      <c r="K33" s="30">
        <v>0.30000000000000004</v>
      </c>
      <c r="L33" s="30">
        <f t="shared" si="7"/>
        <v>0.10000000000000003</v>
      </c>
    </row>
    <row r="34" spans="1:12" hidden="1">
      <c r="I34" s="31"/>
      <c r="J34" s="31"/>
      <c r="K34" s="31"/>
      <c r="L34" s="31"/>
    </row>
    <row r="35" spans="1:12" hidden="1">
      <c r="I35" s="31"/>
      <c r="J35" s="31"/>
      <c r="K35" s="31"/>
      <c r="L35" s="31"/>
    </row>
    <row r="36" spans="1:12" hidden="1">
      <c r="I36" s="36" t="s">
        <v>28</v>
      </c>
      <c r="J36" s="31"/>
      <c r="K36" s="31"/>
      <c r="L36" s="31"/>
    </row>
    <row r="37" spans="1:12" hidden="1">
      <c r="I37" s="26" t="s">
        <v>23</v>
      </c>
      <c r="J37" s="26" t="s">
        <v>24</v>
      </c>
      <c r="K37" s="26" t="s">
        <v>25</v>
      </c>
      <c r="L37" s="26" t="s">
        <v>26</v>
      </c>
    </row>
    <row r="38" spans="1:12" hidden="1">
      <c r="I38" s="27">
        <v>0</v>
      </c>
      <c r="J38" s="27">
        <v>500000</v>
      </c>
      <c r="K38" s="28">
        <v>0</v>
      </c>
      <c r="L38" s="28"/>
    </row>
    <row r="39" spans="1:12" hidden="1">
      <c r="I39" s="27">
        <v>500001</v>
      </c>
      <c r="J39" s="27">
        <v>1000000</v>
      </c>
      <c r="K39" s="28">
        <v>0.2</v>
      </c>
      <c r="L39" s="28">
        <f t="shared" ref="L39:L40" si="8">K39-K38</f>
        <v>0.2</v>
      </c>
    </row>
    <row r="40" spans="1:12" hidden="1">
      <c r="I40" s="29" t="s">
        <v>27</v>
      </c>
      <c r="J40" s="29"/>
      <c r="K40" s="30">
        <v>0.30000000000000004</v>
      </c>
      <c r="L40" s="30">
        <f t="shared" si="8"/>
        <v>0.10000000000000003</v>
      </c>
    </row>
    <row r="51"/>
  </sheetData>
  <sheetProtection password="CC77" sheet="1" objects="1" scenarios="1"/>
  <mergeCells count="5">
    <mergeCell ref="B3:E3"/>
    <mergeCell ref="C4:D4"/>
    <mergeCell ref="B5:E5"/>
    <mergeCell ref="C16:D16"/>
    <mergeCell ref="B31:E31"/>
  </mergeCells>
  <dataValidations count="1">
    <dataValidation type="list" allowBlank="1" showInputMessage="1" showErrorMessage="1" sqref="E4">
      <formula1>category</formula1>
      <formula2>0</formula2>
    </dataValidation>
  </dataValidations>
  <pageMargins left="0.7" right="0.7" top="0.75" bottom="0.75" header="0.51180555555555551" footer="0.51180555555555551"/>
  <pageSetup firstPageNumber="0"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Macro-disabled</vt:lpstr>
      <vt:lpstr>TDS CALCULATIONS </vt:lpstr>
      <vt:lpstr>how to use </vt:lpstr>
      <vt:lpstr>tax-calculator</vt:lpstr>
      <vt:lpstr>category</vt:lpstr>
      <vt:lpstr>'TDS CALCULATIONS '!Print_Area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lohani</dc:creator>
  <cp:lastModifiedBy>Shree</cp:lastModifiedBy>
  <cp:revision>0</cp:revision>
  <cp:lastPrinted>2024-10-21T04:55:15Z</cp:lastPrinted>
  <dcterms:created xsi:type="dcterms:W3CDTF">2020-02-02T04:09:35Z</dcterms:created>
  <dcterms:modified xsi:type="dcterms:W3CDTF">2024-10-26T06:46:26Z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