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9425" windowHeight="10305" firstSheet="1" activeTab="1"/>
  </bookViews>
  <sheets>
    <sheet name="Macro-disabled" sheetId="2" state="hidden" r:id="rId1"/>
    <sheet name="TDS CALCULATIONS " sheetId="3" r:id="rId2"/>
    <sheet name="how to use " sheetId="4" r:id="rId3"/>
    <sheet name="tax-calculator" sheetId="1" state="hidden" r:id="rId4"/>
  </sheets>
  <definedNames>
    <definedName name="_xlnm._FilterDatabase" localSheetId="2" hidden="1">'how to use '!$A$1:$I$9</definedName>
    <definedName name="_xlnm._FilterDatabase" localSheetId="1" hidden="1">'TDS CALCULATIONS '!$A$1:$H$21</definedName>
    <definedName name="category">'tax-calculator'!$G$3:$G$5</definedName>
    <definedName name="_xlnm.Print_Area" localSheetId="1">'TDS CALCULATIONS '!$A$1:$G$52</definedName>
  </definedNames>
  <calcPr calcId="124519"/>
</workbook>
</file>

<file path=xl/calcChain.xml><?xml version="1.0" encoding="utf-8"?>
<calcChain xmlns="http://schemas.openxmlformats.org/spreadsheetml/2006/main">
  <c r="D5" i="3"/>
  <c r="C5"/>
  <c r="S8" s="1"/>
  <c r="S16"/>
  <c r="S17" s="1"/>
  <c r="N30"/>
  <c r="K5"/>
  <c r="B7" s="1"/>
  <c r="D6" s="1"/>
  <c r="H5"/>
  <c r="C6" l="1"/>
  <c r="S9" s="1"/>
  <c r="G9" s="1"/>
  <c r="S18"/>
  <c r="E5"/>
  <c r="G5" s="1"/>
  <c r="B11" i="1"/>
  <c r="B12"/>
  <c r="B13" s="1"/>
  <c r="B14" s="1"/>
  <c r="B15" s="1"/>
  <c r="B16" s="1"/>
  <c r="B17" s="1"/>
  <c r="B18" s="1"/>
  <c r="B19" s="1"/>
  <c r="B20" s="1"/>
  <c r="B21" s="1"/>
  <c r="B22" s="1"/>
  <c r="B23" s="1"/>
  <c r="B24" s="1"/>
  <c r="B25" s="1"/>
  <c r="B26" s="1"/>
  <c r="N13"/>
  <c r="L21"/>
  <c r="Q21"/>
  <c r="L22"/>
  <c r="Q22"/>
  <c r="L23"/>
  <c r="Q23"/>
  <c r="Q24"/>
  <c r="Q25"/>
  <c r="Q26"/>
  <c r="L31"/>
  <c r="L32"/>
  <c r="L33"/>
  <c r="L39"/>
  <c r="L40"/>
  <c r="F6" i="3" l="1"/>
  <c r="G6" s="1"/>
  <c r="G11" s="1"/>
  <c r="G25"/>
  <c r="G13" l="1"/>
  <c r="G26" s="1"/>
  <c r="D60" s="1"/>
  <c r="E6" i="1"/>
  <c r="E27" s="1"/>
  <c r="J7" s="1"/>
  <c r="L11" s="1"/>
  <c r="Q10" s="1"/>
  <c r="F29" i="3" l="1"/>
  <c r="F34" s="1"/>
  <c r="C60"/>
  <c r="C28" s="1"/>
  <c r="F31"/>
  <c r="F30"/>
  <c r="K11" i="1"/>
  <c r="Q9" s="1"/>
  <c r="R9" s="1"/>
  <c r="J11"/>
  <c r="Q8" s="1"/>
  <c r="R8" s="1"/>
  <c r="R10"/>
  <c r="S10" s="1"/>
  <c r="J8"/>
  <c r="J12" s="1"/>
  <c r="T8" s="1"/>
  <c r="U8" s="1"/>
  <c r="V8" s="1"/>
  <c r="C31" i="3" l="1"/>
  <c r="C30"/>
  <c r="C29"/>
  <c r="F33"/>
  <c r="F35" s="1"/>
  <c r="C32"/>
  <c r="K12" i="1"/>
  <c r="T9" s="1"/>
  <c r="U9" s="1"/>
  <c r="L12"/>
  <c r="I1" s="1"/>
  <c r="S9"/>
  <c r="S8"/>
  <c r="Q13" s="1"/>
  <c r="E29" s="1"/>
  <c r="F36" i="3" l="1"/>
  <c r="F37" s="1"/>
  <c r="C33"/>
  <c r="C61"/>
  <c r="C34" s="1"/>
  <c r="V9" i="1"/>
  <c r="R13" s="1"/>
  <c r="E30" s="1"/>
  <c r="T10"/>
  <c r="U10" s="1"/>
  <c r="C35" i="3" l="1"/>
  <c r="V10" i="1"/>
  <c r="C36" i="3" l="1"/>
  <c r="C37" s="1"/>
  <c r="G38" s="1"/>
  <c r="G43" l="1"/>
  <c r="G40"/>
  <c r="G42" s="1"/>
  <c r="G50"/>
  <c r="G51" s="1"/>
  <c r="E50"/>
  <c r="E51" s="1"/>
  <c r="F50"/>
  <c r="F51" s="1"/>
  <c r="D50"/>
  <c r="D51" s="1"/>
  <c r="A52" l="1"/>
  <c r="N31"/>
  <c r="F52" s="1"/>
</calcChain>
</file>

<file path=xl/sharedStrings.xml><?xml version="1.0" encoding="utf-8"?>
<sst xmlns="http://schemas.openxmlformats.org/spreadsheetml/2006/main" count="146" uniqueCount="121">
  <si>
    <t>New Simplified Personal Income Tax Regime u/s 115BAC - Kya Khoya Kya Paya?</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</si>
  <si>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</si>
  <si>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</si>
  <si>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</si>
  <si>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</si>
  <si>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</si>
  <si>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</si>
  <si>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</si>
  <si>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</si>
  <si>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</si>
  <si>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</si>
  <si>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</si>
  <si>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</si>
  <si>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</si>
  <si>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</si>
  <si>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</si>
  <si>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</si>
  <si>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</si>
  <si>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</si>
  <si>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</si>
  <si>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</si>
  <si>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</si>
  <si>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</si>
  <si>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</si>
  <si>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</si>
  <si>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</si>
  <si>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</si>
  <si>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</si>
  <si>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</si>
  <si>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</si>
  <si>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</si>
  <si>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</si>
  <si>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</si>
  <si>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</si>
  <si>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</si>
  <si>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Macros must be enabled to use this utility</t>
  </si>
  <si>
    <t>Download help file on how to enable macros</t>
  </si>
  <si>
    <t>http://abcaus.in/macros.pdf</t>
  </si>
  <si>
    <t>NAME :-</t>
  </si>
  <si>
    <t>POST</t>
  </si>
  <si>
    <t xml:space="preserve">GROSS SALARY </t>
  </si>
  <si>
    <t>-</t>
  </si>
  <si>
    <t>STANDARD DEDUCTION</t>
  </si>
  <si>
    <t>DEDUCTIONS:-</t>
  </si>
  <si>
    <t>80 C ,CCC ,CCD1       ( MAX 150000)</t>
  </si>
  <si>
    <t>80 CCD(1B)               MAX 50000</t>
  </si>
  <si>
    <t>HOUSE RENT  ALLOWANCE</t>
  </si>
  <si>
    <t>HOUSE LOAN INTEREST   (MAX 200000)</t>
  </si>
  <si>
    <t>MEDICLAIM ( MAX 25000 )</t>
  </si>
  <si>
    <t xml:space="preserve">EDUCATION LOAN </t>
  </si>
  <si>
    <t>TOTAL DEDUCTIONS</t>
  </si>
  <si>
    <t xml:space="preserve">TDS DEDUCTED TILL  NOW </t>
  </si>
  <si>
    <t xml:space="preserve">TAX PAYABLE  THROUGH TDS </t>
  </si>
  <si>
    <t xml:space="preserve">NO OF INSTALMENTS /MONTH REMAINING </t>
  </si>
  <si>
    <t xml:space="preserve">IF YOU FACE ANY PROBLEM  IN THIS SHEET PLEASE MAIL ME ON PANKAJJAIN5246@GMAIL.COM               </t>
  </si>
  <si>
    <t xml:space="preserve">SIGNATURE OF EMPLOYEE </t>
  </si>
  <si>
    <t xml:space="preserve">ANY OTHER DEDUCTION                                                   </t>
  </si>
  <si>
    <t xml:space="preserve">TDS FROM NOW  </t>
  </si>
  <si>
    <r>
      <t>SURRENDER</t>
    </r>
    <r>
      <rPr>
        <b/>
        <sz val="11"/>
        <color rgb="FFFF0000"/>
        <rFont val="Calibri"/>
        <family val="2"/>
        <scheme val="minor"/>
      </rPr>
      <t xml:space="preserve"> #</t>
    </r>
  </si>
  <si>
    <t xml:space="preserve">Short deduction </t>
  </si>
  <si>
    <t>BEFORE</t>
  </si>
  <si>
    <t>AFTER</t>
  </si>
  <si>
    <t xml:space="preserve">HOW TO USE </t>
  </si>
  <si>
    <t xml:space="preserve">QUARTER WISE        REQUIRED TDS </t>
  </si>
  <si>
    <t xml:space="preserve">FILL BASIC INFORMATION IN COLUMN NO.. 1 AND 3 </t>
  </si>
  <si>
    <t xml:space="preserve">80G  ( Donations) Any other  </t>
  </si>
  <si>
    <t>ONE</t>
  </si>
  <si>
    <t>THREE</t>
  </si>
  <si>
    <t xml:space="preserve">FIVE </t>
  </si>
  <si>
    <t xml:space="preserve"> EXPECTED TOTAL  TAX PAYABLE THROUGH TDS (FOR WHOLE YEAR)</t>
  </si>
  <si>
    <t>D.A PER MONTH</t>
  </si>
  <si>
    <r>
      <t>80TTA</t>
    </r>
    <r>
      <rPr>
        <b/>
        <sz val="10"/>
        <color theme="1"/>
        <rFont val="Calibri"/>
        <family val="2"/>
        <scheme val="minor"/>
      </rPr>
      <t xml:space="preserve"> (INTEREST ON SAVING BANK ACCOUNT ) MAX 10000</t>
    </r>
  </si>
  <si>
    <t>MAR TO JUNE Gross SALARY (B5+C5+D5)*4</t>
  </si>
  <si>
    <t xml:space="preserve">NOT APPLICABLE </t>
  </si>
  <si>
    <t xml:space="preserve">QUARTER WISE TDS </t>
  </si>
  <si>
    <t>JULY TO FEB Gross SALARY (B7+C6+D6)*8</t>
  </si>
  <si>
    <t>WRITE YOUR MARCH MONTH BASIC IN COLUMN NO.. B5</t>
  </si>
  <si>
    <t>WRITE YOUR INCOME FROM OTHER SOURCES  IN COLUMN NO.. G8</t>
  </si>
  <si>
    <t>WRITE YOUR DEDUCTIONS IN COLUMN NO.  F15 TO F24</t>
  </si>
  <si>
    <t xml:space="preserve">REMAINING CALCULATIONS WILL BE DONE AUTOMATICALLY </t>
  </si>
  <si>
    <t>GROSS TOTAL INCOME FOR THE YEAR</t>
  </si>
  <si>
    <t>250000-500000</t>
  </si>
  <si>
    <t>500000-10,00000</t>
  </si>
  <si>
    <t>1200000-1500000</t>
  </si>
  <si>
    <t>Tax As Per New Tax Regime</t>
  </si>
  <si>
    <t>Tax As Per Old Tax Regime</t>
  </si>
  <si>
    <t>Rebate U/S 87 A</t>
  </si>
  <si>
    <t>Manikya Lal Verma Govt. College Bhilwara</t>
  </si>
  <si>
    <t>Total Tax (Old Regime)</t>
  </si>
  <si>
    <t xml:space="preserve">Total </t>
  </si>
  <si>
    <t>Cess &amp; Surcharge @4%</t>
  </si>
  <si>
    <t>Total</t>
  </si>
  <si>
    <t xml:space="preserve">Balance Tax </t>
  </si>
  <si>
    <t xml:space="preserve">Quarterly TDS Require-ment And Short Deduction </t>
  </si>
  <si>
    <t xml:space="preserve">Above 10,00000 </t>
  </si>
  <si>
    <t>Above 1500000</t>
  </si>
  <si>
    <t>0- 250000</t>
  </si>
  <si>
    <t xml:space="preserve">BENIFICIAL TAX REGIME AMOUNT </t>
  </si>
  <si>
    <t>Dr. Pankaj Kumar Bhalawat</t>
  </si>
  <si>
    <t>WRITE YOUR TDS DEDUCTED TILL NO. IN COLUMN NO.  G39</t>
  </si>
  <si>
    <t>WRITE REMAINING MONTHS (NO. OF INSTALMENTS) IN F41</t>
  </si>
  <si>
    <t>WRITE YOUR TDS DEDUCTED MONTHWISE IN COLUMN NO. B46 TO G46 AND B 48TO G48</t>
  </si>
  <si>
    <t>Prepared By:- Dr.Pankaj Kumar Bhalawat,Assistant Professor EAFM, MLV Govt College Bhilwara</t>
  </si>
  <si>
    <r>
      <t xml:space="preserve">**NOTE :-  The above TDS calculator has been prepared with atmost due care and precautions. Still the user is fully responsible for the out come .                                                                                                                 </t>
    </r>
    <r>
      <rPr>
        <sz val="8"/>
        <color theme="3" tint="0.39997558519241921"/>
        <rFont val="Calibri"/>
        <family val="2"/>
        <scheme val="minor"/>
      </rPr>
      <t xml:space="preserve">           </t>
    </r>
  </si>
  <si>
    <t xml:space="preserve">INCOME FROM OTHER SOURCES + OTHER ALLOWANCE +BONUS+ARREAR </t>
  </si>
  <si>
    <t>NET TAXABLE INCOME FOR OLD REGIME</t>
  </si>
  <si>
    <t>GROSS TOTAL INCOME AFTER STANDARD DEDUCTION/NET TAXABLE INCOME FOR NEW REGIME</t>
  </si>
  <si>
    <t>Total Tax (New Regime)</t>
  </si>
  <si>
    <t>PAN No</t>
  </si>
  <si>
    <t xml:space="preserve">Asst. Professor </t>
  </si>
  <si>
    <t>HRA 9%</t>
  </si>
  <si>
    <t>300000-700000</t>
  </si>
  <si>
    <t>700000-1000000</t>
  </si>
  <si>
    <t>1000000-1200000</t>
  </si>
  <si>
    <t xml:space="preserve"> NOV 24</t>
  </si>
  <si>
    <t>July 24 To Feb 25</t>
  </si>
  <si>
    <t>March 24 To June 24</t>
  </si>
  <si>
    <r>
      <t xml:space="preserve">COMPUTATION OF </t>
    </r>
    <r>
      <rPr>
        <b/>
        <i/>
        <u/>
        <sz val="13"/>
        <color rgb="FFFF0000"/>
        <rFont val="Calibri"/>
        <family val="2"/>
        <scheme val="minor"/>
      </rPr>
      <t>ESTIMATED</t>
    </r>
    <r>
      <rPr>
        <b/>
        <sz val="13"/>
        <color theme="1"/>
        <rFont val="Calibri"/>
        <family val="2"/>
        <scheme val="minor"/>
      </rPr>
      <t xml:space="preserve"> INCOME TAX PAYABLE FOR F.Y 2024-25</t>
    </r>
  </si>
  <si>
    <t>BASIC AS ON 01.03.2024</t>
  </si>
  <si>
    <t>BASIC AS ON 01-07-24</t>
  </si>
  <si>
    <t>*The  D. A for first four month has been taken @50% and 53% for rest 8 months( Assumed 3% D.A increase From July  by state govt.)</t>
  </si>
</sst>
</file>

<file path=xl/styles.xml><?xml version="1.0" encoding="utf-8"?>
<styleSheet xmlns="http://schemas.openxmlformats.org/spreadsheetml/2006/main">
  <numFmts count="3">
    <numFmt numFmtId="164" formatCode="_(* #,##0.00_);_(* \(#,##0.00\);_(* \-??_);_(@_)"/>
    <numFmt numFmtId="165" formatCode="_-* #,##0_-;\-* #,##0_-;_-* \-??_-;_-@_-"/>
    <numFmt numFmtId="166" formatCode="_(* #,##0_);_(* \(#,##0\);_(* \-??_);_(@_)"/>
  </numFmts>
  <fonts count="50">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b/>
      <sz val="12"/>
      <name val="Arial"/>
      <family val="2"/>
      <charset val="1"/>
    </font>
    <font>
      <sz val="25"/>
      <color indexed="10"/>
      <name val="Times New Roman"/>
      <family val="1"/>
      <charset val="1"/>
    </font>
    <font>
      <sz val="12"/>
      <color indexed="8"/>
      <name val="Times New Roman"/>
      <family val="1"/>
      <charset val="1"/>
    </font>
    <font>
      <sz val="20"/>
      <color indexed="8"/>
      <name val="Times New Roman"/>
      <family val="1"/>
      <charset val="1"/>
    </font>
    <font>
      <b/>
      <u/>
      <sz val="14"/>
      <color indexed="30"/>
      <name val="Calibri"/>
      <family val="2"/>
      <charset val="1"/>
    </font>
    <font>
      <u/>
      <sz val="11"/>
      <color indexed="30"/>
      <name val="Calibri"/>
      <family val="2"/>
      <charset val="1"/>
    </font>
    <font>
      <sz val="11"/>
      <color indexed="8"/>
      <name val="Calibri"/>
      <family val="2"/>
      <charset val="1"/>
    </font>
    <font>
      <sz val="11"/>
      <color rgb="FFFF0000"/>
      <name val="Calibri"/>
      <family val="2"/>
      <scheme val="minor"/>
    </font>
    <font>
      <b/>
      <sz val="11"/>
      <color theme="1"/>
      <name val="Calibri"/>
      <family val="2"/>
      <scheme val="minor"/>
    </font>
    <font>
      <b/>
      <sz val="13"/>
      <color theme="1"/>
      <name val="Calibri"/>
      <family val="2"/>
      <scheme val="minor"/>
    </font>
    <font>
      <b/>
      <i/>
      <u/>
      <sz val="13"/>
      <color rgb="FFFF0000"/>
      <name val="Calibri"/>
      <family val="2"/>
      <scheme val="minor"/>
    </font>
    <font>
      <b/>
      <sz val="12"/>
      <color theme="1"/>
      <name val="Calibri"/>
      <family val="2"/>
      <scheme val="minor"/>
    </font>
    <font>
      <b/>
      <sz val="10"/>
      <color theme="1"/>
      <name val="Calibri"/>
      <family val="2"/>
      <scheme val="minor"/>
    </font>
    <font>
      <b/>
      <sz val="11"/>
      <color rgb="FF00B050"/>
      <name val="Calibri"/>
      <family val="2"/>
      <scheme val="minor"/>
    </font>
    <font>
      <b/>
      <sz val="11"/>
      <color rgb="FFFF0000"/>
      <name val="Calibri"/>
      <family val="2"/>
      <scheme val="minor"/>
    </font>
    <font>
      <b/>
      <sz val="11"/>
      <color rgb="FF00B0F0"/>
      <name val="Calibri"/>
      <family val="2"/>
      <scheme val="minor"/>
    </font>
    <font>
      <sz val="10"/>
      <color theme="1"/>
      <name val="Calibri"/>
      <family val="2"/>
      <scheme val="minor"/>
    </font>
    <font>
      <b/>
      <sz val="16"/>
      <color theme="4" tint="-0.499984740745262"/>
      <name val="Calibri"/>
      <family val="2"/>
      <scheme val="minor"/>
    </font>
    <font>
      <b/>
      <sz val="11"/>
      <color theme="4" tint="-0.499984740745262"/>
      <name val="Calibri"/>
      <family val="2"/>
      <scheme val="minor"/>
    </font>
    <font>
      <b/>
      <sz val="11"/>
      <color indexed="8"/>
      <name val="Calibri"/>
      <family val="2"/>
    </font>
    <font>
      <b/>
      <sz val="14"/>
      <color rgb="FFFF0000"/>
      <name val="Calibri"/>
      <family val="2"/>
    </font>
    <font>
      <b/>
      <sz val="14"/>
      <color theme="1"/>
      <name val="Calibri"/>
      <family val="2"/>
    </font>
    <font>
      <sz val="28"/>
      <color indexed="8"/>
      <name val="Calibri"/>
      <family val="2"/>
      <charset val="1"/>
    </font>
    <font>
      <sz val="12"/>
      <color indexed="8"/>
      <name val="Calibri"/>
      <family val="2"/>
    </font>
    <font>
      <sz val="12"/>
      <color indexed="8"/>
      <name val="Calibri"/>
      <family val="2"/>
      <charset val="1"/>
    </font>
    <font>
      <sz val="20"/>
      <color indexed="8"/>
      <name val="Calibri"/>
      <family val="2"/>
      <charset val="1"/>
    </font>
    <font>
      <b/>
      <u/>
      <sz val="11"/>
      <color theme="10"/>
      <name val="Calibri"/>
      <family val="2"/>
    </font>
    <font>
      <sz val="11"/>
      <color rgb="FF000000"/>
      <name val="Calibri"/>
      <family val="2"/>
      <scheme val="minor"/>
    </font>
    <font>
      <b/>
      <sz val="12"/>
      <color rgb="FF000000"/>
      <name val="Arial"/>
      <family val="2"/>
    </font>
    <font>
      <sz val="10"/>
      <color rgb="FF000000"/>
      <name val="Calibri"/>
      <family val="2"/>
      <scheme val="minor"/>
    </font>
    <font>
      <sz val="10"/>
      <color indexed="8"/>
      <name val="Calibri"/>
      <family val="2"/>
    </font>
    <font>
      <sz val="8"/>
      <color rgb="FF000000"/>
      <name val="Calibri"/>
      <family val="2"/>
      <scheme val="minor"/>
    </font>
    <font>
      <b/>
      <sz val="11"/>
      <color rgb="FF000000"/>
      <name val="Calibri"/>
      <family val="2"/>
      <scheme val="minor"/>
    </font>
    <font>
      <b/>
      <sz val="9"/>
      <color theme="1"/>
      <name val="Calibri"/>
      <family val="2"/>
      <scheme val="minor"/>
    </font>
    <font>
      <sz val="8"/>
      <color indexed="8"/>
      <name val="Calibri"/>
      <family val="2"/>
    </font>
    <font>
      <sz val="8"/>
      <color theme="3" tint="0.39997558519241921"/>
      <name val="Calibri"/>
      <family val="2"/>
      <scheme val="minor"/>
    </font>
    <font>
      <b/>
      <sz val="10"/>
      <color rgb="FFFF0000"/>
      <name val="Calibri"/>
      <family val="2"/>
    </font>
    <font>
      <b/>
      <sz val="10"/>
      <color rgb="FFFF0000"/>
      <name val="Calibri"/>
      <family val="2"/>
      <scheme val="minor"/>
    </font>
    <font>
      <b/>
      <sz val="10"/>
      <color indexed="8"/>
      <name val="Calibri"/>
      <family val="2"/>
    </font>
    <font>
      <b/>
      <sz val="10"/>
      <name val="Calibri"/>
      <family val="2"/>
      <scheme val="minor"/>
    </font>
    <font>
      <b/>
      <sz val="14"/>
      <color theme="1"/>
      <name val="Calibri"/>
      <family val="2"/>
      <scheme val="minor"/>
    </font>
    <font>
      <b/>
      <sz val="8"/>
      <name val="Calibri"/>
      <family val="2"/>
      <scheme val="minor"/>
    </font>
    <font>
      <b/>
      <sz val="10"/>
      <color rgb="FF000000"/>
      <name val="Calibri"/>
      <family val="2"/>
      <scheme val="minor"/>
    </font>
    <font>
      <b/>
      <sz val="8"/>
      <color theme="1"/>
      <name val="Calibri"/>
      <family val="2"/>
      <scheme val="minor"/>
    </font>
  </fonts>
  <fills count="23">
    <fill>
      <patternFill patternType="none"/>
    </fill>
    <fill>
      <patternFill patternType="gray125"/>
    </fill>
    <fill>
      <patternFill patternType="solid">
        <fgColor indexed="13"/>
        <bgColor indexed="34"/>
      </patternFill>
    </fill>
    <fill>
      <patternFill patternType="solid">
        <fgColor indexed="27"/>
        <bgColor indexed="41"/>
      </patternFill>
    </fill>
    <fill>
      <patternFill patternType="solid">
        <fgColor indexed="22"/>
        <bgColor indexed="42"/>
      </patternFill>
    </fill>
    <fill>
      <patternFill patternType="solid">
        <fgColor indexed="51"/>
        <bgColor indexed="52"/>
      </patternFill>
    </fill>
    <fill>
      <patternFill patternType="solid">
        <fgColor indexed="26"/>
        <bgColor indexed="27"/>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164" fontId="12" fillId="0" borderId="0" applyFill="0" applyBorder="0" applyProtection="0"/>
    <xf numFmtId="0" fontId="11" fillId="0" borderId="0" applyNumberFormat="0" applyFill="0" applyBorder="0" applyProtection="0"/>
  </cellStyleXfs>
  <cellXfs count="203">
    <xf numFmtId="0" fontId="0" fillId="0" borderId="0" xfId="0"/>
    <xf numFmtId="0" fontId="0" fillId="2" borderId="0" xfId="0" applyFill="1"/>
    <xf numFmtId="0" fontId="2" fillId="0" borderId="0" xfId="0" applyFont="1"/>
    <xf numFmtId="0" fontId="0" fillId="3" borderId="1" xfId="0" applyFill="1" applyBorder="1"/>
    <xf numFmtId="0" fontId="4" fillId="4" borderId="1" xfId="0" applyFont="1" applyFill="1" applyBorder="1" applyAlignment="1" applyProtection="1">
      <alignment horizontal="left" vertical="center" wrapText="1"/>
      <protection locked="0"/>
    </xf>
    <xf numFmtId="0" fontId="2" fillId="2" borderId="0" xfId="0" applyFont="1" applyFill="1"/>
    <xf numFmtId="0" fontId="3" fillId="0" borderId="3" xfId="0" applyFont="1" applyBorder="1" applyAlignment="1">
      <alignment horizontal="right"/>
    </xf>
    <xf numFmtId="0" fontId="3" fillId="0" borderId="4" xfId="0" applyFont="1" applyBorder="1"/>
    <xf numFmtId="0" fontId="2" fillId="0" borderId="4" xfId="0" applyFont="1" applyBorder="1"/>
    <xf numFmtId="165" fontId="2" fillId="4" borderId="3" xfId="1" applyNumberFormat="1" applyFont="1" applyFill="1" applyBorder="1" applyProtection="1">
      <protection locked="0"/>
    </xf>
    <xf numFmtId="0" fontId="3" fillId="0" borderId="5" xfId="0" applyFont="1" applyBorder="1" applyAlignment="1">
      <alignment horizontal="right" vertical="top"/>
    </xf>
    <xf numFmtId="0" fontId="3" fillId="0" borderId="6" xfId="0" applyFont="1" applyBorder="1" applyAlignment="1">
      <alignment wrapText="1"/>
    </xf>
    <xf numFmtId="0" fontId="0" fillId="0" borderId="6" xfId="0" applyBorder="1"/>
    <xf numFmtId="0" fontId="2" fillId="0" borderId="5" xfId="0" applyFont="1" applyBorder="1" applyAlignment="1">
      <alignment vertical="top" wrapText="1"/>
    </xf>
    <xf numFmtId="0" fontId="0" fillId="5" borderId="0" xfId="0" applyFill="1"/>
    <xf numFmtId="0" fontId="2" fillId="0" borderId="7" xfId="0" applyFont="1" applyBorder="1" applyAlignment="1">
      <alignment vertical="center"/>
    </xf>
    <xf numFmtId="0" fontId="2" fillId="0" borderId="8" xfId="0" applyFont="1" applyBorder="1"/>
    <xf numFmtId="0" fontId="0" fillId="0" borderId="9" xfId="0" applyBorder="1"/>
    <xf numFmtId="165" fontId="2" fillId="4" borderId="10" xfId="1" applyNumberFormat="1" applyFont="1" applyFill="1" applyBorder="1" applyProtection="1">
      <protection locked="0"/>
    </xf>
    <xf numFmtId="165" fontId="2" fillId="0" borderId="0" xfId="0" applyNumberFormat="1" applyFont="1"/>
    <xf numFmtId="0" fontId="2" fillId="0" borderId="11" xfId="0" applyFont="1" applyBorder="1"/>
    <xf numFmtId="0" fontId="2" fillId="0" borderId="1" xfId="0" applyFont="1" applyBorder="1"/>
    <xf numFmtId="0" fontId="2" fillId="0" borderId="1" xfId="0" applyFont="1" applyBorder="1" applyAlignment="1">
      <alignment horizontal="center"/>
    </xf>
    <xf numFmtId="0" fontId="3" fillId="0" borderId="0" xfId="0" applyFont="1"/>
    <xf numFmtId="0" fontId="2" fillId="0" borderId="9" xfId="0" applyFont="1" applyBorder="1" applyAlignment="1">
      <alignment horizontal="left" wrapText="1"/>
    </xf>
    <xf numFmtId="0" fontId="2" fillId="0" borderId="8" xfId="0" applyFont="1" applyBorder="1" applyAlignment="1">
      <alignment horizontal="left" wrapText="1"/>
    </xf>
    <xf numFmtId="0" fontId="0" fillId="6" borderId="1" xfId="0" applyFill="1" applyBorder="1" applyAlignment="1">
      <alignment horizontal="center"/>
    </xf>
    <xf numFmtId="0" fontId="0" fillId="6" borderId="12" xfId="0" applyFill="1" applyBorder="1" applyAlignment="1">
      <alignment horizontal="center"/>
    </xf>
    <xf numFmtId="2" fontId="0" fillId="6" borderId="12" xfId="0" applyNumberFormat="1" applyFill="1" applyBorder="1" applyAlignment="1">
      <alignment horizontal="center"/>
    </xf>
    <xf numFmtId="0" fontId="0" fillId="6" borderId="13" xfId="0" applyFill="1" applyBorder="1" applyAlignment="1">
      <alignment horizontal="center"/>
    </xf>
    <xf numFmtId="2" fontId="0" fillId="6" borderId="13" xfId="0" applyNumberFormat="1" applyFill="1" applyBorder="1" applyAlignment="1">
      <alignment horizontal="center"/>
    </xf>
    <xf numFmtId="0" fontId="0" fillId="6" borderId="0" xfId="0" applyFill="1"/>
    <xf numFmtId="0" fontId="2" fillId="0" borderId="14" xfId="0" applyFont="1" applyBorder="1" applyAlignment="1">
      <alignment vertical="center"/>
    </xf>
    <xf numFmtId="0" fontId="2" fillId="0" borderId="15" xfId="0" applyFont="1" applyBorder="1"/>
    <xf numFmtId="0" fontId="0" fillId="0" borderId="16" xfId="0" applyBorder="1"/>
    <xf numFmtId="165" fontId="2" fillId="4" borderId="17" xfId="1" applyNumberFormat="1" applyFont="1" applyFill="1" applyBorder="1" applyProtection="1">
      <protection locked="0"/>
    </xf>
    <xf numFmtId="0" fontId="5" fillId="6" borderId="0" xfId="0" applyFont="1" applyFill="1"/>
    <xf numFmtId="0" fontId="3" fillId="0" borderId="3" xfId="0" applyFont="1" applyBorder="1" applyAlignment="1">
      <alignment horizontal="right" vertical="center"/>
    </xf>
    <xf numFmtId="0" fontId="3" fillId="0" borderId="18" xfId="0" applyFont="1" applyBorder="1"/>
    <xf numFmtId="165" fontId="2" fillId="0" borderId="3" xfId="1" applyNumberFormat="1" applyFont="1" applyFill="1" applyBorder="1" applyProtection="1"/>
    <xf numFmtId="0" fontId="3" fillId="0" borderId="0" xfId="0" applyFont="1" applyAlignment="1">
      <alignment horizontal="right" vertical="center"/>
    </xf>
    <xf numFmtId="165" fontId="2" fillId="0" borderId="0" xfId="1" applyNumberFormat="1" applyFont="1" applyFill="1" applyBorder="1" applyProtection="1"/>
    <xf numFmtId="166" fontId="6" fillId="0" borderId="0" xfId="1" applyNumberFormat="1" applyFont="1" applyFill="1" applyBorder="1" applyProtection="1">
      <protection hidden="1"/>
    </xf>
    <xf numFmtId="0" fontId="0" fillId="2" borderId="0" xfId="0" applyFill="1" applyAlignment="1">
      <alignment horizontal="left" wrapText="1"/>
    </xf>
    <xf numFmtId="0" fontId="0" fillId="0" borderId="0" xfId="0" applyAlignment="1">
      <alignment horizontal="left"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applyNumberFormat="1" applyFont="1" applyFill="1" applyBorder="1" applyAlignment="1" applyProtection="1">
      <alignment vertical="center"/>
    </xf>
    <xf numFmtId="0" fontId="18" fillId="0" borderId="19" xfId="0" applyFont="1" applyBorder="1" applyAlignment="1" applyProtection="1">
      <alignment horizontal="center" vertical="center" wrapText="1"/>
      <protection hidden="1"/>
    </xf>
    <xf numFmtId="1" fontId="0" fillId="0" borderId="0" xfId="0" applyNumberFormat="1"/>
    <xf numFmtId="0" fontId="14" fillId="0" borderId="19" xfId="0" applyFont="1" applyBorder="1" applyAlignment="1" applyProtection="1">
      <alignment wrapText="1"/>
      <protection hidden="1"/>
    </xf>
    <xf numFmtId="0" fontId="0" fillId="0" borderId="0" xfId="0" applyAlignment="1">
      <alignment horizontal="left"/>
    </xf>
    <xf numFmtId="0" fontId="0" fillId="12" borderId="19" xfId="0" applyFill="1" applyBorder="1" applyAlignment="1" applyProtection="1">
      <alignment wrapText="1"/>
      <protection locked="0" hidden="1"/>
    </xf>
    <xf numFmtId="0" fontId="0" fillId="0" borderId="0" xfId="0" applyProtection="1">
      <protection hidden="1"/>
    </xf>
    <xf numFmtId="1" fontId="0" fillId="0" borderId="0" xfId="0" applyNumberFormat="1" applyProtection="1">
      <protection hidden="1"/>
    </xf>
    <xf numFmtId="1" fontId="0" fillId="12" borderId="19" xfId="0" applyNumberFormat="1" applyFill="1" applyBorder="1" applyAlignment="1" applyProtection="1">
      <alignment wrapText="1"/>
      <protection locked="0" hidden="1"/>
    </xf>
    <xf numFmtId="0" fontId="14" fillId="0" borderId="19" xfId="0" applyFont="1" applyBorder="1" applyAlignment="1" applyProtection="1">
      <alignment horizontal="center" vertical="center" wrapText="1"/>
      <protection hidden="1"/>
    </xf>
    <xf numFmtId="0" fontId="29" fillId="0" borderId="19" xfId="0" applyFont="1" applyBorder="1" applyAlignment="1" applyProtection="1">
      <alignment horizontal="center" vertical="center"/>
      <protection hidden="1"/>
    </xf>
    <xf numFmtId="0" fontId="29" fillId="0" borderId="19" xfId="0" quotePrefix="1" applyFont="1" applyBorder="1" applyAlignment="1" applyProtection="1">
      <alignment horizontal="center" vertical="center"/>
      <protection hidden="1"/>
    </xf>
    <xf numFmtId="0" fontId="0" fillId="0" borderId="0" xfId="0" applyAlignment="1">
      <alignment vertical="center"/>
    </xf>
    <xf numFmtId="1" fontId="0" fillId="0" borderId="19" xfId="0" applyNumberFormat="1" applyBorder="1"/>
    <xf numFmtId="0" fontId="0" fillId="0" borderId="19" xfId="0" applyBorder="1" applyAlignment="1">
      <alignment horizontal="left"/>
    </xf>
    <xf numFmtId="0" fontId="14" fillId="0" borderId="19" xfId="0" applyFont="1" applyBorder="1" applyAlignment="1" applyProtection="1">
      <alignment horizontal="left" wrapText="1"/>
      <protection hidden="1"/>
    </xf>
    <xf numFmtId="0" fontId="14" fillId="7" borderId="19" xfId="0" applyFont="1" applyFill="1" applyBorder="1" applyAlignment="1" applyProtection="1">
      <alignment horizontal="left" wrapText="1"/>
      <protection locked="0" hidden="1"/>
    </xf>
    <xf numFmtId="0" fontId="0" fillId="0" borderId="19" xfId="0" applyBorder="1"/>
    <xf numFmtId="0" fontId="14" fillId="0" borderId="19" xfId="0" applyFont="1" applyBorder="1" applyAlignment="1" applyProtection="1">
      <alignment horizontal="left" vertical="center"/>
      <protection hidden="1"/>
    </xf>
    <xf numFmtId="0" fontId="17" fillId="0" borderId="19" xfId="0" applyFont="1" applyBorder="1" applyAlignment="1" applyProtection="1">
      <alignment horizontal="left" vertical="center"/>
      <protection hidden="1"/>
    </xf>
    <xf numFmtId="0" fontId="14" fillId="9" borderId="19" xfId="0" applyFont="1" applyFill="1" applyBorder="1" applyAlignment="1" applyProtection="1">
      <alignment horizontal="left" vertical="center"/>
      <protection locked="0" hidden="1"/>
    </xf>
    <xf numFmtId="0" fontId="14" fillId="0" borderId="19" xfId="0" applyFont="1" applyBorder="1" applyAlignment="1" applyProtection="1">
      <alignment horizontal="left" vertical="center"/>
      <protection locked="0" hidden="1"/>
    </xf>
    <xf numFmtId="1" fontId="20" fillId="0" borderId="19" xfId="0" applyNumberFormat="1" applyFont="1" applyBorder="1" applyAlignment="1" applyProtection="1">
      <alignment horizontal="left"/>
      <protection hidden="1"/>
    </xf>
    <xf numFmtId="0" fontId="14" fillId="0" borderId="19" xfId="0" applyFont="1" applyBorder="1" applyAlignment="1" applyProtection="1">
      <alignment horizontal="left"/>
      <protection hidden="1"/>
    </xf>
    <xf numFmtId="1" fontId="19" fillId="7" borderId="19" xfId="0" applyNumberFormat="1" applyFont="1" applyFill="1" applyBorder="1" applyAlignment="1" applyProtection="1">
      <alignment horizontal="left"/>
      <protection hidden="1"/>
    </xf>
    <xf numFmtId="0" fontId="14" fillId="0" borderId="19" xfId="0" applyFont="1" applyBorder="1" applyAlignment="1" applyProtection="1">
      <alignment horizontal="left"/>
      <protection locked="0" hidden="1"/>
    </xf>
    <xf numFmtId="1" fontId="21" fillId="0" borderId="19" xfId="0" applyNumberFormat="1" applyFont="1" applyBorder="1" applyAlignment="1" applyProtection="1">
      <alignment horizontal="left"/>
      <protection hidden="1"/>
    </xf>
    <xf numFmtId="1" fontId="14" fillId="0" borderId="19" xfId="0" applyNumberFormat="1" applyFont="1" applyBorder="1" applyAlignment="1" applyProtection="1">
      <alignment horizontal="left"/>
      <protection hidden="1"/>
    </xf>
    <xf numFmtId="0" fontId="13" fillId="20" borderId="19" xfId="0" applyFont="1" applyFill="1" applyBorder="1" applyAlignment="1" applyProtection="1">
      <alignment horizontal="center"/>
      <protection locked="0" hidden="1"/>
    </xf>
    <xf numFmtId="0" fontId="14" fillId="7" borderId="19" xfId="0" applyFont="1" applyFill="1" applyBorder="1" applyAlignment="1" applyProtection="1">
      <alignment horizontal="left"/>
      <protection hidden="1"/>
    </xf>
    <xf numFmtId="0" fontId="20" fillId="19" borderId="19" xfId="0" applyFont="1" applyFill="1" applyBorder="1" applyAlignment="1" applyProtection="1">
      <alignment horizontal="left"/>
      <protection hidden="1"/>
    </xf>
    <xf numFmtId="1" fontId="20" fillId="0" borderId="0" xfId="0" applyNumberFormat="1" applyFont="1" applyAlignment="1" applyProtection="1">
      <alignment horizontal="left"/>
      <protection hidden="1"/>
    </xf>
    <xf numFmtId="0" fontId="0" fillId="19" borderId="19" xfId="0" applyFill="1" applyBorder="1"/>
    <xf numFmtId="1" fontId="43" fillId="10" borderId="19" xfId="0" applyNumberFormat="1" applyFont="1" applyFill="1" applyBorder="1" applyAlignment="1" applyProtection="1">
      <alignment horizontal="left"/>
      <protection hidden="1"/>
    </xf>
    <xf numFmtId="17" fontId="44" fillId="7" borderId="19" xfId="0" applyNumberFormat="1" applyFont="1" applyFill="1" applyBorder="1" applyAlignment="1" applyProtection="1">
      <alignment horizontal="center"/>
      <protection hidden="1"/>
    </xf>
    <xf numFmtId="17" fontId="45" fillId="7" borderId="19" xfId="0" applyNumberFormat="1" applyFont="1" applyFill="1" applyBorder="1" applyAlignment="1" applyProtection="1">
      <alignment horizontal="center"/>
      <protection hidden="1"/>
    </xf>
    <xf numFmtId="0" fontId="36" fillId="16" borderId="19" xfId="0" applyFont="1" applyFill="1" applyBorder="1" applyAlignment="1" applyProtection="1">
      <alignment horizontal="center"/>
      <protection locked="0" hidden="1"/>
    </xf>
    <xf numFmtId="0" fontId="44" fillId="7" borderId="19" xfId="0" applyFont="1" applyFill="1" applyBorder="1" applyAlignment="1" applyProtection="1">
      <alignment horizontal="center"/>
      <protection hidden="1"/>
    </xf>
    <xf numFmtId="0" fontId="36" fillId="15" borderId="19" xfId="0" applyFont="1" applyFill="1" applyBorder="1" applyAlignment="1" applyProtection="1">
      <alignment horizontal="center"/>
      <protection hidden="1"/>
    </xf>
    <xf numFmtId="0" fontId="45" fillId="15" borderId="19" xfId="0" applyFont="1" applyFill="1" applyBorder="1" applyAlignment="1" applyProtection="1">
      <alignment horizontal="center"/>
      <protection hidden="1"/>
    </xf>
    <xf numFmtId="1" fontId="36" fillId="19" borderId="19" xfId="0" applyNumberFormat="1" applyFont="1" applyFill="1" applyBorder="1" applyAlignment="1" applyProtection="1">
      <alignment horizontal="center"/>
      <protection hidden="1"/>
    </xf>
    <xf numFmtId="1" fontId="43" fillId="19" borderId="19" xfId="0" applyNumberFormat="1" applyFont="1" applyFill="1" applyBorder="1" applyAlignment="1" applyProtection="1">
      <alignment horizontal="center"/>
      <protection hidden="1"/>
    </xf>
    <xf numFmtId="9" fontId="35" fillId="21" borderId="23" xfId="0" applyNumberFormat="1" applyFont="1" applyFill="1" applyBorder="1" applyAlignment="1">
      <alignment vertical="center" wrapText="1"/>
    </xf>
    <xf numFmtId="9" fontId="35" fillId="21" borderId="28" xfId="0" applyNumberFormat="1" applyFont="1" applyFill="1" applyBorder="1" applyAlignment="1">
      <alignment vertical="center" wrapText="1"/>
    </xf>
    <xf numFmtId="0" fontId="35" fillId="19" borderId="23" xfId="0" applyFont="1" applyFill="1" applyBorder="1" applyAlignment="1">
      <alignment vertical="center" wrapText="1"/>
    </xf>
    <xf numFmtId="9" fontId="35" fillId="19" borderId="23" xfId="0" applyNumberFormat="1" applyFont="1" applyFill="1" applyBorder="1" applyAlignment="1">
      <alignment vertical="center" wrapText="1"/>
    </xf>
    <xf numFmtId="0" fontId="37" fillId="21" borderId="23" xfId="0" applyFont="1" applyFill="1" applyBorder="1" applyAlignment="1">
      <alignment vertical="center" wrapText="1"/>
    </xf>
    <xf numFmtId="0" fontId="37" fillId="21" borderId="28" xfId="0" applyFont="1" applyFill="1" applyBorder="1" applyAlignment="1">
      <alignment vertical="center" wrapText="1"/>
    </xf>
    <xf numFmtId="0" fontId="46" fillId="7" borderId="19" xfId="0" applyFont="1" applyFill="1" applyBorder="1" applyAlignment="1" applyProtection="1">
      <alignment horizontal="center" vertical="center"/>
      <protection locked="0" hidden="1"/>
    </xf>
    <xf numFmtId="0" fontId="46" fillId="7" borderId="19" xfId="0" applyFont="1" applyFill="1" applyBorder="1" applyAlignment="1" applyProtection="1">
      <alignment horizontal="center"/>
      <protection hidden="1"/>
    </xf>
    <xf numFmtId="0" fontId="17" fillId="0" borderId="19" xfId="0" applyFont="1" applyBorder="1" applyAlignment="1" applyProtection="1">
      <alignment vertical="center" wrapText="1"/>
      <protection hidden="1"/>
    </xf>
    <xf numFmtId="0" fontId="35" fillId="19" borderId="28" xfId="0" applyFont="1" applyFill="1" applyBorder="1" applyAlignment="1">
      <alignment vertical="center" wrapText="1"/>
    </xf>
    <xf numFmtId="9" fontId="35" fillId="19" borderId="28" xfId="0" applyNumberFormat="1" applyFont="1" applyFill="1" applyBorder="1" applyAlignment="1">
      <alignment vertical="center" wrapText="1"/>
    </xf>
    <xf numFmtId="1" fontId="48" fillId="21" borderId="23" xfId="0" applyNumberFormat="1" applyFont="1" applyFill="1" applyBorder="1" applyAlignment="1" applyProtection="1">
      <alignment vertical="center" wrapText="1"/>
      <protection hidden="1"/>
    </xf>
    <xf numFmtId="1" fontId="48" fillId="21" borderId="33" xfId="0" applyNumberFormat="1" applyFont="1" applyFill="1" applyBorder="1" applyAlignment="1" applyProtection="1">
      <alignment vertical="center" wrapText="1"/>
      <protection hidden="1"/>
    </xf>
    <xf numFmtId="1" fontId="48" fillId="21" borderId="32" xfId="0" applyNumberFormat="1" applyFont="1" applyFill="1" applyBorder="1" applyAlignment="1" applyProtection="1">
      <alignment vertical="center" wrapText="1"/>
      <protection hidden="1"/>
    </xf>
    <xf numFmtId="1" fontId="38" fillId="21" borderId="19" xfId="0" applyNumberFormat="1" applyFont="1" applyFill="1" applyBorder="1" applyAlignment="1" applyProtection="1">
      <alignment vertical="center" wrapText="1"/>
      <protection hidden="1"/>
    </xf>
    <xf numFmtId="1" fontId="33" fillId="12" borderId="19" xfId="0" applyNumberFormat="1" applyFont="1" applyFill="1" applyBorder="1" applyAlignment="1" applyProtection="1">
      <alignment vertical="center" wrapText="1"/>
      <protection hidden="1"/>
    </xf>
    <xf numFmtId="1" fontId="33" fillId="7" borderId="19" xfId="0" applyNumberFormat="1" applyFont="1" applyFill="1" applyBorder="1" applyAlignment="1" applyProtection="1">
      <alignment vertical="center" wrapText="1"/>
      <protection hidden="1"/>
    </xf>
    <xf numFmtId="1" fontId="33" fillId="19" borderId="19" xfId="0" applyNumberFormat="1" applyFont="1" applyFill="1" applyBorder="1" applyAlignment="1" applyProtection="1">
      <alignment vertical="center" wrapText="1"/>
      <protection hidden="1"/>
    </xf>
    <xf numFmtId="0" fontId="44" fillId="19" borderId="23" xfId="0" applyFont="1" applyFill="1" applyBorder="1" applyAlignment="1" applyProtection="1">
      <alignment vertical="top" wrapText="1"/>
      <protection hidden="1"/>
    </xf>
    <xf numFmtId="1" fontId="48" fillId="19" borderId="23" xfId="0" applyNumberFormat="1" applyFont="1" applyFill="1" applyBorder="1" applyAlignment="1" applyProtection="1">
      <alignment vertical="center" wrapText="1"/>
      <protection hidden="1"/>
    </xf>
    <xf numFmtId="1" fontId="48" fillId="19" borderId="28" xfId="0" applyNumberFormat="1" applyFont="1" applyFill="1" applyBorder="1" applyAlignment="1" applyProtection="1">
      <alignment vertical="center" wrapText="1"/>
      <protection hidden="1"/>
    </xf>
    <xf numFmtId="1" fontId="25" fillId="19" borderId="19" xfId="0" applyNumberFormat="1" applyFont="1" applyFill="1" applyBorder="1" applyProtection="1">
      <protection hidden="1"/>
    </xf>
    <xf numFmtId="1" fontId="0" fillId="12" borderId="19" xfId="0" applyNumberFormat="1" applyFill="1" applyBorder="1" applyProtection="1">
      <protection hidden="1"/>
    </xf>
    <xf numFmtId="1" fontId="0" fillId="7" borderId="19" xfId="0" applyNumberFormat="1" applyFill="1" applyBorder="1" applyProtection="1">
      <protection hidden="1"/>
    </xf>
    <xf numFmtId="1" fontId="0" fillId="19" borderId="19" xfId="0" applyNumberFormat="1" applyFill="1" applyBorder="1" applyProtection="1">
      <protection hidden="1"/>
    </xf>
    <xf numFmtId="1" fontId="38" fillId="10" borderId="19" xfId="0" applyNumberFormat="1" applyFont="1" applyFill="1" applyBorder="1" applyAlignment="1" applyProtection="1">
      <alignment vertical="center" wrapText="1"/>
      <protection hidden="1"/>
    </xf>
    <xf numFmtId="1" fontId="25" fillId="10" borderId="19" xfId="0" applyNumberFormat="1" applyFont="1" applyFill="1" applyBorder="1" applyProtection="1">
      <protection hidden="1"/>
    </xf>
    <xf numFmtId="17" fontId="36" fillId="10" borderId="19" xfId="0" applyNumberFormat="1" applyFont="1" applyFill="1" applyBorder="1" applyAlignment="1" applyProtection="1">
      <alignment horizontal="center"/>
      <protection hidden="1"/>
    </xf>
    <xf numFmtId="1" fontId="14" fillId="10" borderId="19" xfId="0" applyNumberFormat="1" applyFont="1" applyFill="1" applyBorder="1" applyAlignment="1" applyProtection="1">
      <alignment horizontal="left" vertical="top"/>
      <protection locked="0" hidden="1"/>
    </xf>
    <xf numFmtId="0" fontId="49" fillId="10" borderId="19" xfId="0" applyFont="1" applyFill="1" applyBorder="1" applyAlignment="1" applyProtection="1">
      <alignment horizontal="center" vertical="center" wrapText="1"/>
      <protection hidden="1"/>
    </xf>
    <xf numFmtId="0" fontId="47" fillId="19" borderId="19" xfId="0" applyFont="1" applyFill="1" applyBorder="1" applyAlignment="1" applyProtection="1">
      <alignment horizontal="center" vertical="center" wrapText="1"/>
      <protection hidden="1"/>
    </xf>
    <xf numFmtId="0" fontId="17" fillId="0" borderId="31" xfId="0" applyFont="1" applyBorder="1" applyAlignment="1" applyProtection="1">
      <alignment vertical="center" wrapText="1"/>
      <protection hidden="1"/>
    </xf>
    <xf numFmtId="0" fontId="17" fillId="0" borderId="19" xfId="0" applyFont="1" applyBorder="1" applyAlignment="1" applyProtection="1">
      <alignment vertical="center" wrapText="1"/>
      <protection locked="0"/>
    </xf>
    <xf numFmtId="0" fontId="17" fillId="0" borderId="30" xfId="0" applyFont="1" applyBorder="1" applyAlignment="1" applyProtection="1">
      <alignment vertical="center" wrapText="1"/>
      <protection locked="0"/>
    </xf>
    <xf numFmtId="0" fontId="14" fillId="0" borderId="19" xfId="0" applyFont="1" applyBorder="1" applyAlignment="1" applyProtection="1">
      <alignment horizontal="center" vertical="center" wrapText="1"/>
      <protection locked="0" hidden="1"/>
    </xf>
    <xf numFmtId="0" fontId="0" fillId="0" borderId="29" xfId="0" applyBorder="1" applyAlignment="1">
      <alignment horizontal="center"/>
    </xf>
    <xf numFmtId="0" fontId="38" fillId="12" borderId="30" xfId="0" applyFont="1" applyFill="1" applyBorder="1" applyAlignment="1">
      <alignment horizontal="center" vertical="center" wrapText="1"/>
    </xf>
    <xf numFmtId="0" fontId="38" fillId="12" borderId="31" xfId="0" applyFont="1" applyFill="1" applyBorder="1" applyAlignment="1">
      <alignment horizontal="center" vertical="center" wrapText="1"/>
    </xf>
    <xf numFmtId="0" fontId="0" fillId="12" borderId="30" xfId="0" applyFill="1" applyBorder="1" applyAlignment="1">
      <alignment horizontal="center"/>
    </xf>
    <xf numFmtId="0" fontId="0" fillId="12" borderId="31" xfId="0" applyFill="1" applyBorder="1" applyAlignment="1">
      <alignment horizontal="center"/>
    </xf>
    <xf numFmtId="0" fontId="0" fillId="0" borderId="0" xfId="0" applyAlignment="1">
      <alignment horizontal="center" vertical="top"/>
    </xf>
    <xf numFmtId="0" fontId="14" fillId="0" borderId="30" xfId="0" applyFont="1" applyBorder="1" applyAlignment="1" applyProtection="1">
      <alignment horizontal="left" wrapText="1"/>
      <protection hidden="1"/>
    </xf>
    <xf numFmtId="0" fontId="14" fillId="0" borderId="31" xfId="0" applyFont="1" applyBorder="1" applyAlignment="1" applyProtection="1">
      <alignment horizontal="left" wrapText="1"/>
      <protection hidden="1"/>
    </xf>
    <xf numFmtId="0" fontId="36" fillId="10" borderId="19" xfId="0" applyFont="1" applyFill="1" applyBorder="1" applyAlignment="1" applyProtection="1">
      <alignment horizontal="center" wrapText="1"/>
      <protection hidden="1"/>
    </xf>
    <xf numFmtId="0" fontId="36" fillId="10" borderId="19" xfId="0" applyFont="1" applyFill="1" applyBorder="1"/>
    <xf numFmtId="0" fontId="44" fillId="13" borderId="19" xfId="0" applyFont="1" applyFill="1" applyBorder="1" applyAlignment="1" applyProtection="1">
      <alignment horizontal="center"/>
      <protection hidden="1"/>
    </xf>
    <xf numFmtId="0" fontId="36" fillId="0" borderId="19" xfId="0" applyFont="1" applyBorder="1"/>
    <xf numFmtId="0" fontId="36" fillId="11" borderId="19" xfId="0" applyFont="1" applyFill="1" applyBorder="1" applyAlignment="1" applyProtection="1">
      <alignment horizontal="center"/>
      <protection hidden="1"/>
    </xf>
    <xf numFmtId="0" fontId="44" fillId="14" borderId="19" xfId="0" applyFont="1" applyFill="1" applyBorder="1" applyAlignment="1" applyProtection="1">
      <alignment horizontal="center" wrapText="1"/>
      <protection hidden="1"/>
    </xf>
    <xf numFmtId="0" fontId="14" fillId="0" borderId="19" xfId="0" applyFont="1" applyBorder="1" applyAlignment="1" applyProtection="1">
      <alignment horizontal="left" wrapText="1"/>
      <protection hidden="1"/>
    </xf>
    <xf numFmtId="0" fontId="0" fillId="19" borderId="19" xfId="0" applyFill="1" applyBorder="1" applyAlignment="1" applyProtection="1">
      <alignment horizontal="center"/>
      <protection hidden="1"/>
    </xf>
    <xf numFmtId="0" fontId="20" fillId="0" borderId="24" xfId="0" applyFont="1" applyBorder="1" applyAlignment="1" applyProtection="1">
      <alignment horizontal="center"/>
      <protection hidden="1"/>
    </xf>
    <xf numFmtId="0" fontId="20" fillId="0" borderId="25" xfId="0" applyFont="1" applyBorder="1" applyAlignment="1" applyProtection="1">
      <alignment horizontal="center"/>
      <protection hidden="1"/>
    </xf>
    <xf numFmtId="0" fontId="20" fillId="0" borderId="26" xfId="0" applyFont="1" applyBorder="1" applyAlignment="1" applyProtection="1">
      <alignment horizontal="center"/>
      <protection hidden="1"/>
    </xf>
    <xf numFmtId="0" fontId="32" fillId="9" borderId="19" xfId="2" applyFont="1" applyFill="1" applyBorder="1" applyAlignment="1" applyProtection="1">
      <alignment horizontal="center"/>
      <protection hidden="1"/>
    </xf>
    <xf numFmtId="0" fontId="25" fillId="10" borderId="19" xfId="0" applyFont="1" applyFill="1" applyBorder="1" applyAlignment="1">
      <alignment horizontal="center"/>
    </xf>
    <xf numFmtId="0" fontId="33" fillId="19" borderId="19" xfId="0" applyFont="1" applyFill="1" applyBorder="1" applyAlignment="1">
      <alignment horizontal="center" vertical="center" wrapText="1"/>
    </xf>
    <xf numFmtId="0" fontId="38" fillId="10" borderId="19" xfId="0" applyFont="1" applyFill="1" applyBorder="1" applyAlignment="1">
      <alignment horizontal="center" vertical="center" wrapText="1"/>
    </xf>
    <xf numFmtId="0" fontId="19" fillId="0" borderId="19" xfId="0" applyFont="1" applyBorder="1" applyAlignment="1" applyProtection="1">
      <alignment horizontal="center"/>
      <protection hidden="1"/>
    </xf>
    <xf numFmtId="0" fontId="13" fillId="0" borderId="19" xfId="0" applyFont="1" applyBorder="1" applyAlignment="1" applyProtection="1">
      <alignment horizontal="center"/>
      <protection locked="0" hidden="1"/>
    </xf>
    <xf numFmtId="0" fontId="19" fillId="7" borderId="19" xfId="0" applyFont="1" applyFill="1" applyBorder="1" applyAlignment="1" applyProtection="1">
      <alignment horizontal="center" wrapText="1"/>
      <protection hidden="1"/>
    </xf>
    <xf numFmtId="0" fontId="14" fillId="0" borderId="19" xfId="0" applyFont="1" applyBorder="1" applyAlignment="1" applyProtection="1">
      <alignment horizontal="center" wrapText="1"/>
      <protection hidden="1"/>
    </xf>
    <xf numFmtId="0" fontId="24" fillId="0" borderId="19" xfId="0" applyFont="1" applyBorder="1" applyAlignment="1" applyProtection="1">
      <alignment horizontal="center"/>
      <protection hidden="1"/>
    </xf>
    <xf numFmtId="0" fontId="20" fillId="7" borderId="30" xfId="0" applyFont="1" applyFill="1" applyBorder="1" applyAlignment="1" applyProtection="1">
      <alignment horizontal="center"/>
      <protection locked="0" hidden="1"/>
    </xf>
    <xf numFmtId="0" fontId="20" fillId="7" borderId="31" xfId="0" applyFont="1" applyFill="1" applyBorder="1" applyAlignment="1" applyProtection="1">
      <alignment horizontal="center"/>
      <protection locked="0" hidden="1"/>
    </xf>
    <xf numFmtId="1" fontId="19" fillId="18" borderId="30" xfId="0" applyNumberFormat="1" applyFont="1" applyFill="1" applyBorder="1" applyAlignment="1" applyProtection="1">
      <alignment horizontal="center"/>
      <protection hidden="1"/>
    </xf>
    <xf numFmtId="1" fontId="19" fillId="18" borderId="31" xfId="0" applyNumberFormat="1" applyFont="1" applyFill="1" applyBorder="1" applyAlignment="1" applyProtection="1">
      <alignment horizontal="center"/>
      <protection hidden="1"/>
    </xf>
    <xf numFmtId="0" fontId="23" fillId="20" borderId="19" xfId="0" applyFont="1" applyFill="1" applyBorder="1" applyAlignment="1" applyProtection="1">
      <alignment horizontal="center"/>
      <protection locked="0"/>
    </xf>
    <xf numFmtId="0" fontId="15" fillId="22" borderId="19" xfId="0" applyFont="1" applyFill="1" applyBorder="1" applyAlignment="1" applyProtection="1">
      <alignment horizontal="center" vertical="center" wrapText="1"/>
      <protection hidden="1"/>
    </xf>
    <xf numFmtId="0" fontId="30" fillId="19" borderId="21" xfId="0" applyFont="1" applyFill="1" applyBorder="1" applyAlignment="1">
      <alignment horizontal="center" vertical="top" wrapText="1"/>
    </xf>
    <xf numFmtId="0" fontId="30" fillId="19" borderId="20" xfId="0" applyFont="1" applyFill="1" applyBorder="1" applyAlignment="1">
      <alignment horizontal="center" vertical="top" wrapText="1"/>
    </xf>
    <xf numFmtId="0" fontId="30" fillId="20" borderId="19" xfId="0" applyFont="1" applyFill="1" applyBorder="1" applyAlignment="1">
      <alignment horizontal="center" vertical="top" wrapText="1"/>
    </xf>
    <xf numFmtId="0" fontId="0" fillId="0" borderId="19" xfId="0" applyBorder="1" applyAlignment="1" applyProtection="1">
      <alignment horizontal="center" vertical="center"/>
      <protection hidden="1"/>
    </xf>
    <xf numFmtId="0" fontId="0" fillId="0" borderId="21" xfId="0" quotePrefix="1"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7" fillId="0" borderId="30"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25" fillId="7" borderId="19" xfId="0" applyFont="1" applyFill="1" applyBorder="1" applyAlignment="1" applyProtection="1">
      <alignment horizontal="center"/>
      <protection hidden="1"/>
    </xf>
    <xf numFmtId="0" fontId="42" fillId="19" borderId="21" xfId="0" applyFont="1" applyFill="1" applyBorder="1" applyAlignment="1">
      <alignment horizontal="center" vertical="top" wrapText="1"/>
    </xf>
    <xf numFmtId="0" fontId="42" fillId="19" borderId="22" xfId="0" applyFont="1" applyFill="1" applyBorder="1" applyAlignment="1">
      <alignment horizontal="center" vertical="top" wrapText="1"/>
    </xf>
    <xf numFmtId="0" fontId="42" fillId="19" borderId="20" xfId="0" applyFont="1" applyFill="1" applyBorder="1" applyAlignment="1">
      <alignment horizontal="center" vertical="top" wrapText="1"/>
    </xf>
    <xf numFmtId="0" fontId="17" fillId="7" borderId="19" xfId="0" applyFont="1" applyFill="1" applyBorder="1" applyAlignment="1">
      <alignment horizontal="left"/>
    </xf>
    <xf numFmtId="0" fontId="26" fillId="7" borderId="19" xfId="0" applyFont="1" applyFill="1" applyBorder="1" applyAlignment="1" applyProtection="1">
      <alignment horizontal="center" wrapText="1"/>
      <protection hidden="1"/>
    </xf>
    <xf numFmtId="0" fontId="39" fillId="0" borderId="19" xfId="0" applyFont="1" applyBorder="1" applyAlignment="1" applyProtection="1">
      <alignment horizontal="left" vertical="center" wrapText="1"/>
      <protection hidden="1"/>
    </xf>
    <xf numFmtId="0" fontId="40" fillId="0" borderId="19" xfId="0" applyFont="1" applyBorder="1" applyAlignment="1" applyProtection="1">
      <alignment horizontal="left" vertical="center" wrapText="1"/>
      <protection hidden="1"/>
    </xf>
    <xf numFmtId="0" fontId="22" fillId="0" borderId="19" xfId="0" applyFont="1" applyBorder="1" applyAlignment="1">
      <alignment horizontal="left" vertical="center" wrapText="1"/>
    </xf>
    <xf numFmtId="1" fontId="27" fillId="11" borderId="19" xfId="0" applyNumberFormat="1" applyFont="1" applyFill="1" applyBorder="1" applyAlignment="1" applyProtection="1">
      <alignment horizontal="center"/>
      <protection hidden="1"/>
    </xf>
    <xf numFmtId="0" fontId="25" fillId="0" borderId="19" xfId="0" applyFont="1" applyBorder="1" applyAlignment="1" applyProtection="1">
      <alignment horizontal="center"/>
      <protection hidden="1"/>
    </xf>
    <xf numFmtId="0" fontId="20" fillId="21" borderId="27" xfId="0" applyFont="1" applyFill="1" applyBorder="1" applyAlignment="1" applyProtection="1">
      <alignment horizontal="center"/>
      <protection hidden="1"/>
    </xf>
    <xf numFmtId="0" fontId="20" fillId="19" borderId="27" xfId="0" applyFont="1" applyFill="1" applyBorder="1" applyAlignment="1" applyProtection="1">
      <alignment horizontal="center"/>
      <protection hidden="1"/>
    </xf>
    <xf numFmtId="0" fontId="33" fillId="21" borderId="19" xfId="0" applyFont="1" applyFill="1" applyBorder="1" applyAlignment="1">
      <alignment horizontal="center" vertical="center" wrapText="1"/>
    </xf>
    <xf numFmtId="0" fontId="33" fillId="7" borderId="19" xfId="0" applyFont="1" applyFill="1" applyBorder="1" applyAlignment="1">
      <alignment horizontal="center" vertical="center" wrapText="1"/>
    </xf>
    <xf numFmtId="0" fontId="0" fillId="7" borderId="19" xfId="0" applyFill="1" applyBorder="1" applyAlignment="1">
      <alignment horizontal="center"/>
    </xf>
    <xf numFmtId="0" fontId="35" fillId="19" borderId="19" xfId="0" applyFont="1" applyFill="1" applyBorder="1" applyAlignment="1">
      <alignment horizontal="center" vertical="center" wrapText="1"/>
    </xf>
    <xf numFmtId="9" fontId="35" fillId="19" borderId="19" xfId="0" applyNumberFormat="1" applyFont="1" applyFill="1" applyBorder="1" applyAlignment="1">
      <alignment horizontal="right" vertical="center" wrapText="1"/>
    </xf>
    <xf numFmtId="1" fontId="48" fillId="19" borderId="19" xfId="0" applyNumberFormat="1" applyFont="1" applyFill="1" applyBorder="1" applyAlignment="1" applyProtection="1">
      <alignment horizontal="right" vertical="center" wrapText="1"/>
      <protection hidden="1"/>
    </xf>
    <xf numFmtId="0" fontId="31" fillId="14" borderId="0" xfId="0" applyFont="1" applyFill="1" applyAlignment="1" applyProtection="1">
      <alignment horizontal="left"/>
      <protection hidden="1"/>
    </xf>
    <xf numFmtId="0" fontId="31" fillId="17" borderId="0" xfId="0" applyFont="1" applyFill="1" applyAlignment="1" applyProtection="1">
      <alignment horizontal="left" wrapText="1"/>
      <protection hidden="1"/>
    </xf>
    <xf numFmtId="0" fontId="31" fillId="19" borderId="0" xfId="0" applyFont="1" applyFill="1" applyAlignment="1">
      <alignment horizontal="left"/>
    </xf>
    <xf numFmtId="0" fontId="0" fillId="0" borderId="0" xfId="0" applyAlignment="1">
      <alignment horizontal="center"/>
    </xf>
    <xf numFmtId="0" fontId="28" fillId="8" borderId="0" xfId="0" applyFont="1" applyFill="1" applyAlignment="1" applyProtection="1">
      <alignment horizontal="center"/>
      <protection hidden="1"/>
    </xf>
    <xf numFmtId="0" fontId="31" fillId="15" borderId="0" xfId="0" applyFont="1" applyFill="1" applyAlignment="1" applyProtection="1">
      <alignment horizontal="left"/>
      <protection hidden="1"/>
    </xf>
    <xf numFmtId="0" fontId="31" fillId="7" borderId="0" xfId="0" applyFont="1" applyFill="1" applyAlignment="1" applyProtection="1">
      <alignment horizontal="left"/>
      <protection hidden="1"/>
    </xf>
    <xf numFmtId="0" fontId="31" fillId="12" borderId="0" xfId="0" applyFont="1" applyFill="1" applyAlignment="1" applyProtection="1">
      <alignment horizontal="left"/>
      <protection hidden="1"/>
    </xf>
    <xf numFmtId="0" fontId="31" fillId="11" borderId="0" xfId="0" applyFont="1" applyFill="1" applyAlignment="1" applyProtection="1">
      <alignment horizontal="left"/>
      <protection hidden="1"/>
    </xf>
    <xf numFmtId="0" fontId="1" fillId="2" borderId="1" xfId="0" applyFont="1" applyFill="1" applyBorder="1" applyAlignment="1">
      <alignment horizontal="center" vertical="center"/>
    </xf>
    <xf numFmtId="0" fontId="3" fillId="3" borderId="1" xfId="0" applyFont="1" applyFill="1" applyBorder="1" applyAlignment="1">
      <alignment horizontal="left" vertical="center"/>
    </xf>
    <xf numFmtId="0" fontId="0" fillId="2" borderId="2" xfId="0" applyFill="1" applyBorder="1" applyAlignment="1">
      <alignment horizontal="center"/>
    </xf>
    <xf numFmtId="0" fontId="2" fillId="0" borderId="9" xfId="0" applyFont="1" applyBorder="1"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5E0B4"/>
      <rgbColor rgb="00808080"/>
      <rgbColor rgb="009999FF"/>
      <rgbColor rgb="00993366"/>
      <rgbColor rgb="00FBE5D6"/>
      <rgbColor rgb="00DEEBF7"/>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facebook.com/abCAus" TargetMode="External"/><Relationship Id="rId1" Type="http://schemas.openxmlformats.org/officeDocument/2006/relationships/hyperlink" Target="http://abcaus.in/macros.pdf"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hyperlink" Target="https://youtu.be/gNizknzAF_E"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9</xdr:row>
      <xdr:rowOff>85725</xdr:rowOff>
    </xdr:from>
    <xdr:to>
      <xdr:col>12</xdr:col>
      <xdr:colOff>390525</xdr:colOff>
      <xdr:row>22</xdr:row>
      <xdr:rowOff>142875</xdr:rowOff>
    </xdr:to>
    <xdr:pic>
      <xdr:nvPicPr>
        <xdr:cNvPr id="2049" name="Picture 4">
          <a:extLst>
            <a:ext uri="{FF2B5EF4-FFF2-40B4-BE49-F238E27FC236}">
              <a16:creationId xmlns=""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5305425" y="2209800"/>
          <a:ext cx="2400300" cy="25336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137886</xdr:colOff>
      <xdr:row>4</xdr:row>
      <xdr:rowOff>63500</xdr:rowOff>
    </xdr:from>
    <xdr:to>
      <xdr:col>0</xdr:col>
      <xdr:colOff>589643</xdr:colOff>
      <xdr:row>4</xdr:row>
      <xdr:rowOff>66223</xdr:rowOff>
    </xdr:to>
    <xdr:cxnSp macro="">
      <xdr:nvCxnSpPr>
        <xdr:cNvPr id="3" name="Straight Arrow Connector 2">
          <a:extLst>
            <a:ext uri="{FF2B5EF4-FFF2-40B4-BE49-F238E27FC236}">
              <a16:creationId xmlns="" xmlns:a16="http://schemas.microsoft.com/office/drawing/2014/main" id="{00000000-0008-0000-0100-000003000000}"/>
            </a:ext>
          </a:extLst>
        </xdr:cNvPr>
        <xdr:cNvCxnSpPr/>
      </xdr:nvCxnSpPr>
      <xdr:spPr bwMode="auto">
        <a:xfrm flipV="1">
          <a:off x="137886" y="1310821"/>
          <a:ext cx="451757" cy="2723"/>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6</xdr:row>
      <xdr:rowOff>212725</xdr:rowOff>
    </xdr:from>
    <xdr:to>
      <xdr:col>0</xdr:col>
      <xdr:colOff>561975</xdr:colOff>
      <xdr:row>6</xdr:row>
      <xdr:rowOff>222252</xdr:rowOff>
    </xdr:to>
    <xdr:cxnSp macro="">
      <xdr:nvCxnSpPr>
        <xdr:cNvPr id="6" name="Straight Arrow Connector 5">
          <a:extLst>
            <a:ext uri="{FF2B5EF4-FFF2-40B4-BE49-F238E27FC236}">
              <a16:creationId xmlns="" xmlns:a16="http://schemas.microsoft.com/office/drawing/2014/main" id="{00000000-0008-0000-0100-000006000000}"/>
            </a:ext>
          </a:extLst>
        </xdr:cNvPr>
        <xdr:cNvCxnSpPr/>
      </xdr:nvCxnSpPr>
      <xdr:spPr bwMode="auto">
        <a:xfrm flipV="1">
          <a:off x="133350" y="1881868"/>
          <a:ext cx="428625" cy="952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68036</xdr:colOff>
      <xdr:row>48</xdr:row>
      <xdr:rowOff>74840</xdr:rowOff>
    </xdr:from>
    <xdr:to>
      <xdr:col>0</xdr:col>
      <xdr:colOff>498930</xdr:colOff>
      <xdr:row>50</xdr:row>
      <xdr:rowOff>27214</xdr:rowOff>
    </xdr:to>
    <xdr:sp macro="" textlink="">
      <xdr:nvSpPr>
        <xdr:cNvPr id="10" name="Right Arrow 9">
          <a:extLst>
            <a:ext uri="{FF2B5EF4-FFF2-40B4-BE49-F238E27FC236}">
              <a16:creationId xmlns="" xmlns:a16="http://schemas.microsoft.com/office/drawing/2014/main" id="{00000000-0008-0000-0100-00000A000000}"/>
            </a:ext>
          </a:extLst>
        </xdr:cNvPr>
        <xdr:cNvSpPr/>
      </xdr:nvSpPr>
      <xdr:spPr bwMode="auto">
        <a:xfrm>
          <a:off x="68036" y="9422947"/>
          <a:ext cx="430894" cy="324303"/>
        </a:xfrm>
        <a:prstGeom prst="right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0</xdr:row>
      <xdr:rowOff>57150</xdr:rowOff>
    </xdr:from>
    <xdr:to>
      <xdr:col>13</xdr:col>
      <xdr:colOff>9525</xdr:colOff>
      <xdr:row>0</xdr:row>
      <xdr:rowOff>590550</xdr:rowOff>
    </xdr:to>
    <xdr:sp macro="" textlink="" fLocksText="0">
      <xdr:nvSpPr>
        <xdr:cNvPr id="1025" name="Rectangle 1">
          <a:hlinkClick xmlns:r="http://schemas.openxmlformats.org/officeDocument/2006/relationships" r:id="rId1"/>
          <a:extLst>
            <a:ext uri="{FF2B5EF4-FFF2-40B4-BE49-F238E27FC236}">
              <a16:creationId xmlns="" xmlns:a16="http://schemas.microsoft.com/office/drawing/2014/main" id="{00000000-0008-0000-0300-000001040000}"/>
            </a:ext>
          </a:extLst>
        </xdr:cNvPr>
        <xdr:cNvSpPr>
          <a:spLocks noChangeArrowheads="1"/>
        </xdr:cNvSpPr>
      </xdr:nvSpPr>
      <xdr:spPr bwMode="auto">
        <a:xfrm>
          <a:off x="5581650" y="57150"/>
          <a:ext cx="1371600" cy="533400"/>
        </a:xfrm>
        <a:prstGeom prst="rect">
          <a:avLst/>
        </a:prstGeom>
        <a:solidFill>
          <a:srgbClr val="FFFFFF"/>
        </a:solidFill>
        <a:ln w="12600" cap="flat">
          <a:solidFill>
            <a:srgbClr val="ED7D31"/>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l" rtl="0">
            <a:defRPr sz="1000"/>
          </a:pPr>
          <a:r>
            <a:rPr lang="en-US" sz="1100" b="0" i="0" u="none" strike="noStrike" baseline="0">
              <a:solidFill>
                <a:srgbClr val="000000"/>
              </a:solidFill>
              <a:latin typeface="Calibri"/>
            </a:rPr>
            <a:t>Macros must have been enabled to use this utility.   </a:t>
          </a:r>
        </a:p>
        <a:p>
          <a:pPr algn="l" rtl="0">
            <a:defRPr sz="1000"/>
          </a:pPr>
          <a:r>
            <a:rPr lang="en-US" sz="1100" b="0" i="0" u="none" strike="noStrike" baseline="0">
              <a:solidFill>
                <a:srgbClr val="000000"/>
              </a:solidFill>
              <a:latin typeface="Calibri"/>
            </a:rPr>
            <a:t>Macro Help</a:t>
          </a:r>
        </a:p>
      </xdr:txBody>
    </xdr:sp>
    <xdr:clientData/>
  </xdr:twoCellAnchor>
  <xdr:twoCellAnchor>
    <xdr:from>
      <xdr:col>3</xdr:col>
      <xdr:colOff>161925</xdr:colOff>
      <xdr:row>0</xdr:row>
      <xdr:rowOff>104775</xdr:rowOff>
    </xdr:from>
    <xdr:to>
      <xdr:col>3</xdr:col>
      <xdr:colOff>1352550</xdr:colOff>
      <xdr:row>0</xdr:row>
      <xdr:rowOff>581025</xdr:rowOff>
    </xdr:to>
    <xdr:pic>
      <xdr:nvPicPr>
        <xdr:cNvPr id="1026" name="Picture 7">
          <a:hlinkClick xmlns:r="http://schemas.openxmlformats.org/officeDocument/2006/relationships" r:id="rId2"/>
          <a:extLst>
            <a:ext uri="{FF2B5EF4-FFF2-40B4-BE49-F238E27FC236}">
              <a16:creationId xmlns=""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4286250" y="104775"/>
          <a:ext cx="1190625" cy="4762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2305050</xdr:colOff>
      <xdr:row>0</xdr:row>
      <xdr:rowOff>95250</xdr:rowOff>
    </xdr:from>
    <xdr:to>
      <xdr:col>3</xdr:col>
      <xdr:colOff>9525</xdr:colOff>
      <xdr:row>0</xdr:row>
      <xdr:rowOff>590550</xdr:rowOff>
    </xdr:to>
    <xdr:pic>
      <xdr:nvPicPr>
        <xdr:cNvPr id="1027" name="Picture 8">
          <a:hlinkClick xmlns:r="http://schemas.openxmlformats.org/officeDocument/2006/relationships" r:id="rId4"/>
          <a:extLst>
            <a:ext uri="{FF2B5EF4-FFF2-40B4-BE49-F238E27FC236}">
              <a16:creationId xmlns=""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2781300" y="95250"/>
          <a:ext cx="1352550" cy="49530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47625</xdr:colOff>
      <xdr:row>0</xdr:row>
      <xdr:rowOff>85725</xdr:rowOff>
    </xdr:from>
    <xdr:to>
      <xdr:col>2</xdr:col>
      <xdr:colOff>962025</xdr:colOff>
      <xdr:row>0</xdr:row>
      <xdr:rowOff>600075</xdr:rowOff>
    </xdr:to>
    <xdr:pic>
      <xdr:nvPicPr>
        <xdr:cNvPr id="1028" name="Picture 8">
          <a:extLst>
            <a:ext uri="{FF2B5EF4-FFF2-40B4-BE49-F238E27FC236}">
              <a16:creationId xmlns=""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6">
          <a:extLst>
            <a:ext uri="{28A0092B-C50C-407E-A947-70E740481C1C}">
              <a14:useLocalDpi xmlns="" xmlns:a14="http://schemas.microsoft.com/office/drawing/2010/main" val="0"/>
            </a:ext>
          </a:extLst>
        </a:blip>
        <a:srcRect/>
        <a:stretch>
          <a:fillRect/>
        </a:stretch>
      </xdr:blipFill>
      <xdr:spPr bwMode="auto">
        <a:xfrm>
          <a:off x="171450" y="85725"/>
          <a:ext cx="1266825" cy="5143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10</xdr:col>
      <xdr:colOff>838200</xdr:colOff>
      <xdr:row>5</xdr:row>
      <xdr:rowOff>38100</xdr:rowOff>
    </xdr:from>
    <xdr:to>
      <xdr:col>10</xdr:col>
      <xdr:colOff>1123950</xdr:colOff>
      <xdr:row>5</xdr:row>
      <xdr:rowOff>171450</xdr:rowOff>
    </xdr:to>
    <xdr:sp macro="" textlink="">
      <xdr:nvSpPr>
        <xdr:cNvPr id="1029" name="Arrow: Notched Right 8">
          <a:extLst>
            <a:ext uri="{FF2B5EF4-FFF2-40B4-BE49-F238E27FC236}">
              <a16:creationId xmlns="" xmlns:a16="http://schemas.microsoft.com/office/drawing/2014/main" id="{00000000-0008-0000-0300-000005040000}"/>
            </a:ext>
          </a:extLst>
        </xdr:cNvPr>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11</xdr:col>
      <xdr:colOff>857250</xdr:colOff>
      <xdr:row>6</xdr:row>
      <xdr:rowOff>209550</xdr:rowOff>
    </xdr:from>
    <xdr:to>
      <xdr:col>11</xdr:col>
      <xdr:colOff>990600</xdr:colOff>
      <xdr:row>6</xdr:row>
      <xdr:rowOff>381000</xdr:rowOff>
    </xdr:to>
    <xdr:sp macro="" textlink="">
      <xdr:nvSpPr>
        <xdr:cNvPr id="1030" name="Arrow: Notched Right 9">
          <a:extLst>
            <a:ext uri="{FF2B5EF4-FFF2-40B4-BE49-F238E27FC236}">
              <a16:creationId xmlns="" xmlns:a16="http://schemas.microsoft.com/office/drawing/2014/main" id="{00000000-0008-0000-0300-000006040000}"/>
            </a:ext>
          </a:extLst>
        </xdr:cNvPr>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10</xdr:col>
      <xdr:colOff>828675</xdr:colOff>
      <xdr:row>3</xdr:row>
      <xdr:rowOff>200025</xdr:rowOff>
    </xdr:from>
    <xdr:to>
      <xdr:col>10</xdr:col>
      <xdr:colOff>1104900</xdr:colOff>
      <xdr:row>3</xdr:row>
      <xdr:rowOff>342900</xdr:rowOff>
    </xdr:to>
    <xdr:sp macro="" textlink="">
      <xdr:nvSpPr>
        <xdr:cNvPr id="1031" name="Arrow: Notched Right 10">
          <a:extLst>
            <a:ext uri="{FF2B5EF4-FFF2-40B4-BE49-F238E27FC236}">
              <a16:creationId xmlns="" xmlns:a16="http://schemas.microsoft.com/office/drawing/2014/main" id="{00000000-0008-0000-0300-000007040000}"/>
            </a:ext>
          </a:extLst>
        </xdr:cNvPr>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bcaus.in/macro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dimension ref="A1:Q24"/>
  <sheetViews>
    <sheetView workbookViewId="0">
      <selection activeCell="D8" sqref="D8"/>
    </sheetView>
  </sheetViews>
  <sheetFormatPr defaultColWidth="0" defaultRowHeight="15" zeroHeight="1"/>
  <cols>
    <col min="1" max="17" width="9.140625" customWidth="1"/>
    <col min="18" max="16384" width="8.85546875" hidden="1"/>
  </cols>
  <sheetData>
    <row r="1" spans="8:8"/>
    <row r="2" spans="8:8"/>
    <row r="3" spans="8:8"/>
    <row r="4" spans="8:8"/>
    <row r="5" spans="8:8"/>
    <row r="6" spans="8:8" ht="31.5">
      <c r="H6" s="45" t="s">
        <v>35</v>
      </c>
    </row>
    <row r="7" spans="8:8" ht="15.75">
      <c r="H7" s="46"/>
    </row>
    <row r="8" spans="8:8" ht="26.25">
      <c r="H8" s="47" t="s">
        <v>36</v>
      </c>
    </row>
    <row r="9" spans="8:8" ht="18.75">
      <c r="H9" s="48" t="s">
        <v>37</v>
      </c>
    </row>
    <row r="10" spans="8:8"/>
    <row r="11" spans="8:8"/>
    <row r="12" spans="8:8"/>
    <row r="13" spans="8:8"/>
    <row r="14" spans="8:8"/>
    <row r="15" spans="8:8"/>
    <row r="16" spans="8:8"/>
    <row r="17"/>
    <row r="18"/>
    <row r="19"/>
    <row r="20"/>
    <row r="21"/>
    <row r="22"/>
    <row r="23"/>
    <row r="24"/>
  </sheetData>
  <sheetProtection sheet="1"/>
  <hyperlinks>
    <hyperlink ref="H9" r:id="rId1"/>
  </hyperlinks>
  <pageMargins left="0.7" right="0.7" top="0.75" bottom="0.75" header="0.51180555555555551" footer="0.51180555555555551"/>
  <pageSetup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dimension ref="A1:S61"/>
  <sheetViews>
    <sheetView tabSelected="1" topLeftCell="A20" zoomScale="140" zoomScaleNormal="140" workbookViewId="0">
      <selection activeCell="G29" sqref="G29"/>
    </sheetView>
  </sheetViews>
  <sheetFormatPr defaultColWidth="0" defaultRowHeight="15"/>
  <cols>
    <col min="1" max="1" width="13" customWidth="1"/>
    <col min="2" max="2" width="16.42578125" customWidth="1"/>
    <col min="3" max="3" width="14.7109375" customWidth="1"/>
    <col min="4" max="4" width="14.5703125" customWidth="1"/>
    <col min="5" max="5" width="13.42578125" customWidth="1"/>
    <col min="6" max="6" width="14.140625" customWidth="1"/>
    <col min="7" max="7" width="16.28515625" customWidth="1"/>
    <col min="8" max="11" width="9.140625" hidden="1" customWidth="1"/>
    <col min="12" max="13" width="0" hidden="1" customWidth="1"/>
    <col min="14" max="19" width="9.140625" hidden="1" customWidth="1"/>
    <col min="20" max="16384" width="9.140625" hidden="1"/>
  </cols>
  <sheetData>
    <row r="1" spans="1:19" ht="21">
      <c r="A1" s="157" t="s">
        <v>87</v>
      </c>
      <c r="B1" s="157"/>
      <c r="C1" s="157"/>
      <c r="D1" s="157"/>
      <c r="E1" s="157"/>
      <c r="F1" s="157"/>
      <c r="G1" s="157"/>
      <c r="H1" s="65"/>
    </row>
    <row r="2" spans="1:19" ht="17.25">
      <c r="A2" s="158" t="s">
        <v>117</v>
      </c>
      <c r="B2" s="158"/>
      <c r="C2" s="158"/>
      <c r="D2" s="158"/>
      <c r="E2" s="158"/>
      <c r="F2" s="158"/>
      <c r="G2" s="158"/>
      <c r="H2" s="65"/>
    </row>
    <row r="3" spans="1:19" ht="18.600000000000001" customHeight="1">
      <c r="A3" s="98" t="s">
        <v>38</v>
      </c>
      <c r="B3" s="168" t="s">
        <v>98</v>
      </c>
      <c r="C3" s="169"/>
      <c r="D3" s="121" t="s">
        <v>108</v>
      </c>
      <c r="E3" s="122"/>
      <c r="F3" s="98" t="s">
        <v>39</v>
      </c>
      <c r="G3" s="123" t="s">
        <v>109</v>
      </c>
      <c r="H3" s="65"/>
    </row>
    <row r="4" spans="1:19" ht="43.5" customHeight="1">
      <c r="A4" s="159" t="s">
        <v>116</v>
      </c>
      <c r="B4" s="119" t="s">
        <v>118</v>
      </c>
      <c r="C4" s="57" t="s">
        <v>70</v>
      </c>
      <c r="D4" s="124" t="s">
        <v>110</v>
      </c>
      <c r="E4" s="49" t="s">
        <v>72</v>
      </c>
      <c r="F4" s="49" t="s">
        <v>75</v>
      </c>
      <c r="G4" s="66" t="s">
        <v>40</v>
      </c>
      <c r="H4" s="65"/>
    </row>
    <row r="5" spans="1:19" ht="18.75">
      <c r="A5" s="160"/>
      <c r="B5" s="96">
        <v>71000</v>
      </c>
      <c r="C5" s="58">
        <f>B5*0.5</f>
        <v>35500</v>
      </c>
      <c r="D5" s="58">
        <f>IF(D4="HRA 9%",B5*0.09,IF(D4="HRA18%",B5*0.18))</f>
        <v>6390</v>
      </c>
      <c r="E5" s="58">
        <f>(B5+C5+D5)*4</f>
        <v>451560</v>
      </c>
      <c r="F5" s="59" t="s">
        <v>41</v>
      </c>
      <c r="G5" s="67">
        <f>SUM(E5:F5)</f>
        <v>451560</v>
      </c>
      <c r="H5" s="61">
        <f>ROUND(B5*1.03,-2)</f>
        <v>73100</v>
      </c>
      <c r="K5">
        <f>B5*1.03</f>
        <v>73130</v>
      </c>
    </row>
    <row r="6" spans="1:19" ht="20.45" customHeight="1">
      <c r="A6" s="161" t="s">
        <v>115</v>
      </c>
      <c r="B6" s="120" t="s">
        <v>119</v>
      </c>
      <c r="C6" s="162">
        <f>B7*0.53</f>
        <v>38743</v>
      </c>
      <c r="D6" s="162">
        <f>IF(D4="HRA 9%",B7*0.09,IF(D4="HRA18%",B7*0.18))</f>
        <v>6579</v>
      </c>
      <c r="E6" s="163" t="s">
        <v>41</v>
      </c>
      <c r="F6" s="165">
        <f>(B7+C6+D6)*8</f>
        <v>947376</v>
      </c>
      <c r="G6" s="167">
        <f>SUM(F6)</f>
        <v>947376</v>
      </c>
      <c r="H6" s="61"/>
    </row>
    <row r="7" spans="1:19" ht="23.1" customHeight="1">
      <c r="A7" s="161"/>
      <c r="B7" s="97">
        <f>ROUND(K5,-2)</f>
        <v>73100</v>
      </c>
      <c r="C7" s="162"/>
      <c r="D7" s="162"/>
      <c r="E7" s="164"/>
      <c r="F7" s="166"/>
      <c r="G7" s="167"/>
      <c r="H7" s="61"/>
    </row>
    <row r="8" spans="1:19">
      <c r="A8" s="148" t="s">
        <v>104</v>
      </c>
      <c r="B8" s="148"/>
      <c r="C8" s="148"/>
      <c r="D8" s="148"/>
      <c r="E8" s="148"/>
      <c r="F8" s="148"/>
      <c r="G8" s="68">
        <v>50000</v>
      </c>
      <c r="H8" s="61"/>
      <c r="R8" t="s">
        <v>60</v>
      </c>
      <c r="S8" s="50">
        <f>(B5+C5)/2</f>
        <v>53250</v>
      </c>
    </row>
    <row r="9" spans="1:19">
      <c r="A9" s="148" t="s">
        <v>58</v>
      </c>
      <c r="B9" s="148"/>
      <c r="C9" s="153" t="s">
        <v>73</v>
      </c>
      <c r="D9" s="154"/>
      <c r="E9" s="155"/>
      <c r="F9" s="156"/>
      <c r="G9" s="118">
        <f>IF(C9="BEFORE JULY",S8,IF(C9="AFTER JUNE",S9,0))</f>
        <v>0</v>
      </c>
      <c r="H9" s="61"/>
      <c r="R9" t="s">
        <v>61</v>
      </c>
      <c r="S9">
        <f>(B7+C6)/2</f>
        <v>55921.5</v>
      </c>
    </row>
    <row r="10" spans="1:19" hidden="1">
      <c r="A10" s="148"/>
      <c r="B10" s="148"/>
      <c r="C10" s="148"/>
      <c r="D10" s="148"/>
      <c r="E10" s="148"/>
      <c r="F10" s="148"/>
      <c r="G10" s="69">
        <v>0</v>
      </c>
      <c r="H10" s="61"/>
      <c r="S10">
        <v>0</v>
      </c>
    </row>
    <row r="11" spans="1:19">
      <c r="A11" s="149" t="s">
        <v>80</v>
      </c>
      <c r="B11" s="149"/>
      <c r="C11" s="149"/>
      <c r="D11" s="149"/>
      <c r="E11" s="149"/>
      <c r="F11" s="149"/>
      <c r="G11" s="70">
        <f>SUM($G5:$G10)</f>
        <v>1448936</v>
      </c>
      <c r="H11" s="61"/>
    </row>
    <row r="12" spans="1:19">
      <c r="A12" s="151" t="s">
        <v>42</v>
      </c>
      <c r="B12" s="151"/>
      <c r="C12" s="151"/>
      <c r="D12" s="151"/>
      <c r="E12" s="151"/>
      <c r="F12" s="51"/>
      <c r="G12" s="71">
        <v>75000</v>
      </c>
      <c r="H12" s="65"/>
    </row>
    <row r="13" spans="1:19">
      <c r="A13" s="152" t="s">
        <v>106</v>
      </c>
      <c r="B13" s="152"/>
      <c r="C13" s="152"/>
      <c r="D13" s="152"/>
      <c r="E13" s="152"/>
      <c r="F13" s="152"/>
      <c r="G13" s="70">
        <f>SUM(G11-G12)</f>
        <v>1373936</v>
      </c>
      <c r="H13" s="61"/>
    </row>
    <row r="14" spans="1:19">
      <c r="A14" s="150" t="s">
        <v>43</v>
      </c>
      <c r="B14" s="150"/>
      <c r="C14" s="150"/>
      <c r="D14" s="150"/>
      <c r="E14" s="150"/>
      <c r="F14" s="150"/>
      <c r="G14" s="71"/>
      <c r="H14" s="65"/>
    </row>
    <row r="15" spans="1:19">
      <c r="A15" s="139" t="s">
        <v>44</v>
      </c>
      <c r="B15" s="139"/>
      <c r="C15" s="139"/>
      <c r="D15" s="139"/>
      <c r="E15" s="139"/>
      <c r="F15" s="53">
        <v>150000</v>
      </c>
      <c r="G15" s="71"/>
      <c r="H15" s="65"/>
    </row>
    <row r="16" spans="1:19">
      <c r="A16" s="139" t="s">
        <v>45</v>
      </c>
      <c r="B16" s="139"/>
      <c r="C16" s="139"/>
      <c r="D16" s="139"/>
      <c r="E16" s="139"/>
      <c r="F16" s="53">
        <v>0</v>
      </c>
      <c r="G16" s="71"/>
      <c r="H16" s="65"/>
      <c r="R16" t="s">
        <v>66</v>
      </c>
      <c r="S16" s="50">
        <f>ROUND(B5,0)/31</f>
        <v>2290.3225806451615</v>
      </c>
    </row>
    <row r="17" spans="1:19">
      <c r="A17" s="139" t="s">
        <v>46</v>
      </c>
      <c r="B17" s="139"/>
      <c r="C17" s="139"/>
      <c r="D17" s="139"/>
      <c r="E17" s="139"/>
      <c r="F17" s="53">
        <v>0</v>
      </c>
      <c r="G17" s="71"/>
      <c r="H17" s="65"/>
      <c r="R17" t="s">
        <v>67</v>
      </c>
      <c r="S17">
        <f>ROUND(S16*3,0)</f>
        <v>6871</v>
      </c>
    </row>
    <row r="18" spans="1:19">
      <c r="A18" s="139" t="s">
        <v>47</v>
      </c>
      <c r="B18" s="139"/>
      <c r="C18" s="139"/>
      <c r="D18" s="139"/>
      <c r="E18" s="139"/>
      <c r="F18" s="53">
        <v>200000</v>
      </c>
      <c r="G18" s="71"/>
      <c r="H18" s="65"/>
      <c r="R18" t="s">
        <v>68</v>
      </c>
      <c r="S18">
        <f>ROUND(S16*5,0)</f>
        <v>11452</v>
      </c>
    </row>
    <row r="19" spans="1:19">
      <c r="A19" s="139" t="s">
        <v>48</v>
      </c>
      <c r="B19" s="139"/>
      <c r="C19" s="139"/>
      <c r="D19" s="139"/>
      <c r="E19" s="139"/>
      <c r="F19" s="53">
        <v>0</v>
      </c>
      <c r="G19" s="71"/>
      <c r="H19" s="65"/>
    </row>
    <row r="20" spans="1:19">
      <c r="A20" s="139" t="s">
        <v>49</v>
      </c>
      <c r="B20" s="139"/>
      <c r="C20" s="139"/>
      <c r="D20" s="139"/>
      <c r="E20" s="139"/>
      <c r="F20" s="53">
        <v>0</v>
      </c>
      <c r="G20" s="71"/>
      <c r="H20" s="65"/>
    </row>
    <row r="21" spans="1:19">
      <c r="A21" s="139" t="s">
        <v>71</v>
      </c>
      <c r="B21" s="139"/>
      <c r="C21" s="139"/>
      <c r="D21" s="139"/>
      <c r="E21" s="139"/>
      <c r="F21" s="53">
        <v>0</v>
      </c>
      <c r="G21" s="71"/>
      <c r="H21" s="65"/>
    </row>
    <row r="22" spans="1:19" hidden="1">
      <c r="A22" s="62"/>
      <c r="B22" s="63"/>
      <c r="C22" s="131"/>
      <c r="D22" s="132"/>
      <c r="E22" s="64"/>
      <c r="F22" s="56"/>
      <c r="G22" s="71"/>
    </row>
    <row r="23" spans="1:19">
      <c r="A23" s="139" t="s">
        <v>65</v>
      </c>
      <c r="B23" s="139"/>
      <c r="C23" s="139"/>
      <c r="D23" s="139"/>
      <c r="E23" s="139"/>
      <c r="F23" s="53">
        <v>0</v>
      </c>
      <c r="G23" s="71"/>
    </row>
    <row r="24" spans="1:19">
      <c r="A24" s="139" t="s">
        <v>56</v>
      </c>
      <c r="B24" s="139"/>
      <c r="C24" s="139"/>
      <c r="D24" s="139"/>
      <c r="E24" s="139"/>
      <c r="F24" s="53">
        <v>0</v>
      </c>
      <c r="G24" s="71"/>
    </row>
    <row r="25" spans="1:19">
      <c r="A25" s="140" t="s">
        <v>50</v>
      </c>
      <c r="B25" s="140"/>
      <c r="C25" s="140"/>
      <c r="D25" s="140"/>
      <c r="E25" s="140"/>
      <c r="F25" s="140"/>
      <c r="G25" s="77">
        <f>F15+F16+F17+F18+F19+F20+F24+F21+F23+F22</f>
        <v>350000</v>
      </c>
    </row>
    <row r="26" spans="1:19">
      <c r="A26" s="141" t="s">
        <v>105</v>
      </c>
      <c r="B26" s="142"/>
      <c r="C26" s="142"/>
      <c r="D26" s="142"/>
      <c r="E26" s="142"/>
      <c r="F26" s="143"/>
      <c r="G26" s="70">
        <f>G13-G25</f>
        <v>1023936</v>
      </c>
    </row>
    <row r="27" spans="1:19">
      <c r="A27" s="181" t="s">
        <v>84</v>
      </c>
      <c r="B27" s="181"/>
      <c r="C27" s="181"/>
      <c r="D27" s="182" t="s">
        <v>85</v>
      </c>
      <c r="E27" s="182"/>
      <c r="F27" s="182"/>
      <c r="G27" s="79"/>
    </row>
    <row r="28" spans="1:19">
      <c r="A28" s="94" t="s">
        <v>111</v>
      </c>
      <c r="B28" s="90">
        <v>0.05</v>
      </c>
      <c r="C28" s="101">
        <f>ROUND(IF(C60&lt;300001,0,IF(C60&gt;700000,20000,((C60-300000)*0.05))),0)</f>
        <v>20000</v>
      </c>
      <c r="D28" s="92" t="s">
        <v>96</v>
      </c>
      <c r="E28" s="93">
        <v>0</v>
      </c>
      <c r="F28" s="108">
        <v>0</v>
      </c>
    </row>
    <row r="29" spans="1:19">
      <c r="A29" s="94" t="s">
        <v>112</v>
      </c>
      <c r="B29" s="90">
        <v>0.1</v>
      </c>
      <c r="C29" s="101">
        <f>IF(C60&lt;700001,0,IF(C60&gt;1000000,30000,((C60-700000)*0.1)))</f>
        <v>30000</v>
      </c>
      <c r="D29" s="92" t="s">
        <v>81</v>
      </c>
      <c r="E29" s="93">
        <v>0.05</v>
      </c>
      <c r="F29" s="109">
        <f>IF(D60&lt;250001,0,IF(D60&gt;500000,12500,((D60-250000)*0.05)))</f>
        <v>12500</v>
      </c>
    </row>
    <row r="30" spans="1:19" ht="15" customHeight="1">
      <c r="A30" s="94" t="s">
        <v>113</v>
      </c>
      <c r="B30" s="90">
        <v>0.15</v>
      </c>
      <c r="C30" s="101">
        <f>ROUND(IF(C60&lt;1000001,0,IF(C60&gt;1200000,30000,((C60-1000000)*0.15))),0)</f>
        <v>30000</v>
      </c>
      <c r="D30" s="99" t="s">
        <v>82</v>
      </c>
      <c r="E30" s="100">
        <v>0.2</v>
      </c>
      <c r="F30" s="110">
        <f>IF(D60&lt;500001,0,IF(D60&gt;1000000,100000,((D60-500000)*0.2)))</f>
        <v>100000</v>
      </c>
      <c r="N30" s="54">
        <f>SUM(B46+C46+D46+E46+F46+G46+B48+C48+D48+E48+F48+G48)</f>
        <v>144000</v>
      </c>
    </row>
    <row r="31" spans="1:19" ht="22.5">
      <c r="A31" s="94" t="s">
        <v>83</v>
      </c>
      <c r="B31" s="90">
        <v>0.2</v>
      </c>
      <c r="C31" s="102">
        <f>IF(C60&lt;1200001,0,IF(C60&gt;1500000,60000,((C60-1200000)*0.2)))</f>
        <v>34787.200000000004</v>
      </c>
      <c r="D31" s="186" t="s">
        <v>94</v>
      </c>
      <c r="E31" s="187">
        <v>0.3</v>
      </c>
      <c r="F31" s="188">
        <f>IF(D60&lt;1000001,0,((D60-1000000)*0.3))</f>
        <v>7180.8</v>
      </c>
      <c r="N31" s="55">
        <f>N30-G43</f>
        <v>24621.311999999991</v>
      </c>
    </row>
    <row r="32" spans="1:19">
      <c r="A32" s="95" t="s">
        <v>95</v>
      </c>
      <c r="B32" s="91">
        <v>0.3</v>
      </c>
      <c r="C32" s="103">
        <f>IF(C60&lt;1500001,0,((C60-1500000)*0.3))</f>
        <v>0</v>
      </c>
      <c r="D32" s="186"/>
      <c r="E32" s="187"/>
      <c r="F32" s="188"/>
    </row>
    <row r="33" spans="1:9">
      <c r="A33" s="183" t="s">
        <v>89</v>
      </c>
      <c r="B33" s="183"/>
      <c r="C33" s="104">
        <f>SUM(C28:C32)</f>
        <v>114787.20000000001</v>
      </c>
      <c r="D33" s="146" t="s">
        <v>91</v>
      </c>
      <c r="E33" s="146"/>
      <c r="F33" s="111">
        <f>SUM(F28:F32)</f>
        <v>119680.8</v>
      </c>
    </row>
    <row r="34" spans="1:9">
      <c r="A34" s="126" t="s">
        <v>86</v>
      </c>
      <c r="B34" s="127"/>
      <c r="C34" s="105">
        <f>IF(C60&lt;=700001,C61,0)</f>
        <v>0</v>
      </c>
      <c r="D34" s="128"/>
      <c r="E34" s="129"/>
      <c r="F34" s="112">
        <f>IF(D60&lt;=500001,F29,0)</f>
        <v>0</v>
      </c>
    </row>
    <row r="35" spans="1:9">
      <c r="A35" s="184" t="s">
        <v>92</v>
      </c>
      <c r="B35" s="184"/>
      <c r="C35" s="106">
        <f>C33-C34</f>
        <v>114787.20000000001</v>
      </c>
      <c r="D35" s="185" t="s">
        <v>92</v>
      </c>
      <c r="E35" s="185"/>
      <c r="F35" s="113">
        <f>F33-F34</f>
        <v>119680.8</v>
      </c>
    </row>
    <row r="36" spans="1:9">
      <c r="A36" s="146" t="s">
        <v>90</v>
      </c>
      <c r="B36" s="146"/>
      <c r="C36" s="107">
        <f>C35*4%</f>
        <v>4591.4880000000003</v>
      </c>
      <c r="D36" s="80"/>
      <c r="E36" s="80"/>
      <c r="F36" s="114">
        <f>F35*4%</f>
        <v>4787.232</v>
      </c>
    </row>
    <row r="37" spans="1:9">
      <c r="A37" s="147" t="s">
        <v>107</v>
      </c>
      <c r="B37" s="147"/>
      <c r="C37" s="115">
        <f>SUM(C35:C36)</f>
        <v>119378.68800000001</v>
      </c>
      <c r="D37" s="145" t="s">
        <v>88</v>
      </c>
      <c r="E37" s="145"/>
      <c r="F37" s="116">
        <f>SUM(F35:F36)</f>
        <v>124468.03200000001</v>
      </c>
    </row>
    <row r="38" spans="1:9">
      <c r="A38" s="144" t="s">
        <v>97</v>
      </c>
      <c r="B38" s="144"/>
      <c r="C38" s="144"/>
      <c r="D38" s="144"/>
      <c r="E38" s="144"/>
      <c r="F38" s="144"/>
      <c r="G38" s="72">
        <f>MIN(C37:F37)</f>
        <v>119378.68800000001</v>
      </c>
    </row>
    <row r="39" spans="1:9">
      <c r="A39" s="180" t="s">
        <v>51</v>
      </c>
      <c r="B39" s="180"/>
      <c r="C39" s="180"/>
      <c r="D39" s="180"/>
      <c r="E39" s="180"/>
      <c r="F39" s="180"/>
      <c r="G39" s="73">
        <v>96000</v>
      </c>
    </row>
    <row r="40" spans="1:9">
      <c r="A40" s="170" t="s">
        <v>52</v>
      </c>
      <c r="B40" s="170"/>
      <c r="C40" s="170"/>
      <c r="D40" s="170"/>
      <c r="E40" s="170"/>
      <c r="F40" s="170"/>
      <c r="G40" s="74">
        <f>G38-G39</f>
        <v>23378.688000000009</v>
      </c>
    </row>
    <row r="41" spans="1:9">
      <c r="A41" s="180" t="s">
        <v>53</v>
      </c>
      <c r="B41" s="180"/>
      <c r="C41" s="180"/>
      <c r="D41" s="180"/>
      <c r="E41" s="180"/>
      <c r="F41" s="76">
        <v>4</v>
      </c>
      <c r="G41" s="75"/>
      <c r="I41" s="60"/>
    </row>
    <row r="42" spans="1:9">
      <c r="A42" s="170" t="s">
        <v>57</v>
      </c>
      <c r="B42" s="170"/>
      <c r="C42" s="170"/>
      <c r="D42" s="170"/>
      <c r="E42" s="170"/>
      <c r="F42" s="170"/>
      <c r="G42" s="78">
        <f>ROUND(G40/F41,-2)</f>
        <v>5800</v>
      </c>
    </row>
    <row r="43" spans="1:9">
      <c r="A43" s="171" t="s">
        <v>93</v>
      </c>
      <c r="B43" s="137" t="s">
        <v>69</v>
      </c>
      <c r="C43" s="136"/>
      <c r="D43" s="136"/>
      <c r="E43" s="136"/>
      <c r="F43" s="136"/>
      <c r="G43" s="81">
        <f>G38</f>
        <v>119378.68800000001</v>
      </c>
    </row>
    <row r="44" spans="1:9">
      <c r="A44" s="172"/>
      <c r="B44" s="135" t="s">
        <v>74</v>
      </c>
      <c r="C44" s="136"/>
      <c r="D44" s="136"/>
      <c r="E44" s="136"/>
      <c r="F44" s="136"/>
      <c r="G44" s="136"/>
    </row>
    <row r="45" spans="1:9">
      <c r="A45" s="172"/>
      <c r="B45" s="82">
        <v>154924</v>
      </c>
      <c r="C45" s="82">
        <v>154955</v>
      </c>
      <c r="D45" s="82">
        <v>154985</v>
      </c>
      <c r="E45" s="82">
        <v>155016</v>
      </c>
      <c r="F45" s="82">
        <v>155046</v>
      </c>
      <c r="G45" s="83">
        <v>155077</v>
      </c>
    </row>
    <row r="46" spans="1:9">
      <c r="A46" s="172"/>
      <c r="B46" s="84">
        <v>12000</v>
      </c>
      <c r="C46" s="84">
        <v>12000</v>
      </c>
      <c r="D46" s="84">
        <v>12000</v>
      </c>
      <c r="E46" s="84">
        <v>12000</v>
      </c>
      <c r="F46" s="84">
        <v>12000</v>
      </c>
      <c r="G46" s="84">
        <v>12000</v>
      </c>
    </row>
    <row r="47" spans="1:9">
      <c r="A47" s="172"/>
      <c r="B47" s="82">
        <v>155108</v>
      </c>
      <c r="C47" s="82">
        <v>155138</v>
      </c>
      <c r="D47" s="85" t="s">
        <v>114</v>
      </c>
      <c r="E47" s="82">
        <v>155199</v>
      </c>
      <c r="F47" s="82">
        <v>45292</v>
      </c>
      <c r="G47" s="83">
        <v>154895</v>
      </c>
    </row>
    <row r="48" spans="1:9">
      <c r="A48" s="172"/>
      <c r="B48" s="84">
        <v>12000</v>
      </c>
      <c r="C48" s="84">
        <v>12000</v>
      </c>
      <c r="D48" s="84">
        <v>12000</v>
      </c>
      <c r="E48" s="84">
        <v>12000</v>
      </c>
      <c r="F48" s="84">
        <v>12000</v>
      </c>
      <c r="G48" s="84">
        <v>12000</v>
      </c>
    </row>
    <row r="49" spans="1:14">
      <c r="A49" s="172"/>
      <c r="B49" s="138" t="s">
        <v>63</v>
      </c>
      <c r="C49" s="136"/>
      <c r="D49" s="117">
        <v>45444</v>
      </c>
      <c r="E49" s="117">
        <v>45536</v>
      </c>
      <c r="F49" s="117">
        <v>45627</v>
      </c>
      <c r="G49" s="117">
        <v>45717</v>
      </c>
    </row>
    <row r="50" spans="1:14">
      <c r="A50" s="172"/>
      <c r="B50" s="136"/>
      <c r="C50" s="136"/>
      <c r="D50" s="86">
        <f>ROUND(G38*15%,0)</f>
        <v>17907</v>
      </c>
      <c r="E50" s="86">
        <f>ROUND(G38*45%,0)</f>
        <v>53720</v>
      </c>
      <c r="F50" s="86">
        <f>ROUND(G38*75%,0)</f>
        <v>89534</v>
      </c>
      <c r="G50" s="87">
        <f>ROUND(G38*100%,0)</f>
        <v>119379</v>
      </c>
    </row>
    <row r="51" spans="1:14">
      <c r="A51" s="173"/>
      <c r="B51" s="133" t="s">
        <v>59</v>
      </c>
      <c r="C51" s="134"/>
      <c r="D51" s="88">
        <f>MAX(0,D50-B46-C46-D46)</f>
        <v>0</v>
      </c>
      <c r="E51" s="88">
        <f>MAX(0,E50-B46-C46-D46-E46-F46-G46)</f>
        <v>0</v>
      </c>
      <c r="F51" s="88">
        <f>MAX(0,F50-B46-C46-D46-E46-F46-G46-B48-C48-D48)</f>
        <v>0</v>
      </c>
      <c r="G51" s="89">
        <f>MAX(0,G50-B46-C46-D46-E46-F46-G46-B48-C48-D48-E48-F48-G48)</f>
        <v>0</v>
      </c>
    </row>
    <row r="52" spans="1:14" ht="18.75">
      <c r="A52" s="175" t="str">
        <f>IF((N30-G43)&lt;=0,"Income tax Payable","Income Tax Refundable")</f>
        <v>Income Tax Refundable</v>
      </c>
      <c r="B52" s="175"/>
      <c r="C52" s="175"/>
      <c r="D52" s="175"/>
      <c r="E52" s="175"/>
      <c r="F52" s="179">
        <f>ABS(N31)</f>
        <v>24621.311999999991</v>
      </c>
      <c r="G52" s="179"/>
    </row>
    <row r="53" spans="1:14">
      <c r="A53" s="176" t="s">
        <v>120</v>
      </c>
      <c r="B53" s="176"/>
      <c r="C53" s="176"/>
      <c r="D53" s="176"/>
      <c r="E53" s="176"/>
      <c r="F53" s="176"/>
      <c r="G53" s="176"/>
    </row>
    <row r="54" spans="1:14">
      <c r="A54" s="177" t="s">
        <v>103</v>
      </c>
      <c r="B54" s="177"/>
      <c r="C54" s="177"/>
      <c r="D54" s="177"/>
      <c r="E54" s="177"/>
      <c r="F54" s="177"/>
      <c r="G54" s="177"/>
    </row>
    <row r="55" spans="1:14">
      <c r="A55" s="178" t="s">
        <v>54</v>
      </c>
      <c r="B55" s="178"/>
      <c r="C55" s="178"/>
      <c r="D55" s="178"/>
      <c r="E55" s="178"/>
      <c r="F55" s="178"/>
      <c r="G55" s="178"/>
      <c r="N55" s="52"/>
    </row>
    <row r="56" spans="1:14" ht="15.75">
      <c r="A56" s="174" t="s">
        <v>102</v>
      </c>
      <c r="B56" s="174"/>
      <c r="C56" s="174"/>
      <c r="D56" s="174"/>
      <c r="E56" s="174"/>
      <c r="F56" s="174"/>
      <c r="G56" s="174"/>
    </row>
    <row r="57" spans="1:14">
      <c r="F57" s="125"/>
      <c r="G57" s="125"/>
    </row>
    <row r="58" spans="1:14">
      <c r="F58" s="130" t="s">
        <v>55</v>
      </c>
      <c r="G58" s="130"/>
    </row>
    <row r="59" spans="1:14" hidden="1">
      <c r="F59" s="130"/>
      <c r="G59" s="130"/>
    </row>
    <row r="60" spans="1:14" hidden="1">
      <c r="C60" s="50">
        <f>G13</f>
        <v>1373936</v>
      </c>
      <c r="D60" s="50">
        <f>G26</f>
        <v>1023936</v>
      </c>
      <c r="F60" s="130"/>
      <c r="G60" s="130"/>
    </row>
    <row r="61" spans="1:14" hidden="1">
      <c r="C61">
        <f>(C28+C29)</f>
        <v>50000</v>
      </c>
    </row>
  </sheetData>
  <sheetProtection password="F04B" sheet="1" objects="1" scenarios="1"/>
  <mergeCells count="63">
    <mergeCell ref="A21:E21"/>
    <mergeCell ref="A23:E23"/>
    <mergeCell ref="F31:F32"/>
    <mergeCell ref="A15:E15"/>
    <mergeCell ref="A39:F39"/>
    <mergeCell ref="A16:E16"/>
    <mergeCell ref="A17:E17"/>
    <mergeCell ref="A18:E18"/>
    <mergeCell ref="A19:E19"/>
    <mergeCell ref="A20:E20"/>
    <mergeCell ref="A40:F40"/>
    <mergeCell ref="A41:E41"/>
    <mergeCell ref="A27:C27"/>
    <mergeCell ref="D27:F27"/>
    <mergeCell ref="A33:B33"/>
    <mergeCell ref="D33:E33"/>
    <mergeCell ref="A35:B35"/>
    <mergeCell ref="D35:E35"/>
    <mergeCell ref="D31:D32"/>
    <mergeCell ref="E31:E32"/>
    <mergeCell ref="A42:F42"/>
    <mergeCell ref="A43:A51"/>
    <mergeCell ref="A56:G56"/>
    <mergeCell ref="A52:E52"/>
    <mergeCell ref="A53:G53"/>
    <mergeCell ref="A54:G54"/>
    <mergeCell ref="A55:G55"/>
    <mergeCell ref="F52:G52"/>
    <mergeCell ref="A1:G1"/>
    <mergeCell ref="A2:G2"/>
    <mergeCell ref="A4:A5"/>
    <mergeCell ref="A6:A7"/>
    <mergeCell ref="C6:C7"/>
    <mergeCell ref="D6:D7"/>
    <mergeCell ref="E6:E7"/>
    <mergeCell ref="F6:F7"/>
    <mergeCell ref="G6:G7"/>
    <mergeCell ref="B3:C3"/>
    <mergeCell ref="A8:F8"/>
    <mergeCell ref="A10:F10"/>
    <mergeCell ref="A9:B9"/>
    <mergeCell ref="A11:F11"/>
    <mergeCell ref="A14:F14"/>
    <mergeCell ref="A12:E12"/>
    <mergeCell ref="A13:F13"/>
    <mergeCell ref="C9:D9"/>
    <mergeCell ref="E9:F9"/>
    <mergeCell ref="F57:G57"/>
    <mergeCell ref="A34:B34"/>
    <mergeCell ref="D34:E34"/>
    <mergeCell ref="F58:G60"/>
    <mergeCell ref="C22:D22"/>
    <mergeCell ref="B51:C51"/>
    <mergeCell ref="B44:G44"/>
    <mergeCell ref="B43:F43"/>
    <mergeCell ref="B49:C50"/>
    <mergeCell ref="A24:E24"/>
    <mergeCell ref="A25:F25"/>
    <mergeCell ref="A26:F26"/>
    <mergeCell ref="A38:F38"/>
    <mergeCell ref="D37:E37"/>
    <mergeCell ref="A36:B36"/>
    <mergeCell ref="A37:B37"/>
  </mergeCells>
  <dataValidations count="8">
    <dataValidation type="whole" operator="lessThanOrEqual" allowBlank="1" showInputMessage="1" showErrorMessage="1" error="MAX AMOUNT DEDUCTIBLE U/S TTA IS 40000 RS ONLY." sqref="F21 F23">
      <formula1>40000</formula1>
    </dataValidation>
    <dataValidation type="whole" operator="lessThanOrEqual" allowBlank="1" showInputMessage="1" showErrorMessage="1" error="DEDUCTION U/S 80 D CANT BE EXCEED THAN 25000" sqref="F19">
      <formula1>25000</formula1>
    </dataValidation>
    <dataValidation type="whole" operator="lessThanOrEqual" allowBlank="1" showInputMessage="1" showErrorMessage="1" error="DEUCTION U/S 24 CANT BE EXCEED THAN 200000" sqref="F18">
      <formula1>200000</formula1>
    </dataValidation>
    <dataValidation type="whole" operator="lessThanOrEqual" allowBlank="1" showInputMessage="1" showErrorMessage="1" error="DEDUCTION UNDER SECTION 80C,CCC AND CCD CANT BE EXCEED THAN 150000" sqref="F15">
      <formula1>150000</formula1>
    </dataValidation>
    <dataValidation type="list" allowBlank="1" showInputMessage="1" showErrorMessage="1" sqref="C9">
      <formula1>"BEFORE JULY,AFTER JUNE,NOT APPLICABLE "</formula1>
    </dataValidation>
    <dataValidation type="list" allowBlank="1" showInputMessage="1" showErrorMessage="1" sqref="E22">
      <formula1>"ONE,THREE,FIVE"</formula1>
    </dataValidation>
    <dataValidation type="whole" allowBlank="1" showInputMessage="1" showErrorMessage="1" error="MAX AMOUNT DEDUCTIBLE U/S TTA IS 40000 RS ONLY." sqref="F22">
      <formula1>0</formula1>
      <formula2>1000000</formula2>
    </dataValidation>
    <dataValidation type="list" allowBlank="1" showInputMessage="1" showErrorMessage="1" promptTitle="HRA Rate" sqref="D4">
      <formula1>"HRA 9%, HRA18%"</formula1>
    </dataValidation>
  </dataValidations>
  <pageMargins left="0.70866141732283505" right="0.31496062992126" top="0.74803149606299202" bottom="0.74803149606299202" header="0.31496062992126" footer="0.31496062992126"/>
  <pageSetup scale="85" orientation="portrait" r:id="rId1"/>
  <drawing r:id="rId2"/>
</worksheet>
</file>

<file path=xl/worksheets/sheet3.xml><?xml version="1.0" encoding="utf-8"?>
<worksheet xmlns="http://schemas.openxmlformats.org/spreadsheetml/2006/main" xmlns:r="http://schemas.openxmlformats.org/officeDocument/2006/relationships">
  <dimension ref="A1:I10"/>
  <sheetViews>
    <sheetView workbookViewId="0">
      <selection activeCell="A9" sqref="A9:I9"/>
    </sheetView>
  </sheetViews>
  <sheetFormatPr defaultRowHeight="15"/>
  <cols>
    <col min="9" max="9" width="92" customWidth="1"/>
  </cols>
  <sheetData>
    <row r="1" spans="1:9" ht="36">
      <c r="A1" s="193" t="s">
        <v>62</v>
      </c>
      <c r="B1" s="193"/>
      <c r="C1" s="193"/>
      <c r="D1" s="193"/>
      <c r="E1" s="193"/>
      <c r="F1" s="193"/>
      <c r="G1" s="193"/>
      <c r="H1" s="193"/>
      <c r="I1" s="193"/>
    </row>
    <row r="2" spans="1:9" ht="26.25">
      <c r="A2" s="194" t="s">
        <v>64</v>
      </c>
      <c r="B2" s="194"/>
      <c r="C2" s="194"/>
      <c r="D2" s="194"/>
      <c r="E2" s="194"/>
      <c r="F2" s="194"/>
      <c r="G2" s="194"/>
      <c r="H2" s="194"/>
      <c r="I2" s="194"/>
    </row>
    <row r="3" spans="1:9" ht="26.25">
      <c r="A3" s="195" t="s">
        <v>76</v>
      </c>
      <c r="B3" s="195"/>
      <c r="C3" s="195"/>
      <c r="D3" s="195"/>
      <c r="E3" s="195"/>
      <c r="F3" s="195"/>
      <c r="G3" s="195"/>
      <c r="H3" s="195"/>
      <c r="I3" s="195"/>
    </row>
    <row r="4" spans="1:9" ht="26.25">
      <c r="A4" s="196" t="s">
        <v>77</v>
      </c>
      <c r="B4" s="196"/>
      <c r="C4" s="196"/>
      <c r="D4" s="196"/>
      <c r="E4" s="196"/>
      <c r="F4" s="196"/>
      <c r="G4" s="196"/>
      <c r="H4" s="196"/>
      <c r="I4" s="196"/>
    </row>
    <row r="5" spans="1:9" ht="26.25">
      <c r="A5" s="197" t="s">
        <v>78</v>
      </c>
      <c r="B5" s="197"/>
      <c r="C5" s="197"/>
      <c r="D5" s="197"/>
      <c r="E5" s="197"/>
      <c r="F5" s="197"/>
      <c r="G5" s="197"/>
      <c r="H5" s="197"/>
      <c r="I5" s="197"/>
    </row>
    <row r="6" spans="1:9" ht="26.25">
      <c r="A6" s="195" t="s">
        <v>99</v>
      </c>
      <c r="B6" s="195"/>
      <c r="C6" s="195"/>
      <c r="D6" s="195"/>
      <c r="E6" s="195"/>
      <c r="F6" s="195"/>
      <c r="G6" s="195"/>
      <c r="H6" s="195"/>
      <c r="I6" s="195"/>
    </row>
    <row r="7" spans="1:9" ht="26.25">
      <c r="A7" s="189" t="s">
        <v>100</v>
      </c>
      <c r="B7" s="189"/>
      <c r="C7" s="189"/>
      <c r="D7" s="189"/>
      <c r="E7" s="189"/>
      <c r="F7" s="189"/>
      <c r="G7" s="189"/>
      <c r="H7" s="189"/>
      <c r="I7" s="189"/>
    </row>
    <row r="8" spans="1:9" ht="29.25" customHeight="1">
      <c r="A8" s="190" t="s">
        <v>101</v>
      </c>
      <c r="B8" s="190"/>
      <c r="C8" s="190"/>
      <c r="D8" s="190"/>
      <c r="E8" s="190"/>
      <c r="F8" s="190"/>
      <c r="G8" s="190"/>
      <c r="H8" s="190"/>
      <c r="I8" s="190"/>
    </row>
    <row r="9" spans="1:9" ht="26.25">
      <c r="A9" s="191" t="s">
        <v>79</v>
      </c>
      <c r="B9" s="191"/>
      <c r="C9" s="191"/>
      <c r="D9" s="191"/>
      <c r="E9" s="191"/>
      <c r="F9" s="191"/>
      <c r="G9" s="191"/>
      <c r="H9" s="191"/>
      <c r="I9" s="191"/>
    </row>
    <row r="10" spans="1:9">
      <c r="A10" s="192"/>
      <c r="B10" s="192"/>
      <c r="C10" s="192"/>
      <c r="D10" s="192"/>
      <c r="E10" s="192"/>
      <c r="F10" s="192"/>
      <c r="G10" s="192"/>
      <c r="H10" s="192"/>
      <c r="I10" s="192"/>
    </row>
  </sheetData>
  <mergeCells count="10">
    <mergeCell ref="A7:I7"/>
    <mergeCell ref="A8:I8"/>
    <mergeCell ref="A9:I9"/>
    <mergeCell ref="A10:I10"/>
    <mergeCell ref="A1:I1"/>
    <mergeCell ref="A2:I2"/>
    <mergeCell ref="A3:I3"/>
    <mergeCell ref="A4:I4"/>
    <mergeCell ref="A5:I5"/>
    <mergeCell ref="A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V51"/>
  <sheetViews>
    <sheetView workbookViewId="0">
      <selection activeCell="V16" sqref="V16"/>
    </sheetView>
  </sheetViews>
  <sheetFormatPr defaultColWidth="0" defaultRowHeight="15" zeroHeight="1"/>
  <cols>
    <col min="1" max="1" width="1.85546875" customWidth="1"/>
    <col min="2" max="2" width="5.28515625" hidden="1" customWidth="1"/>
    <col min="3" max="3" width="54.7109375" hidden="1" customWidth="1"/>
    <col min="4" max="5" width="21.7109375" hidden="1" customWidth="1"/>
    <col min="6" max="6" width="4.140625" hidden="1" customWidth="1"/>
    <col min="7" max="8" width="8.85546875" customWidth="1"/>
    <col min="9" max="9" width="24.42578125" customWidth="1"/>
    <col min="10" max="10" width="20.5703125" customWidth="1"/>
    <col min="11" max="11" width="17" customWidth="1"/>
    <col min="12" max="12" width="20" customWidth="1"/>
    <col min="13" max="13" width="2.5703125" customWidth="1"/>
    <col min="14" max="14" width="16.85546875" customWidth="1"/>
    <col min="15" max="15" width="13.85546875" customWidth="1"/>
    <col min="16" max="16" width="17.42578125" customWidth="1"/>
    <col min="17" max="17" width="17.140625" customWidth="1"/>
    <col min="18" max="18" width="12.7109375" customWidth="1"/>
    <col min="19" max="19" width="8.85546875" customWidth="1"/>
    <col min="20" max="20" width="12.28515625" customWidth="1"/>
    <col min="21" max="21" width="11.7109375" customWidth="1"/>
    <col min="22" max="22" width="9.7109375" customWidth="1"/>
    <col min="23" max="255" width="8.85546875" customWidth="1"/>
    <col min="256" max="256" width="6.7109375" customWidth="1"/>
    <col min="257" max="16384" width="8.85546875" hidden="1"/>
  </cols>
  <sheetData>
    <row r="1" spans="1:22" ht="52.15" customHeight="1">
      <c r="A1" s="1"/>
      <c r="B1" s="1"/>
      <c r="C1" s="1"/>
      <c r="D1" s="1"/>
      <c r="E1" s="1"/>
      <c r="F1" s="1"/>
      <c r="I1">
        <f>'tax-calculator'!L12</f>
        <v>174734</v>
      </c>
    </row>
    <row r="2" spans="1:22" ht="3.6" customHeight="1">
      <c r="A2" s="1"/>
      <c r="F2" s="1"/>
    </row>
    <row r="3" spans="1:22" ht="22.9" customHeight="1">
      <c r="A3" s="1"/>
      <c r="B3" s="198" t="s">
        <v>0</v>
      </c>
      <c r="C3" s="198"/>
      <c r="D3" s="198"/>
      <c r="E3" s="198"/>
      <c r="F3" s="1"/>
      <c r="G3" s="2" t="s">
        <v>1</v>
      </c>
    </row>
    <row r="4" spans="1:22" ht="41.45" customHeight="1">
      <c r="A4" s="1"/>
      <c r="B4" s="3"/>
      <c r="C4" s="199"/>
      <c r="D4" s="199"/>
      <c r="E4" s="4" t="s">
        <v>1</v>
      </c>
      <c r="F4" s="1"/>
      <c r="G4" s="2" t="s">
        <v>2</v>
      </c>
    </row>
    <row r="5" spans="1:22" ht="3.6" customHeight="1">
      <c r="A5" s="1"/>
      <c r="B5" s="200"/>
      <c r="C5" s="200"/>
      <c r="D5" s="200"/>
      <c r="E5" s="200"/>
      <c r="F5" s="1"/>
      <c r="G5" s="2" t="s">
        <v>3</v>
      </c>
    </row>
    <row r="6" spans="1:22" ht="15.75">
      <c r="A6" s="5"/>
      <c r="B6" s="6" t="s">
        <v>4</v>
      </c>
      <c r="C6" s="7" t="s">
        <v>5</v>
      </c>
      <c r="D6" s="8"/>
      <c r="E6" s="9">
        <f>'TDS CALCULATIONS '!G11</f>
        <v>1448936</v>
      </c>
      <c r="F6" s="5"/>
      <c r="G6" s="2"/>
    </row>
    <row r="7" spans="1:22" ht="33" customHeight="1">
      <c r="A7" s="5"/>
      <c r="B7" s="10" t="s">
        <v>6</v>
      </c>
      <c r="C7" s="11" t="s">
        <v>7</v>
      </c>
      <c r="D7" s="12"/>
      <c r="E7" s="13" t="s">
        <v>8</v>
      </c>
      <c r="F7" s="5"/>
      <c r="G7" s="2"/>
      <c r="I7" s="2" t="s">
        <v>9</v>
      </c>
      <c r="J7" s="2">
        <f>E27</f>
        <v>1448936</v>
      </c>
      <c r="K7" s="2"/>
      <c r="L7" s="2"/>
      <c r="M7" s="2"/>
      <c r="O7" s="2"/>
      <c r="Q7" t="s">
        <v>10</v>
      </c>
      <c r="R7" t="s">
        <v>11</v>
      </c>
      <c r="S7" s="14" t="s">
        <v>12</v>
      </c>
      <c r="T7" t="s">
        <v>13</v>
      </c>
      <c r="U7" t="s">
        <v>11</v>
      </c>
      <c r="V7" s="14" t="s">
        <v>12</v>
      </c>
    </row>
    <row r="8" spans="1:22" ht="15.75">
      <c r="A8" s="5"/>
      <c r="B8" s="15">
        <v>1</v>
      </c>
      <c r="C8" s="16"/>
      <c r="D8" s="17"/>
      <c r="E8" s="18"/>
      <c r="F8" s="5"/>
      <c r="G8" s="2"/>
      <c r="I8" s="2" t="s">
        <v>14</v>
      </c>
      <c r="J8" s="19">
        <f>E6-(E11+E17)</f>
        <v>1448936</v>
      </c>
      <c r="K8" s="2"/>
      <c r="L8" s="2"/>
      <c r="M8" s="2"/>
      <c r="N8" s="2" t="s">
        <v>1</v>
      </c>
      <c r="O8" s="2"/>
      <c r="Q8">
        <f>J11</f>
        <v>244680.80000000002</v>
      </c>
      <c r="R8">
        <f t="shared" ref="R8:R10" si="0">IF($J$7&gt;500000,0,Q8)</f>
        <v>0</v>
      </c>
      <c r="S8" s="14">
        <f t="shared" ref="S8:S10" si="1">Q8-R8</f>
        <v>244680.80000000002</v>
      </c>
      <c r="T8">
        <f>J12</f>
        <v>174734</v>
      </c>
      <c r="U8">
        <f t="shared" ref="U8:U10" si="2">IF($J$8&gt;500000,0,T8)</f>
        <v>0</v>
      </c>
      <c r="V8" s="14">
        <f t="shared" ref="V8:V10" si="3">T8-U8</f>
        <v>174734</v>
      </c>
    </row>
    <row r="9" spans="1:22" ht="15.75">
      <c r="A9" s="5"/>
      <c r="B9" s="15">
        <v>2</v>
      </c>
      <c r="C9" s="16"/>
      <c r="D9" s="17"/>
      <c r="E9" s="18"/>
      <c r="F9" s="5"/>
      <c r="G9" s="2"/>
      <c r="I9" s="20"/>
      <c r="J9" s="20"/>
      <c r="K9" s="20"/>
      <c r="L9" s="20"/>
      <c r="M9" s="2"/>
      <c r="N9" s="2" t="s">
        <v>2</v>
      </c>
      <c r="O9" s="2"/>
      <c r="Q9">
        <f>K11</f>
        <v>234680.80000000002</v>
      </c>
      <c r="R9">
        <f t="shared" si="0"/>
        <v>0</v>
      </c>
      <c r="S9" s="14">
        <f t="shared" si="1"/>
        <v>234680.80000000002</v>
      </c>
      <c r="T9">
        <f>K12</f>
        <v>174734</v>
      </c>
      <c r="U9">
        <f t="shared" si="2"/>
        <v>0</v>
      </c>
      <c r="V9" s="14">
        <f t="shared" si="3"/>
        <v>174734</v>
      </c>
    </row>
    <row r="10" spans="1:22" ht="15.75">
      <c r="A10" s="5"/>
      <c r="B10" s="15">
        <v>3</v>
      </c>
      <c r="C10" s="16"/>
      <c r="D10" s="17"/>
      <c r="E10" s="18"/>
      <c r="F10" s="5"/>
      <c r="G10" s="2"/>
      <c r="I10" s="21"/>
      <c r="J10" s="22" t="s">
        <v>15</v>
      </c>
      <c r="K10" s="22" t="s">
        <v>16</v>
      </c>
      <c r="L10" s="22" t="s">
        <v>17</v>
      </c>
      <c r="M10" s="2"/>
      <c r="N10" s="2" t="s">
        <v>3</v>
      </c>
      <c r="O10" s="2"/>
      <c r="Q10">
        <f>L11</f>
        <v>247180.80000000002</v>
      </c>
      <c r="R10">
        <f t="shared" si="0"/>
        <v>0</v>
      </c>
      <c r="S10" s="14">
        <f t="shared" si="1"/>
        <v>247180.80000000002</v>
      </c>
      <c r="T10">
        <f>L12</f>
        <v>174734</v>
      </c>
      <c r="U10">
        <f t="shared" si="2"/>
        <v>0</v>
      </c>
      <c r="V10" s="14">
        <f t="shared" si="3"/>
        <v>174734</v>
      </c>
    </row>
    <row r="11" spans="1:22" ht="15.75">
      <c r="A11" s="5"/>
      <c r="B11" s="15">
        <f t="shared" ref="B11:B26" si="4">B10+1</f>
        <v>4</v>
      </c>
      <c r="C11" s="16"/>
      <c r="D11" s="17"/>
      <c r="E11" s="18"/>
      <c r="F11" s="5"/>
      <c r="G11" s="2"/>
      <c r="I11" s="21" t="s">
        <v>18</v>
      </c>
      <c r="J11" s="21">
        <f>SUMPRODUCT(--(J7&gt;(J30:J32)), (J7-(J30:J32)), (L31:L33))</f>
        <v>244680.80000000002</v>
      </c>
      <c r="K11" s="21">
        <f>SUMPRODUCT(--(J7&gt;(J38:J39)), (J7-(J38:J39)), (L39:L40))</f>
        <v>234680.80000000002</v>
      </c>
      <c r="L11" s="21">
        <f>SUMPRODUCT(--(J7&gt;(J20:J22)), (J7-(J20:J22)), (L21:L23))</f>
        <v>247180.80000000002</v>
      </c>
      <c r="M11" s="2"/>
      <c r="N11" s="2"/>
      <c r="O11" s="2"/>
    </row>
    <row r="12" spans="1:22" ht="15.75">
      <c r="A12" s="5"/>
      <c r="B12" s="15">
        <f t="shared" si="4"/>
        <v>5</v>
      </c>
      <c r="C12" s="16"/>
      <c r="D12" s="17"/>
      <c r="E12" s="18"/>
      <c r="F12" s="5"/>
      <c r="G12" s="2"/>
      <c r="I12" s="21" t="s">
        <v>19</v>
      </c>
      <c r="J12" s="21">
        <f>SUMPRODUCT(--(J8&gt;(O20:O25)), (J8-(O20:O25)), (Q21:Q26))</f>
        <v>174734</v>
      </c>
      <c r="K12" s="21">
        <f>SUMPRODUCT(--(J8&gt;(O20:O25)), (J8-(O20:O25)), (Q21:Q26))</f>
        <v>174734</v>
      </c>
      <c r="L12" s="21">
        <f>SUMPRODUCT(--(J8&gt;(O20:O25)), (J8-(O20:O25)), (Q21:Q26))</f>
        <v>174734</v>
      </c>
      <c r="M12" s="2"/>
      <c r="N12" s="23" t="s">
        <v>20</v>
      </c>
      <c r="O12" s="2"/>
      <c r="Q12" t="s">
        <v>10</v>
      </c>
      <c r="R12" t="s">
        <v>13</v>
      </c>
    </row>
    <row r="13" spans="1:22" ht="15.75">
      <c r="A13" s="5"/>
      <c r="B13" s="15">
        <f t="shared" si="4"/>
        <v>6</v>
      </c>
      <c r="C13" s="16"/>
      <c r="D13" s="17"/>
      <c r="E13" s="18"/>
      <c r="F13" s="5"/>
      <c r="G13" s="2"/>
      <c r="I13" s="2"/>
      <c r="J13" s="2"/>
      <c r="K13" s="2"/>
      <c r="L13" s="2"/>
      <c r="M13" s="2"/>
      <c r="N13" s="2" t="str">
        <f>E4</f>
        <v>Senior Citizen (60 Yrs or more)</v>
      </c>
      <c r="O13" s="2"/>
      <c r="Q13">
        <f>VLOOKUP(E4,N8:S10,6,0)</f>
        <v>244680.80000000002</v>
      </c>
      <c r="R13">
        <f>VLOOKUP(E4,N8:V10,9,0)</f>
        <v>174734</v>
      </c>
    </row>
    <row r="14" spans="1:22" ht="15.75">
      <c r="A14" s="5"/>
      <c r="B14" s="15">
        <f t="shared" si="4"/>
        <v>7</v>
      </c>
      <c r="C14" s="16"/>
      <c r="D14" s="17"/>
      <c r="E14" s="18"/>
      <c r="F14" s="5"/>
      <c r="G14" s="2"/>
      <c r="I14" s="2"/>
      <c r="J14" s="2"/>
      <c r="K14" s="2"/>
      <c r="L14" s="2"/>
      <c r="M14" s="2"/>
      <c r="N14" s="2"/>
      <c r="O14" s="2"/>
    </row>
    <row r="15" spans="1:22" ht="15.75">
      <c r="A15" s="5"/>
      <c r="B15" s="15">
        <f t="shared" si="4"/>
        <v>8</v>
      </c>
      <c r="C15" s="16"/>
      <c r="D15" s="17"/>
      <c r="E15" s="18"/>
      <c r="F15" s="5"/>
      <c r="G15" s="2"/>
      <c r="I15" s="2"/>
      <c r="J15" s="2"/>
      <c r="K15" s="2"/>
      <c r="L15" s="2"/>
      <c r="M15" s="2"/>
      <c r="N15" s="2"/>
      <c r="O15" s="2"/>
    </row>
    <row r="16" spans="1:22" ht="45.6" customHeight="1">
      <c r="A16" s="5"/>
      <c r="B16" s="15">
        <f t="shared" si="4"/>
        <v>9</v>
      </c>
      <c r="C16" s="201"/>
      <c r="D16" s="201"/>
      <c r="E16" s="18"/>
      <c r="F16" s="5"/>
      <c r="G16" s="2"/>
      <c r="I16" s="2"/>
      <c r="J16" s="2"/>
      <c r="K16" s="2"/>
      <c r="L16" s="2"/>
      <c r="M16" s="2"/>
      <c r="N16" s="2"/>
      <c r="O16" s="2"/>
    </row>
    <row r="17" spans="1:17" ht="31.9" customHeight="1">
      <c r="A17" s="5"/>
      <c r="B17" s="15">
        <f t="shared" si="4"/>
        <v>10</v>
      </c>
      <c r="C17" s="25"/>
      <c r="D17" s="24"/>
      <c r="E17" s="18"/>
      <c r="F17" s="5"/>
      <c r="G17" s="2"/>
      <c r="I17" s="2"/>
      <c r="J17" s="2"/>
      <c r="K17" s="2"/>
      <c r="L17" s="2"/>
      <c r="M17" s="2"/>
      <c r="N17" s="2"/>
      <c r="O17" s="2"/>
    </row>
    <row r="18" spans="1:17" ht="15.75">
      <c r="A18" s="5"/>
      <c r="B18" s="15">
        <f t="shared" si="4"/>
        <v>11</v>
      </c>
      <c r="C18" s="16"/>
      <c r="D18" s="17"/>
      <c r="E18" s="18"/>
      <c r="F18" s="5"/>
      <c r="G18" s="2"/>
      <c r="I18" s="2" t="s">
        <v>21</v>
      </c>
      <c r="J18" s="2"/>
      <c r="K18" s="2"/>
      <c r="L18" s="2"/>
      <c r="M18" s="2"/>
      <c r="N18" s="2" t="s">
        <v>22</v>
      </c>
      <c r="O18" s="2"/>
    </row>
    <row r="19" spans="1:17" ht="15.75">
      <c r="A19" s="5"/>
      <c r="B19" s="15">
        <f t="shared" si="4"/>
        <v>12</v>
      </c>
      <c r="C19" s="16"/>
      <c r="D19" s="17"/>
      <c r="E19" s="18"/>
      <c r="F19" s="5"/>
      <c r="G19" s="2"/>
      <c r="I19" s="26" t="s">
        <v>23</v>
      </c>
      <c r="J19" s="26" t="s">
        <v>24</v>
      </c>
      <c r="K19" s="26" t="s">
        <v>25</v>
      </c>
      <c r="L19" s="26" t="s">
        <v>26</v>
      </c>
      <c r="M19" s="2"/>
      <c r="N19" s="26" t="s">
        <v>23</v>
      </c>
      <c r="O19" s="26" t="s">
        <v>24</v>
      </c>
      <c r="P19" s="26" t="s">
        <v>25</v>
      </c>
      <c r="Q19" s="26" t="s">
        <v>26</v>
      </c>
    </row>
    <row r="20" spans="1:17" ht="15.75">
      <c r="A20" s="5"/>
      <c r="B20" s="15">
        <f t="shared" si="4"/>
        <v>13</v>
      </c>
      <c r="C20" s="16"/>
      <c r="D20" s="17"/>
      <c r="E20" s="18"/>
      <c r="F20" s="5"/>
      <c r="G20" s="2"/>
      <c r="I20" s="27">
        <v>0</v>
      </c>
      <c r="J20" s="27">
        <v>250000</v>
      </c>
      <c r="K20" s="28">
        <v>0</v>
      </c>
      <c r="L20" s="28"/>
      <c r="M20" s="2"/>
      <c r="N20" s="27">
        <v>0</v>
      </c>
      <c r="O20" s="27">
        <v>250000</v>
      </c>
      <c r="P20" s="28">
        <v>0</v>
      </c>
      <c r="Q20" s="28"/>
    </row>
    <row r="21" spans="1:17" ht="15.75">
      <c r="A21" s="5"/>
      <c r="B21" s="15">
        <f t="shared" si="4"/>
        <v>14</v>
      </c>
      <c r="C21" s="16"/>
      <c r="D21" s="17"/>
      <c r="E21" s="18"/>
      <c r="F21" s="5"/>
      <c r="G21" s="2"/>
      <c r="I21" s="27">
        <v>250001</v>
      </c>
      <c r="J21" s="27">
        <v>500000</v>
      </c>
      <c r="K21" s="28">
        <v>0.05</v>
      </c>
      <c r="L21" s="28">
        <f t="shared" ref="L21:L23" si="5">K21-K20</f>
        <v>0.05</v>
      </c>
      <c r="M21" s="2"/>
      <c r="N21" s="27">
        <v>250001</v>
      </c>
      <c r="O21" s="27">
        <v>500000</v>
      </c>
      <c r="P21" s="28">
        <v>0.05</v>
      </c>
      <c r="Q21" s="28">
        <f t="shared" ref="Q21:Q26" si="6">P21-P20</f>
        <v>0.05</v>
      </c>
    </row>
    <row r="22" spans="1:17" ht="15.75">
      <c r="A22" s="5"/>
      <c r="B22" s="15">
        <f t="shared" si="4"/>
        <v>15</v>
      </c>
      <c r="C22" s="16"/>
      <c r="D22" s="17"/>
      <c r="E22" s="18"/>
      <c r="F22" s="5"/>
      <c r="G22" s="2"/>
      <c r="I22" s="27">
        <v>500001</v>
      </c>
      <c r="J22" s="27">
        <v>1000000</v>
      </c>
      <c r="K22" s="28">
        <v>0.2</v>
      </c>
      <c r="L22" s="28">
        <f t="shared" si="5"/>
        <v>0.15000000000000002</v>
      </c>
      <c r="M22" s="2"/>
      <c r="N22" s="27">
        <v>500001</v>
      </c>
      <c r="O22" s="27">
        <v>750000</v>
      </c>
      <c r="P22" s="28">
        <v>0.1</v>
      </c>
      <c r="Q22" s="28">
        <f t="shared" si="6"/>
        <v>0.05</v>
      </c>
    </row>
    <row r="23" spans="1:17" ht="15.75">
      <c r="A23" s="5"/>
      <c r="B23" s="15">
        <f t="shared" si="4"/>
        <v>16</v>
      </c>
      <c r="C23" s="16"/>
      <c r="D23" s="17"/>
      <c r="E23" s="18"/>
      <c r="F23" s="5"/>
      <c r="G23" s="2"/>
      <c r="I23" s="29" t="s">
        <v>27</v>
      </c>
      <c r="J23" s="29"/>
      <c r="K23" s="30">
        <v>0.30000000000000004</v>
      </c>
      <c r="L23" s="30">
        <f t="shared" si="5"/>
        <v>0.10000000000000003</v>
      </c>
      <c r="M23" s="2"/>
      <c r="N23" s="27">
        <v>750001</v>
      </c>
      <c r="O23" s="27">
        <v>1000000</v>
      </c>
      <c r="P23" s="28">
        <v>0.15</v>
      </c>
      <c r="Q23" s="28">
        <f t="shared" si="6"/>
        <v>4.9999999999999989E-2</v>
      </c>
    </row>
    <row r="24" spans="1:17" ht="15.75">
      <c r="A24" s="5"/>
      <c r="B24" s="15">
        <f t="shared" si="4"/>
        <v>17</v>
      </c>
      <c r="C24" s="16"/>
      <c r="D24" s="17"/>
      <c r="E24" s="18"/>
      <c r="F24" s="5"/>
      <c r="G24" s="2"/>
      <c r="I24" s="31"/>
      <c r="J24" s="31"/>
      <c r="K24" s="31"/>
      <c r="L24" s="31"/>
      <c r="M24" s="2"/>
      <c r="N24" s="27">
        <v>1000001</v>
      </c>
      <c r="O24" s="27">
        <v>1250000</v>
      </c>
      <c r="P24" s="28">
        <v>0.2</v>
      </c>
      <c r="Q24" s="28">
        <f t="shared" si="6"/>
        <v>5.0000000000000017E-2</v>
      </c>
    </row>
    <row r="25" spans="1:17" ht="15.75">
      <c r="A25" s="5"/>
      <c r="B25" s="15">
        <f t="shared" si="4"/>
        <v>18</v>
      </c>
      <c r="C25" s="16"/>
      <c r="D25" s="17"/>
      <c r="E25" s="18"/>
      <c r="F25" s="5"/>
      <c r="G25" s="2"/>
      <c r="I25" s="31"/>
      <c r="J25" s="31"/>
      <c r="K25" s="31"/>
      <c r="L25" s="31"/>
      <c r="M25" s="2"/>
      <c r="N25" s="27">
        <v>1250001</v>
      </c>
      <c r="O25" s="27">
        <v>1500000</v>
      </c>
      <c r="P25" s="28">
        <v>0.25</v>
      </c>
      <c r="Q25" s="28">
        <f t="shared" si="6"/>
        <v>4.9999999999999989E-2</v>
      </c>
    </row>
    <row r="26" spans="1:17" ht="15.75">
      <c r="A26" s="5"/>
      <c r="B26" s="32">
        <f t="shared" si="4"/>
        <v>19</v>
      </c>
      <c r="C26" s="33"/>
      <c r="D26" s="34"/>
      <c r="E26" s="35"/>
      <c r="F26" s="5"/>
      <c r="G26" s="2"/>
      <c r="I26" s="36" t="s">
        <v>28</v>
      </c>
      <c r="J26" s="31"/>
      <c r="K26" s="31"/>
      <c r="L26" s="31"/>
      <c r="M26" s="2"/>
      <c r="N26" s="27" t="s">
        <v>29</v>
      </c>
      <c r="O26" s="27"/>
      <c r="P26" s="28">
        <v>0.30000000000000004</v>
      </c>
      <c r="Q26" s="28">
        <f t="shared" si="6"/>
        <v>5.0000000000000044E-2</v>
      </c>
    </row>
    <row r="27" spans="1:17" ht="15.75">
      <c r="A27" s="5"/>
      <c r="B27" s="37" t="s">
        <v>30</v>
      </c>
      <c r="C27" s="38" t="s">
        <v>31</v>
      </c>
      <c r="D27" s="8"/>
      <c r="E27" s="39">
        <f>E6-SUM(E8:E26)</f>
        <v>1448936</v>
      </c>
      <c r="F27" s="5"/>
      <c r="G27" s="2"/>
      <c r="I27" s="26" t="s">
        <v>23</v>
      </c>
      <c r="J27" s="26" t="s">
        <v>24</v>
      </c>
      <c r="K27" s="26" t="s">
        <v>25</v>
      </c>
      <c r="L27" s="26" t="s">
        <v>26</v>
      </c>
      <c r="M27" s="2"/>
      <c r="N27" s="2"/>
      <c r="O27" s="2"/>
    </row>
    <row r="28" spans="1:17" ht="10.15" customHeight="1">
      <c r="A28" s="5"/>
      <c r="B28" s="40"/>
      <c r="C28" s="23"/>
      <c r="D28" s="2"/>
      <c r="E28" s="41"/>
      <c r="F28" s="5"/>
      <c r="G28" s="2"/>
      <c r="I28" s="27"/>
      <c r="J28" s="27"/>
      <c r="K28" s="27"/>
      <c r="L28" s="27"/>
      <c r="M28" s="2"/>
      <c r="N28" s="2"/>
      <c r="O28" s="2"/>
    </row>
    <row r="29" spans="1:17" ht="15.75">
      <c r="A29" s="5"/>
      <c r="B29" s="40"/>
      <c r="C29" s="23" t="s">
        <v>32</v>
      </c>
      <c r="D29" s="2"/>
      <c r="E29" s="42">
        <f>Q13</f>
        <v>244680.80000000002</v>
      </c>
      <c r="F29" s="5"/>
      <c r="G29" s="2"/>
      <c r="I29" s="27"/>
      <c r="J29" s="27"/>
      <c r="K29" s="27"/>
      <c r="L29" s="27"/>
      <c r="M29" s="2"/>
      <c r="N29" s="2"/>
      <c r="O29" s="2"/>
    </row>
    <row r="30" spans="1:17" ht="16.5" customHeight="1">
      <c r="A30" s="1"/>
      <c r="C30" s="23" t="s">
        <v>33</v>
      </c>
      <c r="E30" s="42">
        <f>R13</f>
        <v>174734</v>
      </c>
      <c r="F30" s="1"/>
      <c r="I30" s="27">
        <v>0</v>
      </c>
      <c r="J30" s="27">
        <v>300000</v>
      </c>
      <c r="K30" s="28">
        <v>0</v>
      </c>
      <c r="L30" s="28"/>
    </row>
    <row r="31" spans="1:17" ht="106.15" customHeight="1">
      <c r="A31" s="1"/>
      <c r="B31" s="202" t="s">
        <v>34</v>
      </c>
      <c r="C31" s="202"/>
      <c r="D31" s="202"/>
      <c r="E31" s="202"/>
      <c r="F31" s="43"/>
      <c r="G31" s="44"/>
      <c r="I31" s="27">
        <v>300001</v>
      </c>
      <c r="J31" s="27">
        <v>500000</v>
      </c>
      <c r="K31" s="28">
        <v>0.05</v>
      </c>
      <c r="L31" s="28">
        <f t="shared" ref="L31:L33" si="7">K31-K30</f>
        <v>0.05</v>
      </c>
    </row>
    <row r="32" spans="1:17">
      <c r="A32" s="1"/>
      <c r="F32" s="1"/>
      <c r="I32" s="27">
        <v>500001</v>
      </c>
      <c r="J32" s="27">
        <v>1000000</v>
      </c>
      <c r="K32" s="28">
        <v>0.2</v>
      </c>
      <c r="L32" s="28">
        <f t="shared" si="7"/>
        <v>0.15000000000000002</v>
      </c>
    </row>
    <row r="33" spans="1:12">
      <c r="A33" s="1"/>
      <c r="B33" s="1"/>
      <c r="C33" s="1"/>
      <c r="D33" s="1"/>
      <c r="E33" s="1"/>
      <c r="F33" s="1"/>
      <c r="I33" s="29" t="s">
        <v>27</v>
      </c>
      <c r="J33" s="29"/>
      <c r="K33" s="30">
        <v>0.30000000000000004</v>
      </c>
      <c r="L33" s="30">
        <f t="shared" si="7"/>
        <v>0.10000000000000003</v>
      </c>
    </row>
    <row r="34" spans="1:12" hidden="1">
      <c r="I34" s="31"/>
      <c r="J34" s="31"/>
      <c r="K34" s="31"/>
      <c r="L34" s="31"/>
    </row>
    <row r="35" spans="1:12" hidden="1">
      <c r="I35" s="31"/>
      <c r="J35" s="31"/>
      <c r="K35" s="31"/>
      <c r="L35" s="31"/>
    </row>
    <row r="36" spans="1:12" hidden="1">
      <c r="I36" s="36" t="s">
        <v>28</v>
      </c>
      <c r="J36" s="31"/>
      <c r="K36" s="31"/>
      <c r="L36" s="31"/>
    </row>
    <row r="37" spans="1:12" hidden="1">
      <c r="I37" s="26" t="s">
        <v>23</v>
      </c>
      <c r="J37" s="26" t="s">
        <v>24</v>
      </c>
      <c r="K37" s="26" t="s">
        <v>25</v>
      </c>
      <c r="L37" s="26" t="s">
        <v>26</v>
      </c>
    </row>
    <row r="38" spans="1:12" hidden="1">
      <c r="I38" s="27">
        <v>0</v>
      </c>
      <c r="J38" s="27">
        <v>500000</v>
      </c>
      <c r="K38" s="28">
        <v>0</v>
      </c>
      <c r="L38" s="28"/>
    </row>
    <row r="39" spans="1:12" hidden="1">
      <c r="I39" s="27">
        <v>500001</v>
      </c>
      <c r="J39" s="27">
        <v>1000000</v>
      </c>
      <c r="K39" s="28">
        <v>0.2</v>
      </c>
      <c r="L39" s="28">
        <f t="shared" ref="L39:L40" si="8">K39-K38</f>
        <v>0.2</v>
      </c>
    </row>
    <row r="40" spans="1:12" hidden="1">
      <c r="I40" s="29" t="s">
        <v>27</v>
      </c>
      <c r="J40" s="29"/>
      <c r="K40" s="30">
        <v>0.30000000000000004</v>
      </c>
      <c r="L40" s="30">
        <f t="shared" si="8"/>
        <v>0.10000000000000003</v>
      </c>
    </row>
    <row r="51"/>
  </sheetData>
  <sheetProtection password="CC77" sheet="1" objects="1" scenarios="1"/>
  <mergeCells count="5">
    <mergeCell ref="B3:E3"/>
    <mergeCell ref="C4:D4"/>
    <mergeCell ref="B5:E5"/>
    <mergeCell ref="C16:D16"/>
    <mergeCell ref="B31:E31"/>
  </mergeCells>
  <dataValidations count="1">
    <dataValidation type="list" allowBlank="1" showInputMessage="1" showErrorMessage="1" sqref="E4">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Macro-disabled</vt:lpstr>
      <vt:lpstr>TDS CALCULATIONS </vt:lpstr>
      <vt:lpstr>how to use </vt:lpstr>
      <vt:lpstr>tax-calculator</vt:lpstr>
      <vt:lpstr>category</vt:lpstr>
      <vt:lpstr>'TDS CALCULATIONS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lohani</dc:creator>
  <cp:lastModifiedBy>Shree</cp:lastModifiedBy>
  <cp:revision>0</cp:revision>
  <cp:lastPrinted>2024-10-21T04:55:15Z</cp:lastPrinted>
  <dcterms:created xsi:type="dcterms:W3CDTF">2020-02-02T04:09:35Z</dcterms:created>
  <dcterms:modified xsi:type="dcterms:W3CDTF">2024-10-26T06:46:26Z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